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913"/>
  <workbookPr date1904="1" showInkAnnotation="0" autoCompressPictures="0"/>
  <bookViews>
    <workbookView xWindow="0" yWindow="0" windowWidth="37480" windowHeight="23560" tabRatio="500" activeTab="3"/>
  </bookViews>
  <sheets>
    <sheet name="Table S1" sheetId="1" r:id="rId1"/>
    <sheet name="Table S2" sheetId="8" r:id="rId2"/>
    <sheet name="Table S3" sheetId="2" r:id="rId3"/>
    <sheet name="Table S4" sheetId="3" r:id="rId4"/>
    <sheet name="Table S5" sheetId="9" r:id="rId5"/>
    <sheet name="Table S6" sheetId="10" r:id="rId6"/>
  </sheets>
  <definedNames>
    <definedName name="_xlnm._FilterDatabase" localSheetId="2" hidden="1">'Table S3'!$A$3:$J$177</definedName>
    <definedName name="_xlnm._FilterDatabase" localSheetId="3" hidden="1">'Table S4'!$A$3:$L$602</definedName>
    <definedName name="_xlnm._FilterDatabase" localSheetId="5" hidden="1">'Table S6'!$A$3:$L$51</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646" i="1" l="1"/>
  <c r="D407" i="1"/>
  <c r="D321" i="1"/>
  <c r="C5" i="1"/>
  <c r="C7" i="1"/>
  <c r="F7" i="1"/>
  <c r="G7" i="1"/>
  <c r="H7" i="1"/>
  <c r="C12" i="1"/>
  <c r="F12" i="1"/>
  <c r="G12" i="1"/>
  <c r="H12" i="1"/>
  <c r="C20" i="1"/>
  <c r="F20" i="1"/>
  <c r="G20" i="1"/>
  <c r="H20" i="1"/>
  <c r="C22" i="1"/>
  <c r="F22" i="1"/>
  <c r="G22" i="1"/>
  <c r="H22" i="1"/>
  <c r="C26" i="1"/>
  <c r="C27" i="1"/>
  <c r="C28" i="1"/>
  <c r="E28" i="1"/>
  <c r="C31" i="1"/>
  <c r="F31" i="1"/>
  <c r="G31" i="1"/>
  <c r="H31" i="1"/>
  <c r="C32" i="1"/>
  <c r="C33" i="1"/>
  <c r="F33" i="1"/>
  <c r="C37" i="1"/>
  <c r="F37" i="1"/>
  <c r="C41" i="1"/>
  <c r="F41" i="1"/>
  <c r="G41" i="1"/>
  <c r="H41" i="1"/>
  <c r="C44" i="1"/>
  <c r="F44" i="1"/>
  <c r="G44" i="1"/>
  <c r="H44" i="1"/>
  <c r="C49" i="1"/>
  <c r="F49" i="1"/>
  <c r="G49" i="1"/>
  <c r="H49" i="1"/>
  <c r="C54" i="1"/>
  <c r="E54" i="1"/>
  <c r="F54" i="1"/>
  <c r="C56" i="1"/>
  <c r="C57" i="1"/>
  <c r="C58" i="1"/>
  <c r="C71" i="1"/>
  <c r="C76" i="1"/>
  <c r="C77" i="1"/>
  <c r="E77" i="1"/>
  <c r="F77" i="1"/>
  <c r="G77" i="1"/>
  <c r="H77" i="1"/>
  <c r="I77" i="1"/>
  <c r="J77" i="1"/>
  <c r="C78" i="1"/>
  <c r="F78" i="1"/>
  <c r="G78" i="1"/>
  <c r="H78" i="1"/>
  <c r="C79" i="1"/>
  <c r="C80" i="1"/>
  <c r="F80" i="1"/>
  <c r="G80" i="1"/>
  <c r="H80" i="1"/>
  <c r="C82" i="1"/>
  <c r="F82" i="1"/>
  <c r="G82" i="1"/>
  <c r="H82" i="1"/>
  <c r="C84" i="1"/>
  <c r="F84" i="1"/>
  <c r="G84" i="1"/>
  <c r="H84" i="1"/>
  <c r="C86" i="1"/>
  <c r="C89" i="1"/>
  <c r="F89" i="1"/>
  <c r="G89" i="1"/>
  <c r="H89" i="1"/>
  <c r="C90" i="1"/>
  <c r="F90" i="1"/>
  <c r="G90" i="1"/>
  <c r="H90" i="1"/>
  <c r="C95" i="1"/>
  <c r="F95" i="1"/>
  <c r="G95" i="1"/>
  <c r="H95" i="1"/>
  <c r="C96" i="1"/>
  <c r="F96" i="1"/>
  <c r="G96" i="1"/>
  <c r="H96" i="1"/>
  <c r="C97" i="1"/>
  <c r="C100" i="1"/>
  <c r="F100" i="1"/>
  <c r="C103" i="1"/>
  <c r="E103" i="1"/>
  <c r="F103" i="1"/>
  <c r="G103" i="1"/>
  <c r="H103" i="1"/>
  <c r="C110" i="1"/>
  <c r="F110" i="1"/>
  <c r="G110" i="1"/>
  <c r="H110" i="1"/>
  <c r="C111" i="1"/>
  <c r="C113" i="1"/>
  <c r="F113" i="1"/>
  <c r="G113" i="1"/>
  <c r="H113" i="1"/>
  <c r="C114" i="1"/>
  <c r="C116" i="1"/>
  <c r="F116" i="1"/>
  <c r="G116" i="1"/>
  <c r="H116" i="1"/>
  <c r="C121" i="1"/>
  <c r="F121" i="1"/>
  <c r="C124" i="1"/>
  <c r="F124" i="1"/>
  <c r="G124" i="1"/>
  <c r="H124" i="1"/>
  <c r="C128" i="1"/>
  <c r="F128" i="1"/>
  <c r="G128" i="1"/>
  <c r="H128" i="1"/>
  <c r="C129" i="1"/>
  <c r="F129" i="1"/>
  <c r="C130" i="1"/>
  <c r="F130" i="1"/>
  <c r="C132" i="1"/>
  <c r="F132" i="1"/>
  <c r="G132" i="1"/>
  <c r="H132" i="1"/>
  <c r="C133" i="1"/>
  <c r="E133" i="1"/>
  <c r="C135" i="1"/>
  <c r="F135" i="1"/>
  <c r="G135" i="1"/>
  <c r="H135" i="1"/>
  <c r="C140" i="1"/>
  <c r="E140" i="1"/>
  <c r="F140" i="1"/>
  <c r="G140" i="1"/>
  <c r="H140" i="1"/>
  <c r="C144" i="1"/>
  <c r="C145" i="1"/>
  <c r="E145" i="1"/>
  <c r="F145" i="1"/>
  <c r="G145" i="1"/>
  <c r="H145" i="1"/>
  <c r="C146" i="1"/>
  <c r="F146" i="1"/>
  <c r="G146" i="1"/>
  <c r="H146" i="1"/>
  <c r="C148" i="1"/>
  <c r="F148" i="1"/>
  <c r="G148" i="1"/>
  <c r="H148" i="1"/>
  <c r="C154" i="1"/>
  <c r="F154" i="1"/>
  <c r="G154" i="1"/>
  <c r="H154" i="1"/>
  <c r="C155" i="1"/>
  <c r="F155" i="1"/>
  <c r="G155" i="1"/>
  <c r="H155" i="1"/>
  <c r="C157" i="1"/>
  <c r="C162" i="1"/>
  <c r="F162" i="1"/>
  <c r="G162" i="1"/>
  <c r="H162" i="1"/>
  <c r="C163" i="1"/>
  <c r="C165" i="1"/>
  <c r="F165" i="1"/>
  <c r="G165" i="1"/>
  <c r="H165" i="1"/>
  <c r="C166" i="1"/>
  <c r="F166" i="1"/>
  <c r="G166" i="1"/>
  <c r="H166" i="1"/>
  <c r="C167" i="1"/>
  <c r="F167" i="1"/>
  <c r="G167" i="1"/>
  <c r="H167" i="1"/>
  <c r="C173" i="1"/>
  <c r="C174" i="1"/>
  <c r="F174" i="1"/>
  <c r="C175" i="1"/>
  <c r="F175" i="1"/>
  <c r="G175" i="1"/>
  <c r="H175" i="1"/>
  <c r="C176" i="1"/>
  <c r="F176" i="1"/>
  <c r="G176" i="1"/>
  <c r="H176" i="1"/>
  <c r="C177" i="1"/>
  <c r="F177" i="1"/>
  <c r="G177" i="1"/>
  <c r="H177" i="1"/>
  <c r="C178" i="1"/>
  <c r="F178" i="1"/>
  <c r="G178" i="1"/>
  <c r="H178" i="1"/>
  <c r="C180" i="1"/>
  <c r="F180" i="1"/>
  <c r="G180" i="1"/>
  <c r="H180" i="1"/>
  <c r="C182" i="1"/>
  <c r="C187" i="1"/>
  <c r="F187" i="1"/>
  <c r="G187" i="1"/>
  <c r="H187" i="1"/>
  <c r="C188" i="1"/>
  <c r="E188" i="1"/>
  <c r="F188" i="1"/>
  <c r="G188" i="1"/>
  <c r="H188" i="1"/>
  <c r="C191" i="1"/>
  <c r="C194" i="1"/>
  <c r="F194" i="1"/>
  <c r="G194" i="1"/>
  <c r="H194" i="1"/>
  <c r="C195" i="1"/>
  <c r="F195" i="1"/>
  <c r="G195" i="1"/>
  <c r="H195" i="1"/>
  <c r="C196" i="1"/>
  <c r="F196" i="1"/>
  <c r="G196" i="1"/>
  <c r="H196" i="1"/>
  <c r="C199" i="1"/>
  <c r="E199" i="1"/>
  <c r="C201" i="1"/>
  <c r="C204" i="1"/>
  <c r="C207" i="1"/>
  <c r="F207" i="1"/>
  <c r="C208" i="1"/>
  <c r="F208" i="1"/>
  <c r="G208" i="1"/>
  <c r="H208" i="1"/>
  <c r="C214" i="1"/>
  <c r="E214" i="1"/>
  <c r="C216" i="1"/>
  <c r="C217" i="1"/>
  <c r="F217" i="1"/>
  <c r="G217" i="1"/>
  <c r="H217" i="1"/>
  <c r="C219" i="1"/>
  <c r="E219" i="1"/>
  <c r="F219" i="1"/>
  <c r="G219" i="1"/>
  <c r="H219" i="1"/>
  <c r="C221" i="1"/>
  <c r="F221" i="1"/>
  <c r="C222" i="1"/>
  <c r="F222" i="1"/>
  <c r="G222" i="1"/>
  <c r="H222" i="1"/>
  <c r="C238" i="1"/>
  <c r="C241" i="1"/>
  <c r="F241" i="1"/>
  <c r="G241" i="1"/>
  <c r="H241" i="1"/>
  <c r="C247" i="1"/>
  <c r="E247" i="1"/>
  <c r="C251" i="1"/>
  <c r="C256" i="1"/>
  <c r="F256" i="1"/>
  <c r="G256" i="1"/>
  <c r="H256" i="1"/>
  <c r="C260" i="1"/>
  <c r="F260" i="1"/>
  <c r="G260" i="1"/>
  <c r="H260" i="1"/>
  <c r="C261" i="1"/>
  <c r="C262" i="1"/>
  <c r="F262" i="1"/>
  <c r="G262" i="1"/>
  <c r="H262" i="1"/>
  <c r="C263" i="1"/>
  <c r="C270" i="1"/>
  <c r="F270" i="1"/>
  <c r="C273" i="1"/>
  <c r="F273" i="1"/>
  <c r="G273" i="1"/>
  <c r="H273" i="1"/>
  <c r="C277" i="1"/>
  <c r="F277" i="1"/>
  <c r="C281" i="1"/>
  <c r="E281" i="1"/>
  <c r="F281" i="1"/>
  <c r="C283" i="1"/>
  <c r="E283" i="1"/>
  <c r="F283" i="1"/>
  <c r="G283" i="1"/>
  <c r="H283" i="1"/>
  <c r="C288" i="1"/>
  <c r="F288" i="1"/>
  <c r="G288" i="1"/>
  <c r="H288" i="1"/>
  <c r="C290" i="1"/>
  <c r="F290" i="1"/>
  <c r="C294" i="1"/>
  <c r="F294" i="1"/>
  <c r="G294" i="1"/>
  <c r="H294" i="1"/>
  <c r="C297" i="1"/>
  <c r="C301" i="1"/>
  <c r="C304" i="1"/>
  <c r="F304" i="1"/>
  <c r="G304" i="1"/>
  <c r="H304" i="1"/>
  <c r="C306" i="1"/>
  <c r="F306" i="1"/>
  <c r="G306" i="1"/>
  <c r="H306" i="1"/>
  <c r="C315" i="1"/>
  <c r="F315" i="1"/>
  <c r="C317" i="1"/>
  <c r="E317" i="1"/>
  <c r="F317" i="1"/>
  <c r="G317" i="1"/>
  <c r="H317" i="1"/>
  <c r="C319" i="1"/>
  <c r="F319" i="1"/>
  <c r="B321" i="1"/>
  <c r="C321" i="1"/>
  <c r="F321" i="1"/>
  <c r="G321" i="1"/>
  <c r="H321" i="1"/>
  <c r="C325" i="1"/>
  <c r="C326" i="1"/>
  <c r="F326" i="1"/>
  <c r="G326" i="1"/>
  <c r="H326" i="1"/>
  <c r="C327" i="1"/>
  <c r="F327" i="1"/>
  <c r="G327" i="1"/>
  <c r="H327" i="1"/>
  <c r="C328" i="1"/>
  <c r="C333" i="1"/>
  <c r="F333" i="1"/>
  <c r="G333" i="1"/>
  <c r="H333" i="1"/>
  <c r="C334" i="1"/>
  <c r="F334" i="1"/>
  <c r="G334" i="1"/>
  <c r="H334" i="1"/>
  <c r="C335" i="1"/>
  <c r="F335" i="1"/>
  <c r="C336" i="1"/>
  <c r="F336" i="1"/>
  <c r="C338" i="1"/>
  <c r="F338" i="1"/>
  <c r="G338" i="1"/>
  <c r="H338" i="1"/>
  <c r="C340" i="1"/>
  <c r="F340" i="1"/>
  <c r="G340" i="1"/>
  <c r="H340" i="1"/>
  <c r="C341" i="1"/>
  <c r="F341" i="1"/>
  <c r="C342" i="1"/>
  <c r="E342" i="1"/>
  <c r="C343" i="1"/>
  <c r="F343" i="1"/>
  <c r="G343" i="1"/>
  <c r="H343" i="1"/>
  <c r="C346" i="1"/>
  <c r="F346" i="1"/>
  <c r="C347" i="1"/>
  <c r="F347" i="1"/>
  <c r="C349" i="1"/>
  <c r="F349" i="1"/>
  <c r="C350" i="1"/>
  <c r="F350" i="1"/>
  <c r="G350" i="1"/>
  <c r="H350" i="1"/>
  <c r="C351" i="1"/>
  <c r="F351" i="1"/>
  <c r="G351" i="1"/>
  <c r="H351" i="1"/>
  <c r="C353" i="1"/>
  <c r="F353" i="1"/>
  <c r="G353" i="1"/>
  <c r="H353" i="1"/>
  <c r="C355" i="1"/>
  <c r="F355" i="1"/>
  <c r="G355" i="1"/>
  <c r="H355" i="1"/>
  <c r="C359" i="1"/>
  <c r="C361" i="1"/>
  <c r="C367" i="1"/>
  <c r="C371" i="1"/>
  <c r="F371" i="1"/>
  <c r="G371" i="1"/>
  <c r="H371" i="1"/>
  <c r="C373" i="1"/>
  <c r="E373" i="1"/>
  <c r="F373" i="1"/>
  <c r="G373" i="1"/>
  <c r="H373" i="1"/>
  <c r="C375" i="1"/>
  <c r="F375" i="1"/>
  <c r="G375" i="1"/>
  <c r="H375" i="1"/>
  <c r="C377" i="1"/>
  <c r="F377" i="1"/>
  <c r="G377" i="1"/>
  <c r="H377" i="1"/>
  <c r="C378" i="1"/>
  <c r="F378" i="1"/>
  <c r="G378" i="1"/>
  <c r="H378" i="1"/>
  <c r="C388" i="1"/>
  <c r="C389" i="1"/>
  <c r="F389" i="1"/>
  <c r="G389" i="1"/>
  <c r="H389" i="1"/>
  <c r="C390" i="1"/>
  <c r="C391" i="1"/>
  <c r="C392" i="1"/>
  <c r="C397" i="1"/>
  <c r="C398" i="1"/>
  <c r="C404" i="1"/>
  <c r="E404" i="1"/>
  <c r="F404" i="1"/>
  <c r="G404" i="1"/>
  <c r="H404" i="1"/>
  <c r="B407" i="1"/>
  <c r="C407" i="1"/>
  <c r="C409" i="1"/>
  <c r="C410" i="1"/>
  <c r="F410" i="1"/>
  <c r="G410" i="1"/>
  <c r="H410" i="1"/>
  <c r="C414" i="1"/>
  <c r="C417" i="1"/>
  <c r="C420" i="1"/>
  <c r="F420" i="1"/>
  <c r="G420" i="1"/>
  <c r="H420" i="1"/>
  <c r="C429" i="1"/>
  <c r="C431" i="1"/>
  <c r="F431" i="1"/>
  <c r="G431" i="1"/>
  <c r="H431" i="1"/>
  <c r="C433" i="1"/>
  <c r="F433" i="1"/>
  <c r="G433" i="1"/>
  <c r="H433" i="1"/>
  <c r="C434" i="1"/>
  <c r="F434" i="1"/>
  <c r="C437" i="1"/>
  <c r="F437" i="1"/>
  <c r="G437" i="1"/>
  <c r="H437" i="1"/>
  <c r="C438" i="1"/>
  <c r="F438" i="1"/>
  <c r="G438" i="1"/>
  <c r="H438" i="1"/>
  <c r="C440" i="1"/>
  <c r="F440" i="1"/>
  <c r="C441" i="1"/>
  <c r="C442" i="1"/>
  <c r="C445" i="1"/>
  <c r="F445" i="1"/>
  <c r="G445" i="1"/>
  <c r="H445" i="1"/>
  <c r="C449" i="1"/>
  <c r="C450" i="1"/>
  <c r="F450" i="1"/>
  <c r="G450" i="1"/>
  <c r="H450" i="1"/>
  <c r="C453" i="1"/>
  <c r="F453" i="1"/>
  <c r="C459" i="1"/>
  <c r="C462" i="1"/>
  <c r="C463" i="1"/>
  <c r="F463" i="1"/>
  <c r="G463" i="1"/>
  <c r="H463" i="1"/>
  <c r="C466" i="1"/>
  <c r="F466" i="1"/>
  <c r="G466" i="1"/>
  <c r="H466" i="1"/>
  <c r="C472" i="1"/>
  <c r="F472" i="1"/>
  <c r="G472" i="1"/>
  <c r="H472" i="1"/>
  <c r="C483" i="1"/>
  <c r="C488" i="1"/>
  <c r="F488" i="1"/>
  <c r="G488" i="1"/>
  <c r="H488" i="1"/>
  <c r="C496" i="1"/>
  <c r="F496" i="1"/>
  <c r="G496" i="1"/>
  <c r="H496" i="1"/>
  <c r="C497" i="1"/>
  <c r="C499" i="1"/>
  <c r="F499" i="1"/>
  <c r="G499" i="1"/>
  <c r="H499" i="1"/>
  <c r="C500" i="1"/>
  <c r="F500" i="1"/>
  <c r="G500" i="1"/>
  <c r="H500" i="1"/>
  <c r="C501" i="1"/>
  <c r="C503" i="1"/>
  <c r="F503" i="1"/>
  <c r="G503" i="1"/>
  <c r="H503" i="1"/>
  <c r="C516" i="1"/>
  <c r="F516" i="1"/>
  <c r="C519" i="1"/>
  <c r="F519" i="1"/>
  <c r="G519" i="1"/>
  <c r="H519" i="1"/>
  <c r="C528" i="1"/>
  <c r="E528" i="1"/>
  <c r="F528" i="1"/>
  <c r="G528" i="1"/>
  <c r="H528" i="1"/>
  <c r="C533" i="1"/>
  <c r="C535" i="1"/>
  <c r="C538" i="1"/>
  <c r="F538" i="1"/>
  <c r="C539" i="1"/>
  <c r="F539" i="1"/>
  <c r="C544" i="1"/>
  <c r="F544" i="1"/>
  <c r="G544" i="1"/>
  <c r="H544" i="1"/>
  <c r="C545" i="1"/>
  <c r="F545" i="1"/>
  <c r="G545" i="1"/>
  <c r="H545" i="1"/>
  <c r="C546" i="1"/>
  <c r="C547" i="1"/>
  <c r="F547" i="1"/>
  <c r="G547" i="1"/>
  <c r="H547" i="1"/>
  <c r="C553" i="1"/>
  <c r="F553" i="1"/>
  <c r="G553" i="1"/>
  <c r="H553" i="1"/>
  <c r="C555" i="1"/>
  <c r="F555" i="1"/>
  <c r="G555" i="1"/>
  <c r="H555" i="1"/>
  <c r="C557" i="1"/>
  <c r="E557" i="1"/>
  <c r="F557" i="1"/>
  <c r="G557" i="1"/>
  <c r="H557" i="1"/>
  <c r="C560" i="1"/>
  <c r="F560" i="1"/>
  <c r="G560" i="1"/>
  <c r="H560" i="1"/>
  <c r="C567" i="1"/>
  <c r="C569" i="1"/>
  <c r="F569" i="1"/>
  <c r="G569" i="1"/>
  <c r="H569" i="1"/>
  <c r="C570" i="1"/>
  <c r="E570" i="1"/>
  <c r="F570" i="1"/>
  <c r="G570" i="1"/>
  <c r="H570" i="1"/>
  <c r="I570" i="1"/>
  <c r="J570" i="1"/>
  <c r="C572" i="1"/>
  <c r="C580" i="1"/>
  <c r="C581" i="1"/>
  <c r="C592" i="1"/>
  <c r="C593" i="1"/>
  <c r="C595" i="1"/>
  <c r="E595" i="1"/>
  <c r="C600" i="1"/>
  <c r="E600" i="1"/>
  <c r="F600" i="1"/>
  <c r="G600" i="1"/>
  <c r="H600" i="1"/>
  <c r="C601" i="1"/>
  <c r="F601" i="1"/>
  <c r="G601" i="1"/>
  <c r="H601" i="1"/>
  <c r="C602" i="1"/>
  <c r="F602" i="1"/>
  <c r="G602" i="1"/>
  <c r="H602" i="1"/>
  <c r="C608" i="1"/>
  <c r="F608" i="1"/>
  <c r="G608" i="1"/>
  <c r="H608" i="1"/>
  <c r="C610" i="1"/>
  <c r="F610" i="1"/>
  <c r="C611" i="1"/>
  <c r="F611" i="1"/>
  <c r="G611" i="1"/>
  <c r="H611" i="1"/>
  <c r="C613" i="1"/>
  <c r="F613" i="1"/>
  <c r="G613" i="1"/>
  <c r="H613" i="1"/>
  <c r="C618" i="1"/>
  <c r="F618" i="1"/>
  <c r="G618" i="1"/>
  <c r="H618" i="1"/>
  <c r="C619" i="1"/>
  <c r="F619" i="1"/>
  <c r="G619" i="1"/>
  <c r="H619" i="1"/>
  <c r="C620" i="1"/>
  <c r="C622" i="1"/>
  <c r="F622" i="1"/>
  <c r="G622" i="1"/>
  <c r="H622" i="1"/>
  <c r="C623" i="1"/>
  <c r="C624" i="1"/>
  <c r="C627" i="1"/>
  <c r="C628" i="1"/>
  <c r="F628" i="1"/>
  <c r="C632" i="1"/>
  <c r="F632" i="1"/>
  <c r="G632" i="1"/>
  <c r="H632" i="1"/>
  <c r="C633" i="1"/>
  <c r="C640" i="1"/>
  <c r="F640" i="1"/>
  <c r="G640" i="1"/>
  <c r="H640" i="1"/>
  <c r="C644" i="1"/>
  <c r="F644" i="1"/>
  <c r="G644" i="1"/>
  <c r="H644" i="1"/>
  <c r="B646" i="1"/>
  <c r="C646" i="1"/>
  <c r="C648" i="1"/>
  <c r="C649" i="1"/>
  <c r="C650" i="1"/>
  <c r="F650" i="1"/>
  <c r="G650" i="1"/>
  <c r="H650" i="1"/>
  <c r="C651" i="1"/>
  <c r="F651" i="1"/>
  <c r="C656" i="1"/>
  <c r="C661" i="1"/>
  <c r="F661" i="1"/>
  <c r="G661" i="1"/>
  <c r="H661" i="1"/>
  <c r="C662" i="1"/>
  <c r="F662" i="1"/>
  <c r="G662" i="1"/>
  <c r="H662" i="1"/>
  <c r="C664" i="1"/>
  <c r="C668" i="1"/>
  <c r="F668" i="1"/>
  <c r="G668" i="1"/>
  <c r="H668" i="1"/>
  <c r="C669" i="1"/>
  <c r="C670" i="1"/>
  <c r="F670" i="1"/>
  <c r="G670" i="1"/>
  <c r="H670" i="1"/>
  <c r="C673" i="1"/>
</calcChain>
</file>

<file path=xl/sharedStrings.xml><?xml version="1.0" encoding="utf-8"?>
<sst xmlns="http://schemas.openxmlformats.org/spreadsheetml/2006/main" count="64844" uniqueCount="14275">
  <si>
    <t>Patient</t>
  </si>
  <si>
    <t>Gene.symbol</t>
  </si>
  <si>
    <t>Feature</t>
  </si>
  <si>
    <t>Consequence</t>
  </si>
  <si>
    <t>cDNA_position</t>
  </si>
  <si>
    <t>CDS_position</t>
  </si>
  <si>
    <t>Protein_position</t>
  </si>
  <si>
    <t>Amino_acids</t>
  </si>
  <si>
    <t>Codons</t>
  </si>
  <si>
    <t>chromosome</t>
  </si>
  <si>
    <t>begin</t>
  </si>
  <si>
    <t>end</t>
  </si>
  <si>
    <t>varType</t>
  </si>
  <si>
    <t>reference</t>
  </si>
  <si>
    <t>alleleSeq</t>
  </si>
  <si>
    <t>SomaticScore</t>
  </si>
  <si>
    <t>H384</t>
  </si>
  <si>
    <t>SLC6A17</t>
  </si>
  <si>
    <t>NM_001010898</t>
  </si>
  <si>
    <t>NON_SYNONYMOUS_CODING</t>
  </si>
  <si>
    <t>V/I</t>
  </si>
  <si>
    <t>Gtc/Atc</t>
  </si>
  <si>
    <t>chr1</t>
  </si>
  <si>
    <t>snp</t>
  </si>
  <si>
    <t>G</t>
  </si>
  <si>
    <t>A</t>
  </si>
  <si>
    <t>TDRD10</t>
  </si>
  <si>
    <t>G/R</t>
  </si>
  <si>
    <t>Ggg/Agg</t>
  </si>
  <si>
    <t>CRP</t>
  </si>
  <si>
    <t>NM_000567</t>
  </si>
  <si>
    <t>FRAMESHIFT_CODING</t>
  </si>
  <si>
    <t>721-724</t>
  </si>
  <si>
    <t>617-620</t>
  </si>
  <si>
    <t>206-207</t>
  </si>
  <si>
    <t>-</t>
  </si>
  <si>
    <t>del</t>
  </si>
  <si>
    <t>GCCC</t>
  </si>
  <si>
    <t>TRMT1L</t>
  </si>
  <si>
    <t>W/R</t>
  </si>
  <si>
    <t>Tgg/Agg</t>
  </si>
  <si>
    <t>T</t>
  </si>
  <si>
    <t>TMEM63A</t>
  </si>
  <si>
    <t>NM_014698</t>
  </si>
  <si>
    <t>I/S</t>
  </si>
  <si>
    <t>aTc/aGc</t>
  </si>
  <si>
    <t>C</t>
  </si>
  <si>
    <t>PARP1</t>
  </si>
  <si>
    <t>NM_001618</t>
  </si>
  <si>
    <t>L/S</t>
  </si>
  <si>
    <t>tTa/tCa</t>
  </si>
  <si>
    <t>OR11L1</t>
  </si>
  <si>
    <t>NM_001001959</t>
  </si>
  <si>
    <t>Q/K</t>
  </si>
  <si>
    <t>Cag/Aag</t>
  </si>
  <si>
    <t>OR2T4</t>
  </si>
  <si>
    <t>NM_001004696</t>
  </si>
  <si>
    <t>L/F</t>
  </si>
  <si>
    <t>Ctc/Ttc</t>
  </si>
  <si>
    <t>ORC1</t>
  </si>
  <si>
    <t>R/Q</t>
  </si>
  <si>
    <t>cGg/cAg</t>
  </si>
  <si>
    <t>PER3</t>
  </si>
  <si>
    <t>NM_016831</t>
  </si>
  <si>
    <t>T/N</t>
  </si>
  <si>
    <t>aCc/aAc</t>
  </si>
  <si>
    <t>WDR37</t>
  </si>
  <si>
    <t>NM_014023</t>
  </si>
  <si>
    <t>ESSENTIAL_SPLICE_SITE</t>
  </si>
  <si>
    <t>chr10</t>
  </si>
  <si>
    <t>HSPA12A</t>
  </si>
  <si>
    <t>NM_025015</t>
  </si>
  <si>
    <t>R/H</t>
  </si>
  <si>
    <t>cGc/cAc</t>
  </si>
  <si>
    <t>FUT11</t>
  </si>
  <si>
    <t>NM_173540</t>
  </si>
  <si>
    <t>STOP_GAINED</t>
  </si>
  <si>
    <t>S/*</t>
  </si>
  <si>
    <t>tCg/tAg</t>
  </si>
  <si>
    <t>SLC17A6</t>
  </si>
  <si>
    <t>NM_020346</t>
  </si>
  <si>
    <t>W/G</t>
  </si>
  <si>
    <t>Tgg/Ggg</t>
  </si>
  <si>
    <t>chr11</t>
  </si>
  <si>
    <t>INTS5</t>
  </si>
  <si>
    <t>NM_030628</t>
  </si>
  <si>
    <t>P/R</t>
  </si>
  <si>
    <t>cCt/cGt</t>
  </si>
  <si>
    <t>ACTN3</t>
  </si>
  <si>
    <t>NM_001104</t>
  </si>
  <si>
    <t>SHANK2</t>
  </si>
  <si>
    <t>R/W</t>
  </si>
  <si>
    <t>Cgg/Tgg</t>
  </si>
  <si>
    <t>PCF11</t>
  </si>
  <si>
    <t>NM_015885</t>
  </si>
  <si>
    <t>T/I</t>
  </si>
  <si>
    <t>aCt/aTt</t>
  </si>
  <si>
    <t>DLG2</t>
  </si>
  <si>
    <t>I/V</t>
  </si>
  <si>
    <t>Ata/Gta</t>
  </si>
  <si>
    <t>HCFC2</t>
  </si>
  <si>
    <t>NM_013320</t>
  </si>
  <si>
    <t>R/*</t>
  </si>
  <si>
    <t>Cga/Tga</t>
  </si>
  <si>
    <t>chr12</t>
  </si>
  <si>
    <t>HNF1A</t>
  </si>
  <si>
    <t>NM_000545</t>
  </si>
  <si>
    <t>887-888</t>
  </si>
  <si>
    <t>864-865</t>
  </si>
  <si>
    <t>288-289</t>
  </si>
  <si>
    <t>ins</t>
  </si>
  <si>
    <t>SLC11A2</t>
  </si>
  <si>
    <t>NR_033422</t>
  </si>
  <si>
    <t>SPLICE_SITE,WITHIN_NON_CODING_GENE,INTRONIC</t>
  </si>
  <si>
    <t>OS9</t>
  </si>
  <si>
    <t>MLH3</t>
  </si>
  <si>
    <t>S/F</t>
  </si>
  <si>
    <t>tCt/tTt</t>
  </si>
  <si>
    <t>chr14</t>
  </si>
  <si>
    <t>NPTN</t>
  </si>
  <si>
    <t>chr15</t>
  </si>
  <si>
    <t>BLM</t>
  </si>
  <si>
    <t>NM_000057</t>
  </si>
  <si>
    <t>A/S</t>
  </si>
  <si>
    <t>Gca/Tca</t>
  </si>
  <si>
    <t>ZNF469</t>
  </si>
  <si>
    <t>NM_001127464</t>
  </si>
  <si>
    <t>D/H</t>
  </si>
  <si>
    <t>Gac/Cac</t>
  </si>
  <si>
    <t>chr16</t>
  </si>
  <si>
    <t>TP53</t>
  </si>
  <si>
    <t>G/W</t>
  </si>
  <si>
    <t>Ggg/Tgg</t>
  </si>
  <si>
    <t>chr17</t>
  </si>
  <si>
    <t>C18orf25</t>
  </si>
  <si>
    <t>chr18</t>
  </si>
  <si>
    <t>KANK2</t>
  </si>
  <si>
    <t>R/L</t>
  </si>
  <si>
    <t>cGt/cTt</t>
  </si>
  <si>
    <t>chr19</t>
  </si>
  <si>
    <t>ZNF85</t>
  </si>
  <si>
    <t>NM_003429</t>
  </si>
  <si>
    <t>P/H</t>
  </si>
  <si>
    <t>cCc/cAc</t>
  </si>
  <si>
    <t>ZNF257</t>
  </si>
  <si>
    <t>NM_033468</t>
  </si>
  <si>
    <t>971-972</t>
  </si>
  <si>
    <t>802-803</t>
  </si>
  <si>
    <t>CGg/TTg</t>
  </si>
  <si>
    <t>sub</t>
  </si>
  <si>
    <t>CG</t>
  </si>
  <si>
    <t>TT</t>
  </si>
  <si>
    <t>SIPA1L3</t>
  </si>
  <si>
    <t>NM_015073</t>
  </si>
  <si>
    <t>A/T</t>
  </si>
  <si>
    <t>Gcc/Acc</t>
  </si>
  <si>
    <t>NUP62</t>
  </si>
  <si>
    <t>V/L</t>
  </si>
  <si>
    <t>Gtg/Ctg</t>
  </si>
  <si>
    <t>ZNF480</t>
  </si>
  <si>
    <t>NM_144684</t>
  </si>
  <si>
    <t>V/F</t>
  </si>
  <si>
    <t>Gtc/Ttc</t>
  </si>
  <si>
    <t>ZNF551</t>
  </si>
  <si>
    <t>NM_138347</t>
  </si>
  <si>
    <t>E/K</t>
  </si>
  <si>
    <t>Gag/Aag</t>
  </si>
  <si>
    <t>EMR1</t>
  </si>
  <si>
    <t>NM_001974</t>
  </si>
  <si>
    <t>CHN1</t>
  </si>
  <si>
    <t>V/M</t>
  </si>
  <si>
    <t>Gtg/Atg</t>
  </si>
  <si>
    <t>chr2</t>
  </si>
  <si>
    <t>APOB</t>
  </si>
  <si>
    <t>NM_000384</t>
  </si>
  <si>
    <t>Y/C</t>
  </si>
  <si>
    <t>tAc/tGc</t>
  </si>
  <si>
    <t>USP37</t>
  </si>
  <si>
    <t>NM_020935</t>
  </si>
  <si>
    <t>FBXO11</t>
  </si>
  <si>
    <t>N/H</t>
  </si>
  <si>
    <t>Aat/Cat</t>
  </si>
  <si>
    <t>EXOC6B</t>
  </si>
  <si>
    <t>NM_015189</t>
  </si>
  <si>
    <t>R/I</t>
  </si>
  <si>
    <t>aGa/aTa</t>
  </si>
  <si>
    <t>RALGAPA2</t>
  </si>
  <si>
    <t>NM_020343</t>
  </si>
  <si>
    <t>chr20</t>
  </si>
  <si>
    <t>SLC37A1</t>
  </si>
  <si>
    <t>NM_018964</t>
  </si>
  <si>
    <t>W/C</t>
  </si>
  <si>
    <t>tgG/tgC</t>
  </si>
  <si>
    <t>chr21</t>
  </si>
  <si>
    <t>IL17RA</t>
  </si>
  <si>
    <t>NM_014339</t>
  </si>
  <si>
    <t>cGg/cTg</t>
  </si>
  <si>
    <t>chr22</t>
  </si>
  <si>
    <t>MFSD1</t>
  </si>
  <si>
    <t>F/L</t>
  </si>
  <si>
    <t>Ttt/Ctt</t>
  </si>
  <si>
    <t>chr3</t>
  </si>
  <si>
    <t>LRRIQ4</t>
  </si>
  <si>
    <t>NM_001080460</t>
  </si>
  <si>
    <t>G/D</t>
  </si>
  <si>
    <t>gGc/gAc</t>
  </si>
  <si>
    <t>USP13</t>
  </si>
  <si>
    <t>NM_003940</t>
  </si>
  <si>
    <t>C/*</t>
  </si>
  <si>
    <t>tgC/tgA</t>
  </si>
  <si>
    <t>LRTM1</t>
  </si>
  <si>
    <t>NM_020678</t>
  </si>
  <si>
    <t>ttG/ttT</t>
  </si>
  <si>
    <t>EPHA6</t>
  </si>
  <si>
    <t>NM_001080448</t>
  </si>
  <si>
    <t>Q/L</t>
  </si>
  <si>
    <t>cAa/cTa</t>
  </si>
  <si>
    <t>RPL9</t>
  </si>
  <si>
    <t>T/K</t>
  </si>
  <si>
    <t>aCa/aAa</t>
  </si>
  <si>
    <t>chr4</t>
  </si>
  <si>
    <t>ALB</t>
  </si>
  <si>
    <t>NM_000477</t>
  </si>
  <si>
    <t>PCDHA11</t>
  </si>
  <si>
    <t>1933-1934</t>
  </si>
  <si>
    <t>1075-1076</t>
  </si>
  <si>
    <t>chr5</t>
  </si>
  <si>
    <t>GA</t>
  </si>
  <si>
    <t>PCDHGB5</t>
  </si>
  <si>
    <t>A/V</t>
  </si>
  <si>
    <t>gCg/gTg</t>
  </si>
  <si>
    <t>DIAPH1</t>
  </si>
  <si>
    <t>SPLICE_SITE,INTRONIC</t>
  </si>
  <si>
    <t>KIAA0408</t>
  </si>
  <si>
    <t>NM_014702</t>
  </si>
  <si>
    <t>K/N</t>
  </si>
  <si>
    <t>aaA/aaC</t>
  </si>
  <si>
    <t>chr6</t>
  </si>
  <si>
    <t>ZNF165</t>
  </si>
  <si>
    <t>NM_003447</t>
  </si>
  <si>
    <t>I/L</t>
  </si>
  <si>
    <t>Att/Ctt</t>
  </si>
  <si>
    <t>ITPR3</t>
  </si>
  <si>
    <t>NM_002224</t>
  </si>
  <si>
    <t>MDGA1</t>
  </si>
  <si>
    <t>NM_153487</t>
  </si>
  <si>
    <t>D/E</t>
  </si>
  <si>
    <t>gaC/gaA</t>
  </si>
  <si>
    <t>TFAP2D</t>
  </si>
  <si>
    <t>NM_172238</t>
  </si>
  <si>
    <t>Q/H</t>
  </si>
  <si>
    <t>caG/caT</t>
  </si>
  <si>
    <t>F13A1</t>
  </si>
  <si>
    <t>NM_000129</t>
  </si>
  <si>
    <t>GPR37</t>
  </si>
  <si>
    <t>NM_005302</t>
  </si>
  <si>
    <t>Gcc/Tcc</t>
  </si>
  <si>
    <t>chr7</t>
  </si>
  <si>
    <t>WDR86</t>
  </si>
  <si>
    <t>NM_198285</t>
  </si>
  <si>
    <t>MACC1</t>
  </si>
  <si>
    <t>NM_182762</t>
  </si>
  <si>
    <t>E/*</t>
  </si>
  <si>
    <t>Gag/Tag</t>
  </si>
  <si>
    <t>ABCB5</t>
  </si>
  <si>
    <t>NM_001163941</t>
  </si>
  <si>
    <t>Ttc/Ctc</t>
  </si>
  <si>
    <t>COBL</t>
  </si>
  <si>
    <t>NM_015198</t>
  </si>
  <si>
    <t>G/V</t>
  </si>
  <si>
    <t>gGg/gTg</t>
  </si>
  <si>
    <t>VPS37D</t>
  </si>
  <si>
    <t>NM_001077621</t>
  </si>
  <si>
    <t>PCLO</t>
  </si>
  <si>
    <t>Aga/Tga</t>
  </si>
  <si>
    <t>NOV</t>
  </si>
  <si>
    <t>NM_002514</t>
  </si>
  <si>
    <t>C/S</t>
  </si>
  <si>
    <t>Tgt/Agt</t>
  </si>
  <si>
    <t>chr8</t>
  </si>
  <si>
    <t>TSNARE1</t>
  </si>
  <si>
    <t>NM_145003</t>
  </si>
  <si>
    <t>T/A</t>
  </si>
  <si>
    <t>Acc/Gcc</t>
  </si>
  <si>
    <t>TNFRSF10D</t>
  </si>
  <si>
    <t>NM_003840</t>
  </si>
  <si>
    <t>CHRNB3</t>
  </si>
  <si>
    <t>NM_000749</t>
  </si>
  <si>
    <t>KIAA1429</t>
  </si>
  <si>
    <t>D/A</t>
  </si>
  <si>
    <t>gAt/gCt</t>
  </si>
  <si>
    <t>ODF2</t>
  </si>
  <si>
    <t>chr9</t>
  </si>
  <si>
    <t>AGCTCCCTG</t>
  </si>
  <si>
    <t>L/R</t>
  </si>
  <si>
    <t>cTg/cGg</t>
  </si>
  <si>
    <t>CCNL2</t>
  </si>
  <si>
    <t>cGt/cAt</t>
  </si>
  <si>
    <t>NTRK1</t>
  </si>
  <si>
    <t>S/P</t>
  </si>
  <si>
    <t>Tcc/Ccc</t>
  </si>
  <si>
    <t>NCSTN</t>
  </si>
  <si>
    <t>NM_015331</t>
  </si>
  <si>
    <t>I/M</t>
  </si>
  <si>
    <t>atC/atG</t>
  </si>
  <si>
    <t>METTL13</t>
  </si>
  <si>
    <t>KLHDC7A</t>
  </si>
  <si>
    <t>NM_152375</t>
  </si>
  <si>
    <t>MACF1</t>
  </si>
  <si>
    <t>tCc/tTc</t>
  </si>
  <si>
    <t>FPGT</t>
  </si>
  <si>
    <t>NM_003838</t>
  </si>
  <si>
    <t>L/V</t>
  </si>
  <si>
    <t>Ctt/Gtt</t>
  </si>
  <si>
    <t>OTOG</t>
  </si>
  <si>
    <t>S/R</t>
  </si>
  <si>
    <t>agC/agA</t>
  </si>
  <si>
    <t>OR5D18</t>
  </si>
  <si>
    <t>NM_001001952</t>
  </si>
  <si>
    <t>Aca/Gca</t>
  </si>
  <si>
    <t>AHNAK</t>
  </si>
  <si>
    <t>NM_001620</t>
  </si>
  <si>
    <t>Gta/Ata</t>
  </si>
  <si>
    <t>CNTN5</t>
  </si>
  <si>
    <t>gaT/gaG</t>
  </si>
  <si>
    <t>POLR3B</t>
  </si>
  <si>
    <t>ttC/ttA</t>
  </si>
  <si>
    <t>FZD10</t>
  </si>
  <si>
    <t>NM_007197</t>
  </si>
  <si>
    <t>tTg/tCg</t>
  </si>
  <si>
    <t>WBP11</t>
  </si>
  <si>
    <t>NM_016312</t>
  </si>
  <si>
    <t>P/L</t>
  </si>
  <si>
    <t>cCc/cTc</t>
  </si>
  <si>
    <t>PABPC3</t>
  </si>
  <si>
    <t>NM_030979</t>
  </si>
  <si>
    <t>1036-1040</t>
  </si>
  <si>
    <t>975-979</t>
  </si>
  <si>
    <t>325-327</t>
  </si>
  <si>
    <t>chr13</t>
  </si>
  <si>
    <t>TATGA</t>
  </si>
  <si>
    <t>TGM1</t>
  </si>
  <si>
    <t>NM_000359</t>
  </si>
  <si>
    <t>NRXN3</t>
  </si>
  <si>
    <t>H/Q</t>
  </si>
  <si>
    <t>caC/caG</t>
  </si>
  <si>
    <t>TLE3</t>
  </si>
  <si>
    <t>ttC/ttG</t>
  </si>
  <si>
    <t>CACNA1H</t>
  </si>
  <si>
    <t>ZCCHC14</t>
  </si>
  <si>
    <t>NM_015144</t>
  </si>
  <si>
    <t>I/T</t>
  </si>
  <si>
    <t>aTa/aCa</t>
  </si>
  <si>
    <t>SPATA2L</t>
  </si>
  <si>
    <t>NM_152339</t>
  </si>
  <si>
    <t>GRIN2A</t>
  </si>
  <si>
    <t>R/G</t>
  </si>
  <si>
    <t>Cgc/Ggc</t>
  </si>
  <si>
    <t>MYO15A</t>
  </si>
  <si>
    <t>NM_016239</t>
  </si>
  <si>
    <t>N/K</t>
  </si>
  <si>
    <t>aaC/aaG</t>
  </si>
  <si>
    <t>CNTNAP1</t>
  </si>
  <si>
    <t>NM_003632</t>
  </si>
  <si>
    <t>aCa/aTa</t>
  </si>
  <si>
    <t>cCg/cTg</t>
  </si>
  <si>
    <t>PHLPP1</t>
  </si>
  <si>
    <t>NM_194449</t>
  </si>
  <si>
    <t>SLC3A1</t>
  </si>
  <si>
    <t>NM_000341</t>
  </si>
  <si>
    <t>Q/*</t>
  </si>
  <si>
    <t>Cag/Tag</t>
  </si>
  <si>
    <t>FRMD4B</t>
  </si>
  <si>
    <t>NM_015123</t>
  </si>
  <si>
    <t>N/I</t>
  </si>
  <si>
    <t>aAc/aTc</t>
  </si>
  <si>
    <t>NDST4</t>
  </si>
  <si>
    <t>NM_022569</t>
  </si>
  <si>
    <t>P/T</t>
  </si>
  <si>
    <t>Cca/Aca</t>
  </si>
  <si>
    <t>TECRL</t>
  </si>
  <si>
    <t>NM_001010874</t>
  </si>
  <si>
    <t>Aga/Gga</t>
  </si>
  <si>
    <t>SAP30L</t>
  </si>
  <si>
    <t>NM_024632</t>
  </si>
  <si>
    <t>Q/R</t>
  </si>
  <si>
    <t>cAg/cGg</t>
  </si>
  <si>
    <t>PDE4D</t>
  </si>
  <si>
    <t>LAMA2</t>
  </si>
  <si>
    <t>gCt/gTt</t>
  </si>
  <si>
    <t>SLC22A1</t>
  </si>
  <si>
    <t>NM_003057</t>
  </si>
  <si>
    <t>NON_SYNONYMOUS_CODING,SPLICE_SITE</t>
  </si>
  <si>
    <t>N/S</t>
  </si>
  <si>
    <t>aAc/aGc</t>
  </si>
  <si>
    <t>PNPLA1</t>
  </si>
  <si>
    <t>F/Y</t>
  </si>
  <si>
    <t>tTc/tAc</t>
  </si>
  <si>
    <t>COL12A1</t>
  </si>
  <si>
    <t>CFTR</t>
  </si>
  <si>
    <t>NM_000492</t>
  </si>
  <si>
    <t>ADCYAP1R1</t>
  </si>
  <si>
    <t>BMPER</t>
  </si>
  <si>
    <t>NM_133468</t>
  </si>
  <si>
    <t>R/S</t>
  </si>
  <si>
    <t>Cgc/Agc</t>
  </si>
  <si>
    <t>POM121</t>
  </si>
  <si>
    <t>NM_172020</t>
  </si>
  <si>
    <t>G/A</t>
  </si>
  <si>
    <t>gGc/gCc</t>
  </si>
  <si>
    <t>TMEM55A</t>
  </si>
  <si>
    <t>NM_018710</t>
  </si>
  <si>
    <t>COL5A1</t>
  </si>
  <si>
    <t>NM_000093</t>
  </si>
  <si>
    <t>P/S</t>
  </si>
  <si>
    <t>Cct/Tct</t>
  </si>
  <si>
    <t>MUM1L1</t>
  </si>
  <si>
    <t>gCa/gTa</t>
  </si>
  <si>
    <t>chrX</t>
  </si>
  <si>
    <t>CNGA2</t>
  </si>
  <si>
    <t>NM_005140</t>
  </si>
  <si>
    <t>OPHN1</t>
  </si>
  <si>
    <t>NM_002547</t>
  </si>
  <si>
    <t>Cca/Tca</t>
  </si>
  <si>
    <t>H442</t>
  </si>
  <si>
    <t>DPH5</t>
  </si>
  <si>
    <t>gGa/gCa</t>
  </si>
  <si>
    <t>CD101</t>
  </si>
  <si>
    <t>NM_004258</t>
  </si>
  <si>
    <t>aTt/aCt</t>
  </si>
  <si>
    <t>CAMSAP2</t>
  </si>
  <si>
    <t>NM_203459</t>
  </si>
  <si>
    <t>RNF220</t>
  </si>
  <si>
    <t>NM_018150</t>
  </si>
  <si>
    <t>S/C</t>
  </si>
  <si>
    <t>tCt/tGt</t>
  </si>
  <si>
    <t>PDGFD</t>
  </si>
  <si>
    <t>cGa/cTa</t>
  </si>
  <si>
    <t>RPL6</t>
  </si>
  <si>
    <t>R/P</t>
  </si>
  <si>
    <t>cGa/cCa</t>
  </si>
  <si>
    <t>RASAL1</t>
  </si>
  <si>
    <t>A/G</t>
  </si>
  <si>
    <t>gCt/gGt</t>
  </si>
  <si>
    <t>TMEM132D</t>
  </si>
  <si>
    <t>NM_133448</t>
  </si>
  <si>
    <t>Agg/Ggg</t>
  </si>
  <si>
    <t>P2RX2</t>
  </si>
  <si>
    <t>C/R</t>
  </si>
  <si>
    <t>Tgc/Cgc</t>
  </si>
  <si>
    <t>RAP1B</t>
  </si>
  <si>
    <t>OTOGL</t>
  </si>
  <si>
    <t>NM_173591</t>
  </si>
  <si>
    <t>E/G</t>
  </si>
  <si>
    <t>gAa/gGa</t>
  </si>
  <si>
    <t>IRG1</t>
  </si>
  <si>
    <t>K/M</t>
  </si>
  <si>
    <t>aAg/aTg</t>
  </si>
  <si>
    <t>UNC79</t>
  </si>
  <si>
    <t>NM_020818</t>
  </si>
  <si>
    <t>GOLGA6L2</t>
  </si>
  <si>
    <t>XM_002343322</t>
  </si>
  <si>
    <t>D/Y</t>
  </si>
  <si>
    <t>Gac/Tac</t>
  </si>
  <si>
    <t>DEF8</t>
  </si>
  <si>
    <t>NM_207514</t>
  </si>
  <si>
    <t>USH1G</t>
  </si>
  <si>
    <t>NM_173477</t>
  </si>
  <si>
    <t>D/V</t>
  </si>
  <si>
    <t>gAc/gTc</t>
  </si>
  <si>
    <t>W/*</t>
  </si>
  <si>
    <t>tGg/tAg</t>
  </si>
  <si>
    <t>PIEZO2</t>
  </si>
  <si>
    <t>NM_022068</t>
  </si>
  <si>
    <t>F/C</t>
  </si>
  <si>
    <t>tTt/tGt</t>
  </si>
  <si>
    <t>CDH20</t>
  </si>
  <si>
    <t>NM_031891</t>
  </si>
  <si>
    <t>gCc/gGc</t>
  </si>
  <si>
    <t>EPOR</t>
  </si>
  <si>
    <t>NM_000121</t>
  </si>
  <si>
    <t>Gct/Tct</t>
  </si>
  <si>
    <t>CEACAM21</t>
  </si>
  <si>
    <t>STRN4</t>
  </si>
  <si>
    <t>D/N</t>
  </si>
  <si>
    <t>Gac/Aac</t>
  </si>
  <si>
    <t>ZNF534</t>
  </si>
  <si>
    <t>SLC9A4</t>
  </si>
  <si>
    <t>NM_001011552</t>
  </si>
  <si>
    <t>DPP10</t>
  </si>
  <si>
    <t>aaG/aaT</t>
  </si>
  <si>
    <t>CDK15</t>
  </si>
  <si>
    <t>NM_139158</t>
  </si>
  <si>
    <t>G/E</t>
  </si>
  <si>
    <t>gGa/gAa</t>
  </si>
  <si>
    <t>SCG2</t>
  </si>
  <si>
    <t>NM_003469</t>
  </si>
  <si>
    <t>KLHL30</t>
  </si>
  <si>
    <t>NM_198582</t>
  </si>
  <si>
    <t>GDF5</t>
  </si>
  <si>
    <t>NM_000557</t>
  </si>
  <si>
    <t>ZHX3</t>
  </si>
  <si>
    <t>NM_015035</t>
  </si>
  <si>
    <t>H/Y</t>
  </si>
  <si>
    <t>Cac/Tac</t>
  </si>
  <si>
    <t>SYNGR1</t>
  </si>
  <si>
    <t>TEF</t>
  </si>
  <si>
    <t>gaC/gaG</t>
  </si>
  <si>
    <t>PLXND1</t>
  </si>
  <si>
    <t>NM_015103</t>
  </si>
  <si>
    <t>DNAH12</t>
  </si>
  <si>
    <t>Ggt/Cgt</t>
  </si>
  <si>
    <t>GPR125</t>
  </si>
  <si>
    <t>NM_145290</t>
  </si>
  <si>
    <t>cCc/cGc</t>
  </si>
  <si>
    <t>FAM105A</t>
  </si>
  <si>
    <t>NM_019018</t>
  </si>
  <si>
    <t>UNC5A</t>
  </si>
  <si>
    <t>NM_133369</t>
  </si>
  <si>
    <t>Gcg/Tcg</t>
  </si>
  <si>
    <t>DOK3</t>
  </si>
  <si>
    <t>NM_024872</t>
  </si>
  <si>
    <t>cCa/cTa</t>
  </si>
  <si>
    <t>PRDM1</t>
  </si>
  <si>
    <t>V/A</t>
  </si>
  <si>
    <t>gTt/gCt</t>
  </si>
  <si>
    <t>BAI3</t>
  </si>
  <si>
    <t>NM_001704</t>
  </si>
  <si>
    <t>ANGPT1</t>
  </si>
  <si>
    <t>A/D</t>
  </si>
  <si>
    <t>gCt/gAt</t>
  </si>
  <si>
    <t>gGt/gCt</t>
  </si>
  <si>
    <t>CSMD3</t>
  </si>
  <si>
    <t>DCAF4L2</t>
  </si>
  <si>
    <t>NM_152418</t>
  </si>
  <si>
    <t>G/S</t>
  </si>
  <si>
    <t>Ggc/Agc</t>
  </si>
  <si>
    <t>TPRN</t>
  </si>
  <si>
    <t>NM_001128228</t>
  </si>
  <si>
    <t>L/P</t>
  </si>
  <si>
    <t>cTc/cCc</t>
  </si>
  <si>
    <t>TIPRL</t>
  </si>
  <si>
    <t>NM_152902</t>
  </si>
  <si>
    <t>N/D</t>
  </si>
  <si>
    <t>Aat/Gat</t>
  </si>
  <si>
    <t>HPDL</t>
  </si>
  <si>
    <t>NM_032756</t>
  </si>
  <si>
    <t>ABCC2</t>
  </si>
  <si>
    <t>NM_000392</t>
  </si>
  <si>
    <t>MCM10</t>
  </si>
  <si>
    <t>D/G</t>
  </si>
  <si>
    <t>gAc/gGc</t>
  </si>
  <si>
    <t>PTER</t>
  </si>
  <si>
    <t>agG/agT</t>
  </si>
  <si>
    <t>PCDH15</t>
  </si>
  <si>
    <t>OPCML</t>
  </si>
  <si>
    <t>TRIM22</t>
  </si>
  <si>
    <t>Gat/Aat</t>
  </si>
  <si>
    <t>LRTOMT</t>
  </si>
  <si>
    <t>R/C</t>
  </si>
  <si>
    <t>Cgc/Tgc</t>
  </si>
  <si>
    <t>TRIM66</t>
  </si>
  <si>
    <t>NM_014818</t>
  </si>
  <si>
    <t>E/Q</t>
  </si>
  <si>
    <t>Gaa/Caa</t>
  </si>
  <si>
    <t>C12orf56</t>
  </si>
  <si>
    <t>AXIN1</t>
  </si>
  <si>
    <t>1175-1176</t>
  </si>
  <si>
    <t>786-787</t>
  </si>
  <si>
    <t>262-263</t>
  </si>
  <si>
    <t>AGRP</t>
  </si>
  <si>
    <t>NM_001138</t>
  </si>
  <si>
    <t>PHLPP2</t>
  </si>
  <si>
    <t>NM_015020</t>
  </si>
  <si>
    <t>gAg/gGg</t>
  </si>
  <si>
    <t>ITGA2B</t>
  </si>
  <si>
    <t>NM_000419</t>
  </si>
  <si>
    <t>cGa/cAa</t>
  </si>
  <si>
    <t>HOXB1</t>
  </si>
  <si>
    <t>NM_002144</t>
  </si>
  <si>
    <t>RAB37</t>
  </si>
  <si>
    <t>A/P</t>
  </si>
  <si>
    <t>Gcc/Ccc</t>
  </si>
  <si>
    <t>PQ/Q</t>
  </si>
  <si>
    <t>cCTCag/cag</t>
  </si>
  <si>
    <t>GAG</t>
  </si>
  <si>
    <t>BEST2</t>
  </si>
  <si>
    <t>NM_017682</t>
  </si>
  <si>
    <t>Gag/Cag</t>
  </si>
  <si>
    <t>NLRP9</t>
  </si>
  <si>
    <t>NM_176820</t>
  </si>
  <si>
    <t>SCN1A</t>
  </si>
  <si>
    <t>DEFB118</t>
  </si>
  <si>
    <t>NM_054112</t>
  </si>
  <si>
    <t>Gcg/Ccg</t>
  </si>
  <si>
    <t>C20orf151</t>
  </si>
  <si>
    <t>NM_080833</t>
  </si>
  <si>
    <t>L/M</t>
  </si>
  <si>
    <t>Ctg/Atg</t>
  </si>
  <si>
    <t>ADCY5</t>
  </si>
  <si>
    <t>SQSTM1</t>
  </si>
  <si>
    <t>Q/E</t>
  </si>
  <si>
    <t>Cag/Gag</t>
  </si>
  <si>
    <t>FYB</t>
  </si>
  <si>
    <t>Agg/Tgg</t>
  </si>
  <si>
    <t>HEATR7B2</t>
  </si>
  <si>
    <t>NM_173489</t>
  </si>
  <si>
    <t>DCBLD1</t>
  </si>
  <si>
    <t>NM_173674</t>
  </si>
  <si>
    <t>tCa/tAa</t>
  </si>
  <si>
    <t>VIP</t>
  </si>
  <si>
    <t>LHFPL5</t>
  </si>
  <si>
    <t>NM_182548</t>
  </si>
  <si>
    <t>DPP6</t>
  </si>
  <si>
    <t>Cgt/Tgt</t>
  </si>
  <si>
    <t>DPY19L1</t>
  </si>
  <si>
    <t>NM_015283</t>
  </si>
  <si>
    <t>C/Y</t>
  </si>
  <si>
    <t>tGt/tAt</t>
  </si>
  <si>
    <t>LOC100289196</t>
  </si>
  <si>
    <t>XM_002342722</t>
  </si>
  <si>
    <t>CYP3A4</t>
  </si>
  <si>
    <t>cCt/cAt</t>
  </si>
  <si>
    <t>TAF2</t>
  </si>
  <si>
    <t>NM_003184</t>
  </si>
  <si>
    <t>Gaa/Taa</t>
  </si>
  <si>
    <t>PNMA2</t>
  </si>
  <si>
    <t>NM_007257</t>
  </si>
  <si>
    <t>A/E</t>
  </si>
  <si>
    <t>gCg/gAg</t>
  </si>
  <si>
    <t>AP3M2</t>
  </si>
  <si>
    <t>758-759</t>
  </si>
  <si>
    <t>TTLL10</t>
  </si>
  <si>
    <t>ttT/ttG</t>
  </si>
  <si>
    <t>LCE2B</t>
  </si>
  <si>
    <t>NM_014357</t>
  </si>
  <si>
    <t>S/Y</t>
  </si>
  <si>
    <t>tCc/tAc</t>
  </si>
  <si>
    <t>HMCN1</t>
  </si>
  <si>
    <t>NM_031935</t>
  </si>
  <si>
    <t>C1orf173</t>
  </si>
  <si>
    <t>NM_001002912</t>
  </si>
  <si>
    <t>tCt/tAt</t>
  </si>
  <si>
    <t>CUBN</t>
  </si>
  <si>
    <t>NM_001081</t>
  </si>
  <si>
    <t>NEBL</t>
  </si>
  <si>
    <t>NM_006393</t>
  </si>
  <si>
    <t>ANK3</t>
  </si>
  <si>
    <t>PDE6C</t>
  </si>
  <si>
    <t>NM_006204</t>
  </si>
  <si>
    <t>1272-1273</t>
  </si>
  <si>
    <t>1134-1135</t>
  </si>
  <si>
    <t>378-379</t>
  </si>
  <si>
    <t>ELMOD1</t>
  </si>
  <si>
    <t>NELL1</t>
  </si>
  <si>
    <t>TSPAN18</t>
  </si>
  <si>
    <t>NM_130783</t>
  </si>
  <si>
    <t>MADD</t>
  </si>
  <si>
    <t>OR4S1</t>
  </si>
  <si>
    <t>NM_001004725</t>
  </si>
  <si>
    <t>390-396</t>
  </si>
  <si>
    <t>130-132</t>
  </si>
  <si>
    <t>YTA/*IY</t>
  </si>
  <si>
    <t>taCACAGCC/taAATATAT</t>
  </si>
  <si>
    <t>CACAGCC</t>
  </si>
  <si>
    <t>AATATAT</t>
  </si>
  <si>
    <t>DHCR7</t>
  </si>
  <si>
    <t>Cgg/Ggg</t>
  </si>
  <si>
    <t>PDE2A</t>
  </si>
  <si>
    <t>C/W</t>
  </si>
  <si>
    <t>tgC/tgG</t>
  </si>
  <si>
    <t>RIMBP2</t>
  </si>
  <si>
    <t>NM_015347</t>
  </si>
  <si>
    <t>Atc/Gtc</t>
  </si>
  <si>
    <t>DERA</t>
  </si>
  <si>
    <t>NM_015954</t>
  </si>
  <si>
    <t>C12orf54</t>
  </si>
  <si>
    <t>NM_152319</t>
  </si>
  <si>
    <t>ZFC3H1</t>
  </si>
  <si>
    <t>NM_144982</t>
  </si>
  <si>
    <t>H/R</t>
  </si>
  <si>
    <t>cAt/cGt</t>
  </si>
  <si>
    <t>TPH2</t>
  </si>
  <si>
    <t>NM_173353</t>
  </si>
  <si>
    <t>T/S</t>
  </si>
  <si>
    <t>Aca/Tca</t>
  </si>
  <si>
    <t>DHRS12</t>
  </si>
  <si>
    <t>NM_024705</t>
  </si>
  <si>
    <t>CDC42BPB</t>
  </si>
  <si>
    <t>NM_006035</t>
  </si>
  <si>
    <t>gaT/gaA</t>
  </si>
  <si>
    <t>AHNAK2</t>
  </si>
  <si>
    <t>NM_138420</t>
  </si>
  <si>
    <t>PLCB2</t>
  </si>
  <si>
    <t>NM_004573</t>
  </si>
  <si>
    <t>CILP</t>
  </si>
  <si>
    <t>NM_003613</t>
  </si>
  <si>
    <t>ADAMTSL3</t>
  </si>
  <si>
    <t>NM_207517</t>
  </si>
  <si>
    <t>ZC3H7A</t>
  </si>
  <si>
    <t>NM_014153</t>
  </si>
  <si>
    <t>EME2</t>
  </si>
  <si>
    <t>NM_001010865</t>
  </si>
  <si>
    <t>CTCF</t>
  </si>
  <si>
    <t>NM_006565</t>
  </si>
  <si>
    <t>PKD1L3</t>
  </si>
  <si>
    <t>NM_181536</t>
  </si>
  <si>
    <t>S/N</t>
  </si>
  <si>
    <t>aGc/aAc</t>
  </si>
  <si>
    <t>MYH2</t>
  </si>
  <si>
    <t>gGc/gTc</t>
  </si>
  <si>
    <t>SLFN14</t>
  </si>
  <si>
    <t>NM_001129820</t>
  </si>
  <si>
    <t>DDX52</t>
  </si>
  <si>
    <t>NM_007010</t>
  </si>
  <si>
    <t>SLC25A39</t>
  </si>
  <si>
    <t>tgG/tgA</t>
  </si>
  <si>
    <t>RAVER1</t>
  </si>
  <si>
    <t>NM_133452</t>
  </si>
  <si>
    <t>NDUFB7</t>
  </si>
  <si>
    <t>NM_004146</t>
  </si>
  <si>
    <t>WDR87</t>
  </si>
  <si>
    <t>NM_031951</t>
  </si>
  <si>
    <t>ZC3H4</t>
  </si>
  <si>
    <t>NM_015168</t>
  </si>
  <si>
    <t>S/T</t>
  </si>
  <si>
    <t>Tct/Act</t>
  </si>
  <si>
    <t>SNRNP70</t>
  </si>
  <si>
    <t>NM_003089</t>
  </si>
  <si>
    <t>TTYH1</t>
  </si>
  <si>
    <t>THSD7B</t>
  </si>
  <si>
    <t>NM_001080427</t>
  </si>
  <si>
    <t>tGc/tAc</t>
  </si>
  <si>
    <t>KCNH7</t>
  </si>
  <si>
    <t>NM_033272</t>
  </si>
  <si>
    <t>R/K</t>
  </si>
  <si>
    <t>aGa/aAa</t>
  </si>
  <si>
    <t>TTN</t>
  </si>
  <si>
    <t>CCDC108</t>
  </si>
  <si>
    <t>NM_194302</t>
  </si>
  <si>
    <t>T/M</t>
  </si>
  <si>
    <t>aCg/aTg</t>
  </si>
  <si>
    <t>SPEG</t>
  </si>
  <si>
    <t>NM_005876</t>
  </si>
  <si>
    <t>HJURP</t>
  </si>
  <si>
    <t>NM_018410</t>
  </si>
  <si>
    <t>Y/*</t>
  </si>
  <si>
    <t>taC/taA</t>
  </si>
  <si>
    <t>GCNT7</t>
  </si>
  <si>
    <t>NM_080615</t>
  </si>
  <si>
    <t>TCEA2</t>
  </si>
  <si>
    <t>SYNONYMOUS_CODING,SPLICE_SITE</t>
  </si>
  <si>
    <t>L</t>
  </si>
  <si>
    <t>ctG/ctA</t>
  </si>
  <si>
    <t>RSPO4</t>
  </si>
  <si>
    <t>NM_001029871</t>
  </si>
  <si>
    <t>GOLGB1</t>
  </si>
  <si>
    <t>NM_004487</t>
  </si>
  <si>
    <t>Gaa/Aaa</t>
  </si>
  <si>
    <t>HTR3E</t>
  </si>
  <si>
    <t>NM_182589</t>
  </si>
  <si>
    <t>CLCN2</t>
  </si>
  <si>
    <t>ITPR1</t>
  </si>
  <si>
    <t>E</t>
  </si>
  <si>
    <t>gaG/gaA</t>
  </si>
  <si>
    <t>KIF9</t>
  </si>
  <si>
    <t>gTc/gCc</t>
  </si>
  <si>
    <t>GLYCTK</t>
  </si>
  <si>
    <t>Gct/Act</t>
  </si>
  <si>
    <t>BAP1</t>
  </si>
  <si>
    <t>NM_004656</t>
  </si>
  <si>
    <t>gAt/gTt</t>
  </si>
  <si>
    <t>MYOZ2</t>
  </si>
  <si>
    <t>NM_016599</t>
  </si>
  <si>
    <t>R/T</t>
  </si>
  <si>
    <t>aGa/aCa</t>
  </si>
  <si>
    <t>FHDC1</t>
  </si>
  <si>
    <t>NM_033393</t>
  </si>
  <si>
    <t>ANKRD17</t>
  </si>
  <si>
    <t>NM_032217</t>
  </si>
  <si>
    <t>gGa/gTa</t>
  </si>
  <si>
    <t>PARM1</t>
  </si>
  <si>
    <t>NM_015393</t>
  </si>
  <si>
    <t>aaC/aaA</t>
  </si>
  <si>
    <t>WDR36</t>
  </si>
  <si>
    <t>NM_139281</t>
  </si>
  <si>
    <t>SLC27A6</t>
  </si>
  <si>
    <t>FAM105B</t>
  </si>
  <si>
    <t>NM_138348</t>
  </si>
  <si>
    <t>CWC27</t>
  </si>
  <si>
    <t>NM_005869</t>
  </si>
  <si>
    <t>M/L</t>
  </si>
  <si>
    <t>Atg/Ttg</t>
  </si>
  <si>
    <t>TBC1D7</t>
  </si>
  <si>
    <t>HIST1H4D</t>
  </si>
  <si>
    <t>NM_003539</t>
  </si>
  <si>
    <t>gGt/gAt</t>
  </si>
  <si>
    <t>DEF6</t>
  </si>
  <si>
    <t>NM_022047</t>
  </si>
  <si>
    <t>EYS</t>
  </si>
  <si>
    <t>E/D</t>
  </si>
  <si>
    <t>gaA/gaT</t>
  </si>
  <si>
    <t>KIAA1009</t>
  </si>
  <si>
    <t>NM_014895</t>
  </si>
  <si>
    <t>EPHA7</t>
  </si>
  <si>
    <t>NM_004440</t>
  </si>
  <si>
    <t>atA/atG</t>
  </si>
  <si>
    <t>CTTNBP2</t>
  </si>
  <si>
    <t>NM_033427</t>
  </si>
  <si>
    <t>GRM8</t>
  </si>
  <si>
    <t>tCc/tGc</t>
  </si>
  <si>
    <t>BAIAP2L1</t>
  </si>
  <si>
    <t>NM_018842</t>
  </si>
  <si>
    <t>EFCAB1</t>
  </si>
  <si>
    <t>CSPP1</t>
  </si>
  <si>
    <t>NM_024790</t>
  </si>
  <si>
    <t>SPLICE_SITE,FRAMESHIFT_CODING</t>
  </si>
  <si>
    <t>ASTN2</t>
  </si>
  <si>
    <t>NM_014010</t>
  </si>
  <si>
    <t>IL1RAPL2</t>
  </si>
  <si>
    <t>NM_017416</t>
  </si>
  <si>
    <t>PRKX</t>
  </si>
  <si>
    <t>NM_005044</t>
  </si>
  <si>
    <t>BCOR</t>
  </si>
  <si>
    <t>SHROOM2</t>
  </si>
  <si>
    <t>NM_001649</t>
  </si>
  <si>
    <t>RFX5</t>
  </si>
  <si>
    <t>K/T</t>
  </si>
  <si>
    <t>aAa/aCa</t>
  </si>
  <si>
    <t>CPXM2</t>
  </si>
  <si>
    <t>NM_198148</t>
  </si>
  <si>
    <t>1568-1569</t>
  </si>
  <si>
    <t>1243-1244</t>
  </si>
  <si>
    <t>FIGNL2</t>
  </si>
  <si>
    <t>NM_001013690</t>
  </si>
  <si>
    <t>684-689</t>
  </si>
  <si>
    <t>512-517</t>
  </si>
  <si>
    <t>171-173</t>
  </si>
  <si>
    <t>YCA/S</t>
  </si>
  <si>
    <t>tACTGCGcg/tcg</t>
  </si>
  <si>
    <t>CGCAGT</t>
  </si>
  <si>
    <t>KIAA0226L</t>
  </si>
  <si>
    <t>NM_025113</t>
  </si>
  <si>
    <t>STRN3</t>
  </si>
  <si>
    <t>NOXRED1</t>
  </si>
  <si>
    <t>NM_001113475</t>
  </si>
  <si>
    <t>SEC14L5</t>
  </si>
  <si>
    <t>NM_014692</t>
  </si>
  <si>
    <t>NARF</t>
  </si>
  <si>
    <t>TGM3</t>
  </si>
  <si>
    <t>NM_003245</t>
  </si>
  <si>
    <t>aaG/aaC</t>
  </si>
  <si>
    <t>C20orf141</t>
  </si>
  <si>
    <t>NM_080739</t>
  </si>
  <si>
    <t>502-503</t>
  </si>
  <si>
    <t>328-329</t>
  </si>
  <si>
    <t>GG</t>
  </si>
  <si>
    <t>LOC401052</t>
  </si>
  <si>
    <t>NM_001008737</t>
  </si>
  <si>
    <t>ANKRD28</t>
  </si>
  <si>
    <t>CPEB4</t>
  </si>
  <si>
    <t>NM_030627</t>
  </si>
  <si>
    <t>SDK1</t>
  </si>
  <si>
    <t>NM_152744</t>
  </si>
  <si>
    <t>CROT</t>
  </si>
  <si>
    <t>CRB2</t>
  </si>
  <si>
    <t>NM_173689</t>
  </si>
  <si>
    <t>COL11A1</t>
  </si>
  <si>
    <t>KPRP</t>
  </si>
  <si>
    <t>NM_001025231</t>
  </si>
  <si>
    <t>C1orf110</t>
  </si>
  <si>
    <t>NM_178550</t>
  </si>
  <si>
    <t>TNN</t>
  </si>
  <si>
    <t>NM_022093</t>
  </si>
  <si>
    <t>SHCBP1L</t>
  </si>
  <si>
    <t>NM_030933</t>
  </si>
  <si>
    <t>OBSCN</t>
  </si>
  <si>
    <t>NM_001098623</t>
  </si>
  <si>
    <t>Ggt/Agt</t>
  </si>
  <si>
    <t>RPL22</t>
  </si>
  <si>
    <t>NM_000983</t>
  </si>
  <si>
    <t>SYDE2</t>
  </si>
  <si>
    <t>NM_032184</t>
  </si>
  <si>
    <t>Gat/Tat</t>
  </si>
  <si>
    <t>FAM208B</t>
  </si>
  <si>
    <t>NM_017782</t>
  </si>
  <si>
    <t>cTt/cGt</t>
  </si>
  <si>
    <t>ABCG4</t>
  </si>
  <si>
    <t>TECTA</t>
  </si>
  <si>
    <t>NM_005422</t>
  </si>
  <si>
    <t>aaT/aaA</t>
  </si>
  <si>
    <t>CDKN1C</t>
  </si>
  <si>
    <t>INPPL1</t>
  </si>
  <si>
    <t>NM_001567</t>
  </si>
  <si>
    <t>IFT81</t>
  </si>
  <si>
    <t>CPNE8</t>
  </si>
  <si>
    <t>NM_153634</t>
  </si>
  <si>
    <t>FMN1</t>
  </si>
  <si>
    <t>NM_001103184</t>
  </si>
  <si>
    <t>P/Q</t>
  </si>
  <si>
    <t>cCa/cAa</t>
  </si>
  <si>
    <t>HYDIN</t>
  </si>
  <si>
    <t>NM_032821</t>
  </si>
  <si>
    <t>NARFL</t>
  </si>
  <si>
    <t>NM_022493</t>
  </si>
  <si>
    <t>SLC5A10</t>
  </si>
  <si>
    <t>PITPNM3</t>
  </si>
  <si>
    <t>K/R</t>
  </si>
  <si>
    <t>aAg/aGg</t>
  </si>
  <si>
    <t>ZNF730</t>
  </si>
  <si>
    <t>KIRREL2</t>
  </si>
  <si>
    <t>SUV420H2</t>
  </si>
  <si>
    <t>NM_032701</t>
  </si>
  <si>
    <t>PRR22</t>
  </si>
  <si>
    <t>NM_001134316</t>
  </si>
  <si>
    <t>Gtc/Ctc</t>
  </si>
  <si>
    <t>SCTR</t>
  </si>
  <si>
    <t>NM_002980</t>
  </si>
  <si>
    <t>CCDC150</t>
  </si>
  <si>
    <t>NM_001080539</t>
  </si>
  <si>
    <t>LOC728763</t>
  </si>
  <si>
    <t>GALNT14</t>
  </si>
  <si>
    <t>EFEMP1</t>
  </si>
  <si>
    <t>SULF2</t>
  </si>
  <si>
    <t>SS18L1</t>
  </si>
  <si>
    <t>NM_198935</t>
  </si>
  <si>
    <t>P</t>
  </si>
  <si>
    <t>ccA/ccT</t>
  </si>
  <si>
    <t>BTG3</t>
  </si>
  <si>
    <t>NCAM2</t>
  </si>
  <si>
    <t>NM_004540</t>
  </si>
  <si>
    <t>TMEM22</t>
  </si>
  <si>
    <t>Y/H</t>
  </si>
  <si>
    <t>Tat/Cat</t>
  </si>
  <si>
    <t>CTNNB1</t>
  </si>
  <si>
    <t>ROBO2</t>
  </si>
  <si>
    <t>KIAA1109</t>
  </si>
  <si>
    <t>NM_015312</t>
  </si>
  <si>
    <t>Acg/Gcg</t>
  </si>
  <si>
    <t>POU4F2</t>
  </si>
  <si>
    <t>NM_004575</t>
  </si>
  <si>
    <t>Gcg/Acg</t>
  </si>
  <si>
    <t>CDHR2</t>
  </si>
  <si>
    <t>Q/P</t>
  </si>
  <si>
    <t>cAg/cCg</t>
  </si>
  <si>
    <t>MGAT1</t>
  </si>
  <si>
    <t>RGMB</t>
  </si>
  <si>
    <t>NM_001012761</t>
  </si>
  <si>
    <t>LAMA4</t>
  </si>
  <si>
    <t>PDE10A</t>
  </si>
  <si>
    <t>Aac/Gac</t>
  </si>
  <si>
    <t>RNF216</t>
  </si>
  <si>
    <t>LMTK2</t>
  </si>
  <si>
    <t>NM_014916</t>
  </si>
  <si>
    <t>VPS13B</t>
  </si>
  <si>
    <t>aAt/aGt</t>
  </si>
  <si>
    <t>ZNF251</t>
  </si>
  <si>
    <t>NM_138367</t>
  </si>
  <si>
    <t>344-367</t>
  </si>
  <si>
    <t>88-111</t>
  </si>
  <si>
    <t>30-37</t>
  </si>
  <si>
    <t>RQLGPQQR/-</t>
  </si>
  <si>
    <t>CGGCAGCTGGGCCCCCAGCAGCGG/-</t>
  </si>
  <si>
    <t>CCGCTGCTGGGGGCCCAGCTGCCG</t>
  </si>
  <si>
    <t>LHX3</t>
  </si>
  <si>
    <t>FREM1</t>
  </si>
  <si>
    <t>NM_144966</t>
  </si>
  <si>
    <t>DDX58</t>
  </si>
  <si>
    <t>NM_014314</t>
  </si>
  <si>
    <t>caG/caC</t>
  </si>
  <si>
    <t>WDR3</t>
  </si>
  <si>
    <t>NM_006784</t>
  </si>
  <si>
    <t>MTX1</t>
  </si>
  <si>
    <t>M/V</t>
  </si>
  <si>
    <t>Atg/Gtg</t>
  </si>
  <si>
    <t>NES</t>
  </si>
  <si>
    <t>NM_006617</t>
  </si>
  <si>
    <t>ARHGEF11</t>
  </si>
  <si>
    <t>SPEN</t>
  </si>
  <si>
    <t>NM_015001</t>
  </si>
  <si>
    <t>AXDND1</t>
  </si>
  <si>
    <t>NM_144696</t>
  </si>
  <si>
    <t>L/I</t>
  </si>
  <si>
    <t>Ctt/Att</t>
  </si>
  <si>
    <t>TAS1R2</t>
  </si>
  <si>
    <t>NM_152232</t>
  </si>
  <si>
    <t>1807-1808</t>
  </si>
  <si>
    <t>1806-1807</t>
  </si>
  <si>
    <t>602-603</t>
  </si>
  <si>
    <t>NAV1</t>
  </si>
  <si>
    <t>NM_020443</t>
  </si>
  <si>
    <t>KLHL12</t>
  </si>
  <si>
    <t>NM_021633</t>
  </si>
  <si>
    <t>N/T</t>
  </si>
  <si>
    <t>aAt/aCt</t>
  </si>
  <si>
    <t>TMEM206</t>
  </si>
  <si>
    <t>URB2</t>
  </si>
  <si>
    <t>NM_014777</t>
  </si>
  <si>
    <t>cAa/cGa</t>
  </si>
  <si>
    <t>LOC339529</t>
  </si>
  <si>
    <t>NR_033883</t>
  </si>
  <si>
    <t>SPLICE_SITE,WITHIN_NON_CODING_GENE</t>
  </si>
  <si>
    <t>SH3BP5L</t>
  </si>
  <si>
    <t>NM_030645</t>
  </si>
  <si>
    <t>SH3D21</t>
  </si>
  <si>
    <t>Cct/Act</t>
  </si>
  <si>
    <t>PIK3CD</t>
  </si>
  <si>
    <t>NM_005026</t>
  </si>
  <si>
    <t>BTRC</t>
  </si>
  <si>
    <t>TACC2</t>
  </si>
  <si>
    <t>NM_206862</t>
  </si>
  <si>
    <t>SEPHS1</t>
  </si>
  <si>
    <t>OGDHL</t>
  </si>
  <si>
    <t>NM_018245</t>
  </si>
  <si>
    <t>PSAP</t>
  </si>
  <si>
    <t>UBE4A</t>
  </si>
  <si>
    <t>MUC5AC</t>
  </si>
  <si>
    <t>XM_003403450</t>
  </si>
  <si>
    <t>SPA17</t>
  </si>
  <si>
    <t>NM_017425</t>
  </si>
  <si>
    <t>FNBP4</t>
  </si>
  <si>
    <t>NM_015308</t>
  </si>
  <si>
    <t>2475-2477</t>
  </si>
  <si>
    <t>2322-2324</t>
  </si>
  <si>
    <t>774-775</t>
  </si>
  <si>
    <t>SS/R</t>
  </si>
  <si>
    <t>agTTCa/aga</t>
  </si>
  <si>
    <t>GAA</t>
  </si>
  <si>
    <t>OR4X2</t>
  </si>
  <si>
    <t>NM_001004727</t>
  </si>
  <si>
    <t>Agc/Tgc</t>
  </si>
  <si>
    <t>CCDC63</t>
  </si>
  <si>
    <t>NM_152591</t>
  </si>
  <si>
    <t>gAt/gGt</t>
  </si>
  <si>
    <t>EP400</t>
  </si>
  <si>
    <t>NM_015409</t>
  </si>
  <si>
    <t>LRP1</t>
  </si>
  <si>
    <t>NM_002332</t>
  </si>
  <si>
    <t>VWF</t>
  </si>
  <si>
    <t>NM_000552</t>
  </si>
  <si>
    <t>Aac/Cac</t>
  </si>
  <si>
    <t>BEST3</t>
  </si>
  <si>
    <t>NM_032735</t>
  </si>
  <si>
    <t>aAa/aGa</t>
  </si>
  <si>
    <t>RXFP2</t>
  </si>
  <si>
    <t>V/E</t>
  </si>
  <si>
    <t>gTg/gAg</t>
  </si>
  <si>
    <t>DGKH</t>
  </si>
  <si>
    <t>KIAA0284</t>
  </si>
  <si>
    <t>TINF2</t>
  </si>
  <si>
    <t>1276-1277</t>
  </si>
  <si>
    <t>934-935</t>
  </si>
  <si>
    <t>TA</t>
  </si>
  <si>
    <t>HECTD1</t>
  </si>
  <si>
    <t>NM_015382</t>
  </si>
  <si>
    <t>tAt/tGt</t>
  </si>
  <si>
    <t>PIGH</t>
  </si>
  <si>
    <t>NM_004569</t>
  </si>
  <si>
    <t>CCDC88C</t>
  </si>
  <si>
    <t>NM_001080414</t>
  </si>
  <si>
    <t>LPCAT4</t>
  </si>
  <si>
    <t>NM_153613</t>
  </si>
  <si>
    <t>1410-1411</t>
  </si>
  <si>
    <t>1316-1317</t>
  </si>
  <si>
    <t>CA</t>
  </si>
  <si>
    <t>GAT</t>
  </si>
  <si>
    <t>MGA</t>
  </si>
  <si>
    <t>G/C</t>
  </si>
  <si>
    <t>Ggt/Tgt</t>
  </si>
  <si>
    <t>SLC12A1</t>
  </si>
  <si>
    <t>Gca/Aca</t>
  </si>
  <si>
    <t>TEKT5</t>
  </si>
  <si>
    <t>NM_144674</t>
  </si>
  <si>
    <t>ZDHHC1</t>
  </si>
  <si>
    <t>NM_013304</t>
  </si>
  <si>
    <t>Gct/Cct</t>
  </si>
  <si>
    <t>EDC4</t>
  </si>
  <si>
    <t>NM_014329</t>
  </si>
  <si>
    <t>RAI1</t>
  </si>
  <si>
    <t>NM_030665</t>
  </si>
  <si>
    <t>cAc/cGc</t>
  </si>
  <si>
    <t>ATP8B1</t>
  </si>
  <si>
    <t>NM_005603</t>
  </si>
  <si>
    <t>ZCCHC2</t>
  </si>
  <si>
    <t>NM_017742</t>
  </si>
  <si>
    <t>HMHA1</t>
  </si>
  <si>
    <t>NM_012292</t>
  </si>
  <si>
    <t>QPCTL</t>
  </si>
  <si>
    <t>Ggc/Tgc</t>
  </si>
  <si>
    <t>TRPM4</t>
  </si>
  <si>
    <t>cTc/cGc</t>
  </si>
  <si>
    <t>FBN3</t>
  </si>
  <si>
    <t>NM_032447</t>
  </si>
  <si>
    <t>MUC16</t>
  </si>
  <si>
    <t>NM_024690</t>
  </si>
  <si>
    <t>L/Q</t>
  </si>
  <si>
    <t>cTg/cAg</t>
  </si>
  <si>
    <t>FIGN</t>
  </si>
  <si>
    <t>NM_018086</t>
  </si>
  <si>
    <t>FN1</t>
  </si>
  <si>
    <t>CYP27A1</t>
  </si>
  <si>
    <t>NM_000784</t>
  </si>
  <si>
    <t>K/*</t>
  </si>
  <si>
    <t>Aag/Tag</t>
  </si>
  <si>
    <t>ECEL1</t>
  </si>
  <si>
    <t>NM_004826</t>
  </si>
  <si>
    <t>DNAJC27</t>
  </si>
  <si>
    <t>EMILIN1</t>
  </si>
  <si>
    <t>NM_007046</t>
  </si>
  <si>
    <t>WBP1</t>
  </si>
  <si>
    <t>NM_012477</t>
  </si>
  <si>
    <t>GCFC2</t>
  </si>
  <si>
    <t>BPIFB6</t>
  </si>
  <si>
    <t>NM_174897</t>
  </si>
  <si>
    <t>E/V</t>
  </si>
  <si>
    <t>gAg/gTg</t>
  </si>
  <si>
    <t>RBPJL</t>
  </si>
  <si>
    <t>NM_014276</t>
  </si>
  <si>
    <t>Ctt/Ttt</t>
  </si>
  <si>
    <t>LCA5L</t>
  </si>
  <si>
    <t>NM_152505</t>
  </si>
  <si>
    <t>COL6A1</t>
  </si>
  <si>
    <t>NM_001848</t>
  </si>
  <si>
    <t>GAB4</t>
  </si>
  <si>
    <t>NM_001037814</t>
  </si>
  <si>
    <t>C/F</t>
  </si>
  <si>
    <t>tGt/tTt</t>
  </si>
  <si>
    <t>HIRA</t>
  </si>
  <si>
    <t>NM_003325</t>
  </si>
  <si>
    <t>CCDC116</t>
  </si>
  <si>
    <t>NM_152612</t>
  </si>
  <si>
    <t>Tta/Gta</t>
  </si>
  <si>
    <t>FAM211B</t>
  </si>
  <si>
    <t>NM_207644</t>
  </si>
  <si>
    <t>SEC14L4</t>
  </si>
  <si>
    <t>OSBP2</t>
  </si>
  <si>
    <t>NM_030758</t>
  </si>
  <si>
    <t>LIMK2</t>
  </si>
  <si>
    <t>CCDC54</t>
  </si>
  <si>
    <t>NM_032600</t>
  </si>
  <si>
    <t>cCt/cTt</t>
  </si>
  <si>
    <t>SLC41A3</t>
  </si>
  <si>
    <t>Act/Tct</t>
  </si>
  <si>
    <t>FBLN2</t>
  </si>
  <si>
    <t>CAPN7</t>
  </si>
  <si>
    <t>NM_014296</t>
  </si>
  <si>
    <t>ZNF660</t>
  </si>
  <si>
    <t>NM_173658</t>
  </si>
  <si>
    <t>DHX30</t>
  </si>
  <si>
    <t>ITIH4</t>
  </si>
  <si>
    <t>SEL1L3</t>
  </si>
  <si>
    <t>NM_015187</t>
  </si>
  <si>
    <t>PPP2R2C</t>
  </si>
  <si>
    <t>FRAS1</t>
  </si>
  <si>
    <t>PCDHGA11</t>
  </si>
  <si>
    <t>DOCK2</t>
  </si>
  <si>
    <t>NM_004946</t>
  </si>
  <si>
    <t>LCP2</t>
  </si>
  <si>
    <t>NM_005565</t>
  </si>
  <si>
    <t>GHR</t>
  </si>
  <si>
    <t>Act/Gct</t>
  </si>
  <si>
    <t>HCN1</t>
  </si>
  <si>
    <t>NM_021072</t>
  </si>
  <si>
    <t>GPR98</t>
  </si>
  <si>
    <t>NM_032119</t>
  </si>
  <si>
    <t>GRIK2</t>
  </si>
  <si>
    <t>NM_001166247</t>
  </si>
  <si>
    <t>NMD_TRANSCRIPT,NON_SYNONYMOUS_CODING</t>
  </si>
  <si>
    <t>Tgt/Cgt</t>
  </si>
  <si>
    <t>4542-4543</t>
  </si>
  <si>
    <t>4437-4438</t>
  </si>
  <si>
    <t>1479-1480</t>
  </si>
  <si>
    <t>MYB</t>
  </si>
  <si>
    <t>DKFZp451B082</t>
  </si>
  <si>
    <t>NR_033862</t>
  </si>
  <si>
    <t>MUC22</t>
  </si>
  <si>
    <t>NM_001198815</t>
  </si>
  <si>
    <t>T/P</t>
  </si>
  <si>
    <t>Acc/Ccc</t>
  </si>
  <si>
    <t>TFEB</t>
  </si>
  <si>
    <t>gaG/gaT</t>
  </si>
  <si>
    <t>GTPBP2</t>
  </si>
  <si>
    <t>NM_019096</t>
  </si>
  <si>
    <t>KHDRBS2</t>
  </si>
  <si>
    <t>NM_152688</t>
  </si>
  <si>
    <t>Y/N</t>
  </si>
  <si>
    <t>Tac/Aac</t>
  </si>
  <si>
    <t>FUT9</t>
  </si>
  <si>
    <t>NM_006581</t>
  </si>
  <si>
    <t>C6orf168</t>
  </si>
  <si>
    <t>NM_032511</t>
  </si>
  <si>
    <t>caT/caG</t>
  </si>
  <si>
    <t>MET</t>
  </si>
  <si>
    <t>WASL</t>
  </si>
  <si>
    <t>NM_003941</t>
  </si>
  <si>
    <t>SSPO</t>
  </si>
  <si>
    <t>NM_198455</t>
  </si>
  <si>
    <t>NPSR1</t>
  </si>
  <si>
    <t>URGCP</t>
  </si>
  <si>
    <t>ACTB</t>
  </si>
  <si>
    <t>NM_001101</t>
  </si>
  <si>
    <t>TRIM50</t>
  </si>
  <si>
    <t>NM_178125</t>
  </si>
  <si>
    <t>SRI</t>
  </si>
  <si>
    <t>ZNF804B</t>
  </si>
  <si>
    <t>NM_181646</t>
  </si>
  <si>
    <t>SQLE</t>
  </si>
  <si>
    <t>NM_003129</t>
  </si>
  <si>
    <t>S/G</t>
  </si>
  <si>
    <t>Agt/Ggt</t>
  </si>
  <si>
    <t>COL15A1</t>
  </si>
  <si>
    <t>NM_001855</t>
  </si>
  <si>
    <t>ZNF462</t>
  </si>
  <si>
    <t>NM_021224</t>
  </si>
  <si>
    <t>SHB</t>
  </si>
  <si>
    <t>NM_003028</t>
  </si>
  <si>
    <t>TXLNG</t>
  </si>
  <si>
    <t>STOP_GAINED,SPLICE_SITE</t>
  </si>
  <si>
    <t>FAM48B1</t>
  </si>
  <si>
    <t>NM_001136234</t>
  </si>
  <si>
    <t>CXorf59</t>
  </si>
  <si>
    <t>NM_173695</t>
  </si>
  <si>
    <t>SPLICE_SITE,ESSENTIAL_SPLICE_SITE,INTRONIC</t>
  </si>
  <si>
    <t>TAG</t>
  </si>
  <si>
    <t>AT</t>
  </si>
  <si>
    <t>SPATA17</t>
  </si>
  <si>
    <t>NM_138796</t>
  </si>
  <si>
    <t>NEURL</t>
  </si>
  <si>
    <t>NM_004210</t>
  </si>
  <si>
    <t>PDZD8</t>
  </si>
  <si>
    <t>NM_173791</t>
  </si>
  <si>
    <t>caA/caT</t>
  </si>
  <si>
    <t>OR52E2</t>
  </si>
  <si>
    <t>NM_001005164</t>
  </si>
  <si>
    <t>F/S</t>
  </si>
  <si>
    <t>tTt/tCt</t>
  </si>
  <si>
    <t>OR5M9</t>
  </si>
  <si>
    <t>NM_001004743</t>
  </si>
  <si>
    <t>SLC15A1</t>
  </si>
  <si>
    <t>NM_005073</t>
  </si>
  <si>
    <t>ZFHX2</t>
  </si>
  <si>
    <t>NM_033400</t>
  </si>
  <si>
    <t>Acc/Tcc</t>
  </si>
  <si>
    <t>G/*</t>
  </si>
  <si>
    <t>Gga/Tga</t>
  </si>
  <si>
    <t>NM_001100112</t>
  </si>
  <si>
    <t>DNAH9</t>
  </si>
  <si>
    <t>NM_001372</t>
  </si>
  <si>
    <t>Gtg/Ttg</t>
  </si>
  <si>
    <t>GREB1L</t>
  </si>
  <si>
    <t>NM_001142966</t>
  </si>
  <si>
    <t>CNTD2</t>
  </si>
  <si>
    <t>NM_024877</t>
  </si>
  <si>
    <t>POU2F2</t>
  </si>
  <si>
    <t>PVRL2</t>
  </si>
  <si>
    <t>NM_002856</t>
  </si>
  <si>
    <t>9670-9673</t>
  </si>
  <si>
    <t>9542-9545</t>
  </si>
  <si>
    <t>3181-3182</t>
  </si>
  <si>
    <t>TGTT</t>
  </si>
  <si>
    <t>SEMA4C</t>
  </si>
  <si>
    <t>NM_017789</t>
  </si>
  <si>
    <t>N</t>
  </si>
  <si>
    <t>aaC/aaT</t>
  </si>
  <si>
    <t>TRIOBP</t>
  </si>
  <si>
    <t>NM_001039141</t>
  </si>
  <si>
    <t>CNTN6</t>
  </si>
  <si>
    <t>NM_014461</t>
  </si>
  <si>
    <t>DOCK3</t>
  </si>
  <si>
    <t>NM_004947</t>
  </si>
  <si>
    <t>E/A</t>
  </si>
  <si>
    <t>gAa/gCa</t>
  </si>
  <si>
    <t>ARHGEF38</t>
  </si>
  <si>
    <t>NM_001242729</t>
  </si>
  <si>
    <t>NSD1</t>
  </si>
  <si>
    <t>V/VPPPVPL</t>
  </si>
  <si>
    <t>gtg/gTGCCTCCCCCAGTACCGCtg</t>
  </si>
  <si>
    <t>TGCCTCCCCCAGTACCGC</t>
  </si>
  <si>
    <t>FST</t>
  </si>
  <si>
    <t>KIAA0947</t>
  </si>
  <si>
    <t>NM_015325</t>
  </si>
  <si>
    <t>tTc/tGc</t>
  </si>
  <si>
    <t>SCIN</t>
  </si>
  <si>
    <t>ACSL4</t>
  </si>
  <si>
    <t>ccT/ccG</t>
  </si>
  <si>
    <t>ZMYM3</t>
  </si>
  <si>
    <t>SERPINC1</t>
  </si>
  <si>
    <t>NM_000488</t>
  </si>
  <si>
    <t>cGc/cTc</t>
  </si>
  <si>
    <t>CACNA1E</t>
  </si>
  <si>
    <t>Cgt/Agt</t>
  </si>
  <si>
    <t>AGRN</t>
  </si>
  <si>
    <t>NM_198576</t>
  </si>
  <si>
    <t>ADRA2A</t>
  </si>
  <si>
    <t>NM_000681</t>
  </si>
  <si>
    <t>PTEN</t>
  </si>
  <si>
    <t>NM_000314</t>
  </si>
  <si>
    <t>1664-1665</t>
  </si>
  <si>
    <t>632-633</t>
  </si>
  <si>
    <t>GC</t>
  </si>
  <si>
    <t>SLC35F2</t>
  </si>
  <si>
    <t>NM_017515</t>
  </si>
  <si>
    <t>CCDC73</t>
  </si>
  <si>
    <t>NM_001008391</t>
  </si>
  <si>
    <t>aCg/aAg</t>
  </si>
  <si>
    <t>B4GALNT4</t>
  </si>
  <si>
    <t>NM_178537</t>
  </si>
  <si>
    <t>OR5B12</t>
  </si>
  <si>
    <t>NM_001004733</t>
  </si>
  <si>
    <t>C11orf16</t>
  </si>
  <si>
    <t>NM_020643</t>
  </si>
  <si>
    <t>C12orf51</t>
  </si>
  <si>
    <t>NM_001109662</t>
  </si>
  <si>
    <t>ULK1</t>
  </si>
  <si>
    <t>NM_003565</t>
  </si>
  <si>
    <t>FAR2</t>
  </si>
  <si>
    <t>NM_018099</t>
  </si>
  <si>
    <t>TEAD4</t>
  </si>
  <si>
    <t>5PRIME_UTR,SPLICE_SITE</t>
  </si>
  <si>
    <t>DNAJC22</t>
  </si>
  <si>
    <t>NM_024902</t>
  </si>
  <si>
    <t>Ggg/Cgg</t>
  </si>
  <si>
    <t>PZP</t>
  </si>
  <si>
    <t>NM_002864</t>
  </si>
  <si>
    <t>STOML3</t>
  </si>
  <si>
    <t>aCc/aTc</t>
  </si>
  <si>
    <t>MOAP1</t>
  </si>
  <si>
    <t>NM_022151</t>
  </si>
  <si>
    <t>aTt/aGt</t>
  </si>
  <si>
    <t>TGM7</t>
  </si>
  <si>
    <t>NM_052955</t>
  </si>
  <si>
    <t>SH2D7</t>
  </si>
  <si>
    <t>NM_001101404</t>
  </si>
  <si>
    <t>CDH11</t>
  </si>
  <si>
    <t>NM_001797</t>
  </si>
  <si>
    <t>RPA1</t>
  </si>
  <si>
    <t>NM_002945</t>
  </si>
  <si>
    <t>F/I</t>
  </si>
  <si>
    <t>Ttt/Att</t>
  </si>
  <si>
    <t>KRTAP4-7</t>
  </si>
  <si>
    <t>NM_033061</t>
  </si>
  <si>
    <t>aCc/aGc</t>
  </si>
  <si>
    <t>COIL</t>
  </si>
  <si>
    <t>NM_004645</t>
  </si>
  <si>
    <t>PRR11</t>
  </si>
  <si>
    <t>NM_018304</t>
  </si>
  <si>
    <t>LAMA1</t>
  </si>
  <si>
    <t>NM_005559</t>
  </si>
  <si>
    <t>ZNF208</t>
  </si>
  <si>
    <t>NM_007153</t>
  </si>
  <si>
    <t>ZNF99</t>
  </si>
  <si>
    <t>NM_001080409</t>
  </si>
  <si>
    <t>TDRD12</t>
  </si>
  <si>
    <t>NM_001110822</t>
  </si>
  <si>
    <t>LILRA2</t>
  </si>
  <si>
    <t>KANK3</t>
  </si>
  <si>
    <t>NM_198471</t>
  </si>
  <si>
    <t>gCg/gGg</t>
  </si>
  <si>
    <t>ACCN4</t>
  </si>
  <si>
    <t>IRS1</t>
  </si>
  <si>
    <t>NM_005544</t>
  </si>
  <si>
    <t>RBM44</t>
  </si>
  <si>
    <t>NM_001080504</t>
  </si>
  <si>
    <t>SOCS5</t>
  </si>
  <si>
    <t>Gga/Aga</t>
  </si>
  <si>
    <t>KCNIP3</t>
  </si>
  <si>
    <t>NM_013434</t>
  </si>
  <si>
    <t>R/M</t>
  </si>
  <si>
    <t>aGg/aTg</t>
  </si>
  <si>
    <t>NTSR1</t>
  </si>
  <si>
    <t>NM_002531</t>
  </si>
  <si>
    <t>HTR3C</t>
  </si>
  <si>
    <t>NM_130770</t>
  </si>
  <si>
    <t>WDR48</t>
  </si>
  <si>
    <t>NM_020839</t>
  </si>
  <si>
    <t>CSPG5</t>
  </si>
  <si>
    <t>T/R</t>
  </si>
  <si>
    <t>aCa/aGa</t>
  </si>
  <si>
    <t>CCDC36</t>
  </si>
  <si>
    <t>ANK2</t>
  </si>
  <si>
    <t>gaG/gaC</t>
  </si>
  <si>
    <t>FRYL</t>
  </si>
  <si>
    <t>NM_015030</t>
  </si>
  <si>
    <t>8556-8571</t>
  </si>
  <si>
    <t>7951-7966</t>
  </si>
  <si>
    <t>2651-2656</t>
  </si>
  <si>
    <t>GAAAACCATCTTGCTC</t>
  </si>
  <si>
    <t>CYTL1</t>
  </si>
  <si>
    <t>NM_018659</t>
  </si>
  <si>
    <t>DSPP</t>
  </si>
  <si>
    <t>NM_014208</t>
  </si>
  <si>
    <t>IYD</t>
  </si>
  <si>
    <t>NM_001164695</t>
  </si>
  <si>
    <t>OPRM1</t>
  </si>
  <si>
    <t>HIST1H4E</t>
  </si>
  <si>
    <t>NM_003545</t>
  </si>
  <si>
    <t>PRR3</t>
  </si>
  <si>
    <t>NOTCH4</t>
  </si>
  <si>
    <t>NM_004557</t>
  </si>
  <si>
    <t>gGg/gAg</t>
  </si>
  <si>
    <t>SNAP91</t>
  </si>
  <si>
    <t>ZFPM2</t>
  </si>
  <si>
    <t>NM_012082</t>
  </si>
  <si>
    <t>OXR1</t>
  </si>
  <si>
    <t>V/G</t>
  </si>
  <si>
    <t>gTa/gGa</t>
  </si>
  <si>
    <t>EXD3</t>
  </si>
  <si>
    <t>NM_017820</t>
  </si>
  <si>
    <t>SHC3</t>
  </si>
  <si>
    <t>NM_016848</t>
  </si>
  <si>
    <t>Gat/Cat</t>
  </si>
  <si>
    <t>AMOT</t>
  </si>
  <si>
    <t>NM_001113490</t>
  </si>
  <si>
    <t>GPR112</t>
  </si>
  <si>
    <t>NM_153834</t>
  </si>
  <si>
    <t>I/N</t>
  </si>
  <si>
    <t>aTt/aAt</t>
  </si>
  <si>
    <t>GPR50</t>
  </si>
  <si>
    <t>NM_004224</t>
  </si>
  <si>
    <t>MAGEB6</t>
  </si>
  <si>
    <t>NM_173523</t>
  </si>
  <si>
    <t>gCc/gTc</t>
  </si>
  <si>
    <t>USP9X</t>
  </si>
  <si>
    <t>KCND1</t>
  </si>
  <si>
    <t>NM_004979</t>
  </si>
  <si>
    <t>MAGIX</t>
  </si>
  <si>
    <t>UPRT</t>
  </si>
  <si>
    <t>H166</t>
  </si>
  <si>
    <t>FAM5C</t>
  </si>
  <si>
    <t>NM_199051</t>
  </si>
  <si>
    <t>NFASC</t>
  </si>
  <si>
    <t>GJA4</t>
  </si>
  <si>
    <t>NM_002060</t>
  </si>
  <si>
    <t>RHBDL2</t>
  </si>
  <si>
    <t>NM_017821</t>
  </si>
  <si>
    <t>NM_012090</t>
  </si>
  <si>
    <t>COMPLEX_INDEL,SPLICE_SITE,ESSENTIAL_SPLICE_SITE,CODING_UNKNOWN,INTRONIC</t>
  </si>
  <si>
    <t>CACAGAGGAC</t>
  </si>
  <si>
    <t>MLLT10</t>
  </si>
  <si>
    <t>NM_001195627</t>
  </si>
  <si>
    <t>Gtt/Att</t>
  </si>
  <si>
    <t>FOLR3</t>
  </si>
  <si>
    <t>NM_000804</t>
  </si>
  <si>
    <t>OAS3</t>
  </si>
  <si>
    <t>NM_006187</t>
  </si>
  <si>
    <t>IQCD</t>
  </si>
  <si>
    <t>NM_138451</t>
  </si>
  <si>
    <t>FBXO21</t>
  </si>
  <si>
    <t>CASC1</t>
  </si>
  <si>
    <t>MUC19</t>
  </si>
  <si>
    <t>XM_003403526</t>
  </si>
  <si>
    <t>MTMR6</t>
  </si>
  <si>
    <t>NM_004685</t>
  </si>
  <si>
    <t>MYCBP2</t>
  </si>
  <si>
    <t>NM_015057</t>
  </si>
  <si>
    <t>RNF219</t>
  </si>
  <si>
    <t>NM_024546</t>
  </si>
  <si>
    <t>RTL1</t>
  </si>
  <si>
    <t>NM_001134888</t>
  </si>
  <si>
    <t>BNIP2</t>
  </si>
  <si>
    <t>NM_004330</t>
  </si>
  <si>
    <t>C15orf26</t>
  </si>
  <si>
    <t>NM_173528</t>
  </si>
  <si>
    <t>TMC3</t>
  </si>
  <si>
    <t>NM_001080532</t>
  </si>
  <si>
    <t>LOC100144604</t>
  </si>
  <si>
    <t>NR_021493</t>
  </si>
  <si>
    <t>CIITA</t>
  </si>
  <si>
    <t>NM_000246</t>
  </si>
  <si>
    <t>CNOT1</t>
  </si>
  <si>
    <t>PIGQ</t>
  </si>
  <si>
    <t>NM_004204</t>
  </si>
  <si>
    <t>ACSF3</t>
  </si>
  <si>
    <t>PROCA1</t>
  </si>
  <si>
    <t>NM_152465</t>
  </si>
  <si>
    <t>SOCS7</t>
  </si>
  <si>
    <t>NM_014598</t>
  </si>
  <si>
    <t>554-557</t>
  </si>
  <si>
    <t>433-436</t>
  </si>
  <si>
    <t>145-146</t>
  </si>
  <si>
    <t>GGAG</t>
  </si>
  <si>
    <t>ZZEF1</t>
  </si>
  <si>
    <t>NM_015113</t>
  </si>
  <si>
    <t>COL1A1</t>
  </si>
  <si>
    <t>NM_000088</t>
  </si>
  <si>
    <t>2879-2880</t>
  </si>
  <si>
    <t>2753-2754</t>
  </si>
  <si>
    <t>AC</t>
  </si>
  <si>
    <t>LOC100130370</t>
  </si>
  <si>
    <t>Tct/Cct</t>
  </si>
  <si>
    <t>C18orf34</t>
  </si>
  <si>
    <t>FHOD3</t>
  </si>
  <si>
    <t>NM_025135</t>
  </si>
  <si>
    <t>MC4R</t>
  </si>
  <si>
    <t>NM_005912</t>
  </si>
  <si>
    <t>ARRDC2</t>
  </si>
  <si>
    <t>NM_015683</t>
  </si>
  <si>
    <t>ZNF486</t>
  </si>
  <si>
    <t>NM_052852</t>
  </si>
  <si>
    <t>LCT</t>
  </si>
  <si>
    <t>NM_002299</t>
  </si>
  <si>
    <t>TANC1</t>
  </si>
  <si>
    <t>COL4A4</t>
  </si>
  <si>
    <t>NM_000092</t>
  </si>
  <si>
    <t>CGREF1</t>
  </si>
  <si>
    <t>COLEC11</t>
  </si>
  <si>
    <t>MYH7B</t>
  </si>
  <si>
    <t>NM_020884</t>
  </si>
  <si>
    <t>KIAA0889</t>
  </si>
  <si>
    <t>PHACTR3</t>
  </si>
  <si>
    <t>NM_001199505</t>
  </si>
  <si>
    <t>COL6A5</t>
  </si>
  <si>
    <t>NM_153264</t>
  </si>
  <si>
    <t>Tac/Cac</t>
  </si>
  <si>
    <t>KCNH8</t>
  </si>
  <si>
    <t>NM_144633</t>
  </si>
  <si>
    <t>CDHR4</t>
  </si>
  <si>
    <t>NM_001007540</t>
  </si>
  <si>
    <t>LAMTOR3</t>
  </si>
  <si>
    <t>TNIP3</t>
  </si>
  <si>
    <t>DCUN1D4</t>
  </si>
  <si>
    <t>EVC2</t>
  </si>
  <si>
    <t>NM_147127</t>
  </si>
  <si>
    <t>AFF1</t>
  </si>
  <si>
    <t>PCDHGA6</t>
  </si>
  <si>
    <t>GLRA1</t>
  </si>
  <si>
    <t>FNDC9</t>
  </si>
  <si>
    <t>NM_001001343</t>
  </si>
  <si>
    <t>ANKRD31</t>
  </si>
  <si>
    <t>NM_001164443</t>
  </si>
  <si>
    <t>PTPRK</t>
  </si>
  <si>
    <t>SYNE1</t>
  </si>
  <si>
    <t>THBS2</t>
  </si>
  <si>
    <t>NM_003247</t>
  </si>
  <si>
    <t>DNAH8</t>
  </si>
  <si>
    <t>NM_001206927</t>
  </si>
  <si>
    <t>TRERF1</t>
  </si>
  <si>
    <t>NM_033502</t>
  </si>
  <si>
    <t>FAM135A</t>
  </si>
  <si>
    <t>POU6F2</t>
  </si>
  <si>
    <t>CLDN3</t>
  </si>
  <si>
    <t>NM_001306</t>
  </si>
  <si>
    <t>ADAP1</t>
  </si>
  <si>
    <t>NM_006869</t>
  </si>
  <si>
    <t>CSMD1</t>
  </si>
  <si>
    <t>NM_033225</t>
  </si>
  <si>
    <t>MMP16</t>
  </si>
  <si>
    <t>NM_005941</t>
  </si>
  <si>
    <t>P/A</t>
  </si>
  <si>
    <t>Cct/Gct</t>
  </si>
  <si>
    <t>GDF6</t>
  </si>
  <si>
    <t>NM_001001557</t>
  </si>
  <si>
    <t>FAM205B</t>
  </si>
  <si>
    <t>NR_024481</t>
  </si>
  <si>
    <t>H219</t>
  </si>
  <si>
    <t>gGt/gTt</t>
  </si>
  <si>
    <t>FLG2</t>
  </si>
  <si>
    <t>NM_001014342</t>
  </si>
  <si>
    <t>FMOD</t>
  </si>
  <si>
    <t>NM_002023</t>
  </si>
  <si>
    <t>SESN2</t>
  </si>
  <si>
    <t>NM_031459</t>
  </si>
  <si>
    <t>C10orf81</t>
  </si>
  <si>
    <t>KIAA1279</t>
  </si>
  <si>
    <t>NM_015634</t>
  </si>
  <si>
    <t>ACCS</t>
  </si>
  <si>
    <t>NRXN2</t>
  </si>
  <si>
    <t>DENND5A</t>
  </si>
  <si>
    <t>gaA/gaC</t>
  </si>
  <si>
    <t>ACACB</t>
  </si>
  <si>
    <t>NM_001093</t>
  </si>
  <si>
    <t>OR6C74</t>
  </si>
  <si>
    <t>NM_001005490</t>
  </si>
  <si>
    <t>C13orf16</t>
  </si>
  <si>
    <t>NM_152324</t>
  </si>
  <si>
    <t>OR4K14</t>
  </si>
  <si>
    <t>NM_001004712</t>
  </si>
  <si>
    <t>NDRG2</t>
  </si>
  <si>
    <t>CTCTTAC</t>
  </si>
  <si>
    <t>OCA2</t>
  </si>
  <si>
    <t>NM_000275</t>
  </si>
  <si>
    <t>PYDC1</t>
  </si>
  <si>
    <t>NM_152901</t>
  </si>
  <si>
    <t>104-124</t>
  </si>
  <si>
    <t>55-75</t>
  </si>
  <si>
    <t>19-25</t>
  </si>
  <si>
    <t>ELKKFKM/-</t>
  </si>
  <si>
    <t>GAGCTCAAGAAGTTCAAGATG/-</t>
  </si>
  <si>
    <t>CATCTTGAACTTCTTGAGCTC</t>
  </si>
  <si>
    <t>PDIA2</t>
  </si>
  <si>
    <t>NM_006849</t>
  </si>
  <si>
    <t>caC/caA</t>
  </si>
  <si>
    <t>C16orf96</t>
  </si>
  <si>
    <t>NM_001145011</t>
  </si>
  <si>
    <t>aTc/aCc</t>
  </si>
  <si>
    <t>GIT1</t>
  </si>
  <si>
    <t>FXR2</t>
  </si>
  <si>
    <t>NM_004860</t>
  </si>
  <si>
    <t>DCXR</t>
  </si>
  <si>
    <t>B3GNT3</t>
  </si>
  <si>
    <t>NM_014256</t>
  </si>
  <si>
    <t>GATAD2A</t>
  </si>
  <si>
    <t>NM_017660</t>
  </si>
  <si>
    <t>CKM</t>
  </si>
  <si>
    <t>NM_001824</t>
  </si>
  <si>
    <t>HDLBP</t>
  </si>
  <si>
    <t>I/F</t>
  </si>
  <si>
    <t>Atc/Ttc</t>
  </si>
  <si>
    <t>LOC100507580</t>
  </si>
  <si>
    <t>SLC6A20</t>
  </si>
  <si>
    <t>HELQ</t>
  </si>
  <si>
    <t>NM_133636</t>
  </si>
  <si>
    <t>Gta/Cta</t>
  </si>
  <si>
    <t>HSPA9</t>
  </si>
  <si>
    <t>NM_004134</t>
  </si>
  <si>
    <t>Ttc/Atc</t>
  </si>
  <si>
    <t>PCDHA6</t>
  </si>
  <si>
    <t>gCa/gAa</t>
  </si>
  <si>
    <t>OR2F1</t>
  </si>
  <si>
    <t>NM_012369</t>
  </si>
  <si>
    <t>RBM33</t>
  </si>
  <si>
    <t>NM_053043</t>
  </si>
  <si>
    <t>cCg/cAg</t>
  </si>
  <si>
    <t>KBTBD2</t>
  </si>
  <si>
    <t>NM_015483</t>
  </si>
  <si>
    <t>K/Q</t>
  </si>
  <si>
    <t>Aaa/Caa</t>
  </si>
  <si>
    <t>COX6C</t>
  </si>
  <si>
    <t>NM_004374</t>
  </si>
  <si>
    <t>3PRIME_UTR,SPLICE_SITE</t>
  </si>
  <si>
    <t>DMRT2</t>
  </si>
  <si>
    <t>NM_181872</t>
  </si>
  <si>
    <t>cAa/cCa</t>
  </si>
  <si>
    <t>C5</t>
  </si>
  <si>
    <t>NM_001735</t>
  </si>
  <si>
    <t>TAATTTACCTTTTAC</t>
  </si>
  <si>
    <t>DBH</t>
  </si>
  <si>
    <t>NM_000787</t>
  </si>
  <si>
    <t>I/K</t>
  </si>
  <si>
    <t>aTa/aAa</t>
  </si>
  <si>
    <t>ISCA1</t>
  </si>
  <si>
    <t>NM_030940</t>
  </si>
  <si>
    <t>Sample</t>
  </si>
  <si>
    <t>Chimeric.read.count</t>
  </si>
  <si>
    <t>Symbol.closest</t>
  </si>
  <si>
    <t>Entrez.closest</t>
  </si>
  <si>
    <t>Human.chr</t>
  </si>
  <si>
    <t>Human.start</t>
  </si>
  <si>
    <t>Human.end</t>
  </si>
  <si>
    <t>Human.strand</t>
  </si>
  <si>
    <t>Virus.start</t>
  </si>
  <si>
    <t>Virus.end</t>
  </si>
  <si>
    <t>Virus.strand</t>
  </si>
  <si>
    <t>Dist.min</t>
  </si>
  <si>
    <t>31107_N</t>
  </si>
  <si>
    <t>FAM70B</t>
  </si>
  <si>
    <t>+</t>
  </si>
  <si>
    <t>31107_T</t>
  </si>
  <si>
    <t>MTRNR2L1</t>
  </si>
  <si>
    <t>MLL4</t>
  </si>
  <si>
    <t>OR7A10</t>
  </si>
  <si>
    <t>LOC100130691</t>
  </si>
  <si>
    <t>CDH4</t>
  </si>
  <si>
    <t>P2RY1</t>
  </si>
  <si>
    <t>LPHN3</t>
  </si>
  <si>
    <t>LINC00293</t>
  </si>
  <si>
    <t>31656_N</t>
  </si>
  <si>
    <t>KAT5</t>
  </si>
  <si>
    <t>CAB39L</t>
  </si>
  <si>
    <t>LOC100505776</t>
  </si>
  <si>
    <t>ZNF91</t>
  </si>
  <si>
    <t>CTNNA2</t>
  </si>
  <si>
    <t>PCGEM1</t>
  </si>
  <si>
    <t>CYP20A1</t>
  </si>
  <si>
    <t>CTLA4</t>
  </si>
  <si>
    <t>MIR573</t>
  </si>
  <si>
    <t>LOC729862</t>
  </si>
  <si>
    <t>PIK3R1</t>
  </si>
  <si>
    <t>TTC37</t>
  </si>
  <si>
    <t>MTERFD1</t>
  </si>
  <si>
    <t>SH2D1A</t>
  </si>
  <si>
    <t>CXorf64</t>
  </si>
  <si>
    <t>31656_T</t>
  </si>
  <si>
    <t>MIR548AI</t>
  </si>
  <si>
    <t>CASP12</t>
  </si>
  <si>
    <t>H219_T</t>
  </si>
  <si>
    <t>ARHGAP4</t>
  </si>
  <si>
    <t>PARG</t>
  </si>
  <si>
    <t>CCNE1</t>
  </si>
  <si>
    <t>DARS2</t>
  </si>
  <si>
    <t>ACOT8</t>
  </si>
  <si>
    <t>LOC401164</t>
  </si>
  <si>
    <t>TERT</t>
  </si>
  <si>
    <t>KIAA1586</t>
  </si>
  <si>
    <t>FTSJ2</t>
  </si>
  <si>
    <t>H166_N</t>
  </si>
  <si>
    <t>OR7E156P</t>
  </si>
  <si>
    <t>NA</t>
  </si>
  <si>
    <t>C16orf95</t>
  </si>
  <si>
    <t>SPECC1</t>
  </si>
  <si>
    <t>LOC375295</t>
  </si>
  <si>
    <t>EFHB</t>
  </si>
  <si>
    <t>LRRN1</t>
  </si>
  <si>
    <t>AUTS2</t>
  </si>
  <si>
    <t>COPA</t>
  </si>
  <si>
    <t>FAM84B</t>
  </si>
  <si>
    <t>H166_T</t>
  </si>
  <si>
    <t>TNFSF4</t>
  </si>
  <si>
    <t>ANKRD26P1</t>
  </si>
  <si>
    <t>MIR4436A</t>
  </si>
  <si>
    <t>TPTE</t>
  </si>
  <si>
    <t>CWH43</t>
  </si>
  <si>
    <t>NSUN6</t>
  </si>
  <si>
    <t>LOC100506688</t>
  </si>
  <si>
    <t>ZNF716</t>
  </si>
  <si>
    <t>LOC643955</t>
  </si>
  <si>
    <t>LOC441666</t>
  </si>
  <si>
    <t>SORCS1</t>
  </si>
  <si>
    <t>30997_N</t>
  </si>
  <si>
    <t>KAZN</t>
  </si>
  <si>
    <t>FLJ41350</t>
  </si>
  <si>
    <t>ANO1</t>
  </si>
  <si>
    <t>SNX19</t>
  </si>
  <si>
    <t>TCHH</t>
  </si>
  <si>
    <t>LMX1A</t>
  </si>
  <si>
    <t>C14orf135</t>
  </si>
  <si>
    <t>OTUD7A</t>
  </si>
  <si>
    <t>CDC73</t>
  </si>
  <si>
    <t>KPNA2</t>
  </si>
  <si>
    <t>TPRG1</t>
  </si>
  <si>
    <t>DCLK3</t>
  </si>
  <si>
    <t>FBXL17</t>
  </si>
  <si>
    <t>AMMECR1</t>
  </si>
  <si>
    <t>USP26</t>
  </si>
  <si>
    <t>30997_T</t>
  </si>
  <si>
    <t>CNGB1</t>
  </si>
  <si>
    <t>C2orf89</t>
  </si>
  <si>
    <t>GTF3C6</t>
  </si>
  <si>
    <t>AGPAT6</t>
  </si>
  <si>
    <t>31119_T</t>
  </si>
  <si>
    <t>OR52B2</t>
  </si>
  <si>
    <t>HTATIP2</t>
  </si>
  <si>
    <t>CHORDC1</t>
  </si>
  <si>
    <t>DBX1</t>
  </si>
  <si>
    <t>BICD1</t>
  </si>
  <si>
    <t>LOC100129345</t>
  </si>
  <si>
    <t>SSTR1</t>
  </si>
  <si>
    <t>CYTIP</t>
  </si>
  <si>
    <t>SLC30A5</t>
  </si>
  <si>
    <t>MOXD1</t>
  </si>
  <si>
    <t>LOC285954</t>
  </si>
  <si>
    <t>FAAH2</t>
  </si>
  <si>
    <t>LOC100507404</t>
  </si>
  <si>
    <t>30996_T</t>
  </si>
  <si>
    <t>RNF44</t>
  </si>
  <si>
    <t>POTEA</t>
  </si>
  <si>
    <t>C8orf34</t>
  </si>
  <si>
    <t>EMBP1</t>
  </si>
  <si>
    <t>ZXDA</t>
  </si>
  <si>
    <t>SPIN4</t>
  </si>
  <si>
    <t>LOC120824</t>
  </si>
  <si>
    <t>OR4C46</t>
  </si>
  <si>
    <t>TRIM48</t>
  </si>
  <si>
    <t>ALG10</t>
  </si>
  <si>
    <t>LOC148189</t>
  </si>
  <si>
    <t>LOC284801</t>
  </si>
  <si>
    <t>EPHA3</t>
  </si>
  <si>
    <t>H442_N</t>
  </si>
  <si>
    <t>GOT2</t>
  </si>
  <si>
    <t>C17orf97</t>
  </si>
  <si>
    <t>ADAM17</t>
  </si>
  <si>
    <t>YWHAQ</t>
  </si>
  <si>
    <t>WNK3</t>
  </si>
  <si>
    <t>EIF4B</t>
  </si>
  <si>
    <t>H442_T</t>
  </si>
  <si>
    <t>LOC388276</t>
  </si>
  <si>
    <t>AZI2</t>
  </si>
  <si>
    <t>IRX3</t>
  </si>
  <si>
    <t>ALDOC</t>
  </si>
  <si>
    <t>RPS6KC1</t>
  </si>
  <si>
    <t>ILF3</t>
  </si>
  <si>
    <t>LRRFIP1</t>
  </si>
  <si>
    <t>APOA2</t>
  </si>
  <si>
    <t>FGA</t>
  </si>
  <si>
    <t>TAF7</t>
  </si>
  <si>
    <t>TMEM14C</t>
  </si>
  <si>
    <t>IGFBP3</t>
  </si>
  <si>
    <t>chrMT</t>
  </si>
  <si>
    <t>GPC3</t>
  </si>
  <si>
    <t>APOC3</t>
  </si>
  <si>
    <t>SLCO1B3</t>
  </si>
  <si>
    <t>TM9SF1</t>
  </si>
  <si>
    <t>SERPINA1</t>
  </si>
  <si>
    <t>SERPINA4</t>
  </si>
  <si>
    <t>ZFP36L1</t>
  </si>
  <si>
    <t>PWRN2</t>
  </si>
  <si>
    <t>RPL4</t>
  </si>
  <si>
    <t>RBFOX1</t>
  </si>
  <si>
    <t>MBD1</t>
  </si>
  <si>
    <t>C18orf62</t>
  </si>
  <si>
    <t>TTR</t>
  </si>
  <si>
    <t>C3</t>
  </si>
  <si>
    <t>TP53BP2</t>
  </si>
  <si>
    <t>APOC1</t>
  </si>
  <si>
    <t>ATF5</t>
  </si>
  <si>
    <t>CAMKMT</t>
  </si>
  <si>
    <t>LRRTM4</t>
  </si>
  <si>
    <t>C2orf51</t>
  </si>
  <si>
    <t>GTDC1</t>
  </si>
  <si>
    <t>C2orf77</t>
  </si>
  <si>
    <t>NFE2L2</t>
  </si>
  <si>
    <t>CPS1</t>
  </si>
  <si>
    <t>DNER</t>
  </si>
  <si>
    <t>SP110</t>
  </si>
  <si>
    <t>LCLAT1</t>
  </si>
  <si>
    <t>NFU1</t>
  </si>
  <si>
    <t>LOC1720</t>
  </si>
  <si>
    <t>HS6ST1</t>
  </si>
  <si>
    <t>SPATS2L</t>
  </si>
  <si>
    <t>PCSK2</t>
  </si>
  <si>
    <t>CBS</t>
  </si>
  <si>
    <t>SETD4</t>
  </si>
  <si>
    <t>FTCD</t>
  </si>
  <si>
    <t>ATP6V1E1</t>
  </si>
  <si>
    <t>NFAM1</t>
  </si>
  <si>
    <t>GRM7</t>
  </si>
  <si>
    <t>PVRL3</t>
  </si>
  <si>
    <t>CNBP</t>
  </si>
  <si>
    <t>COL6A6</t>
  </si>
  <si>
    <t>SLITRK3</t>
  </si>
  <si>
    <t>KNG1</t>
  </si>
  <si>
    <t>S100A16</t>
  </si>
  <si>
    <t>SUCLG2</t>
  </si>
  <si>
    <t>C3orf17</t>
  </si>
  <si>
    <t>ALG1L2</t>
  </si>
  <si>
    <t>CPNE4</t>
  </si>
  <si>
    <t>OTOL1</t>
  </si>
  <si>
    <t>GHSR</t>
  </si>
  <si>
    <t>LCORL</t>
  </si>
  <si>
    <t>GBA3</t>
  </si>
  <si>
    <t>LOC255130</t>
  </si>
  <si>
    <t>FGG</t>
  </si>
  <si>
    <t>PALLD</t>
  </si>
  <si>
    <t>AADAT</t>
  </si>
  <si>
    <t>VEGFC</t>
  </si>
  <si>
    <t>WDFY3</t>
  </si>
  <si>
    <t>ADH1B</t>
  </si>
  <si>
    <t>FGB</t>
  </si>
  <si>
    <t>RAPGEF2</t>
  </si>
  <si>
    <t>C5orf44</t>
  </si>
  <si>
    <t>KCNT2</t>
  </si>
  <si>
    <t>MAST4</t>
  </si>
  <si>
    <t>CD180</t>
  </si>
  <si>
    <t>FLJ33360</t>
  </si>
  <si>
    <t>LOC340107</t>
  </si>
  <si>
    <t>HAPLN1</t>
  </si>
  <si>
    <t>AFF4</t>
  </si>
  <si>
    <t>CSNK1A1</t>
  </si>
  <si>
    <t>SOD2</t>
  </si>
  <si>
    <t>OR14J1</t>
  </si>
  <si>
    <t>CYP4A11</t>
  </si>
  <si>
    <t>FTSJD2</t>
  </si>
  <si>
    <t>SLC22A7</t>
  </si>
  <si>
    <t>ARID1B</t>
  </si>
  <si>
    <t>CARD11</t>
  </si>
  <si>
    <t>POR</t>
  </si>
  <si>
    <t>AZGP1</t>
  </si>
  <si>
    <t>METTL2B</t>
  </si>
  <si>
    <t>TRIM24</t>
  </si>
  <si>
    <t>INSIG1</t>
  </si>
  <si>
    <t>HRSP12</t>
  </si>
  <si>
    <t>MAL2</t>
  </si>
  <si>
    <t>FER1L6</t>
  </si>
  <si>
    <t>CLU</t>
  </si>
  <si>
    <t>FLJ46284</t>
  </si>
  <si>
    <t>KCNV1</t>
  </si>
  <si>
    <t>KIAA1797</t>
  </si>
  <si>
    <t>PRUNE2</t>
  </si>
  <si>
    <t>ALDOB</t>
  </si>
  <si>
    <t>AMBP</t>
  </si>
  <si>
    <t>MAPKAP1</t>
  </si>
  <si>
    <t>NFX1</t>
  </si>
  <si>
    <t>HSD17B3</t>
  </si>
  <si>
    <t>GTF3C5</t>
  </si>
  <si>
    <t>NACC2</t>
  </si>
  <si>
    <t>chrGL000220.1</t>
  </si>
  <si>
    <t>SCD</t>
  </si>
  <si>
    <t>chrY</t>
  </si>
  <si>
    <t>MOB2</t>
  </si>
  <si>
    <t>ANO3</t>
  </si>
  <si>
    <t>F2</t>
  </si>
  <si>
    <t>APOA1</t>
  </si>
  <si>
    <t>SORL1</t>
  </si>
  <si>
    <t>NAP1L4</t>
  </si>
  <si>
    <t>AK4</t>
  </si>
  <si>
    <t>ART4</t>
  </si>
  <si>
    <t>LRIG3</t>
  </si>
  <si>
    <t>SRGAP1</t>
  </si>
  <si>
    <t>PAH</t>
  </si>
  <si>
    <t>PDS5B</t>
  </si>
  <si>
    <t>UFM1</t>
  </si>
  <si>
    <t>LRCH1</t>
  </si>
  <si>
    <t>ELTD1</t>
  </si>
  <si>
    <t>TDRD3</t>
  </si>
  <si>
    <t>PIBF1</t>
  </si>
  <si>
    <t>SLITRK1</t>
  </si>
  <si>
    <t>MLNR</t>
  </si>
  <si>
    <t>UGGT2</t>
  </si>
  <si>
    <t>LOC100506433</t>
  </si>
  <si>
    <t>FLRT2</t>
  </si>
  <si>
    <t>31119_N</t>
  </si>
  <si>
    <t>C14orf166</t>
  </si>
  <si>
    <t>CENPC1</t>
  </si>
  <si>
    <t>CYLC2</t>
  </si>
  <si>
    <t>KDM5B</t>
  </si>
  <si>
    <t>LPP</t>
  </si>
  <si>
    <t>C6orf89</t>
  </si>
  <si>
    <t>RTN4</t>
  </si>
  <si>
    <t>POLE</t>
  </si>
  <si>
    <t>IPO5</t>
  </si>
  <si>
    <t>ARHGAP5</t>
  </si>
  <si>
    <t>NUMB</t>
  </si>
  <si>
    <t>GSTZ1</t>
  </si>
  <si>
    <t>TAT</t>
  </si>
  <si>
    <t>TSC2</t>
  </si>
  <si>
    <t>GPT2</t>
  </si>
  <si>
    <t>CFH</t>
  </si>
  <si>
    <t>FASN</t>
  </si>
  <si>
    <t>GPS2</t>
  </si>
  <si>
    <t>LPIN2</t>
  </si>
  <si>
    <t>EEF2</t>
  </si>
  <si>
    <t>AGT</t>
  </si>
  <si>
    <t>CALR</t>
  </si>
  <si>
    <t>KIF1B</t>
  </si>
  <si>
    <t>BCL3</t>
  </si>
  <si>
    <t>ERRFI1</t>
  </si>
  <si>
    <t>AOX1</t>
  </si>
  <si>
    <t>IGFBP2</t>
  </si>
  <si>
    <t>ATG9A</t>
  </si>
  <si>
    <t>MAP4K4</t>
  </si>
  <si>
    <t>GIGYF2</t>
  </si>
  <si>
    <t>NRSN2</t>
  </si>
  <si>
    <t>B4GALT5</t>
  </si>
  <si>
    <t>ASCC2</t>
  </si>
  <si>
    <t>IQSEC1</t>
  </si>
  <si>
    <t>SCP2</t>
  </si>
  <si>
    <t>RNF123</t>
  </si>
  <si>
    <t>PBRM1</t>
  </si>
  <si>
    <t>ITIH1</t>
  </si>
  <si>
    <t>GBE1</t>
  </si>
  <si>
    <t>IQCB1</t>
  </si>
  <si>
    <t>SEC22B</t>
  </si>
  <si>
    <t>DBR1</t>
  </si>
  <si>
    <t>PLD1</t>
  </si>
  <si>
    <t>AHSG</t>
  </si>
  <si>
    <t>IL1RAP</t>
  </si>
  <si>
    <t>RHOA</t>
  </si>
  <si>
    <t>SLC38A3</t>
  </si>
  <si>
    <t>LETM1</t>
  </si>
  <si>
    <t>KIAA0232</t>
  </si>
  <si>
    <t>C4BPA</t>
  </si>
  <si>
    <t>CLPTM1L</t>
  </si>
  <si>
    <t>PXDC1</t>
  </si>
  <si>
    <t>CFB</t>
  </si>
  <si>
    <t>MYO6</t>
  </si>
  <si>
    <t>IGF2R</t>
  </si>
  <si>
    <t>VARS</t>
  </si>
  <si>
    <t>KIAA0895</t>
  </si>
  <si>
    <t>ZKSCAN1</t>
  </si>
  <si>
    <t>PCOLCE</t>
  </si>
  <si>
    <t>EIF2AK1</t>
  </si>
  <si>
    <t>TSPAN13</t>
  </si>
  <si>
    <t>EGFR</t>
  </si>
  <si>
    <t>ZNHIT1</t>
  </si>
  <si>
    <t>C8orf83</t>
  </si>
  <si>
    <t>RBP4</t>
  </si>
  <si>
    <t>FAM102A</t>
  </si>
  <si>
    <t>EPB41L4B</t>
  </si>
  <si>
    <t>RXRA</t>
  </si>
  <si>
    <t>CYP2C18</t>
  </si>
  <si>
    <t>CWF19L1</t>
  </si>
  <si>
    <t>HPX</t>
  </si>
  <si>
    <t>SF1</t>
  </si>
  <si>
    <t>USP28</t>
  </si>
  <si>
    <t>APOA5</t>
  </si>
  <si>
    <t>PTPRJ</t>
  </si>
  <si>
    <t>SERPING1</t>
  </si>
  <si>
    <t>CAPN1</t>
  </si>
  <si>
    <t>CTSC</t>
  </si>
  <si>
    <t>ECHDC2</t>
  </si>
  <si>
    <t>TM7SF3</t>
  </si>
  <si>
    <t>HSD17B6</t>
  </si>
  <si>
    <t>CSDE1</t>
  </si>
  <si>
    <t>SDS</t>
  </si>
  <si>
    <t>C1S</t>
  </si>
  <si>
    <t>MBD6</t>
  </si>
  <si>
    <t>ATP2A2</t>
  </si>
  <si>
    <t>PDE3A</t>
  </si>
  <si>
    <t>NELL2</t>
  </si>
  <si>
    <t>MKRN9P</t>
  </si>
  <si>
    <t>LOC338758</t>
  </si>
  <si>
    <t>LOC255480</t>
  </si>
  <si>
    <t>LOC440117</t>
  </si>
  <si>
    <t>FBXL14</t>
  </si>
  <si>
    <t>TMTC1</t>
  </si>
  <si>
    <t>SYT1</t>
  </si>
  <si>
    <t>CCDC59</t>
  </si>
  <si>
    <t>NUF2</t>
  </si>
  <si>
    <t>TBX3</t>
  </si>
  <si>
    <t>DACH1</t>
  </si>
  <si>
    <t>FREM2</t>
  </si>
  <si>
    <t>NOVA1</t>
  </si>
  <si>
    <t>AKAP6</t>
  </si>
  <si>
    <t>SFTA3</t>
  </si>
  <si>
    <t>SLC10A1</t>
  </si>
  <si>
    <t>STXBP6</t>
  </si>
  <si>
    <t>RABGAP1L</t>
  </si>
  <si>
    <t>CASC4</t>
  </si>
  <si>
    <t>WDR72</t>
  </si>
  <si>
    <t>SWT1</t>
  </si>
  <si>
    <t>UNC13C</t>
  </si>
  <si>
    <t>APBA2</t>
  </si>
  <si>
    <t>ADAM10</t>
  </si>
  <si>
    <t>CIB2</t>
  </si>
  <si>
    <t>RMI2</t>
  </si>
  <si>
    <t>COG7</t>
  </si>
  <si>
    <t>LOC644649</t>
  </si>
  <si>
    <t>SERPINF1</t>
  </si>
  <si>
    <t>KCNH1</t>
  </si>
  <si>
    <t>CDRT7</t>
  </si>
  <si>
    <t>FAM27L</t>
  </si>
  <si>
    <t>MIR4523</t>
  </si>
  <si>
    <t>STAT3</t>
  </si>
  <si>
    <t>LOC100506650</t>
  </si>
  <si>
    <t>KCTD3</t>
  </si>
  <si>
    <t>MOCOS</t>
  </si>
  <si>
    <t>SETBP1</t>
  </si>
  <si>
    <t>RNF126</t>
  </si>
  <si>
    <t>DISP1</t>
  </si>
  <si>
    <t>CERS4</t>
  </si>
  <si>
    <t>RABAC1</t>
  </si>
  <si>
    <t>B3GALNT2</t>
  </si>
  <si>
    <t>CLPTM1</t>
  </si>
  <si>
    <t>PLA2G4C</t>
  </si>
  <si>
    <t>RYR2</t>
  </si>
  <si>
    <t>CLEC11A</t>
  </si>
  <si>
    <t>MRPL33</t>
  </si>
  <si>
    <t>NRXN1</t>
  </si>
  <si>
    <t>ASB3</t>
  </si>
  <si>
    <t>G6PC2</t>
  </si>
  <si>
    <t>CD28</t>
  </si>
  <si>
    <t>PARD3B</t>
  </si>
  <si>
    <t>EPCAM</t>
  </si>
  <si>
    <t>ADD2</t>
  </si>
  <si>
    <t>R3HDM1</t>
  </si>
  <si>
    <t>MYO3B</t>
  </si>
  <si>
    <t>DYNC1I2</t>
  </si>
  <si>
    <t>LOC388630</t>
  </si>
  <si>
    <t>NCOA5</t>
  </si>
  <si>
    <t>USP16</t>
  </si>
  <si>
    <t>AP1B1</t>
  </si>
  <si>
    <t>SYN3</t>
  </si>
  <si>
    <t>WNT7B</t>
  </si>
  <si>
    <t>CRELD2</t>
  </si>
  <si>
    <t>CNTN4</t>
  </si>
  <si>
    <t>SLC6A1</t>
  </si>
  <si>
    <t>BSN</t>
  </si>
  <si>
    <t>FHIT</t>
  </si>
  <si>
    <t>ROBO1</t>
  </si>
  <si>
    <t>ZPLD1</t>
  </si>
  <si>
    <t>PARP9</t>
  </si>
  <si>
    <t>KALRN</t>
  </si>
  <si>
    <t>CTH</t>
  </si>
  <si>
    <t>TMEM108</t>
  </si>
  <si>
    <t>FNDC3B</t>
  </si>
  <si>
    <t>TBL1XR1</t>
  </si>
  <si>
    <t>ZNF385D</t>
  </si>
  <si>
    <t>LRRFIP2</t>
  </si>
  <si>
    <t>PKN2</t>
  </si>
  <si>
    <t>MAGI1</t>
  </si>
  <si>
    <t>FAM19A4</t>
  </si>
  <si>
    <t>ABI3BP</t>
  </si>
  <si>
    <t>ALCAM</t>
  </si>
  <si>
    <t>ZXDC</t>
  </si>
  <si>
    <t>SLIT2</t>
  </si>
  <si>
    <t>CYP2U1</t>
  </si>
  <si>
    <t>MIR2054</t>
  </si>
  <si>
    <t>DCLK2</t>
  </si>
  <si>
    <t>GABRA4</t>
  </si>
  <si>
    <t>MTHFD2L</t>
  </si>
  <si>
    <t>TMEM150C</t>
  </si>
  <si>
    <t>ADH1C</t>
  </si>
  <si>
    <t>OR10J1</t>
  </si>
  <si>
    <t>CPE</t>
  </si>
  <si>
    <t>MTRR</t>
  </si>
  <si>
    <t>LOC100505738</t>
  </si>
  <si>
    <t>FBXL7</t>
  </si>
  <si>
    <t>GUSBP1</t>
  </si>
  <si>
    <t>DMGDH</t>
  </si>
  <si>
    <t>FAM172A</t>
  </si>
  <si>
    <t>EFNA5</t>
  </si>
  <si>
    <t>CDKN2AIPNL</t>
  </si>
  <si>
    <t>CD74</t>
  </si>
  <si>
    <t>SYNPO</t>
  </si>
  <si>
    <t>LIFR</t>
  </si>
  <si>
    <t>ITGA1</t>
  </si>
  <si>
    <t>FAM78B</t>
  </si>
  <si>
    <t>LOC285629</t>
  </si>
  <si>
    <t>GABRG2</t>
  </si>
  <si>
    <t>CLIC5</t>
  </si>
  <si>
    <t>DEFB112</t>
  </si>
  <si>
    <t>MCART3P</t>
  </si>
  <si>
    <t>USP45</t>
  </si>
  <si>
    <t>FRK</t>
  </si>
  <si>
    <t>LOC100132735</t>
  </si>
  <si>
    <t>NMBR</t>
  </si>
  <si>
    <t>QKI</t>
  </si>
  <si>
    <t>MAPK14</t>
  </si>
  <si>
    <t>UBR2</t>
  </si>
  <si>
    <t>PLA2G4A</t>
  </si>
  <si>
    <t>MIR2113</t>
  </si>
  <si>
    <t>ADGB</t>
  </si>
  <si>
    <t>NOX3</t>
  </si>
  <si>
    <t>EIF3B</t>
  </si>
  <si>
    <t>GPR141</t>
  </si>
  <si>
    <t>GNAI1</t>
  </si>
  <si>
    <t>SLC26A3</t>
  </si>
  <si>
    <t>MPP6</t>
  </si>
  <si>
    <t>ASL</t>
  </si>
  <si>
    <t>HGF</t>
  </si>
  <si>
    <t>CYP3A5</t>
  </si>
  <si>
    <t>PILRA</t>
  </si>
  <si>
    <t>DOCK4</t>
  </si>
  <si>
    <t>KCND2</t>
  </si>
  <si>
    <t>POT1</t>
  </si>
  <si>
    <t>CPA5</t>
  </si>
  <si>
    <t>RBPMS</t>
  </si>
  <si>
    <t>MTDH</t>
  </si>
  <si>
    <t>DUSP26</t>
  </si>
  <si>
    <t>UNC5D</t>
  </si>
  <si>
    <t>KCNU1</t>
  </si>
  <si>
    <t>LOC286184</t>
  </si>
  <si>
    <t>PEX2</t>
  </si>
  <si>
    <t>RALYL</t>
  </si>
  <si>
    <t>HAS2-AS1</t>
  </si>
  <si>
    <t>TRAPPC9</t>
  </si>
  <si>
    <t>BNC2</t>
  </si>
  <si>
    <t>TMC1</t>
  </si>
  <si>
    <t>JMJD1C</t>
  </si>
  <si>
    <t>TGFBR1</t>
  </si>
  <si>
    <t>TPD52L3</t>
  </si>
  <si>
    <t>CTSL3</t>
  </si>
  <si>
    <t>FBP1</t>
  </si>
  <si>
    <t>RPP30</t>
  </si>
  <si>
    <t>RALGPS1</t>
  </si>
  <si>
    <t>PRRC2B</t>
  </si>
  <si>
    <t>LOC92249</t>
  </si>
  <si>
    <t>SPANXN3</t>
  </si>
  <si>
    <t>TGIF2LY</t>
  </si>
  <si>
    <t>CPN1</t>
  </si>
  <si>
    <t>OAT</t>
  </si>
  <si>
    <t>PRKCQ</t>
  </si>
  <si>
    <t>ITIH2</t>
  </si>
  <si>
    <t>SFTA1P</t>
  </si>
  <si>
    <t>SGMS1</t>
  </si>
  <si>
    <t>SORBS1</t>
  </si>
  <si>
    <t>NFIA</t>
  </si>
  <si>
    <t>ELP4</t>
  </si>
  <si>
    <t>LRP5</t>
  </si>
  <si>
    <t>FAT3</t>
  </si>
  <si>
    <t>THYN1</t>
  </si>
  <si>
    <t>LOC100500938</t>
  </si>
  <si>
    <t>SLC37A4</t>
  </si>
  <si>
    <t>C1R</t>
  </si>
  <si>
    <t>SPNS1</t>
  </si>
  <si>
    <t>WSB1</t>
  </si>
  <si>
    <t>SRCIN1</t>
  </si>
  <si>
    <t>ACLY</t>
  </si>
  <si>
    <t>GATA6</t>
  </si>
  <si>
    <t>ERF</t>
  </si>
  <si>
    <t>CALM3</t>
  </si>
  <si>
    <t>TSSK6</t>
  </si>
  <si>
    <t>COL3A1</t>
  </si>
  <si>
    <t>TNS1</t>
  </si>
  <si>
    <t>C20orf3</t>
  </si>
  <si>
    <t>CECR5</t>
  </si>
  <si>
    <t>MYH9</t>
  </si>
  <si>
    <t>LOC400927</t>
  </si>
  <si>
    <t>ACTL6A</t>
  </si>
  <si>
    <t>VPS13D</t>
  </si>
  <si>
    <t>STAG1</t>
  </si>
  <si>
    <t>UGDH</t>
  </si>
  <si>
    <t>FBXO8</t>
  </si>
  <si>
    <t>FAT1</t>
  </si>
  <si>
    <t>NT5DC1</t>
  </si>
  <si>
    <t>TNRC18</t>
  </si>
  <si>
    <t>HNRNPA2B1</t>
  </si>
  <si>
    <t>PTP4A3</t>
  </si>
  <si>
    <t>RB1CC1</t>
  </si>
  <si>
    <t>SDC2</t>
  </si>
  <si>
    <t>PLEC</t>
  </si>
  <si>
    <t>HABP2</t>
  </si>
  <si>
    <t>ZNF33B</t>
  </si>
  <si>
    <t>RTN4RL2</t>
  </si>
  <si>
    <t>HSPA8</t>
  </si>
  <si>
    <t>KLC2</t>
  </si>
  <si>
    <t>STAT2</t>
  </si>
  <si>
    <t>PLBD2</t>
  </si>
  <si>
    <t>MED13L</t>
  </si>
  <si>
    <t>DYNC1H1</t>
  </si>
  <si>
    <t>DENND4B</t>
  </si>
  <si>
    <t>SIN3A</t>
  </si>
  <si>
    <t>MSRB1</t>
  </si>
  <si>
    <t>FBRSL1</t>
  </si>
  <si>
    <t>SEC61A1</t>
  </si>
  <si>
    <t>CEP164</t>
  </si>
  <si>
    <t>RPH3AL</t>
  </si>
  <si>
    <t>POLQ</t>
  </si>
  <si>
    <t>STOX1</t>
  </si>
  <si>
    <t>TM4SF1</t>
  </si>
  <si>
    <t>STK38</t>
  </si>
  <si>
    <t>PURB</t>
  </si>
  <si>
    <t>TNRC6B</t>
  </si>
  <si>
    <t>TNR</t>
  </si>
  <si>
    <t>LOC375010</t>
  </si>
  <si>
    <t>SOGA1</t>
  </si>
  <si>
    <t>EDEM1</t>
  </si>
  <si>
    <t>ASAP1</t>
  </si>
  <si>
    <t>IFT88</t>
  </si>
  <si>
    <t>SDF2</t>
  </si>
  <si>
    <t>TNPO2</t>
  </si>
  <si>
    <t>UBIAD1</t>
  </si>
  <si>
    <t>LRP3</t>
  </si>
  <si>
    <t>SATB2</t>
  </si>
  <si>
    <t>ARL4C</t>
  </si>
  <si>
    <t>TMEM189-UBE2V1</t>
  </si>
  <si>
    <t>UBE2E2</t>
  </si>
  <si>
    <t>ITGB5</t>
  </si>
  <si>
    <t>FGF12</t>
  </si>
  <si>
    <t>PCDH18</t>
  </si>
  <si>
    <t>PCDH7</t>
  </si>
  <si>
    <t>DUSP1</t>
  </si>
  <si>
    <t>GPR126</t>
  </si>
  <si>
    <t>MIR3147</t>
  </si>
  <si>
    <t>CALD1</t>
  </si>
  <si>
    <t>PEG10</t>
  </si>
  <si>
    <t>SND1</t>
  </si>
  <si>
    <t>HIPK2</t>
  </si>
  <si>
    <t>PABPC1</t>
  </si>
  <si>
    <t>RPRD2</t>
  </si>
  <si>
    <t>TLE1</t>
  </si>
  <si>
    <t>A1CF</t>
  </si>
  <si>
    <t>H19</t>
  </si>
  <si>
    <t>GYLTL1B</t>
  </si>
  <si>
    <t>PC</t>
  </si>
  <si>
    <t>FAM76B</t>
  </si>
  <si>
    <t>VASH1</t>
  </si>
  <si>
    <t>SYNE2</t>
  </si>
  <si>
    <t>SOX9</t>
  </si>
  <si>
    <t>AP2B1</t>
  </si>
  <si>
    <t>POGZ</t>
  </si>
  <si>
    <t>BRAP</t>
  </si>
  <si>
    <t>SEL1L</t>
  </si>
  <si>
    <t>SCG5</t>
  </si>
  <si>
    <t>GATM</t>
  </si>
  <si>
    <t>TMX3</t>
  </si>
  <si>
    <t>SH3BP5</t>
  </si>
  <si>
    <t>NEK10</t>
  </si>
  <si>
    <t>CDH10</t>
  </si>
  <si>
    <t>MRPS30</t>
  </si>
  <si>
    <t>AQPEP</t>
  </si>
  <si>
    <t>TFAP2A</t>
  </si>
  <si>
    <t>PRIM2</t>
  </si>
  <si>
    <t>LGSN</t>
  </si>
  <si>
    <t>RNF214</t>
  </si>
  <si>
    <t>GRB10</t>
  </si>
  <si>
    <t>EIF3IP1</t>
  </si>
  <si>
    <t>FLJ43860</t>
  </si>
  <si>
    <t>DOCK8</t>
  </si>
  <si>
    <t>IQSEC2</t>
  </si>
  <si>
    <t>WDR13</t>
  </si>
  <si>
    <t>NCK2</t>
  </si>
  <si>
    <t>SCN7A</t>
  </si>
  <si>
    <t>ASXL2</t>
  </si>
  <si>
    <t>BIRC6</t>
  </si>
  <si>
    <t>VWA3B</t>
  </si>
  <si>
    <t>AFF3</t>
  </si>
  <si>
    <t>CR1L</t>
  </si>
  <si>
    <t>ERBB4</t>
  </si>
  <si>
    <t>BTBD3</t>
  </si>
  <si>
    <t>NSUN3</t>
  </si>
  <si>
    <t>LRRC8B</t>
  </si>
  <si>
    <t>GM2A</t>
  </si>
  <si>
    <t>LOC643201</t>
  </si>
  <si>
    <t>ADAMTS12</t>
  </si>
  <si>
    <t>C7</t>
  </si>
  <si>
    <t>LOC100129716</t>
  </si>
  <si>
    <t>POU3F2</t>
  </si>
  <si>
    <t>BBS9</t>
  </si>
  <si>
    <t>LOC401497</t>
  </si>
  <si>
    <t>MBNL3</t>
  </si>
  <si>
    <t>LOC84856</t>
  </si>
  <si>
    <t>ERLIN1</t>
  </si>
  <si>
    <t>PRMT3</t>
  </si>
  <si>
    <t>GDPD4</t>
  </si>
  <si>
    <t>CARD18</t>
  </si>
  <si>
    <t>LUZP2</t>
  </si>
  <si>
    <t>C11orf74</t>
  </si>
  <si>
    <t>DDB1</t>
  </si>
  <si>
    <t>C12orf37</t>
  </si>
  <si>
    <t>ANAPC7</t>
  </si>
  <si>
    <t>ATF7IP</t>
  </si>
  <si>
    <t>EBPL</t>
  </si>
  <si>
    <t>SOX1</t>
  </si>
  <si>
    <t>SERTM1</t>
  </si>
  <si>
    <t>LRRC28</t>
  </si>
  <si>
    <t>EEF2K</t>
  </si>
  <si>
    <t>ZNF771</t>
  </si>
  <si>
    <t>SYT4</t>
  </si>
  <si>
    <t>NEDD4L</t>
  </si>
  <si>
    <t>ZNF521</t>
  </si>
  <si>
    <t>PRKCE</t>
  </si>
  <si>
    <t>Pheno</t>
  </si>
  <si>
    <t>APOC4,APOC4-APOC2</t>
  </si>
  <si>
    <t>APOC4-APOC2,APOC2</t>
  </si>
  <si>
    <t>CHKB-CPT1B,CHKB</t>
  </si>
  <si>
    <t>GSN,NA</t>
  </si>
  <si>
    <t>ANG,RNASE4</t>
  </si>
  <si>
    <t>NA,MZT2A</t>
  </si>
  <si>
    <t>MIR548H2,LOC201651</t>
  </si>
  <si>
    <t>LOC100507053,ADH4</t>
  </si>
  <si>
    <t>CCDC152,SEPP1</t>
  </si>
  <si>
    <t>LUZP6,MTPN</t>
  </si>
  <si>
    <t>MPDZ,NA</t>
  </si>
  <si>
    <t>LINGO2,NA</t>
  </si>
  <si>
    <t>TTTY23,TTTY23B</t>
  </si>
  <si>
    <t>MIR3680-1,NA,SLC22A10</t>
  </si>
  <si>
    <t>UGT1A8,UGT1A10,UGT1A9,UGT1A7,UGT1A6,UGT1A5,UGT1A4,UGT1A3,UGT1A1</t>
  </si>
  <si>
    <t>FBXO7,NA</t>
  </si>
  <si>
    <t>SORBS2,NA</t>
  </si>
  <si>
    <t>INS-IGF2,IGF2</t>
  </si>
  <si>
    <t>MOB2,CTSD</t>
  </si>
  <si>
    <t>NA,LOC284260</t>
  </si>
  <si>
    <t>TNFRSF11A,NA</t>
  </si>
  <si>
    <t>ZAK,MLK7-AS1</t>
  </si>
  <si>
    <t>ITCH,NA</t>
  </si>
  <si>
    <t>SPRY1,NA</t>
  </si>
  <si>
    <t>LOC100652739,RAET1E</t>
  </si>
  <si>
    <t>NA,CRB1</t>
  </si>
  <si>
    <t>KIAA1598,NA</t>
  </si>
  <si>
    <t>LOC339894,LOC100498859</t>
  </si>
  <si>
    <t>PDE1A,NA</t>
  </si>
  <si>
    <t>PRSS21,NA</t>
  </si>
  <si>
    <t>start</t>
  </si>
  <si>
    <t>ref</t>
  </si>
  <si>
    <t>alt</t>
  </si>
  <si>
    <t>DDX5</t>
  </si>
  <si>
    <t>NM_004396</t>
  </si>
  <si>
    <t>IDH1</t>
  </si>
  <si>
    <t>NM_005896</t>
  </si>
  <si>
    <t>Cgt/Ggt</t>
  </si>
  <si>
    <t>tCa/tGa</t>
  </si>
  <si>
    <t>PDZRN3</t>
  </si>
  <si>
    <t>NM_015009</t>
  </si>
  <si>
    <t>RANBP9</t>
  </si>
  <si>
    <t>NM_005493</t>
  </si>
  <si>
    <t>cAt/cTt</t>
  </si>
  <si>
    <t>WRN</t>
  </si>
  <si>
    <t>NM_000553</t>
  </si>
  <si>
    <t>SPTA1</t>
  </si>
  <si>
    <t>NM_003126</t>
  </si>
  <si>
    <t>CLPB</t>
  </si>
  <si>
    <t>FOXM1</t>
  </si>
  <si>
    <t>CCDC85A</t>
  </si>
  <si>
    <t>NM_001080433</t>
  </si>
  <si>
    <t>NFS1</t>
  </si>
  <si>
    <t>Aag/Cag</t>
  </si>
  <si>
    <t>FCRL6</t>
  </si>
  <si>
    <t>NM_001004310</t>
  </si>
  <si>
    <t>TSPAN14</t>
  </si>
  <si>
    <t>GLI1</t>
  </si>
  <si>
    <t>RTF1</t>
  </si>
  <si>
    <t>NM_015138</t>
  </si>
  <si>
    <t>NM_175056</t>
  </si>
  <si>
    <t>MB21D2</t>
  </si>
  <si>
    <t>NM_178496</t>
  </si>
  <si>
    <t>NPC1L1</t>
  </si>
  <si>
    <t>EXOSC10</t>
  </si>
  <si>
    <t>SLC16A1</t>
  </si>
  <si>
    <t>VTCN1</t>
  </si>
  <si>
    <t>PRPF3</t>
  </si>
  <si>
    <t>NM_004698</t>
  </si>
  <si>
    <t>SELENBP1</t>
  </si>
  <si>
    <t>KCNN3</t>
  </si>
  <si>
    <t>RXFP4</t>
  </si>
  <si>
    <t>NM_181885</t>
  </si>
  <si>
    <t>IFI16</t>
  </si>
  <si>
    <t>NM_005531</t>
  </si>
  <si>
    <t>OLFML2B</t>
  </si>
  <si>
    <t>NM_015441</t>
  </si>
  <si>
    <t>Ccc/Tcc</t>
  </si>
  <si>
    <t>NECAP2</t>
  </si>
  <si>
    <t>SELP</t>
  </si>
  <si>
    <t>NM_003005</t>
  </si>
  <si>
    <t>NM_003285</t>
  </si>
  <si>
    <t>CEP350</t>
  </si>
  <si>
    <t>NM_014810</t>
  </si>
  <si>
    <t>C1orf27</t>
  </si>
  <si>
    <t>PTGS2</t>
  </si>
  <si>
    <t>NM_000963</t>
  </si>
  <si>
    <t>PTPRC</t>
  </si>
  <si>
    <t>KIF21B</t>
  </si>
  <si>
    <t>NM_000715</t>
  </si>
  <si>
    <t>FBXO28</t>
  </si>
  <si>
    <t>NM_015176</t>
  </si>
  <si>
    <t>SIPA1L2</t>
  </si>
  <si>
    <t>NM_020808</t>
  </si>
  <si>
    <t>GPR137B</t>
  </si>
  <si>
    <t>NM_003272</t>
  </si>
  <si>
    <t>NM_001035</t>
  </si>
  <si>
    <t>NUDC</t>
  </si>
  <si>
    <t>NM_006600</t>
  </si>
  <si>
    <t>SYTL1</t>
  </si>
  <si>
    <t>CSMD2</t>
  </si>
  <si>
    <t>NM_052896</t>
  </si>
  <si>
    <t>PTPRF</t>
  </si>
  <si>
    <t>GPR153</t>
  </si>
  <si>
    <t>NM_207370</t>
  </si>
  <si>
    <t>DIRAS3</t>
  </si>
  <si>
    <t>NM_004675</t>
  </si>
  <si>
    <t>ZZZ3</t>
  </si>
  <si>
    <t>NM_015534</t>
  </si>
  <si>
    <t>HPSE2</t>
  </si>
  <si>
    <t>NM_018294</t>
  </si>
  <si>
    <t>XPNPEP1</t>
  </si>
  <si>
    <t>TDRD1</t>
  </si>
  <si>
    <t>NM_198795</t>
  </si>
  <si>
    <t>CHST15</t>
  </si>
  <si>
    <t>ADAM12</t>
  </si>
  <si>
    <t>atG/atA</t>
  </si>
  <si>
    <t>Ccg/Tcg</t>
  </si>
  <si>
    <t>VENTX</t>
  </si>
  <si>
    <t>NM_014468</t>
  </si>
  <si>
    <t>GJD4</t>
  </si>
  <si>
    <t>NM_153368</t>
  </si>
  <si>
    <t>C10orf71</t>
  </si>
  <si>
    <t>TUBAL3</t>
  </si>
  <si>
    <t>NM_024803</t>
  </si>
  <si>
    <t>KCNMA1</t>
  </si>
  <si>
    <t>MYOF</t>
  </si>
  <si>
    <t>BIRC3</t>
  </si>
  <si>
    <t>GUCY1A2</t>
  </si>
  <si>
    <t>CWF19L2</t>
  </si>
  <si>
    <t>NM_152434</t>
  </si>
  <si>
    <t>RAB39A</t>
  </si>
  <si>
    <t>NM_017516</t>
  </si>
  <si>
    <t>CSNK2A1P</t>
  </si>
  <si>
    <t>NM_001256686</t>
  </si>
  <si>
    <t>USP47</t>
  </si>
  <si>
    <t>NM_017944</t>
  </si>
  <si>
    <t>POU2F3</t>
  </si>
  <si>
    <t>NM_003105</t>
  </si>
  <si>
    <t>FLI1</t>
  </si>
  <si>
    <t>MRGPRX1</t>
  </si>
  <si>
    <t>NM_147199</t>
  </si>
  <si>
    <t>NM_005969</t>
  </si>
  <si>
    <t>FBXO3</t>
  </si>
  <si>
    <t>NM_012175</t>
  </si>
  <si>
    <t>OR5M10</t>
  </si>
  <si>
    <t>NM_001004741</t>
  </si>
  <si>
    <t>PRDX5</t>
  </si>
  <si>
    <t>PYGM</t>
  </si>
  <si>
    <t>TRIM3</t>
  </si>
  <si>
    <t>SLC25A45</t>
  </si>
  <si>
    <t>CABP4</t>
  </si>
  <si>
    <t>NM_145200</t>
  </si>
  <si>
    <t>OR2AG2</t>
  </si>
  <si>
    <t>NM_001004490</t>
  </si>
  <si>
    <t>NM_012309</t>
  </si>
  <si>
    <t>SCUBE2</t>
  </si>
  <si>
    <t>MRE11A</t>
  </si>
  <si>
    <t>MYBPC1</t>
  </si>
  <si>
    <t>UBE3B</t>
  </si>
  <si>
    <t>aGg/aAg</t>
  </si>
  <si>
    <t>TBX5</t>
  </si>
  <si>
    <t>NCOR2</t>
  </si>
  <si>
    <t>GPR19</t>
  </si>
  <si>
    <t>NM_006143</t>
  </si>
  <si>
    <t>NM_006231</t>
  </si>
  <si>
    <t>CNTN1</t>
  </si>
  <si>
    <t>OR8S1</t>
  </si>
  <si>
    <t>NM_001005203</t>
  </si>
  <si>
    <t>TUBA1C</t>
  </si>
  <si>
    <t>NM_032704</t>
  </si>
  <si>
    <t>MMP19</t>
  </si>
  <si>
    <t>NM_002429</t>
  </si>
  <si>
    <t>SPRYD4</t>
  </si>
  <si>
    <t>LAG3</t>
  </si>
  <si>
    <t>COL4A2</t>
  </si>
  <si>
    <t>MTUS2</t>
  </si>
  <si>
    <t>NM_001033602</t>
  </si>
  <si>
    <t>NBEA</t>
  </si>
  <si>
    <t>NM_015678</t>
  </si>
  <si>
    <t>MAB21L1</t>
  </si>
  <si>
    <t>NM_005584</t>
  </si>
  <si>
    <t>NYNRIN</t>
  </si>
  <si>
    <t>NM_025081</t>
  </si>
  <si>
    <t>SPTB</t>
  </si>
  <si>
    <t>RIN3</t>
  </si>
  <si>
    <t>NM_024832</t>
  </si>
  <si>
    <t>NM_001195021</t>
  </si>
  <si>
    <t>RYR3</t>
  </si>
  <si>
    <t>MAP1A</t>
  </si>
  <si>
    <t>NM_002373</t>
  </si>
  <si>
    <t>DUOX2</t>
  </si>
  <si>
    <t>NM_014080</t>
  </si>
  <si>
    <t>TRPM7</t>
  </si>
  <si>
    <t>NM_017672</t>
  </si>
  <si>
    <t>SPPL2A</t>
  </si>
  <si>
    <t>NM_032802</t>
  </si>
  <si>
    <t>AP4E1</t>
  </si>
  <si>
    <t>NEDD4</t>
  </si>
  <si>
    <t>NM_198400</t>
  </si>
  <si>
    <t>ACAN</t>
  </si>
  <si>
    <t>UNC45A</t>
  </si>
  <si>
    <t>MYH11</t>
  </si>
  <si>
    <t>VWA3A</t>
  </si>
  <si>
    <t>NM_173615</t>
  </si>
  <si>
    <t>PRKCB</t>
  </si>
  <si>
    <t>CORO7</t>
  </si>
  <si>
    <t>MT1X</t>
  </si>
  <si>
    <t>NM_005952</t>
  </si>
  <si>
    <t>CDH16</t>
  </si>
  <si>
    <t>KCTD19</t>
  </si>
  <si>
    <t>NM_001100915</t>
  </si>
  <si>
    <t>CDH3</t>
  </si>
  <si>
    <t>NM_001793</t>
  </si>
  <si>
    <t>CALB2</t>
  </si>
  <si>
    <t>NM_001740</t>
  </si>
  <si>
    <t>MON1B</t>
  </si>
  <si>
    <t>NM_014940</t>
  </si>
  <si>
    <t>aCt/aAt</t>
  </si>
  <si>
    <t>JPH3</t>
  </si>
  <si>
    <t>NM_020655</t>
  </si>
  <si>
    <t>ADORA2B</t>
  </si>
  <si>
    <t>METTL16</t>
  </si>
  <si>
    <t>NM_024086</t>
  </si>
  <si>
    <t>NM_006923</t>
  </si>
  <si>
    <t>KRT13</t>
  </si>
  <si>
    <t>KRT9</t>
  </si>
  <si>
    <t>NM_000226</t>
  </si>
  <si>
    <t>IGF2BP1</t>
  </si>
  <si>
    <t>ABCC3</t>
  </si>
  <si>
    <t>NM_003786</t>
  </si>
  <si>
    <t>SPAG9</t>
  </si>
  <si>
    <t>TRIM25</t>
  </si>
  <si>
    <t>NM_005082</t>
  </si>
  <si>
    <t>HEATR6</t>
  </si>
  <si>
    <t>NM_022070</t>
  </si>
  <si>
    <t>SCN4A</t>
  </si>
  <si>
    <t>NM_000334</t>
  </si>
  <si>
    <t>ABCA5</t>
  </si>
  <si>
    <t>NEURL4</t>
  </si>
  <si>
    <t>DNAH2</t>
  </si>
  <si>
    <t>NM_020877</t>
  </si>
  <si>
    <t>CARD14</t>
  </si>
  <si>
    <t>ARHGEF15</t>
  </si>
  <si>
    <t>NAPG</t>
  </si>
  <si>
    <t>NM_003826</t>
  </si>
  <si>
    <t>NM_015461</t>
  </si>
  <si>
    <t>DLGAP1</t>
  </si>
  <si>
    <t>NM_020783</t>
  </si>
  <si>
    <t>CCDC151</t>
  </si>
  <si>
    <t>ELAVL3</t>
  </si>
  <si>
    <t>GCDH</t>
  </si>
  <si>
    <t>CACNA1A</t>
  </si>
  <si>
    <t>OR10H4</t>
  </si>
  <si>
    <t>NM_001004465</t>
  </si>
  <si>
    <t>NCAN</t>
  </si>
  <si>
    <t>NM_004386</t>
  </si>
  <si>
    <t>ZNF43</t>
  </si>
  <si>
    <t>NUDT19</t>
  </si>
  <si>
    <t>NM_001105570</t>
  </si>
  <si>
    <t>CEP89</t>
  </si>
  <si>
    <t>NM_032816</t>
  </si>
  <si>
    <t>TMEM147</t>
  </si>
  <si>
    <t>ZFP14</t>
  </si>
  <si>
    <t>NM_020917</t>
  </si>
  <si>
    <t>CATSPERG</t>
  </si>
  <si>
    <t>NM_021185</t>
  </si>
  <si>
    <t>RYR1</t>
  </si>
  <si>
    <t>RTN2</t>
  </si>
  <si>
    <t>ARRDC5</t>
  </si>
  <si>
    <t>NM_001080523</t>
  </si>
  <si>
    <t>PPFIA3</t>
  </si>
  <si>
    <t>NM_003660</t>
  </si>
  <si>
    <t>MED25</t>
  </si>
  <si>
    <t>NM_030973</t>
  </si>
  <si>
    <t>NM_002975</t>
  </si>
  <si>
    <t>ZNF175</t>
  </si>
  <si>
    <t>NM_007147</t>
  </si>
  <si>
    <t>LILRA4</t>
  </si>
  <si>
    <t>NM_012276</t>
  </si>
  <si>
    <t>NLRP4</t>
  </si>
  <si>
    <t>NM_134444</t>
  </si>
  <si>
    <t>ZNF71</t>
  </si>
  <si>
    <t>NM_021216</t>
  </si>
  <si>
    <t>ZIM3</t>
  </si>
  <si>
    <t>NM_052882</t>
  </si>
  <si>
    <t>PNPLA6</t>
  </si>
  <si>
    <t>RANBP2</t>
  </si>
  <si>
    <t>NM_006267</t>
  </si>
  <si>
    <t>ROCK2</t>
  </si>
  <si>
    <t>NM_004850</t>
  </si>
  <si>
    <t>IL36G</t>
  </si>
  <si>
    <t>NM_019618</t>
  </si>
  <si>
    <t>IL36B</t>
  </si>
  <si>
    <t>NM_173178</t>
  </si>
  <si>
    <t>PKP4</t>
  </si>
  <si>
    <t>XIRP2</t>
  </si>
  <si>
    <t>NCKAP1</t>
  </si>
  <si>
    <t>PMS1</t>
  </si>
  <si>
    <t>HECW2</t>
  </si>
  <si>
    <t>NM_020760</t>
  </si>
  <si>
    <t>SLC19A3</t>
  </si>
  <si>
    <t>NM_025243</t>
  </si>
  <si>
    <t>COL6A3</t>
  </si>
  <si>
    <t>ADCY3</t>
  </si>
  <si>
    <t>NM_004036</t>
  </si>
  <si>
    <t>KCNK3</t>
  </si>
  <si>
    <t>NM_002246</t>
  </si>
  <si>
    <t>CAD</t>
  </si>
  <si>
    <t>NM_004341</t>
  </si>
  <si>
    <t>IFT172</t>
  </si>
  <si>
    <t>NM_015662</t>
  </si>
  <si>
    <t>PLB1</t>
  </si>
  <si>
    <t>TTC27</t>
  </si>
  <si>
    <t>EHBP1</t>
  </si>
  <si>
    <t>SMYD1</t>
  </si>
  <si>
    <t>NM_198274</t>
  </si>
  <si>
    <t>ESF1</t>
  </si>
  <si>
    <t>NM_016649</t>
  </si>
  <si>
    <t>SEC23B</t>
  </si>
  <si>
    <t>PTPRA</t>
  </si>
  <si>
    <t>SIGLEC1</t>
  </si>
  <si>
    <t>NM_023068</t>
  </si>
  <si>
    <t>KIAA1755</t>
  </si>
  <si>
    <t>NM_001029864</t>
  </si>
  <si>
    <t>FAM83D</t>
  </si>
  <si>
    <t>NM_030919</t>
  </si>
  <si>
    <t>CHD6</t>
  </si>
  <si>
    <t>SLC12A5</t>
  </si>
  <si>
    <t>MORC3</t>
  </si>
  <si>
    <t>NM_015358</t>
  </si>
  <si>
    <t>DSCAM</t>
  </si>
  <si>
    <t>NM_001389</t>
  </si>
  <si>
    <t>MTMR3</t>
  </si>
  <si>
    <t>NM_002473</t>
  </si>
  <si>
    <t>CELSR1</t>
  </si>
  <si>
    <t>NM_014246</t>
  </si>
  <si>
    <t>MOV10L1</t>
  </si>
  <si>
    <t>FANCD2</t>
  </si>
  <si>
    <t>KIAA2018</t>
  </si>
  <si>
    <t>NM_001009899</t>
  </si>
  <si>
    <t>aGt/aAt</t>
  </si>
  <si>
    <t>HSPBAP1</t>
  </si>
  <si>
    <t>NM_024610</t>
  </si>
  <si>
    <t>TXNRD3</t>
  </si>
  <si>
    <t>NM_016216</t>
  </si>
  <si>
    <t>TRIM42</t>
  </si>
  <si>
    <t>NM_152616</t>
  </si>
  <si>
    <t>C3orf20</t>
  </si>
  <si>
    <t>KCNAB1</t>
  </si>
  <si>
    <t>TBC1D5</t>
  </si>
  <si>
    <t>RTP1</t>
  </si>
  <si>
    <t>NM_153708</t>
  </si>
  <si>
    <t>KIAA0226</t>
  </si>
  <si>
    <t>NM_014687</t>
  </si>
  <si>
    <t>SCN5A</t>
  </si>
  <si>
    <t>SCN10A</t>
  </si>
  <si>
    <t>NM_006514</t>
  </si>
  <si>
    <t>TTC21A</t>
  </si>
  <si>
    <t>ULK4</t>
  </si>
  <si>
    <t>NM_017886</t>
  </si>
  <si>
    <t>CCDC13</t>
  </si>
  <si>
    <t>NM_144719</t>
  </si>
  <si>
    <t>CACNA2D2</t>
  </si>
  <si>
    <t>MITF</t>
  </si>
  <si>
    <t>VGLL3</t>
  </si>
  <si>
    <t>NM_016206</t>
  </si>
  <si>
    <t>OR5H15</t>
  </si>
  <si>
    <t>NM_001005515</t>
  </si>
  <si>
    <t>NFKB1</t>
  </si>
  <si>
    <t>ALPK1</t>
  </si>
  <si>
    <t>tCa/tTa</t>
  </si>
  <si>
    <t>SYNPO2</t>
  </si>
  <si>
    <t>NM_133477</t>
  </si>
  <si>
    <t>KIAA0922</t>
  </si>
  <si>
    <t>NM_000508</t>
  </si>
  <si>
    <t>NM_012318</t>
  </si>
  <si>
    <t>SORBS2</t>
  </si>
  <si>
    <t>TRIML2</t>
  </si>
  <si>
    <t>NM_173553</t>
  </si>
  <si>
    <t>FAM193A</t>
  </si>
  <si>
    <t>GABRB1</t>
  </si>
  <si>
    <t>NM_000812</t>
  </si>
  <si>
    <t>NM_025087</t>
  </si>
  <si>
    <t>SCFD2</t>
  </si>
  <si>
    <t>NM_152540</t>
  </si>
  <si>
    <t>CCDC158</t>
  </si>
  <si>
    <t>NM_001042784</t>
  </si>
  <si>
    <t>NM_025074</t>
  </si>
  <si>
    <t>CTNND2</t>
  </si>
  <si>
    <t>NM_001332</t>
  </si>
  <si>
    <t>DMXL1</t>
  </si>
  <si>
    <t>NM_005509</t>
  </si>
  <si>
    <t>RAD50</t>
  </si>
  <si>
    <t>NM_005732</t>
  </si>
  <si>
    <t>DNAH5</t>
  </si>
  <si>
    <t>NM_001369</t>
  </si>
  <si>
    <t>Caa/Taa</t>
  </si>
  <si>
    <t>SLC4A9</t>
  </si>
  <si>
    <t>PCDHGA10</t>
  </si>
  <si>
    <t>FAT2</t>
  </si>
  <si>
    <t>NM_001447</t>
  </si>
  <si>
    <t>SGCD</t>
  </si>
  <si>
    <t>NM_012304</t>
  </si>
  <si>
    <t>GABRB2</t>
  </si>
  <si>
    <t>HK3</t>
  </si>
  <si>
    <t>NM_002115</t>
  </si>
  <si>
    <t>ADAMTS6</t>
  </si>
  <si>
    <t>NM_197941</t>
  </si>
  <si>
    <t>MAP1B</t>
  </si>
  <si>
    <t>NM_005909</t>
  </si>
  <si>
    <t>VCAN</t>
  </si>
  <si>
    <t>LIX1</t>
  </si>
  <si>
    <t>NM_153234</t>
  </si>
  <si>
    <t>RIOK2</t>
  </si>
  <si>
    <t>ASCC3</t>
  </si>
  <si>
    <t>NM_006828</t>
  </si>
  <si>
    <t>SLC22A16</t>
  </si>
  <si>
    <t>NM_033125</t>
  </si>
  <si>
    <t>HIVEP2</t>
  </si>
  <si>
    <t>NM_006734</t>
  </si>
  <si>
    <t>GPLD1</t>
  </si>
  <si>
    <t>NM_001503</t>
  </si>
  <si>
    <t>OR10C1</t>
  </si>
  <si>
    <t>NM_013941</t>
  </si>
  <si>
    <t>SERPINB6</t>
  </si>
  <si>
    <t>TNXB</t>
  </si>
  <si>
    <t>GPR115</t>
  </si>
  <si>
    <t>NM_153838</t>
  </si>
  <si>
    <t>FARS2</t>
  </si>
  <si>
    <t>NM_006567</t>
  </si>
  <si>
    <t>CNR1</t>
  </si>
  <si>
    <t>SLC12A9</t>
  </si>
  <si>
    <t>LAMB4</t>
  </si>
  <si>
    <t>NM_007356</t>
  </si>
  <si>
    <t>ST7</t>
  </si>
  <si>
    <t>PODXL</t>
  </si>
  <si>
    <t>JHDM1D</t>
  </si>
  <si>
    <t>NM_030647</t>
  </si>
  <si>
    <t>AGAP3</t>
  </si>
  <si>
    <t>NM_031946</t>
  </si>
  <si>
    <t>AMPH</t>
  </si>
  <si>
    <t>GLI3</t>
  </si>
  <si>
    <t>NM_000168</t>
  </si>
  <si>
    <t>ABCA13</t>
  </si>
  <si>
    <t>NM_152701</t>
  </si>
  <si>
    <t>DDC</t>
  </si>
  <si>
    <t>YWHAG</t>
  </si>
  <si>
    <t>NM_012479</t>
  </si>
  <si>
    <t>GTPBP10</t>
  </si>
  <si>
    <t>NM_003439</t>
  </si>
  <si>
    <t>RRM2B</t>
  </si>
  <si>
    <t>FZD6</t>
  </si>
  <si>
    <t>DCSTAMP</t>
  </si>
  <si>
    <t>NM_030788</t>
  </si>
  <si>
    <t>PKHD1L1</t>
  </si>
  <si>
    <t>NM_177531</t>
  </si>
  <si>
    <t>TG</t>
  </si>
  <si>
    <t>NM_003235</t>
  </si>
  <si>
    <t>FAM135B</t>
  </si>
  <si>
    <t>NM_015912</t>
  </si>
  <si>
    <t>COL22A1</t>
  </si>
  <si>
    <t>NM_152888</t>
  </si>
  <si>
    <t>ZNF623</t>
  </si>
  <si>
    <t>TUSC3</t>
  </si>
  <si>
    <t>INTS10</t>
  </si>
  <si>
    <t>NM_018142</t>
  </si>
  <si>
    <t>SLC18A1</t>
  </si>
  <si>
    <t>LOXL2</t>
  </si>
  <si>
    <t>NM_002318</t>
  </si>
  <si>
    <t>NM_080872</t>
  </si>
  <si>
    <t>PRKDC</t>
  </si>
  <si>
    <t>CHD7</t>
  </si>
  <si>
    <t>NM_017780</t>
  </si>
  <si>
    <t>DNAJC5B</t>
  </si>
  <si>
    <t>NM_033105</t>
  </si>
  <si>
    <t>SLC7A13</t>
  </si>
  <si>
    <t>RUNX1T1</t>
  </si>
  <si>
    <t>ESRP1</t>
  </si>
  <si>
    <t>MATN2</t>
  </si>
  <si>
    <t>POP1</t>
  </si>
  <si>
    <t>CNTRL</t>
  </si>
  <si>
    <t>NM_007018</t>
  </si>
  <si>
    <t>OR1J1</t>
  </si>
  <si>
    <t>NM_001004451</t>
  </si>
  <si>
    <t>NM_013318</t>
  </si>
  <si>
    <t>POMT1</t>
  </si>
  <si>
    <t>ADAMTSL1</t>
  </si>
  <si>
    <t>NM_001040272</t>
  </si>
  <si>
    <t>NM_015225</t>
  </si>
  <si>
    <t>DMRT1</t>
  </si>
  <si>
    <t>NM_021951</t>
  </si>
  <si>
    <t>NXF3</t>
  </si>
  <si>
    <t>NM_022052</t>
  </si>
  <si>
    <t>TEX13B</t>
  </si>
  <si>
    <t>NM_031273</t>
  </si>
  <si>
    <t>IRS4</t>
  </si>
  <si>
    <t>NM_003604</t>
  </si>
  <si>
    <t>RGAG1</t>
  </si>
  <si>
    <t>NM_020769</t>
  </si>
  <si>
    <t>MSL3</t>
  </si>
  <si>
    <t>KIAA1210</t>
  </si>
  <si>
    <t>NM_020721</t>
  </si>
  <si>
    <t>OCRL</t>
  </si>
  <si>
    <t>GPC4</t>
  </si>
  <si>
    <t>NM_001448</t>
  </si>
  <si>
    <t>HTATSF1</t>
  </si>
  <si>
    <t>EGFL6</t>
  </si>
  <si>
    <t>ZIC3</t>
  </si>
  <si>
    <t>NM_003413</t>
  </si>
  <si>
    <t>FGF13</t>
  </si>
  <si>
    <t>MTMR1</t>
  </si>
  <si>
    <t>NM_003828</t>
  </si>
  <si>
    <t>MAGEA4</t>
  </si>
  <si>
    <t>RBBP7</t>
  </si>
  <si>
    <t>MAP3K15</t>
  </si>
  <si>
    <t>NM_001001671</t>
  </si>
  <si>
    <t>FAM47C</t>
  </si>
  <si>
    <t>NM_001013736</t>
  </si>
  <si>
    <t>AKAP4</t>
  </si>
  <si>
    <t>Cat/Tat</t>
  </si>
  <si>
    <t>SPANXN5</t>
  </si>
  <si>
    <t>NM_001009616</t>
  </si>
  <si>
    <t>UBQLN2</t>
  </si>
  <si>
    <t>NM_013444</t>
  </si>
  <si>
    <t>GDPD2</t>
  </si>
  <si>
    <t>PHKA1</t>
  </si>
  <si>
    <t>MAGEE2</t>
  </si>
  <si>
    <t>NM_138703</t>
  </si>
  <si>
    <t>DACH2</t>
  </si>
  <si>
    <t>SYT14</t>
  </si>
  <si>
    <t>ZDHHC6</t>
  </si>
  <si>
    <t>NM_022494</t>
  </si>
  <si>
    <t>UPF2</t>
  </si>
  <si>
    <t>LYVE1</t>
  </si>
  <si>
    <t>NM_006691</t>
  </si>
  <si>
    <t>OR52B6</t>
  </si>
  <si>
    <t>NM_001005162</t>
  </si>
  <si>
    <t>Ttc/Gtc</t>
  </si>
  <si>
    <t>C12orf50</t>
  </si>
  <si>
    <t>NM_152589</t>
  </si>
  <si>
    <t>EFNB2</t>
  </si>
  <si>
    <t>NM_004093</t>
  </si>
  <si>
    <t>ATP12A</t>
  </si>
  <si>
    <t>aTc/aAc</t>
  </si>
  <si>
    <t>CDH13</t>
  </si>
  <si>
    <t>Cca/Gca</t>
  </si>
  <si>
    <t>TYMP</t>
  </si>
  <si>
    <t>Atc/Ctc</t>
  </si>
  <si>
    <t>MRPS22</t>
  </si>
  <si>
    <t>NM_020191</t>
  </si>
  <si>
    <t>LIMCH1</t>
  </si>
  <si>
    <t>ATP10B</t>
  </si>
  <si>
    <t>NM_025153</t>
  </si>
  <si>
    <t>TBX18</t>
  </si>
  <si>
    <t>NM_001080508</t>
  </si>
  <si>
    <t>ANLN</t>
  </si>
  <si>
    <t>NM_018685</t>
  </si>
  <si>
    <t>NUP214</t>
  </si>
  <si>
    <t>NM_005085</t>
  </si>
  <si>
    <t>HIPK1</t>
  </si>
  <si>
    <t>BATF3</t>
  </si>
  <si>
    <t>NM_018664</t>
  </si>
  <si>
    <t>ZMYM4</t>
  </si>
  <si>
    <t>NM_005095</t>
  </si>
  <si>
    <t>JAK1</t>
  </si>
  <si>
    <t>NM_002227</t>
  </si>
  <si>
    <t>LRRC7</t>
  </si>
  <si>
    <t>NM_020794</t>
  </si>
  <si>
    <t>CCDC33</t>
  </si>
  <si>
    <t>NM_025055</t>
  </si>
  <si>
    <t>ASIC2</t>
  </si>
  <si>
    <t>Tta/Ata</t>
  </si>
  <si>
    <t>SKA2</t>
  </si>
  <si>
    <t>NM_001100595</t>
  </si>
  <si>
    <t>SMG8</t>
  </si>
  <si>
    <t>NM_018149</t>
  </si>
  <si>
    <t>Cga/Gga</t>
  </si>
  <si>
    <t>CLTC</t>
  </si>
  <si>
    <t>NM_004859</t>
  </si>
  <si>
    <t>cTa/cCa</t>
  </si>
  <si>
    <t>ZNF682</t>
  </si>
  <si>
    <t>Tca/Gca</t>
  </si>
  <si>
    <t>ZNF536</t>
  </si>
  <si>
    <t>NM_014717</t>
  </si>
  <si>
    <t>FASTKD1</t>
  </si>
  <si>
    <t>NM_024622</t>
  </si>
  <si>
    <t>SPHKAP</t>
  </si>
  <si>
    <t>DGKD</t>
  </si>
  <si>
    <t>NRIP1</t>
  </si>
  <si>
    <t>NM_003489</t>
  </si>
  <si>
    <t>APC</t>
  </si>
  <si>
    <t>HIST1H2AM</t>
  </si>
  <si>
    <t>NM_003514</t>
  </si>
  <si>
    <t>NM_183373</t>
  </si>
  <si>
    <t>tgG/tgT</t>
  </si>
  <si>
    <t>NM_033224</t>
  </si>
  <si>
    <t>FAM75A6</t>
  </si>
  <si>
    <t>NM_001145196</t>
  </si>
  <si>
    <t>tGc/tTc</t>
  </si>
  <si>
    <t>CELSR2</t>
  </si>
  <si>
    <t>NM_001408</t>
  </si>
  <si>
    <t>Cac/Aac</t>
  </si>
  <si>
    <t>SFR1</t>
  </si>
  <si>
    <t>Cta/Ata</t>
  </si>
  <si>
    <t>CHRM4</t>
  </si>
  <si>
    <t>NM_000741</t>
  </si>
  <si>
    <t>CHCHD8</t>
  </si>
  <si>
    <t>NM_016565</t>
  </si>
  <si>
    <t>NM_207361</t>
  </si>
  <si>
    <t>KCNK10</t>
  </si>
  <si>
    <t>LIPC</t>
  </si>
  <si>
    <t>NM_000236</t>
  </si>
  <si>
    <t>HERC1</t>
  </si>
  <si>
    <t>NM_003922</t>
  </si>
  <si>
    <t>C16orf62</t>
  </si>
  <si>
    <t>NM_020314</t>
  </si>
  <si>
    <t>TSHZ1</t>
  </si>
  <si>
    <t>NM_005786</t>
  </si>
  <si>
    <t>ZFP64</t>
  </si>
  <si>
    <t>KRTAP8-1</t>
  </si>
  <si>
    <t>NM_175857</t>
  </si>
  <si>
    <t>GGT5</t>
  </si>
  <si>
    <t>PIK3CA</t>
  </si>
  <si>
    <t>NM_006218</t>
  </si>
  <si>
    <t>atG/atT</t>
  </si>
  <si>
    <t>CACNA2D1</t>
  </si>
  <si>
    <t>NM_000722</t>
  </si>
  <si>
    <t>CCDC132</t>
  </si>
  <si>
    <t>A2ML1</t>
  </si>
  <si>
    <t>NM_144670</t>
  </si>
  <si>
    <t>aGc/aTc</t>
  </si>
  <si>
    <t>DET1</t>
  </si>
  <si>
    <t>PRND</t>
  </si>
  <si>
    <t>NM_012409</t>
  </si>
  <si>
    <t>TRPC3</t>
  </si>
  <si>
    <t>PCDHGA5</t>
  </si>
  <si>
    <t>HMMR</t>
  </si>
  <si>
    <t>Aaa/Taa</t>
  </si>
  <si>
    <t>DFNA5</t>
  </si>
  <si>
    <t>tGg/tTg</t>
  </si>
  <si>
    <t>C1orf185</t>
  </si>
  <si>
    <t>NM_001136508</t>
  </si>
  <si>
    <t>MRPL37</t>
  </si>
  <si>
    <t>NM_016491</t>
  </si>
  <si>
    <t>tCg/tGg</t>
  </si>
  <si>
    <t>HFM1</t>
  </si>
  <si>
    <t>NM_001017975</t>
  </si>
  <si>
    <t>ENTPD1</t>
  </si>
  <si>
    <t>NUDT22</t>
  </si>
  <si>
    <t>aAc/aCc</t>
  </si>
  <si>
    <t>CSAD</t>
  </si>
  <si>
    <t>FNDC3A</t>
  </si>
  <si>
    <t>Att/Gtt</t>
  </si>
  <si>
    <t>TSGA10</t>
  </si>
  <si>
    <t>aGt/aTt</t>
  </si>
  <si>
    <t>UST</t>
  </si>
  <si>
    <t>NM_005715</t>
  </si>
  <si>
    <t>NM_001008712</t>
  </si>
  <si>
    <t>tgT/tgG</t>
  </si>
  <si>
    <t>NM_002998</t>
  </si>
  <si>
    <t>ZNF697</t>
  </si>
  <si>
    <t>NM_001080470</t>
  </si>
  <si>
    <t>PCNXL2</t>
  </si>
  <si>
    <t>NM_014801</t>
  </si>
  <si>
    <t>CD109</t>
  </si>
  <si>
    <t>aAg/aCg</t>
  </si>
  <si>
    <t>SLC25A5</t>
  </si>
  <si>
    <t>NM_001152</t>
  </si>
  <si>
    <t>Caa/Gaa</t>
  </si>
  <si>
    <t>VIM</t>
  </si>
  <si>
    <t>NM_003380</t>
  </si>
  <si>
    <t>gTt/gGt</t>
  </si>
  <si>
    <t>aGc/aCc</t>
  </si>
  <si>
    <t>RAG1</t>
  </si>
  <si>
    <t>NM_000448</t>
  </si>
  <si>
    <t>Cat/Aat</t>
  </si>
  <si>
    <t>CHST11</t>
  </si>
  <si>
    <t>CACNA2D4</t>
  </si>
  <si>
    <t>NM_172364</t>
  </si>
  <si>
    <t>EFCAB4B</t>
  </si>
  <si>
    <t>NM_001144958</t>
  </si>
  <si>
    <t>NUP107</t>
  </si>
  <si>
    <t>NM_020401</t>
  </si>
  <si>
    <t>NTN4</t>
  </si>
  <si>
    <t>NM_021229</t>
  </si>
  <si>
    <t>RB1</t>
  </si>
  <si>
    <t>NM_000321</t>
  </si>
  <si>
    <t>HCN4</t>
  </si>
  <si>
    <t>NM_005477</t>
  </si>
  <si>
    <t>Tat/Gat</t>
  </si>
  <si>
    <t>CNTNAP4</t>
  </si>
  <si>
    <t>CACTIN</t>
  </si>
  <si>
    <t>LYPD6B</t>
  </si>
  <si>
    <t>NM_177964</t>
  </si>
  <si>
    <t>Tgg/Cgg</t>
  </si>
  <si>
    <t>COL5A2</t>
  </si>
  <si>
    <t>NM_000393</t>
  </si>
  <si>
    <t>SYNDIG1</t>
  </si>
  <si>
    <t>NM_024893</t>
  </si>
  <si>
    <t>ANKRD60</t>
  </si>
  <si>
    <t>SCO2</t>
  </si>
  <si>
    <t>gTg/gCg</t>
  </si>
  <si>
    <t>cTg/cCg</t>
  </si>
  <si>
    <t>TXK</t>
  </si>
  <si>
    <t>NM_003328</t>
  </si>
  <si>
    <t>tTc/tCc</t>
  </si>
  <si>
    <t>NM_030955</t>
  </si>
  <si>
    <t>EMB</t>
  </si>
  <si>
    <t>NM_198449</t>
  </si>
  <si>
    <t>KIAA0825</t>
  </si>
  <si>
    <t>MCM9</t>
  </si>
  <si>
    <t>NM_017696</t>
  </si>
  <si>
    <t>DDAH2</t>
  </si>
  <si>
    <t>NM_013974</t>
  </si>
  <si>
    <t>CUL7</t>
  </si>
  <si>
    <t>NEUROD6</t>
  </si>
  <si>
    <t>NM_022728</t>
  </si>
  <si>
    <t>tAc/tTc</t>
  </si>
  <si>
    <t>HDAC6</t>
  </si>
  <si>
    <t>NM_006044</t>
  </si>
  <si>
    <t>NM_000186</t>
  </si>
  <si>
    <t>DUX4L4</t>
  </si>
  <si>
    <t>XM_001720798</t>
  </si>
  <si>
    <t>gGg/gCg</t>
  </si>
  <si>
    <t>gCc/gAc</t>
  </si>
  <si>
    <t>NM_001417</t>
  </si>
  <si>
    <t>SGCG</t>
  </si>
  <si>
    <t>NM_000231</t>
  </si>
  <si>
    <t>tGg/tCg</t>
  </si>
  <si>
    <t>ttT/ttA</t>
  </si>
  <si>
    <t>SIM1</t>
  </si>
  <si>
    <t>NM_005068</t>
  </si>
  <si>
    <t>Ctc/Gtc</t>
  </si>
  <si>
    <t>GPRASP1</t>
  </si>
  <si>
    <t>USP8</t>
  </si>
  <si>
    <t>MRGPRX3</t>
  </si>
  <si>
    <t>NM_054031</t>
  </si>
  <si>
    <t>SWAP70</t>
  </si>
  <si>
    <t>NM_015055</t>
  </si>
  <si>
    <t>C12orf59</t>
  </si>
  <si>
    <t>NM_153022</t>
  </si>
  <si>
    <t>NANOGNB</t>
  </si>
  <si>
    <t>NM_001145465</t>
  </si>
  <si>
    <t>NLRC5</t>
  </si>
  <si>
    <t>NM_032206</t>
  </si>
  <si>
    <t>PEG3</t>
  </si>
  <si>
    <t>taT/taG</t>
  </si>
  <si>
    <t>FSIP2</t>
  </si>
  <si>
    <t>NM_173651</t>
  </si>
  <si>
    <t>STARD7</t>
  </si>
  <si>
    <t>NM_020151</t>
  </si>
  <si>
    <t>Ctg/Gtg</t>
  </si>
  <si>
    <t>GRIP2</t>
  </si>
  <si>
    <t>NM_001080423</t>
  </si>
  <si>
    <t>aAa/aTa</t>
  </si>
  <si>
    <t>NM_145262</t>
  </si>
  <si>
    <t>SPRY1</t>
  </si>
  <si>
    <t>DTHD1</t>
  </si>
  <si>
    <t>TMEM130</t>
  </si>
  <si>
    <t>TGS1</t>
  </si>
  <si>
    <t>NM_024831</t>
  </si>
  <si>
    <t>DNAH14</t>
  </si>
  <si>
    <t>NM_001373</t>
  </si>
  <si>
    <t>C11orf63</t>
  </si>
  <si>
    <t>NAT10</t>
  </si>
  <si>
    <t>DTX1</t>
  </si>
  <si>
    <t>NM_004416</t>
  </si>
  <si>
    <t>Gga/Cga</t>
  </si>
  <si>
    <t>NM_020762</t>
  </si>
  <si>
    <t>IRAK3</t>
  </si>
  <si>
    <t>KIAA0317</t>
  </si>
  <si>
    <t>NM_001039479</t>
  </si>
  <si>
    <t>SMEK1</t>
  </si>
  <si>
    <t>NM_032560</t>
  </si>
  <si>
    <t>ZG16B</t>
  </si>
  <si>
    <t>NM_145252</t>
  </si>
  <si>
    <t>SLFN5</t>
  </si>
  <si>
    <t>NM_144975</t>
  </si>
  <si>
    <t>USP32</t>
  </si>
  <si>
    <t>NM_032582</t>
  </si>
  <si>
    <t>CD79B</t>
  </si>
  <si>
    <t>gTc/gAc</t>
  </si>
  <si>
    <t>INPP1</t>
  </si>
  <si>
    <t>PLEKHH2</t>
  </si>
  <si>
    <t>NM_172069</t>
  </si>
  <si>
    <t>ZNFX1</t>
  </si>
  <si>
    <t>NM_021035</t>
  </si>
  <si>
    <t>tTa/tGa</t>
  </si>
  <si>
    <t>ESYT3</t>
  </si>
  <si>
    <t>NM_031913</t>
  </si>
  <si>
    <t>U2SURP</t>
  </si>
  <si>
    <t>NM_001080415</t>
  </si>
  <si>
    <t>PCDHA1</t>
  </si>
  <si>
    <t>SKIV2L2</t>
  </si>
  <si>
    <t>NM_015360</t>
  </si>
  <si>
    <t>SLC38A9</t>
  </si>
  <si>
    <t>HMGCR</t>
  </si>
  <si>
    <t>EPB41L2</t>
  </si>
  <si>
    <t>COL19A1</t>
  </si>
  <si>
    <t>NM_001858</t>
  </si>
  <si>
    <t>AHR</t>
  </si>
  <si>
    <t>NM_001621</t>
  </si>
  <si>
    <t>Cta/Gta</t>
  </si>
  <si>
    <t>RBAK</t>
  </si>
  <si>
    <t>NM_002568</t>
  </si>
  <si>
    <t>TAF1L</t>
  </si>
  <si>
    <t>NM_153809</t>
  </si>
  <si>
    <t>Aac/Tac</t>
  </si>
  <si>
    <t>HTR2C</t>
  </si>
  <si>
    <t>ZNF41</t>
  </si>
  <si>
    <t>KRTAP9-3</t>
  </si>
  <si>
    <t>NM_031962</t>
  </si>
  <si>
    <t>cAg/cTg</t>
  </si>
  <si>
    <t>USP14</t>
  </si>
  <si>
    <t>Aaa/Gaa</t>
  </si>
  <si>
    <t>NCCRP1</t>
  </si>
  <si>
    <t>NM_001001414</t>
  </si>
  <si>
    <t>MZF1</t>
  </si>
  <si>
    <t>SEZ6L</t>
  </si>
  <si>
    <t>TCF20</t>
  </si>
  <si>
    <t>Caa/Aaa</t>
  </si>
  <si>
    <t>FGD5</t>
  </si>
  <si>
    <t>NM_152536</t>
  </si>
  <si>
    <t>CACNA2D3</t>
  </si>
  <si>
    <t>NM_018398</t>
  </si>
  <si>
    <t>F2RL2</t>
  </si>
  <si>
    <t>Ccc/Acc</t>
  </si>
  <si>
    <t>NM_014379</t>
  </si>
  <si>
    <t>ZNF483</t>
  </si>
  <si>
    <t>NM_133464</t>
  </si>
  <si>
    <t>PRRG3</t>
  </si>
  <si>
    <t>NM_024082</t>
  </si>
  <si>
    <t>aTg/aCg</t>
  </si>
  <si>
    <t>WLS</t>
  </si>
  <si>
    <t>NM_014956</t>
  </si>
  <si>
    <t>OR10G8</t>
  </si>
  <si>
    <t>NM_001004464</t>
  </si>
  <si>
    <t>MS4A14</t>
  </si>
  <si>
    <t>BAZ2A</t>
  </si>
  <si>
    <t>NM_013449</t>
  </si>
  <si>
    <t>USP15</t>
  </si>
  <si>
    <t>aaA/aaT</t>
  </si>
  <si>
    <t>USP44</t>
  </si>
  <si>
    <t>RNF6</t>
  </si>
  <si>
    <t>Tat/Aat</t>
  </si>
  <si>
    <t>MYH7</t>
  </si>
  <si>
    <t>NM_000257</t>
  </si>
  <si>
    <t>AP5M1</t>
  </si>
  <si>
    <t>NM_018229</t>
  </si>
  <si>
    <t>ATG2B</t>
  </si>
  <si>
    <t>NM_018036</t>
  </si>
  <si>
    <t>Atg/Ctg</t>
  </si>
  <si>
    <t>ZNF48</t>
  </si>
  <si>
    <t>Agt/Tgt</t>
  </si>
  <si>
    <t>TAC4</t>
  </si>
  <si>
    <t>MIF4GD</t>
  </si>
  <si>
    <t>ZNF396</t>
  </si>
  <si>
    <t>NM_145756</t>
  </si>
  <si>
    <t>Tca/Cca</t>
  </si>
  <si>
    <t>RGL3</t>
  </si>
  <si>
    <t>LY75</t>
  </si>
  <si>
    <t>TTLL4</t>
  </si>
  <si>
    <t>NM_014640</t>
  </si>
  <si>
    <t>DHX57</t>
  </si>
  <si>
    <t>NM_198963</t>
  </si>
  <si>
    <t>USP34</t>
  </si>
  <si>
    <t>NM_014709</t>
  </si>
  <si>
    <t>XM_003119827</t>
  </si>
  <si>
    <t>DONSON</t>
  </si>
  <si>
    <t>NM_017613</t>
  </si>
  <si>
    <t>SIDT1</t>
  </si>
  <si>
    <t>NM_017699</t>
  </si>
  <si>
    <t>gTg/gGg</t>
  </si>
  <si>
    <t>PARP14</t>
  </si>
  <si>
    <t>NM_017554</t>
  </si>
  <si>
    <t>NPHP3</t>
  </si>
  <si>
    <t>NM_153240</t>
  </si>
  <si>
    <t>IGSF10</t>
  </si>
  <si>
    <t>SI</t>
  </si>
  <si>
    <t>NM_001041</t>
  </si>
  <si>
    <t>ATP13A4</t>
  </si>
  <si>
    <t>NM_032279</t>
  </si>
  <si>
    <t>CPZ</t>
  </si>
  <si>
    <t>Tcc/Gcc</t>
  </si>
  <si>
    <t>FKBPL</t>
  </si>
  <si>
    <t>NM_022110</t>
  </si>
  <si>
    <t>MAN1A2</t>
  </si>
  <si>
    <t>NM_006699</t>
  </si>
  <si>
    <t>LCE3A</t>
  </si>
  <si>
    <t>NM_178431</t>
  </si>
  <si>
    <t>SCAMP3</t>
  </si>
  <si>
    <t>FHAD1</t>
  </si>
  <si>
    <t>NM_052929</t>
  </si>
  <si>
    <t>FCRL1</t>
  </si>
  <si>
    <t>Act/Cct</t>
  </si>
  <si>
    <t>PYHIN1</t>
  </si>
  <si>
    <t>PLEKHM2</t>
  </si>
  <si>
    <t>NM_015164</t>
  </si>
  <si>
    <t>DUSP27</t>
  </si>
  <si>
    <t>NM_001080426</t>
  </si>
  <si>
    <t>LAMC2</t>
  </si>
  <si>
    <t>TMCO4</t>
  </si>
  <si>
    <t>NM_181719</t>
  </si>
  <si>
    <t>GBP7</t>
  </si>
  <si>
    <t>NM_207398</t>
  </si>
  <si>
    <t>ARHGAP42</t>
  </si>
  <si>
    <t>NM_152432</t>
  </si>
  <si>
    <t>atG/atC</t>
  </si>
  <si>
    <t>OR10G7</t>
  </si>
  <si>
    <t>NM_001004463</t>
  </si>
  <si>
    <t>YIF1A</t>
  </si>
  <si>
    <t>NM_020470</t>
  </si>
  <si>
    <t>FCHSD2</t>
  </si>
  <si>
    <t>NM_014824</t>
  </si>
  <si>
    <t>ODZ4</t>
  </si>
  <si>
    <t>NM_001098816</t>
  </si>
  <si>
    <t>STAB2</t>
  </si>
  <si>
    <t>NM_017564</t>
  </si>
  <si>
    <t>NM_018179</t>
  </si>
  <si>
    <t>HOXC9</t>
  </si>
  <si>
    <t>NM_006897</t>
  </si>
  <si>
    <t>MDGA2</t>
  </si>
  <si>
    <t>RGS6</t>
  </si>
  <si>
    <t>VRTN</t>
  </si>
  <si>
    <t>NM_018228</t>
  </si>
  <si>
    <t>PROX2</t>
  </si>
  <si>
    <t>LRRK1</t>
  </si>
  <si>
    <t>NM_024652</t>
  </si>
  <si>
    <t>C15orf55</t>
  </si>
  <si>
    <t>NM_175741</t>
  </si>
  <si>
    <t>NM_001080534</t>
  </si>
  <si>
    <t>ZNF280D</t>
  </si>
  <si>
    <t>BNC1</t>
  </si>
  <si>
    <t>NM_001717</t>
  </si>
  <si>
    <t>CLDN6</t>
  </si>
  <si>
    <t>NM_021195</t>
  </si>
  <si>
    <t>Tgc/Agc</t>
  </si>
  <si>
    <t>ZNF423</t>
  </si>
  <si>
    <t>NM_015069</t>
  </si>
  <si>
    <t>DDX28</t>
  </si>
  <si>
    <t>NM_018380</t>
  </si>
  <si>
    <t>FAM83G</t>
  </si>
  <si>
    <t>NM_001039999</t>
  </si>
  <si>
    <t>EPN2</t>
  </si>
  <si>
    <t>gAa/gTa</t>
  </si>
  <si>
    <t>SLC4A1</t>
  </si>
  <si>
    <t>NM_000342</t>
  </si>
  <si>
    <t>TEX14</t>
  </si>
  <si>
    <t>ERN1</t>
  </si>
  <si>
    <t>NM_001433</t>
  </si>
  <si>
    <t>MYH10</t>
  </si>
  <si>
    <t>COLEC12</t>
  </si>
  <si>
    <t>NM_130386</t>
  </si>
  <si>
    <t>CD97</t>
  </si>
  <si>
    <t>CPAMD8</t>
  </si>
  <si>
    <t>NM_015692</t>
  </si>
  <si>
    <t>LEUTX</t>
  </si>
  <si>
    <t>NM_001143832</t>
  </si>
  <si>
    <t>CCDC8</t>
  </si>
  <si>
    <t>NM_032040</t>
  </si>
  <si>
    <t>ATF2</t>
  </si>
  <si>
    <t>NM_022648</t>
  </si>
  <si>
    <t>ANKZF1</t>
  </si>
  <si>
    <t>ASB1</t>
  </si>
  <si>
    <t>NM_001040445</t>
  </si>
  <si>
    <t>FAM217B</t>
  </si>
  <si>
    <t>MEI1</t>
  </si>
  <si>
    <t>NM_152513</t>
  </si>
  <si>
    <t>SOX14</t>
  </si>
  <si>
    <t>NM_004189</t>
  </si>
  <si>
    <t>PLCH1</t>
  </si>
  <si>
    <t>FBXL2</t>
  </si>
  <si>
    <t>QARS</t>
  </si>
  <si>
    <t>NM_005051</t>
  </si>
  <si>
    <t>PDE5A</t>
  </si>
  <si>
    <t>GPR78</t>
  </si>
  <si>
    <t>NM_080819</t>
  </si>
  <si>
    <t>SLC10A6</t>
  </si>
  <si>
    <t>NM_197965</t>
  </si>
  <si>
    <t>SLC12A7</t>
  </si>
  <si>
    <t>NM_006598</t>
  </si>
  <si>
    <t>PCDHA5</t>
  </si>
  <si>
    <t>PCDHA7</t>
  </si>
  <si>
    <t>CDH9</t>
  </si>
  <si>
    <t>NM_016279</t>
  </si>
  <si>
    <t>SV2C</t>
  </si>
  <si>
    <t>NM_014979</t>
  </si>
  <si>
    <t>PHACTR1</t>
  </si>
  <si>
    <t>Ccc/Gcc</t>
  </si>
  <si>
    <t>ZBTB22</t>
  </si>
  <si>
    <t>HCRTR2</t>
  </si>
  <si>
    <t>NM_001526</t>
  </si>
  <si>
    <t>Ttg/Atg</t>
  </si>
  <si>
    <t>MUTED</t>
  </si>
  <si>
    <t>NM_001112706</t>
  </si>
  <si>
    <t>cAc/cCc</t>
  </si>
  <si>
    <t>COL14A1</t>
  </si>
  <si>
    <t>NM_021110</t>
  </si>
  <si>
    <t>GSR</t>
  </si>
  <si>
    <t>OPRK1</t>
  </si>
  <si>
    <t>NM_000912</t>
  </si>
  <si>
    <t>PSKH2</t>
  </si>
  <si>
    <t>NM_033126</t>
  </si>
  <si>
    <t>SPTAN1</t>
  </si>
  <si>
    <t>SETX</t>
  </si>
  <si>
    <t>NM_015046</t>
  </si>
  <si>
    <t>FAM75E1</t>
  </si>
  <si>
    <t>NM_178828</t>
  </si>
  <si>
    <t>OR13H1</t>
  </si>
  <si>
    <t>NM_001004486</t>
  </si>
  <si>
    <t>TFDP3</t>
  </si>
  <si>
    <t>NM_016521</t>
  </si>
  <si>
    <t>DGKK</t>
  </si>
  <si>
    <t>NM_001013742</t>
  </si>
  <si>
    <t>ITIH6</t>
  </si>
  <si>
    <t>NM_198510</t>
  </si>
  <si>
    <t>CCT3</t>
  </si>
  <si>
    <t>PBX1</t>
  </si>
  <si>
    <t>ttG/ttC</t>
  </si>
  <si>
    <t>GPATCH2</t>
  </si>
  <si>
    <t>NM_018040</t>
  </si>
  <si>
    <t>DOCK7</t>
  </si>
  <si>
    <t>NM_033407</t>
  </si>
  <si>
    <t>C11orf65</t>
  </si>
  <si>
    <t>NM_152587</t>
  </si>
  <si>
    <t>NCAM1</t>
  </si>
  <si>
    <t>VWA5A</t>
  </si>
  <si>
    <t>NRGN</t>
  </si>
  <si>
    <t>ABCC8</t>
  </si>
  <si>
    <t>NM_000352</t>
  </si>
  <si>
    <t>C11orf41</t>
  </si>
  <si>
    <t>NM_012194</t>
  </si>
  <si>
    <t>OR9Q2</t>
  </si>
  <si>
    <t>NM_001005283</t>
  </si>
  <si>
    <t>MS4A10</t>
  </si>
  <si>
    <t>NM_206893</t>
  </si>
  <si>
    <t>SLC22A8</t>
  </si>
  <si>
    <t>ASCL3</t>
  </si>
  <si>
    <t>NM_020646</t>
  </si>
  <si>
    <t>DNAH10</t>
  </si>
  <si>
    <t>NM_207437</t>
  </si>
  <si>
    <t>METTL1</t>
  </si>
  <si>
    <t>METTL21B</t>
  </si>
  <si>
    <t>NM_015433</t>
  </si>
  <si>
    <t>NM_001376</t>
  </si>
  <si>
    <t>KCNH5</t>
  </si>
  <si>
    <t>CASKIN1</t>
  </si>
  <si>
    <t>NM_020764</t>
  </si>
  <si>
    <t>ATP2C2</t>
  </si>
  <si>
    <t>NM_014861</t>
  </si>
  <si>
    <t>KIAA0753</t>
  </si>
  <si>
    <t>NM_014804</t>
  </si>
  <si>
    <t>SMCHD1</t>
  </si>
  <si>
    <t>NM_015295</t>
  </si>
  <si>
    <t>MYOM1</t>
  </si>
  <si>
    <t>CLEC17A</t>
  </si>
  <si>
    <t>UNC13A</t>
  </si>
  <si>
    <t>NM_001080421</t>
  </si>
  <si>
    <t>NCKAP5</t>
  </si>
  <si>
    <t>HAAO</t>
  </si>
  <si>
    <t>NM_012205</t>
  </si>
  <si>
    <t>DRD3</t>
  </si>
  <si>
    <t>KLHL6</t>
  </si>
  <si>
    <t>NM_130446</t>
  </si>
  <si>
    <t>ATP13A5</t>
  </si>
  <si>
    <t>NM_198505</t>
  </si>
  <si>
    <t>RNF150</t>
  </si>
  <si>
    <t>NM_020724</t>
  </si>
  <si>
    <t>CCDC96</t>
  </si>
  <si>
    <t>NM_153376</t>
  </si>
  <si>
    <t>C4orf40</t>
  </si>
  <si>
    <t>NM_214711</t>
  </si>
  <si>
    <t>UNC5C</t>
  </si>
  <si>
    <t>NM_003728</t>
  </si>
  <si>
    <t>JARID2</t>
  </si>
  <si>
    <t>NM_004973</t>
  </si>
  <si>
    <t>BTN2A2</t>
  </si>
  <si>
    <t>OR11A1</t>
  </si>
  <si>
    <t>NM_013937</t>
  </si>
  <si>
    <t>GABBR1</t>
  </si>
  <si>
    <t>PNISR</t>
  </si>
  <si>
    <t>RINT1</t>
  </si>
  <si>
    <t>NM_021930</t>
  </si>
  <si>
    <t>CCT6A</t>
  </si>
  <si>
    <t>WDR67</t>
  </si>
  <si>
    <t>SLC45A4</t>
  </si>
  <si>
    <t>NM_001080431</t>
  </si>
  <si>
    <t>USP17L1P</t>
  </si>
  <si>
    <t>NM_001256873</t>
  </si>
  <si>
    <t>TTC16</t>
  </si>
  <si>
    <t>NM_144965</t>
  </si>
  <si>
    <t>SHROOM4</t>
  </si>
  <si>
    <t>NM_020717</t>
  </si>
  <si>
    <t>FAM123B</t>
  </si>
  <si>
    <t>NM_152424</t>
  </si>
  <si>
    <t>AKNAD1</t>
  </si>
  <si>
    <t>NM_152763</t>
  </si>
  <si>
    <t>MYO3A</t>
  </si>
  <si>
    <t>NM_017433</t>
  </si>
  <si>
    <t>PPP6R3</t>
  </si>
  <si>
    <t>CCDC89</t>
  </si>
  <si>
    <t>NM_152723</t>
  </si>
  <si>
    <t>LTBP2</t>
  </si>
  <si>
    <t>NM_000428</t>
  </si>
  <si>
    <t>aaT/aaG</t>
  </si>
  <si>
    <t>OSBPL6</t>
  </si>
  <si>
    <t>ABCA12</t>
  </si>
  <si>
    <t>Aca/Cca</t>
  </si>
  <si>
    <t>FSHR</t>
  </si>
  <si>
    <t>KRTAP11-1</t>
  </si>
  <si>
    <t>NM_175858</t>
  </si>
  <si>
    <t>SLC5A1</t>
  </si>
  <si>
    <t>RNF175</t>
  </si>
  <si>
    <t>NM_173662</t>
  </si>
  <si>
    <t>NAA11</t>
  </si>
  <si>
    <t>NM_032693</t>
  </si>
  <si>
    <t>Ggc/Cgc</t>
  </si>
  <si>
    <t>CHSY3</t>
  </si>
  <si>
    <t>NM_175856</t>
  </si>
  <si>
    <t>EYA4</t>
  </si>
  <si>
    <t>RGS22</t>
  </si>
  <si>
    <t>NM_015668</t>
  </si>
  <si>
    <t>SLC30A8</t>
  </si>
  <si>
    <t>ADAMTS13</t>
  </si>
  <si>
    <t>ZNF449</t>
  </si>
  <si>
    <t>NM_152695</t>
  </si>
  <si>
    <t>USP51</t>
  </si>
  <si>
    <t>NM_201286</t>
  </si>
  <si>
    <t>ATXN7L2</t>
  </si>
  <si>
    <t>NM_153340</t>
  </si>
  <si>
    <t>CR1</t>
  </si>
  <si>
    <t>ECE1</t>
  </si>
  <si>
    <t>CYP4A22</t>
  </si>
  <si>
    <t>NM_001010969</t>
  </si>
  <si>
    <t>PRKAA2</t>
  </si>
  <si>
    <t>NM_006252</t>
  </si>
  <si>
    <t>SGIP1</t>
  </si>
  <si>
    <t>NM_032291</t>
  </si>
  <si>
    <t>PRF1</t>
  </si>
  <si>
    <t>USH1C</t>
  </si>
  <si>
    <t>NM_153676</t>
  </si>
  <si>
    <t>OR5P2</t>
  </si>
  <si>
    <t>NM_153444</t>
  </si>
  <si>
    <t>PLEKHA5</t>
  </si>
  <si>
    <t>ABHD13</t>
  </si>
  <si>
    <t>NM_032859</t>
  </si>
  <si>
    <t>TECPR2</t>
  </si>
  <si>
    <t>ZFYVE26</t>
  </si>
  <si>
    <t>NM_015346</t>
  </si>
  <si>
    <t>CERS3</t>
  </si>
  <si>
    <t>NM_178842</t>
  </si>
  <si>
    <t>MAPK6</t>
  </si>
  <si>
    <t>NM_002748</t>
  </si>
  <si>
    <t>GNAO1</t>
  </si>
  <si>
    <t>C16orf7</t>
  </si>
  <si>
    <t>NM_004913</t>
  </si>
  <si>
    <t>NSRP1</t>
  </si>
  <si>
    <t>VPS53</t>
  </si>
  <si>
    <t>NLRP1</t>
  </si>
  <si>
    <t>BZRAP1</t>
  </si>
  <si>
    <t>INTS2</t>
  </si>
  <si>
    <t>NM_020748</t>
  </si>
  <si>
    <t>CLEC10A</t>
  </si>
  <si>
    <t>DOT1L</t>
  </si>
  <si>
    <t>NM_032482</t>
  </si>
  <si>
    <t>ARHGAP35</t>
  </si>
  <si>
    <t>NM_004491</t>
  </si>
  <si>
    <t>CCDC141</t>
  </si>
  <si>
    <t>NM_173648</t>
  </si>
  <si>
    <t>ZNF804A</t>
  </si>
  <si>
    <t>NM_194250</t>
  </si>
  <si>
    <t>CLK1</t>
  </si>
  <si>
    <t>SLC5A6</t>
  </si>
  <si>
    <t>NM_021095</t>
  </si>
  <si>
    <t>CSF2RB</t>
  </si>
  <si>
    <t>NM_000395</t>
  </si>
  <si>
    <t>IL20RB</t>
  </si>
  <si>
    <t>NM_144717</t>
  </si>
  <si>
    <t>NM_022064</t>
  </si>
  <si>
    <t>ADAD1</t>
  </si>
  <si>
    <t>ZNF827</t>
  </si>
  <si>
    <t>NM_178835</t>
  </si>
  <si>
    <t>cGc/cCc</t>
  </si>
  <si>
    <t>TRIML1</t>
  </si>
  <si>
    <t>NM_178556</t>
  </si>
  <si>
    <t>STIM2</t>
  </si>
  <si>
    <t>agT/agG</t>
  </si>
  <si>
    <t>FAM13B</t>
  </si>
  <si>
    <t>caT/caA</t>
  </si>
  <si>
    <t>NM_001102562</t>
  </si>
  <si>
    <t>MAGI2</t>
  </si>
  <si>
    <t>NM_012301</t>
  </si>
  <si>
    <t>DMTF1</t>
  </si>
  <si>
    <t>TNFSF15</t>
  </si>
  <si>
    <t>NM_005118</t>
  </si>
  <si>
    <t>USP20</t>
  </si>
  <si>
    <t>ABCA2</t>
  </si>
  <si>
    <t>MORC4</t>
  </si>
  <si>
    <t>FLG</t>
  </si>
  <si>
    <t>NM_002016</t>
  </si>
  <si>
    <t>RC3H1</t>
  </si>
  <si>
    <t>NM_172071</t>
  </si>
  <si>
    <t>PADI4</t>
  </si>
  <si>
    <t>NM_012387</t>
  </si>
  <si>
    <t>TGFB2</t>
  </si>
  <si>
    <t>C12orf45</t>
  </si>
  <si>
    <t>NM_152318</t>
  </si>
  <si>
    <t>AACS</t>
  </si>
  <si>
    <t>NM_023928</t>
  </si>
  <si>
    <t>FGD4</t>
  </si>
  <si>
    <t>NM_139241</t>
  </si>
  <si>
    <t>C12orf4</t>
  </si>
  <si>
    <t>NM_020374</t>
  </si>
  <si>
    <t>SEMA6D</t>
  </si>
  <si>
    <t>Tgc/Ggc</t>
  </si>
  <si>
    <t>IL16</t>
  </si>
  <si>
    <t>tCg/tTg</t>
  </si>
  <si>
    <t>MCTP2</t>
  </si>
  <si>
    <t>ERBB2</t>
  </si>
  <si>
    <t>DNAJC7</t>
  </si>
  <si>
    <t>FAM59A</t>
  </si>
  <si>
    <t>COL5A3</t>
  </si>
  <si>
    <t>NM_015719</t>
  </si>
  <si>
    <t>CEACAM5</t>
  </si>
  <si>
    <t>NM_004363</t>
  </si>
  <si>
    <t>aAt/aTt</t>
  </si>
  <si>
    <t>ZNF419</t>
  </si>
  <si>
    <t>C19orf21</t>
  </si>
  <si>
    <t>NM_173481</t>
  </si>
  <si>
    <t>DNAH7</t>
  </si>
  <si>
    <t>NM_018897</t>
  </si>
  <si>
    <t>C2orf62</t>
  </si>
  <si>
    <t>NM_198559</t>
  </si>
  <si>
    <t>EIF2AK2</t>
  </si>
  <si>
    <t>ISM1</t>
  </si>
  <si>
    <t>NM_080826</t>
  </si>
  <si>
    <t>ENTPD6</t>
  </si>
  <si>
    <t>RBM39</t>
  </si>
  <si>
    <t>KCNG1</t>
  </si>
  <si>
    <t>NM_002237</t>
  </si>
  <si>
    <t>DRG1</t>
  </si>
  <si>
    <t>NM_004147</t>
  </si>
  <si>
    <t>NM_015429</t>
  </si>
  <si>
    <t>NM_014247</t>
  </si>
  <si>
    <t>GALNTL6</t>
  </si>
  <si>
    <t>NM_001034845</t>
  </si>
  <si>
    <t>SMARCAD1</t>
  </si>
  <si>
    <t>KDM3B</t>
  </si>
  <si>
    <t>NM_016604</t>
  </si>
  <si>
    <t>SNX18</t>
  </si>
  <si>
    <t>PRDM13</t>
  </si>
  <si>
    <t>NM_021620</t>
  </si>
  <si>
    <t>CUL9</t>
  </si>
  <si>
    <t>NM_015089</t>
  </si>
  <si>
    <t>MDFIC</t>
  </si>
  <si>
    <t>CRHR2</t>
  </si>
  <si>
    <t>SBSPON</t>
  </si>
  <si>
    <t>NM_153225</t>
  </si>
  <si>
    <t>CER1</t>
  </si>
  <si>
    <t>NM_005454</t>
  </si>
  <si>
    <t>PTPRD</t>
  </si>
  <si>
    <t>VSIG1</t>
  </si>
  <si>
    <t>L1CAM</t>
  </si>
  <si>
    <t>PTCHD2</t>
  </si>
  <si>
    <t>NM_020780</t>
  </si>
  <si>
    <t>NGF</t>
  </si>
  <si>
    <t>NM_002506</t>
  </si>
  <si>
    <t>agT/agA</t>
  </si>
  <si>
    <t>USH2A</t>
  </si>
  <si>
    <t>NM_206933</t>
  </si>
  <si>
    <t>WDR64</t>
  </si>
  <si>
    <t>NM_144625</t>
  </si>
  <si>
    <t>OR2W3</t>
  </si>
  <si>
    <t>NM_001001957</t>
  </si>
  <si>
    <t>ZYG11B</t>
  </si>
  <si>
    <t>NM_024646</t>
  </si>
  <si>
    <t>cAt/cCt</t>
  </si>
  <si>
    <t>RERE</t>
  </si>
  <si>
    <t>PLEKHA7</t>
  </si>
  <si>
    <t>NM_175058</t>
  </si>
  <si>
    <t>OR5L1</t>
  </si>
  <si>
    <t>NM_001004738</t>
  </si>
  <si>
    <t>aTg/aAg</t>
  </si>
  <si>
    <t>MS4A1</t>
  </si>
  <si>
    <t>NM_001008781</t>
  </si>
  <si>
    <t>Ata/Tta</t>
  </si>
  <si>
    <t>ANO4</t>
  </si>
  <si>
    <t>NM_178826</t>
  </si>
  <si>
    <t>CMKLR1</t>
  </si>
  <si>
    <t>SCARB1</t>
  </si>
  <si>
    <t>cAc/cTc</t>
  </si>
  <si>
    <t>PTPN6</t>
  </si>
  <si>
    <t>DCT</t>
  </si>
  <si>
    <t>POMT2</t>
  </si>
  <si>
    <t>NM_013382</t>
  </si>
  <si>
    <t>PLA2G4D</t>
  </si>
  <si>
    <t>NM_178034</t>
  </si>
  <si>
    <t>tTt/tAt</t>
  </si>
  <si>
    <t>FBN1</t>
  </si>
  <si>
    <t>NM_000138</t>
  </si>
  <si>
    <t>VPS13C</t>
  </si>
  <si>
    <t>SMAD3</t>
  </si>
  <si>
    <t>CELF6</t>
  </si>
  <si>
    <t>agA/agT</t>
  </si>
  <si>
    <t>NR2F2</t>
  </si>
  <si>
    <t>NM_021005</t>
  </si>
  <si>
    <t>SMCR8</t>
  </si>
  <si>
    <t>NM_144775</t>
  </si>
  <si>
    <t>BLMH</t>
  </si>
  <si>
    <t>NM_000386</t>
  </si>
  <si>
    <t>ZNF830</t>
  </si>
  <si>
    <t>NM_052857</t>
  </si>
  <si>
    <t>CCBE1</t>
  </si>
  <si>
    <t>NM_133459</t>
  </si>
  <si>
    <t>ICAM1</t>
  </si>
  <si>
    <t>NM_000201</t>
  </si>
  <si>
    <t>KXD1</t>
  </si>
  <si>
    <t>ZNF493</t>
  </si>
  <si>
    <t>ZNF607</t>
  </si>
  <si>
    <t>CD177</t>
  </si>
  <si>
    <t>NM_020406</t>
  </si>
  <si>
    <t>VN1R2</t>
  </si>
  <si>
    <t>NM_173856</t>
  </si>
  <si>
    <t>SAFB2</t>
  </si>
  <si>
    <t>NM_014649</t>
  </si>
  <si>
    <t>TMEM87B</t>
  </si>
  <si>
    <t>NM_032824</t>
  </si>
  <si>
    <t>SSFA2</t>
  </si>
  <si>
    <t>ALPP</t>
  </si>
  <si>
    <t>NM_001632</t>
  </si>
  <si>
    <t>CLIP4</t>
  </si>
  <si>
    <t>NM_024692</t>
  </si>
  <si>
    <t>ZBED2</t>
  </si>
  <si>
    <t>NM_024508</t>
  </si>
  <si>
    <t>PARP15</t>
  </si>
  <si>
    <t>CADPS</t>
  </si>
  <si>
    <t>NM_003716</t>
  </si>
  <si>
    <t>GALNT7</t>
  </si>
  <si>
    <t>NM_017423</t>
  </si>
  <si>
    <t>NM_005245</t>
  </si>
  <si>
    <t>ttA/ttT</t>
  </si>
  <si>
    <t>ADAMTS3</t>
  </si>
  <si>
    <t>NM_014243</t>
  </si>
  <si>
    <t>HPSE</t>
  </si>
  <si>
    <t>tTg/tAg</t>
  </si>
  <si>
    <t>MEGF10</t>
  </si>
  <si>
    <t>FBN2</t>
  </si>
  <si>
    <t>NM_001999</t>
  </si>
  <si>
    <t>LARS</t>
  </si>
  <si>
    <t>NM_020117</t>
  </si>
  <si>
    <t>PDGFRB</t>
  </si>
  <si>
    <t>NM_002609</t>
  </si>
  <si>
    <t>TBC1D9B</t>
  </si>
  <si>
    <t>GFPT2</t>
  </si>
  <si>
    <t>NM_005110</t>
  </si>
  <si>
    <t>FLT4</t>
  </si>
  <si>
    <t>C5orf42</t>
  </si>
  <si>
    <t>NM_023073</t>
  </si>
  <si>
    <t>RICTOR</t>
  </si>
  <si>
    <t>NM_152756</t>
  </si>
  <si>
    <t>HOMER1</t>
  </si>
  <si>
    <t>NM_004272</t>
  </si>
  <si>
    <t>THEMIS</t>
  </si>
  <si>
    <t>PPIL4</t>
  </si>
  <si>
    <t>NM_139126</t>
  </si>
  <si>
    <t>PLEKHG1</t>
  </si>
  <si>
    <t>NM_001029884</t>
  </si>
  <si>
    <t>TRIM40</t>
  </si>
  <si>
    <t>NM_138700</t>
  </si>
  <si>
    <t>NM_033138</t>
  </si>
  <si>
    <t>CHRM2</t>
  </si>
  <si>
    <t>AKAP9</t>
  </si>
  <si>
    <t>TEX15</t>
  </si>
  <si>
    <t>NM_031271</t>
  </si>
  <si>
    <t>IKBKB</t>
  </si>
  <si>
    <t>LMX1B</t>
  </si>
  <si>
    <t>ST6GALNAC6</t>
  </si>
  <si>
    <t>NM_013443</t>
  </si>
  <si>
    <t>GAD2</t>
  </si>
  <si>
    <t>Aat/Tat</t>
  </si>
  <si>
    <t>ADAMTS8</t>
  </si>
  <si>
    <t>NM_007037</t>
  </si>
  <si>
    <t>OR9K2</t>
  </si>
  <si>
    <t>NM_001005243</t>
  </si>
  <si>
    <t>PTPRB</t>
  </si>
  <si>
    <t>TOP2A</t>
  </si>
  <si>
    <t>NM_001067</t>
  </si>
  <si>
    <t>NM_016252</t>
  </si>
  <si>
    <t>ZNF638</t>
  </si>
  <si>
    <t>SLC52A3</t>
  </si>
  <si>
    <t>NM_033409</t>
  </si>
  <si>
    <t>ATP2C1</t>
  </si>
  <si>
    <t>SKIL</t>
  </si>
  <si>
    <t>NKIRAS1</t>
  </si>
  <si>
    <t>NM_020345</t>
  </si>
  <si>
    <t>ARHGAP10</t>
  </si>
  <si>
    <t>NM_024605</t>
  </si>
  <si>
    <t>SDAD1</t>
  </si>
  <si>
    <t>NM_018115</t>
  </si>
  <si>
    <t>WNT8A</t>
  </si>
  <si>
    <t>NM_058244</t>
  </si>
  <si>
    <t>PACRG</t>
  </si>
  <si>
    <t>HIST1H4B</t>
  </si>
  <si>
    <t>NM_003544</t>
  </si>
  <si>
    <t>NM_178819</t>
  </si>
  <si>
    <t>CA5B</t>
  </si>
  <si>
    <t>NM_007220</t>
  </si>
  <si>
    <t>CTAGE5</t>
  </si>
  <si>
    <t>ALK</t>
  </si>
  <si>
    <t>NM_004304</t>
  </si>
  <si>
    <t>gAc/gCc</t>
  </si>
  <si>
    <t>LARP1B</t>
  </si>
  <si>
    <t>PDGFRA</t>
  </si>
  <si>
    <t>NM_006206</t>
  </si>
  <si>
    <t>NMUR2</t>
  </si>
  <si>
    <t>NM_020167</t>
  </si>
  <si>
    <t>PKD1L1</t>
  </si>
  <si>
    <t>NM_138295</t>
  </si>
  <si>
    <t>RPS6KA3</t>
  </si>
  <si>
    <t>NM_004586</t>
  </si>
  <si>
    <t>AMPD2</t>
  </si>
  <si>
    <t>SYT6</t>
  </si>
  <si>
    <t>MUC2</t>
  </si>
  <si>
    <t>NM_002457</t>
  </si>
  <si>
    <t>KCNA4</t>
  </si>
  <si>
    <t>NM_002233</t>
  </si>
  <si>
    <t>GRM5</t>
  </si>
  <si>
    <t>RPH3A</t>
  </si>
  <si>
    <t>FAM179B</t>
  </si>
  <si>
    <t>NM_015091</t>
  </si>
  <si>
    <t>NM_001482</t>
  </si>
  <si>
    <t>MYEF2</t>
  </si>
  <si>
    <t>NM_016132</t>
  </si>
  <si>
    <t>MPO</t>
  </si>
  <si>
    <t>NM_000250</t>
  </si>
  <si>
    <t>ZNF613</t>
  </si>
  <si>
    <t>LILRA5</t>
  </si>
  <si>
    <t>tAt/tTt</t>
  </si>
  <si>
    <t>NRP2</t>
  </si>
  <si>
    <t>ARFGEF2</t>
  </si>
  <si>
    <t>NM_006420</t>
  </si>
  <si>
    <t>RNF185</t>
  </si>
  <si>
    <t>MKL1</t>
  </si>
  <si>
    <t>NM_020831</t>
  </si>
  <si>
    <t>CELSR3</t>
  </si>
  <si>
    <t>NM_001407</t>
  </si>
  <si>
    <t>DDX60L</t>
  </si>
  <si>
    <t>NM_001012967</t>
  </si>
  <si>
    <t>TBC1D1</t>
  </si>
  <si>
    <t>ENAM</t>
  </si>
  <si>
    <t>NM_031889</t>
  </si>
  <si>
    <t>GABRP</t>
  </si>
  <si>
    <t>NM_014211</t>
  </si>
  <si>
    <t>NM_014639</t>
  </si>
  <si>
    <t>STX7</t>
  </si>
  <si>
    <t>NM_003569</t>
  </si>
  <si>
    <t>MLLT4</t>
  </si>
  <si>
    <t>GPR22</t>
  </si>
  <si>
    <t>NM_005295</t>
  </si>
  <si>
    <t>cTa/cAa</t>
  </si>
  <si>
    <t>ADCY1</t>
  </si>
  <si>
    <t>NM_021116</t>
  </si>
  <si>
    <t>IFNA6</t>
  </si>
  <si>
    <t>NM_021002</t>
  </si>
  <si>
    <t>NOL6</t>
  </si>
  <si>
    <t>IL13RA2</t>
  </si>
  <si>
    <t>NM_000640</t>
  </si>
  <si>
    <t>TAB3</t>
  </si>
  <si>
    <t>NM_152787</t>
  </si>
  <si>
    <t>OR8D2</t>
  </si>
  <si>
    <t>NM_001002918</t>
  </si>
  <si>
    <t>ART1</t>
  </si>
  <si>
    <t>NM_004314</t>
  </si>
  <si>
    <t>SUV420H1</t>
  </si>
  <si>
    <t>NM_017635</t>
  </si>
  <si>
    <t>TAS2R50</t>
  </si>
  <si>
    <t>NM_176890</t>
  </si>
  <si>
    <t>ERBB3</t>
  </si>
  <si>
    <t>PPP4R4</t>
  </si>
  <si>
    <t>NM_058237</t>
  </si>
  <si>
    <t>Gtt/Ttt</t>
  </si>
  <si>
    <t>ZNF729</t>
  </si>
  <si>
    <t>NM_001242680</t>
  </si>
  <si>
    <t>NFIC</t>
  </si>
  <si>
    <t>CAND2</t>
  </si>
  <si>
    <t>TRIM2</t>
  </si>
  <si>
    <t>EPHA5</t>
  </si>
  <si>
    <t>SOX30</t>
  </si>
  <si>
    <t>NM_178424</t>
  </si>
  <si>
    <t>ttA/ttC</t>
  </si>
  <si>
    <t>IRX2</t>
  </si>
  <si>
    <t>TRDN</t>
  </si>
  <si>
    <t>NM_006073</t>
  </si>
  <si>
    <t>POM121L2</t>
  </si>
  <si>
    <t>NM_033482</t>
  </si>
  <si>
    <t>HLA-DOA</t>
  </si>
  <si>
    <t>NM_002119</t>
  </si>
  <si>
    <t>ABCC10</t>
  </si>
  <si>
    <t>PNPLA8</t>
  </si>
  <si>
    <t>LRRC4</t>
  </si>
  <si>
    <t>NM_022143</t>
  </si>
  <si>
    <t>SMARCD3</t>
  </si>
  <si>
    <t>PRPF38B</t>
  </si>
  <si>
    <t>NM_018061</t>
  </si>
  <si>
    <t>VANGL1</t>
  </si>
  <si>
    <t>S100A3</t>
  </si>
  <si>
    <t>NM_002960</t>
  </si>
  <si>
    <t>FCGR2B</t>
  </si>
  <si>
    <t>ASTN1</t>
  </si>
  <si>
    <t>CD55</t>
  </si>
  <si>
    <t>cTc/cAc</t>
  </si>
  <si>
    <t>USP6NL</t>
  </si>
  <si>
    <t>MMP27</t>
  </si>
  <si>
    <t>NM_022122</t>
  </si>
  <si>
    <t>CD82</t>
  </si>
  <si>
    <t>OR51G2</t>
  </si>
  <si>
    <t>NM_001005238</t>
  </si>
  <si>
    <t>MS4A13</t>
  </si>
  <si>
    <t>CIT</t>
  </si>
  <si>
    <t>KRT6B</t>
  </si>
  <si>
    <t>NM_005555</t>
  </si>
  <si>
    <t>TEP1</t>
  </si>
  <si>
    <t>GABRG3</t>
  </si>
  <si>
    <t>NM_033223</t>
  </si>
  <si>
    <t>SPRED1</t>
  </si>
  <si>
    <t>NM_152594</t>
  </si>
  <si>
    <t>Att/Ttt</t>
  </si>
  <si>
    <t>DMXL2</t>
  </si>
  <si>
    <t>GCOM1</t>
  </si>
  <si>
    <t>PTPN9</t>
  </si>
  <si>
    <t>NM_002833</t>
  </si>
  <si>
    <t>EFTUD1</t>
  </si>
  <si>
    <t>AP3B2</t>
  </si>
  <si>
    <t>NM_004644</t>
  </si>
  <si>
    <t>CREBBP</t>
  </si>
  <si>
    <t>PLEKHG4</t>
  </si>
  <si>
    <t>KRT32</t>
  </si>
  <si>
    <t>NM_002278</t>
  </si>
  <si>
    <t>YPEL2</t>
  </si>
  <si>
    <t>NM_001005404</t>
  </si>
  <si>
    <t>PIAS2</t>
  </si>
  <si>
    <t>NM_004671</t>
  </si>
  <si>
    <t>C18orf26</t>
  </si>
  <si>
    <t>PLEKHA4</t>
  </si>
  <si>
    <t>MARCO</t>
  </si>
  <si>
    <t>NM_006770</t>
  </si>
  <si>
    <t>PROC</t>
  </si>
  <si>
    <t>NM_000312</t>
  </si>
  <si>
    <t>SH3YL1</t>
  </si>
  <si>
    <t>C2orf28</t>
  </si>
  <si>
    <t>LTBP1</t>
  </si>
  <si>
    <t>NM_206943</t>
  </si>
  <si>
    <t>MKKS</t>
  </si>
  <si>
    <t>tTa/tAa</t>
  </si>
  <si>
    <t>ITCH</t>
  </si>
  <si>
    <t>CEP250</t>
  </si>
  <si>
    <t>NM_007186</t>
  </si>
  <si>
    <t>taT/taA</t>
  </si>
  <si>
    <t>ITSN1</t>
  </si>
  <si>
    <t>cCg/cGg</t>
  </si>
  <si>
    <t>SFI1</t>
  </si>
  <si>
    <t>PTPLB</t>
  </si>
  <si>
    <t>NM_198402</t>
  </si>
  <si>
    <t>aGt/aCt</t>
  </si>
  <si>
    <t>UQCRC1</t>
  </si>
  <si>
    <t>NM_003365</t>
  </si>
  <si>
    <t>CACNA1D</t>
  </si>
  <si>
    <t>SLU7</t>
  </si>
  <si>
    <t>NM_006425</t>
  </si>
  <si>
    <t>HIVEP1</t>
  </si>
  <si>
    <t>NM_002114</t>
  </si>
  <si>
    <t>APOBEC2</t>
  </si>
  <si>
    <t>NM_006789</t>
  </si>
  <si>
    <t>NM_032415</t>
  </si>
  <si>
    <t>CCDC129</t>
  </si>
  <si>
    <t>PAPOLB</t>
  </si>
  <si>
    <t>NM_020144</t>
  </si>
  <si>
    <t>RGS20</t>
  </si>
  <si>
    <t>NM_170587</t>
  </si>
  <si>
    <t>NM_178812</t>
  </si>
  <si>
    <t>TSC1</t>
  </si>
  <si>
    <t>PLS3</t>
  </si>
  <si>
    <t>IGSF1</t>
  </si>
  <si>
    <t>FAM9B</t>
  </si>
  <si>
    <t>NM_205849</t>
  </si>
  <si>
    <t>TRIM67</t>
  </si>
  <si>
    <t>NM_001004342</t>
  </si>
  <si>
    <t>FMN2</t>
  </si>
  <si>
    <t>NM_020066</t>
  </si>
  <si>
    <t>FAM171A1</t>
  </si>
  <si>
    <t>NM_001010924</t>
  </si>
  <si>
    <t>NM_152312</t>
  </si>
  <si>
    <t>TNFSF11</t>
  </si>
  <si>
    <t>IDH3A</t>
  </si>
  <si>
    <t>NM_005530</t>
  </si>
  <si>
    <t>Agc/Cgc</t>
  </si>
  <si>
    <t>ITGAX</t>
  </si>
  <si>
    <t>NM_000887</t>
  </si>
  <si>
    <t>CIRH1A</t>
  </si>
  <si>
    <t>NM_032830</t>
  </si>
  <si>
    <t>PSME4</t>
  </si>
  <si>
    <t>NM_014614</t>
  </si>
  <si>
    <t>TACR1</t>
  </si>
  <si>
    <t>SNRNP200</t>
  </si>
  <si>
    <t>NM_014014</t>
  </si>
  <si>
    <t>PROKR2</t>
  </si>
  <si>
    <t>NM_144773</t>
  </si>
  <si>
    <t>PPP3CA</t>
  </si>
  <si>
    <t>NM_004787</t>
  </si>
  <si>
    <t>KDR</t>
  </si>
  <si>
    <t>NM_002253</t>
  </si>
  <si>
    <t>SLC35D3</t>
  </si>
  <si>
    <t>NM_001008783</t>
  </si>
  <si>
    <t>ZNF800</t>
  </si>
  <si>
    <t>NM_176814</t>
  </si>
  <si>
    <t>BRD3</t>
  </si>
  <si>
    <t>NM_007371</t>
  </si>
  <si>
    <t>Normalized.count</t>
  </si>
  <si>
    <t>MIR663B</t>
  </si>
  <si>
    <t>UNC45B</t>
  </si>
  <si>
    <t>SNORD96B</t>
  </si>
  <si>
    <t>MIR4524A</t>
  </si>
  <si>
    <t>MIR105-1</t>
  </si>
  <si>
    <t>BMP4</t>
  </si>
  <si>
    <t>SUMO1P3</t>
  </si>
  <si>
    <t>NR5A1</t>
  </si>
  <si>
    <t>RHBDF1</t>
  </si>
  <si>
    <t>KLB</t>
  </si>
  <si>
    <t>PDS5A</t>
  </si>
  <si>
    <t>C5orf30</t>
  </si>
  <si>
    <t>PSAT1</t>
  </si>
  <si>
    <t>TPCN2</t>
  </si>
  <si>
    <t>RNF213</t>
  </si>
  <si>
    <t>FGF19</t>
  </si>
  <si>
    <t>CLSTN3</t>
  </si>
  <si>
    <t>CDC16</t>
  </si>
  <si>
    <t>MYO16</t>
  </si>
  <si>
    <t>TNFSF13B</t>
  </si>
  <si>
    <t>FAM155A</t>
  </si>
  <si>
    <t>C20orf132</t>
  </si>
  <si>
    <t>ODZ1</t>
  </si>
  <si>
    <t>SLC2A9</t>
  </si>
  <si>
    <t>NUBPL</t>
  </si>
  <si>
    <t>NPAS3</t>
  </si>
  <si>
    <t>XKR7</t>
  </si>
  <si>
    <t>THADA</t>
  </si>
  <si>
    <t>PKHD1</t>
  </si>
  <si>
    <t>SNTG1</t>
  </si>
  <si>
    <t>PLXNA3</t>
  </si>
  <si>
    <t>G6PD</t>
  </si>
  <si>
    <t>C2orf56</t>
  </si>
  <si>
    <t>PRKD3</t>
  </si>
  <si>
    <t>WDR7</t>
  </si>
  <si>
    <t>KLHL20</t>
  </si>
  <si>
    <t>BTBD18</t>
  </si>
  <si>
    <t>CTNND1</t>
  </si>
  <si>
    <t>MTHFD1</t>
  </si>
  <si>
    <t>TBC1D23</t>
  </si>
  <si>
    <t>NAALADL2</t>
  </si>
  <si>
    <t>SCD5</t>
  </si>
  <si>
    <t>ZFAND2A</t>
  </si>
  <si>
    <t>DGKB</t>
  </si>
  <si>
    <t>ABCB1</t>
  </si>
  <si>
    <t>ASZ1</t>
  </si>
  <si>
    <t>AGPAT5</t>
  </si>
  <si>
    <t>XKR5</t>
  </si>
  <si>
    <t>TMEM67</t>
  </si>
  <si>
    <t>FAM92A1</t>
  </si>
  <si>
    <t>IL7</t>
  </si>
  <si>
    <t>MRPS28</t>
  </si>
  <si>
    <t>PCDH9</t>
  </si>
  <si>
    <t>RDX</t>
  </si>
  <si>
    <t>LOC283194</t>
  </si>
  <si>
    <t>DTX4</t>
  </si>
  <si>
    <t>GPC5</t>
  </si>
  <si>
    <t>SYT17</t>
  </si>
  <si>
    <t>KLHL14</t>
  </si>
  <si>
    <t>RTTN</t>
  </si>
  <si>
    <t>SPRED2</t>
  </si>
  <si>
    <t>GPR128</t>
  </si>
  <si>
    <t>KDM2A</t>
  </si>
  <si>
    <t>KDM6A</t>
  </si>
  <si>
    <t>SLC30A10</t>
  </si>
  <si>
    <t>SAP130</t>
  </si>
  <si>
    <t>IQCA1</t>
  </si>
  <si>
    <t>PLA1A</t>
  </si>
  <si>
    <t>PTPRT</t>
  </si>
  <si>
    <t>LRRC14B</t>
  </si>
  <si>
    <t>SDHA</t>
  </si>
  <si>
    <t>AHRR</t>
  </si>
  <si>
    <t>ADAMTS16</t>
  </si>
  <si>
    <t>SLC9A3</t>
  </si>
  <si>
    <t>ADAMTS17</t>
  </si>
  <si>
    <t>CEP72</t>
  </si>
  <si>
    <t>ZDHHC11</t>
  </si>
  <si>
    <t>IGF1R</t>
  </si>
  <si>
    <t>SLC6A19</t>
  </si>
  <si>
    <t>TARSL2</t>
  </si>
  <si>
    <t>LOC285577</t>
  </si>
  <si>
    <t>ST8SIA2</t>
  </si>
  <si>
    <t>LOC91948</t>
  </si>
  <si>
    <t>MEF2A</t>
  </si>
  <si>
    <t>SRD5A1</t>
  </si>
  <si>
    <t>TTC23</t>
  </si>
  <si>
    <t>ADCY2</t>
  </si>
  <si>
    <t>KCNJ12</t>
  </si>
  <si>
    <t>ZMAT4</t>
  </si>
  <si>
    <t>KIAA1549</t>
  </si>
  <si>
    <t>ZHX1</t>
  </si>
  <si>
    <t>SYBU</t>
  </si>
  <si>
    <t>TRPM3</t>
  </si>
  <si>
    <t>PAPPA</t>
  </si>
  <si>
    <t>RORB</t>
  </si>
  <si>
    <t>GABBR2</t>
  </si>
  <si>
    <t>DAB2IP</t>
  </si>
  <si>
    <t>INVS</t>
  </si>
  <si>
    <t>DAPK1</t>
  </si>
  <si>
    <t>FAM125B</t>
  </si>
  <si>
    <t>FAM120A</t>
  </si>
  <si>
    <t>C9orf3</t>
  </si>
  <si>
    <t>MED27</t>
  </si>
  <si>
    <t>ZNF510</t>
  </si>
  <si>
    <t>GARNL3</t>
  </si>
  <si>
    <t>GALNT12</t>
  </si>
  <si>
    <t>NR6A1</t>
  </si>
  <si>
    <t>ST5</t>
  </si>
  <si>
    <t>NUP98</t>
  </si>
  <si>
    <t>PACS1</t>
  </si>
  <si>
    <t>RRM1</t>
  </si>
  <si>
    <t>GALNTL4</t>
  </si>
  <si>
    <t>TTC17</t>
  </si>
  <si>
    <t>SOX6</t>
  </si>
  <si>
    <t>SLC1A2</t>
  </si>
  <si>
    <t>PSMA1</t>
  </si>
  <si>
    <t>SERGEF</t>
  </si>
  <si>
    <t>NCAPD3</t>
  </si>
  <si>
    <t>LDHAL6A</t>
  </si>
  <si>
    <t>NAV2</t>
  </si>
  <si>
    <t>AMOTL1</t>
  </si>
  <si>
    <t>TREH</t>
  </si>
  <si>
    <t>PGR</t>
  </si>
  <si>
    <t>B3GAT1</t>
  </si>
  <si>
    <t>ATM</t>
  </si>
  <si>
    <t>LOC338739</t>
  </si>
  <si>
    <t>FOXRED1</t>
  </si>
  <si>
    <t>RASGRP2</t>
  </si>
  <si>
    <t>RPS6KA4</t>
  </si>
  <si>
    <t>PITPNM1</t>
  </si>
  <si>
    <t>VPS26B</t>
  </si>
  <si>
    <t>SPTBN2</t>
  </si>
  <si>
    <t>CUL5</t>
  </si>
  <si>
    <t>ZBTB16</t>
  </si>
  <si>
    <t>ALKBH8</t>
  </si>
  <si>
    <t>CEP57</t>
  </si>
  <si>
    <t>DYNC2H1</t>
  </si>
  <si>
    <t>L2HGDH</t>
  </si>
  <si>
    <t>FLJ42289</t>
  </si>
  <si>
    <t>CA10</t>
  </si>
  <si>
    <t>NOTCH2</t>
  </si>
  <si>
    <t>NBPF14</t>
  </si>
  <si>
    <t>PHF3</t>
  </si>
  <si>
    <t>RARS2</t>
  </si>
  <si>
    <t>KAT6A</t>
  </si>
  <si>
    <t>ANK1</t>
  </si>
  <si>
    <t>ARNTL2</t>
  </si>
  <si>
    <t>PPFIBP1</t>
  </si>
  <si>
    <t>SLC2A13</t>
  </si>
  <si>
    <t>OGFOD1</t>
  </si>
  <si>
    <t>CRYZL1</t>
  </si>
  <si>
    <t>MYO18B</t>
  </si>
  <si>
    <t>LARS2</t>
  </si>
  <si>
    <t>PTPRG</t>
  </si>
  <si>
    <t>DGKG</t>
  </si>
  <si>
    <t>SLC43A2</t>
  </si>
  <si>
    <t>PIKFYVE</t>
  </si>
  <si>
    <t>XKR4</t>
  </si>
  <si>
    <t>COMP</t>
  </si>
  <si>
    <t>ERP27</t>
  </si>
  <si>
    <t>LDHB</t>
  </si>
  <si>
    <t>MAST3</t>
  </si>
  <si>
    <t>GYS2</t>
  </si>
  <si>
    <t>ABCC4</t>
  </si>
  <si>
    <t>PIK3R2</t>
  </si>
  <si>
    <t>ZNF431</t>
  </si>
  <si>
    <t>VSTM2B</t>
  </si>
  <si>
    <t>MTOR</t>
  </si>
  <si>
    <t>MYOM3</t>
  </si>
  <si>
    <t>MED18</t>
  </si>
  <si>
    <t>TRIT1</t>
  </si>
  <si>
    <t>SNED1</t>
  </si>
  <si>
    <t>CYP4X1</t>
  </si>
  <si>
    <t>RNF11</t>
  </si>
  <si>
    <t>C8A</t>
  </si>
  <si>
    <t>CDC14A</t>
  </si>
  <si>
    <t>KIAA1324</t>
  </si>
  <si>
    <t>RNF115</t>
  </si>
  <si>
    <t>CD160</t>
  </si>
  <si>
    <t>ARNT</t>
  </si>
  <si>
    <t>BOP1</t>
  </si>
  <si>
    <t>DCST2</t>
  </si>
  <si>
    <t>FDPS</t>
  </si>
  <si>
    <t>PAPPA2</t>
  </si>
  <si>
    <t>RASAL2</t>
  </si>
  <si>
    <t>MDM4</t>
  </si>
  <si>
    <t>DTL</t>
  </si>
  <si>
    <t>ABCG8</t>
  </si>
  <si>
    <t>SH2D6</t>
  </si>
  <si>
    <t>ZC3H8</t>
  </si>
  <si>
    <t>STK36</t>
  </si>
  <si>
    <t>PAX8</t>
  </si>
  <si>
    <t>SLC1A1</t>
  </si>
  <si>
    <t>RCL1</t>
  </si>
  <si>
    <t>LRP1B</t>
  </si>
  <si>
    <t>UPP2</t>
  </si>
  <si>
    <t>SCN2A</t>
  </si>
  <si>
    <t>LANCL1</t>
  </si>
  <si>
    <t>VIL1</t>
  </si>
  <si>
    <t>VHL</t>
  </si>
  <si>
    <t>PPARG</t>
  </si>
  <si>
    <t>LIMD1</t>
  </si>
  <si>
    <t>STAB1</t>
  </si>
  <si>
    <t>UROC1</t>
  </si>
  <si>
    <t>NME1-NME2</t>
  </si>
  <si>
    <t>PRKCI</t>
  </si>
  <si>
    <t>TBC1D10B</t>
  </si>
  <si>
    <t>NCEH1</t>
  </si>
  <si>
    <t>GLYATL2</t>
  </si>
  <si>
    <t>MGST2</t>
  </si>
  <si>
    <t>PLRG1</t>
  </si>
  <si>
    <t>ACSL1</t>
  </si>
  <si>
    <t>ARSB</t>
  </si>
  <si>
    <t>HARS</t>
  </si>
  <si>
    <t>NDST1</t>
  </si>
  <si>
    <t>ABCC11</t>
  </si>
  <si>
    <t>DHX16</t>
  </si>
  <si>
    <t>ANKS1A</t>
  </si>
  <si>
    <t>PPARD</t>
  </si>
  <si>
    <t>SLC26A8</t>
  </si>
  <si>
    <t>BRPF3</t>
  </si>
  <si>
    <t>KCNK17</t>
  </si>
  <si>
    <t>TTBK1</t>
  </si>
  <si>
    <t>ST3GAL1</t>
  </si>
  <si>
    <t>HIBADH</t>
  </si>
  <si>
    <t>STX1A</t>
  </si>
  <si>
    <t>TIGD3</t>
  </si>
  <si>
    <t>CCDC146</t>
  </si>
  <si>
    <t>PTPN1</t>
  </si>
  <si>
    <t>SORBS3</t>
  </si>
  <si>
    <t>ELP3</t>
  </si>
  <si>
    <t>MYBL1</t>
  </si>
  <si>
    <t>SLC43A3</t>
  </si>
  <si>
    <t>UBR5</t>
  </si>
  <si>
    <t>CDC37L1</t>
  </si>
  <si>
    <t>WDR31</t>
  </si>
  <si>
    <t>ZNF618</t>
  </si>
  <si>
    <t>URM1</t>
  </si>
  <si>
    <t>ST6GALNAC4</t>
  </si>
  <si>
    <t>SLC25A25</t>
  </si>
  <si>
    <t>RASSF4</t>
  </si>
  <si>
    <t>CAMK2G</t>
  </si>
  <si>
    <t>MINPP1</t>
  </si>
  <si>
    <t>WNT5B</t>
  </si>
  <si>
    <t>DCDC1</t>
  </si>
  <si>
    <t>PICK1</t>
  </si>
  <si>
    <t>EML3</t>
  </si>
  <si>
    <t>ATXN2</t>
  </si>
  <si>
    <t>SLC22A20</t>
  </si>
  <si>
    <t>ARRB1</t>
  </si>
  <si>
    <t>JAG1</t>
  </si>
  <si>
    <t>DGAT2</t>
  </si>
  <si>
    <t>NINJ2</t>
  </si>
  <si>
    <t>CS</t>
  </si>
  <si>
    <t>ANKRD52</t>
  </si>
  <si>
    <t>INHBC</t>
  </si>
  <si>
    <t>SDSL</t>
  </si>
  <si>
    <t>CPNE6</t>
  </si>
  <si>
    <t>TXNDC16</t>
  </si>
  <si>
    <t>CCDC85C</t>
  </si>
  <si>
    <t>TRAF3</t>
  </si>
  <si>
    <t>ELFN2</t>
  </si>
  <si>
    <t>TCF12</t>
  </si>
  <si>
    <t>CHSY1</t>
  </si>
  <si>
    <t>RAB11FIP3</t>
  </si>
  <si>
    <t>WDR90</t>
  </si>
  <si>
    <t>STUB1</t>
  </si>
  <si>
    <t>ACSM2B</t>
  </si>
  <si>
    <t>ACSM1</t>
  </si>
  <si>
    <t>DDX19B</t>
  </si>
  <si>
    <t>ARID3A</t>
  </si>
  <si>
    <t>CHST4</t>
  </si>
  <si>
    <t>ABCA10</t>
  </si>
  <si>
    <t>SMYD4</t>
  </si>
  <si>
    <t>MINK1</t>
  </si>
  <si>
    <t>AURKB</t>
  </si>
  <si>
    <t>PSMD3</t>
  </si>
  <si>
    <t>WIPI1</t>
  </si>
  <si>
    <t>CEACAM20</t>
  </si>
  <si>
    <t>TEX19</t>
  </si>
  <si>
    <t>EMILIN2</t>
  </si>
  <si>
    <t>NFIX</t>
  </si>
  <si>
    <t>GRIN3B</t>
  </si>
  <si>
    <t>ZBTB7A</t>
  </si>
  <si>
    <t>ANKRD24</t>
  </si>
  <si>
    <t>HDGFRP2</t>
  </si>
  <si>
    <t>DPP9</t>
  </si>
  <si>
    <t>LOC388796</t>
  </si>
  <si>
    <t>FARSA</t>
  </si>
  <si>
    <t>PDE4C</t>
  </si>
  <si>
    <t>PEPD</t>
  </si>
  <si>
    <t>FXYD3</t>
  </si>
  <si>
    <t>FXYD1</t>
  </si>
  <si>
    <t>EXOC3L2</t>
  </si>
  <si>
    <t>HNRNPL</t>
  </si>
  <si>
    <t>SARS2</t>
  </si>
  <si>
    <t>BCAM</t>
  </si>
  <si>
    <t>CEACAM16</t>
  </si>
  <si>
    <t>TRIB3</t>
  </si>
  <si>
    <t>MCM8</t>
  </si>
  <si>
    <t>C20orf112</t>
  </si>
  <si>
    <t>SYS1-DBNDD2</t>
  </si>
  <si>
    <t>ZMYND8</t>
  </si>
  <si>
    <t>CSDC2</t>
  </si>
  <si>
    <t>TRPC5</t>
  </si>
  <si>
    <t>GeneName</t>
  </si>
  <si>
    <t>Entrez</t>
  </si>
  <si>
    <t>Transcript</t>
  </si>
  <si>
    <t>Position_in_cDNA</t>
  </si>
  <si>
    <t>Position_in_protein</t>
  </si>
  <si>
    <t>Amino_acid_change</t>
  </si>
  <si>
    <t>Filter</t>
  </si>
  <si>
    <t>Chromosome</t>
  </si>
  <si>
    <t>Position</t>
  </si>
  <si>
    <t>Ref</t>
  </si>
  <si>
    <t>Var</t>
  </si>
  <si>
    <t>Protein</t>
  </si>
  <si>
    <t>PPIAL4G</t>
  </si>
  <si>
    <t>NM_001123068</t>
  </si>
  <si>
    <t>L122S</t>
  </si>
  <si>
    <t>PASS</t>
  </si>
  <si>
    <t>NP_001116540</t>
  </si>
  <si>
    <t>CDGLIV0709A0255_T</t>
  </si>
  <si>
    <t>E1023A</t>
  </si>
  <si>
    <t>NP_002007</t>
  </si>
  <si>
    <t>V138L</t>
  </si>
  <si>
    <t>NP_056146</t>
  </si>
  <si>
    <t>Gta/Tta</t>
  </si>
  <si>
    <t>NM_002393</t>
  </si>
  <si>
    <t>R443T</t>
  </si>
  <si>
    <t>NP_002384</t>
  </si>
  <si>
    <t>T742K</t>
  </si>
  <si>
    <t>NP_001004342</t>
  </si>
  <si>
    <t>R1810*</t>
  </si>
  <si>
    <t>NP_055429.2</t>
  </si>
  <si>
    <t>NM_001058</t>
  </si>
  <si>
    <t>P164S</t>
  </si>
  <si>
    <t>NP_001049</t>
  </si>
  <si>
    <t>G1708V</t>
  </si>
  <si>
    <t>NP_054733</t>
  </si>
  <si>
    <t>TPO</t>
  </si>
  <si>
    <t>NM_000547</t>
  </si>
  <si>
    <t>R48H</t>
  </si>
  <si>
    <t>NP_000538</t>
  </si>
  <si>
    <t>ABCB11</t>
  </si>
  <si>
    <t>NM_003742</t>
  </si>
  <si>
    <t>D1079H</t>
  </si>
  <si>
    <t>NP_003733</t>
  </si>
  <si>
    <t>HHLA2</t>
  </si>
  <si>
    <t>NM_007072</t>
  </si>
  <si>
    <t>I179V</t>
  </si>
  <si>
    <t>NP_009003</t>
  </si>
  <si>
    <t>NM_001024660</t>
  </si>
  <si>
    <t>F25L</t>
  </si>
  <si>
    <t>NP_001019831</t>
  </si>
  <si>
    <t>MUC4</t>
  </si>
  <si>
    <t>NM_018406</t>
  </si>
  <si>
    <t>D4189H</t>
  </si>
  <si>
    <t>NP_060876</t>
  </si>
  <si>
    <t>NM_024697</t>
  </si>
  <si>
    <t>Y307*</t>
  </si>
  <si>
    <t>NP_078973</t>
  </si>
  <si>
    <t>NM_182902</t>
  </si>
  <si>
    <t>S761F</t>
  </si>
  <si>
    <t>NP_878905</t>
  </si>
  <si>
    <t>S877N</t>
  </si>
  <si>
    <t>NP_002244</t>
  </si>
  <si>
    <t>WFS1</t>
  </si>
  <si>
    <t>NM_006005</t>
  </si>
  <si>
    <t>C604Y</t>
  </si>
  <si>
    <t>NP_005996</t>
  </si>
  <si>
    <t>NM_000944</t>
  </si>
  <si>
    <t>I230M</t>
  </si>
  <si>
    <t>NP_000935</t>
  </si>
  <si>
    <t>D405G</t>
  </si>
  <si>
    <t>NP_004778</t>
  </si>
  <si>
    <t>CDC20B</t>
  </si>
  <si>
    <t>NM_001170402</t>
  </si>
  <si>
    <t>G392V</t>
  </si>
  <si>
    <t>NP_001163873</t>
  </si>
  <si>
    <t>V287M</t>
  </si>
  <si>
    <t>NP_001008783</t>
  </si>
  <si>
    <t>NM_182961</t>
  </si>
  <si>
    <t>E1544*</t>
  </si>
  <si>
    <t>NP_892006</t>
  </si>
  <si>
    <t>HLA-DRB5</t>
  </si>
  <si>
    <t>NM_002125</t>
  </si>
  <si>
    <t>S24F</t>
  </si>
  <si>
    <t>PASS,rs147565130</t>
  </si>
  <si>
    <t>NP_002116</t>
  </si>
  <si>
    <t>C623S</t>
  </si>
  <si>
    <t>NP_789784</t>
  </si>
  <si>
    <t>NM_006765</t>
  </si>
  <si>
    <t>A121S</t>
  </si>
  <si>
    <t>NP_006756.2</t>
  </si>
  <si>
    <t>M365L</t>
  </si>
  <si>
    <t>NP_031397</t>
  </si>
  <si>
    <t>NM_001135196</t>
  </si>
  <si>
    <t>C782F</t>
  </si>
  <si>
    <t>NP_001128668</t>
  </si>
  <si>
    <t>NM_006257</t>
  </si>
  <si>
    <t>D533G</t>
  </si>
  <si>
    <t>NP_006248</t>
  </si>
  <si>
    <t>DLG5</t>
  </si>
  <si>
    <t>NM_004747</t>
  </si>
  <si>
    <t>E930G</t>
  </si>
  <si>
    <t>NP_004738</t>
  </si>
  <si>
    <t>NM_182751</t>
  </si>
  <si>
    <t>N772S</t>
  </si>
  <si>
    <t>NP_877428</t>
  </si>
  <si>
    <t>S381I</t>
  </si>
  <si>
    <t>NP_001010924</t>
  </si>
  <si>
    <t>ENKUR</t>
  </si>
  <si>
    <t>NM_145010</t>
  </si>
  <si>
    <t>C9Y</t>
  </si>
  <si>
    <t>NP_659447</t>
  </si>
  <si>
    <t>V112F</t>
  </si>
  <si>
    <t>PASS,rs150310193</t>
  </si>
  <si>
    <t>NP_689525</t>
  </si>
  <si>
    <t>OR6C70</t>
  </si>
  <si>
    <t>NM_001005499</t>
  </si>
  <si>
    <t>L113V</t>
  </si>
  <si>
    <t>NP_001005499</t>
  </si>
  <si>
    <t>NM_003701</t>
  </si>
  <si>
    <t>S150L</t>
  </si>
  <si>
    <t>NP_003692</t>
  </si>
  <si>
    <t>OR11H12</t>
  </si>
  <si>
    <t>NM_001013354</t>
  </si>
  <si>
    <t>L172P</t>
  </si>
  <si>
    <t>NP_001013372</t>
  </si>
  <si>
    <t>G310S</t>
  </si>
  <si>
    <t>NP_079331</t>
  </si>
  <si>
    <t>S176R</t>
  </si>
  <si>
    <t>NP_005521</t>
  </si>
  <si>
    <t>ZNF774</t>
  </si>
  <si>
    <t>NM_001004309</t>
  </si>
  <si>
    <t>E85K</t>
  </si>
  <si>
    <t>NP_001004309</t>
  </si>
  <si>
    <t>CHD2</t>
  </si>
  <si>
    <t>NM_001271</t>
  </si>
  <si>
    <t>L1018V</t>
  </si>
  <si>
    <t>NP_001262</t>
  </si>
  <si>
    <t>OR4N4</t>
  </si>
  <si>
    <t>NM_001005241</t>
  </si>
  <si>
    <t>K2N</t>
  </si>
  <si>
    <t>NP_001005241</t>
  </si>
  <si>
    <t>G552S</t>
  </si>
  <si>
    <t>NP_001788</t>
  </si>
  <si>
    <t>G2C</t>
  </si>
  <si>
    <t>NP_116219</t>
  </si>
  <si>
    <t>IL21R</t>
  </si>
  <si>
    <t>NM_021798</t>
  </si>
  <si>
    <t>R163W</t>
  </si>
  <si>
    <t>NP_068570</t>
  </si>
  <si>
    <t>ABCC12</t>
  </si>
  <si>
    <t>NM_033226</t>
  </si>
  <si>
    <t>S1050C</t>
  </si>
  <si>
    <t>NP_150229</t>
  </si>
  <si>
    <t>NM_001105528</t>
  </si>
  <si>
    <t>I668V</t>
  </si>
  <si>
    <t>NP_001098998</t>
  </si>
  <si>
    <t>ZIM2</t>
  </si>
  <si>
    <t>NM_001146326</t>
  </si>
  <si>
    <t>S220P</t>
  </si>
  <si>
    <t>NP_001139798</t>
  </si>
  <si>
    <t>S10019G</t>
  </si>
  <si>
    <t>NP_078966</t>
  </si>
  <si>
    <t>Agc/Ggc</t>
  </si>
  <si>
    <t>V685I</t>
  </si>
  <si>
    <t>NP_009084</t>
  </si>
  <si>
    <t>V233M</t>
  </si>
  <si>
    <t>NP_658986</t>
  </si>
  <si>
    <t>S729C</t>
  </si>
  <si>
    <t>NP_002218</t>
  </si>
  <si>
    <t>CDGLIV0707A0251_T</t>
  </si>
  <si>
    <t>FPGT-TNNI3K</t>
  </si>
  <si>
    <t>NM_001112808</t>
  </si>
  <si>
    <t>G34R</t>
  </si>
  <si>
    <t>NP_001106279</t>
  </si>
  <si>
    <t>CLCA2</t>
  </si>
  <si>
    <t>NM_006536</t>
  </si>
  <si>
    <t>K464M</t>
  </si>
  <si>
    <t>NP_006527</t>
  </si>
  <si>
    <t>Q529E</t>
  </si>
  <si>
    <t>NP_997281</t>
  </si>
  <si>
    <t>K242N</t>
  </si>
  <si>
    <t>NP_060531</t>
  </si>
  <si>
    <t>NM_138959</t>
  </si>
  <si>
    <t>E469V</t>
  </si>
  <si>
    <t>NP_620409</t>
  </si>
  <si>
    <t>PRAMEF12</t>
  </si>
  <si>
    <t>NM_001080830</t>
  </si>
  <si>
    <t>K181M</t>
  </si>
  <si>
    <t>NP_001074299</t>
  </si>
  <si>
    <t>S100A11</t>
  </si>
  <si>
    <t>NM_005620</t>
  </si>
  <si>
    <t>Y30N</t>
  </si>
  <si>
    <t>NP_005611</t>
  </si>
  <si>
    <t>L5Q</t>
  </si>
  <si>
    <t>NP_002951</t>
  </si>
  <si>
    <t>OR10K1</t>
  </si>
  <si>
    <t>NM_001004473</t>
  </si>
  <si>
    <t>K89*</t>
  </si>
  <si>
    <t>NP_001004473</t>
  </si>
  <si>
    <t>NM_004001</t>
  </si>
  <si>
    <t>N60Y</t>
  </si>
  <si>
    <t>NP_003992</t>
  </si>
  <si>
    <t>NBPF1</t>
  </si>
  <si>
    <t>NM_017940</t>
  </si>
  <si>
    <t>S853C</t>
  </si>
  <si>
    <t>NP_060410</t>
  </si>
  <si>
    <t>NM_004319</t>
  </si>
  <si>
    <t>Y512N</t>
  </si>
  <si>
    <t>NP_004310</t>
  </si>
  <si>
    <t>XPR1</t>
  </si>
  <si>
    <t>NM_004736</t>
  </si>
  <si>
    <t>R263I</t>
  </si>
  <si>
    <t>NP_004727</t>
  </si>
  <si>
    <t>NM_001114752</t>
  </si>
  <si>
    <t>T306A</t>
  </si>
  <si>
    <t>NP_001108224</t>
  </si>
  <si>
    <t>L3402H</t>
  </si>
  <si>
    <t>NP_996816</t>
  </si>
  <si>
    <t>CDC42BPA</t>
  </si>
  <si>
    <t>NM_003607</t>
  </si>
  <si>
    <t>N212S</t>
  </si>
  <si>
    <t>NP_003598</t>
  </si>
  <si>
    <t>S1053C</t>
  </si>
  <si>
    <t>NP_001092093</t>
  </si>
  <si>
    <t>ZNF496</t>
  </si>
  <si>
    <t>NM_032752</t>
  </si>
  <si>
    <t>R416P</t>
  </si>
  <si>
    <t>NP_116141</t>
  </si>
  <si>
    <t>OR14A16</t>
  </si>
  <si>
    <t>NM_001001966</t>
  </si>
  <si>
    <t>L84M</t>
  </si>
  <si>
    <t>NP_001001966</t>
  </si>
  <si>
    <t>OR2M4</t>
  </si>
  <si>
    <t>NM_017504</t>
  </si>
  <si>
    <t>T239S</t>
  </si>
  <si>
    <t>NP_059974</t>
  </si>
  <si>
    <t>RHD</t>
  </si>
  <si>
    <t>NM_016124</t>
  </si>
  <si>
    <t>I392K</t>
  </si>
  <si>
    <t>NP_057208</t>
  </si>
  <si>
    <t>BAI2</t>
  </si>
  <si>
    <t>NM_001703</t>
  </si>
  <si>
    <t>NP_001694</t>
  </si>
  <si>
    <t>NM_001039348</t>
  </si>
  <si>
    <t>R134*</t>
  </si>
  <si>
    <t>NP_001034437</t>
  </si>
  <si>
    <t>BCL11A</t>
  </si>
  <si>
    <t>NM_022893</t>
  </si>
  <si>
    <t>C747S</t>
  </si>
  <si>
    <t>NP_075044</t>
  </si>
  <si>
    <t>I965V</t>
  </si>
  <si>
    <t>NP_055524</t>
  </si>
  <si>
    <t>FAM161A</t>
  </si>
  <si>
    <t>NM_001201543</t>
  </si>
  <si>
    <t>R679S</t>
  </si>
  <si>
    <t>NP_001188472</t>
  </si>
  <si>
    <t>ANTXR1</t>
  </si>
  <si>
    <t>NM_032208</t>
  </si>
  <si>
    <t>Q110L</t>
  </si>
  <si>
    <t>NP_115584</t>
  </si>
  <si>
    <t>C2orf29</t>
  </si>
  <si>
    <t>NM_017546</t>
  </si>
  <si>
    <t>D402Y</t>
  </si>
  <si>
    <t>NP_060016</t>
  </si>
  <si>
    <t>F459Y</t>
  </si>
  <si>
    <t>NP_006761</t>
  </si>
  <si>
    <t>G239R</t>
  </si>
  <si>
    <t>PASS,CM961159,CD050903</t>
  </si>
  <si>
    <t>NP_000303</t>
  </si>
  <si>
    <t>NM_018557</t>
  </si>
  <si>
    <t>NP_061027</t>
  </si>
  <si>
    <t>GALNT5</t>
  </si>
  <si>
    <t>NM_014568</t>
  </si>
  <si>
    <t>K679R</t>
  </si>
  <si>
    <t>NP_055383</t>
  </si>
  <si>
    <t>NM_006920</t>
  </si>
  <si>
    <t>C766S</t>
  </si>
  <si>
    <t>NP_008851</t>
  </si>
  <si>
    <t>NM_152381</t>
  </si>
  <si>
    <t>Q461L</t>
  </si>
  <si>
    <t>NP_689594.4</t>
  </si>
  <si>
    <t>I1572V</t>
  </si>
  <si>
    <t>P2588A</t>
  </si>
  <si>
    <t>NM_133378</t>
  </si>
  <si>
    <t>P3831A</t>
  </si>
  <si>
    <t>NP_596869</t>
  </si>
  <si>
    <t>NM_015677</t>
  </si>
  <si>
    <t>P246L</t>
  </si>
  <si>
    <t>NP_056492</t>
  </si>
  <si>
    <t>NM_152526</t>
  </si>
  <si>
    <t>Q82H</t>
  </si>
  <si>
    <t>NP_689739</t>
  </si>
  <si>
    <t>SPAG16</t>
  </si>
  <si>
    <t>NM_024532</t>
  </si>
  <si>
    <t>H231L</t>
  </si>
  <si>
    <t>NP_078808</t>
  </si>
  <si>
    <t>NM_001103146</t>
  </si>
  <si>
    <t>N1254Y</t>
  </si>
  <si>
    <t>NP_001096616</t>
  </si>
  <si>
    <t>DNMT3A</t>
  </si>
  <si>
    <t>NM_022552</t>
  </si>
  <si>
    <t>W313C</t>
  </si>
  <si>
    <t>NP_072046</t>
  </si>
  <si>
    <t>W313L</t>
  </si>
  <si>
    <t>NM_080592</t>
  </si>
  <si>
    <t>Q173*</t>
  </si>
  <si>
    <t>NP_542159</t>
  </si>
  <si>
    <t>P261Q</t>
  </si>
  <si>
    <t>NP_996826</t>
  </si>
  <si>
    <t>NP_004938</t>
  </si>
  <si>
    <t>NM_000720</t>
  </si>
  <si>
    <t>M6I</t>
  </si>
  <si>
    <t>NP_000711</t>
  </si>
  <si>
    <t>L1127P</t>
  </si>
  <si>
    <t>Q506L</t>
  </si>
  <si>
    <t>NP_003707</t>
  </si>
  <si>
    <t>SLC9C1</t>
  </si>
  <si>
    <t>NM_183061</t>
  </si>
  <si>
    <t>L1127S</t>
  </si>
  <si>
    <t>NP_898884</t>
  </si>
  <si>
    <t>CCDC80</t>
  </si>
  <si>
    <t>NM_199512</t>
  </si>
  <si>
    <t>G827*</t>
  </si>
  <si>
    <t>NP_955806</t>
  </si>
  <si>
    <t>CD86</t>
  </si>
  <si>
    <t>NM_175862</t>
  </si>
  <si>
    <t>L19Q</t>
  </si>
  <si>
    <t>NP_787058</t>
  </si>
  <si>
    <t>E6V</t>
  </si>
  <si>
    <t>NP_078886</t>
  </si>
  <si>
    <t>E6*</t>
  </si>
  <si>
    <t>I164F</t>
  </si>
  <si>
    <t>NP_940684</t>
  </si>
  <si>
    <t>MSL2</t>
  </si>
  <si>
    <t>NM_018133</t>
  </si>
  <si>
    <t>A116T</t>
  </si>
  <si>
    <t>NP_060603</t>
  </si>
  <si>
    <t>S179T</t>
  </si>
  <si>
    <t>NP_057300</t>
  </si>
  <si>
    <t>Y848F</t>
  </si>
  <si>
    <t>NP_689749</t>
  </si>
  <si>
    <t>Q202L</t>
  </si>
  <si>
    <t>NP_055111</t>
  </si>
  <si>
    <t>K1068*</t>
  </si>
  <si>
    <t>NP_001032</t>
  </si>
  <si>
    <t>NM_022763</t>
  </si>
  <si>
    <t>S1079P</t>
  </si>
  <si>
    <t>NP_073600</t>
  </si>
  <si>
    <t>NM_198485</t>
  </si>
  <si>
    <t>NP_940887</t>
  </si>
  <si>
    <t>A1772G</t>
  </si>
  <si>
    <t>PASS,rs140116971</t>
  </si>
  <si>
    <t>LRRC33</t>
  </si>
  <si>
    <t>NM_198565</t>
  </si>
  <si>
    <t>L541*</t>
  </si>
  <si>
    <t>NP_940967</t>
  </si>
  <si>
    <t>ZNF860</t>
  </si>
  <si>
    <t>NM_001137674</t>
  </si>
  <si>
    <t>K259*</t>
  </si>
  <si>
    <t>NP_001131146</t>
  </si>
  <si>
    <t>NM_001904</t>
  </si>
  <si>
    <t>S37C</t>
  </si>
  <si>
    <t>PASS,COSM5679,COSM5666,COSM5662</t>
  </si>
  <si>
    <t>NP_001895</t>
  </si>
  <si>
    <t>K138M</t>
  </si>
  <si>
    <t>NP_003356</t>
  </si>
  <si>
    <t>I1221M</t>
  </si>
  <si>
    <t>NP_667338</t>
  </si>
  <si>
    <t>NM_014991</t>
  </si>
  <si>
    <t>NP_055806</t>
  </si>
  <si>
    <t>LEF1</t>
  </si>
  <si>
    <t>NM_016269</t>
  </si>
  <si>
    <t>K34T</t>
  </si>
  <si>
    <t>NP_057353.1</t>
  </si>
  <si>
    <t>TLL1</t>
  </si>
  <si>
    <t>NM_012464</t>
  </si>
  <si>
    <t>E200A</t>
  </si>
  <si>
    <t>NP_036596</t>
  </si>
  <si>
    <t>gAg/gCg</t>
  </si>
  <si>
    <t>Y405N</t>
  </si>
  <si>
    <t>NP_059119</t>
  </si>
  <si>
    <t>P54S</t>
  </si>
  <si>
    <t>NP_848651</t>
  </si>
  <si>
    <t>NM_020973</t>
  </si>
  <si>
    <t>A467T</t>
  </si>
  <si>
    <t>NP_066024</t>
  </si>
  <si>
    <t>TLR10</t>
  </si>
  <si>
    <t>NM_001017388</t>
  </si>
  <si>
    <t>R5*</t>
  </si>
  <si>
    <t>NP_001017388</t>
  </si>
  <si>
    <t>NM_014988</t>
  </si>
  <si>
    <t>S97P</t>
  </si>
  <si>
    <t>NP_055803</t>
  </si>
  <si>
    <t>NM_181501</t>
  </si>
  <si>
    <t>NP_852478</t>
  </si>
  <si>
    <t>N469I</t>
  </si>
  <si>
    <t>PASS,rs78917332</t>
  </si>
  <si>
    <t>IL6ST</t>
  </si>
  <si>
    <t>NM_002184</t>
  </si>
  <si>
    <t>F191V</t>
  </si>
  <si>
    <t>NP_002175</t>
  </si>
  <si>
    <t>Ttt/Gtt</t>
  </si>
  <si>
    <t>I571F</t>
  </si>
  <si>
    <t>NP_055794</t>
  </si>
  <si>
    <t>L682P</t>
  </si>
  <si>
    <t>NP_001323</t>
  </si>
  <si>
    <t>D1379Y</t>
  </si>
  <si>
    <t>NP_001990</t>
  </si>
  <si>
    <t>TIFAB</t>
  </si>
  <si>
    <t>NM_001099221</t>
  </si>
  <si>
    <t>E141V</t>
  </si>
  <si>
    <t>NP_001092691</t>
  </si>
  <si>
    <t>R316W</t>
  </si>
  <si>
    <t>NP_006416</t>
  </si>
  <si>
    <t>N1316I</t>
  </si>
  <si>
    <t>NP_775760</t>
  </si>
  <si>
    <t>COL21A1</t>
  </si>
  <si>
    <t>NM_030820</t>
  </si>
  <si>
    <t>Q414P</t>
  </si>
  <si>
    <t>NP_110447</t>
  </si>
  <si>
    <t>NM_001142800</t>
  </si>
  <si>
    <t>H1053L</t>
  </si>
  <si>
    <t>NP_001136272</t>
  </si>
  <si>
    <t>MMS22L</t>
  </si>
  <si>
    <t>NM_198468</t>
  </si>
  <si>
    <t>Q782H</t>
  </si>
  <si>
    <t>NP_940870</t>
  </si>
  <si>
    <t>H1483L</t>
  </si>
  <si>
    <t>NP_002105</t>
  </si>
  <si>
    <t>P2408S</t>
  </si>
  <si>
    <t>L308Q</t>
  </si>
  <si>
    <t>NP_258443</t>
  </si>
  <si>
    <t>W49R</t>
  </si>
  <si>
    <t>NP_872354.1</t>
  </si>
  <si>
    <t>M832I</t>
  </si>
  <si>
    <t>NP_001193856</t>
  </si>
  <si>
    <t>E159D</t>
  </si>
  <si>
    <t>NP_006780.1</t>
  </si>
  <si>
    <t>MDFI</t>
  </si>
  <si>
    <t>NM_005586</t>
  </si>
  <si>
    <t>STOP_LOST</t>
  </si>
  <si>
    <t>NP_005577</t>
  </si>
  <si>
    <t>Tga/Aga</t>
  </si>
  <si>
    <t>NM_015255</t>
  </si>
  <si>
    <t>R850W</t>
  </si>
  <si>
    <t>NP_056070</t>
  </si>
  <si>
    <t>GRM3</t>
  </si>
  <si>
    <t>NM_000840</t>
  </si>
  <si>
    <t>P505S</t>
  </si>
  <si>
    <t>NP_000831</t>
  </si>
  <si>
    <t>PPP1R9A</t>
  </si>
  <si>
    <t>NM_001166161</t>
  </si>
  <si>
    <t>L205Q</t>
  </si>
  <si>
    <t>NP_001159633</t>
  </si>
  <si>
    <t>R1464W</t>
  </si>
  <si>
    <t>NP_219499</t>
  </si>
  <si>
    <t>CALU</t>
  </si>
  <si>
    <t>NM_001219</t>
  </si>
  <si>
    <t>Q236L</t>
  </si>
  <si>
    <t>NP_001210</t>
  </si>
  <si>
    <t>ZNF783</t>
  </si>
  <si>
    <t>NM_001195220</t>
  </si>
  <si>
    <t>E276Q</t>
  </si>
  <si>
    <t>NP_001182149</t>
  </si>
  <si>
    <t>GIMAP7</t>
  </si>
  <si>
    <t>NM_153236</t>
  </si>
  <si>
    <t>S180R</t>
  </si>
  <si>
    <t>NP_694968</t>
  </si>
  <si>
    <t>Q563L</t>
  </si>
  <si>
    <t>NP_877439</t>
  </si>
  <si>
    <t>DNAH11</t>
  </si>
  <si>
    <t>NM_003777</t>
  </si>
  <si>
    <t>G1949C</t>
  </si>
  <si>
    <t>NP_003768</t>
  </si>
  <si>
    <t>NM_031243</t>
  </si>
  <si>
    <t>R21L</t>
  </si>
  <si>
    <t>NP_112533.1</t>
  </si>
  <si>
    <t>R21C</t>
  </si>
  <si>
    <t>Q472L</t>
  </si>
  <si>
    <t>NP_115791</t>
  </si>
  <si>
    <t>NM_194300</t>
  </si>
  <si>
    <t>E516*</t>
  </si>
  <si>
    <t>PASS,rs150717357</t>
  </si>
  <si>
    <t>NP_919276</t>
  </si>
  <si>
    <t>NP_689914</t>
  </si>
  <si>
    <t>N220Y</t>
  </si>
  <si>
    <t>NP_064529</t>
  </si>
  <si>
    <t>L90P</t>
  </si>
  <si>
    <t>NP_733466</t>
  </si>
  <si>
    <t>PREX2</t>
  </si>
  <si>
    <t>NM_024870</t>
  </si>
  <si>
    <t>S1414G</t>
  </si>
  <si>
    <t>NP_079146</t>
  </si>
  <si>
    <t>I493V</t>
  </si>
  <si>
    <t>NP_848927</t>
  </si>
  <si>
    <t>NP_690848</t>
  </si>
  <si>
    <t>REEP4</t>
  </si>
  <si>
    <t>NM_025232</t>
  </si>
  <si>
    <t>NP_079508</t>
  </si>
  <si>
    <t>tAg/tTg</t>
  </si>
  <si>
    <t>NM_006904</t>
  </si>
  <si>
    <t>Q3440L</t>
  </si>
  <si>
    <t>NP_008835</t>
  </si>
  <si>
    <t>K80M</t>
  </si>
  <si>
    <t>NP_001004451</t>
  </si>
  <si>
    <t>NM_000368</t>
  </si>
  <si>
    <t>R204S</t>
  </si>
  <si>
    <t>NP_000359</t>
  </si>
  <si>
    <t>GRIN1</t>
  </si>
  <si>
    <t>NM_001185090</t>
  </si>
  <si>
    <t>K896Q</t>
  </si>
  <si>
    <t>NP_001172019</t>
  </si>
  <si>
    <t>N1413I</t>
  </si>
  <si>
    <t>PASS,rs143070506</t>
  </si>
  <si>
    <t>NP_722516</t>
  </si>
  <si>
    <t>TUBB8</t>
  </si>
  <si>
    <t>NM_177987</t>
  </si>
  <si>
    <t>Y36N</t>
  </si>
  <si>
    <t>NP_817124</t>
  </si>
  <si>
    <t>WDFY4</t>
  </si>
  <si>
    <t>NM_020945</t>
  </si>
  <si>
    <t>E2077V</t>
  </si>
  <si>
    <t>NP_065996</t>
  </si>
  <si>
    <t>NM_001130162</t>
  </si>
  <si>
    <t>K266I</t>
  </si>
  <si>
    <t>NP_001123634</t>
  </si>
  <si>
    <t>NM_005041</t>
  </si>
  <si>
    <t>L258Q</t>
  </si>
  <si>
    <t>NP_005032</t>
  </si>
  <si>
    <t>ASCC1</t>
  </si>
  <si>
    <t>NM_001198798</t>
  </si>
  <si>
    <t>S67C</t>
  </si>
  <si>
    <t>NP_001185727</t>
  </si>
  <si>
    <t>FAM35A</t>
  </si>
  <si>
    <t>NM_019054</t>
  </si>
  <si>
    <t>Q716L</t>
  </si>
  <si>
    <t>NP_061927</t>
  </si>
  <si>
    <t>LCOR</t>
  </si>
  <si>
    <t>NM_001170765</t>
  </si>
  <si>
    <t>N26S</t>
  </si>
  <si>
    <t>NP_001164236</t>
  </si>
  <si>
    <t>R3HCC1L</t>
  </si>
  <si>
    <t>NM_014472</t>
  </si>
  <si>
    <t>K212M</t>
  </si>
  <si>
    <t>NP_055287</t>
  </si>
  <si>
    <t>NM_001080491</t>
  </si>
  <si>
    <t>R150*</t>
  </si>
  <si>
    <t>NP_001073960</t>
  </si>
  <si>
    <t>L607Q</t>
  </si>
  <si>
    <t>NP_937791</t>
  </si>
  <si>
    <t>ZMYND11</t>
  </si>
  <si>
    <t>NM_001202468</t>
  </si>
  <si>
    <t>T38R</t>
  </si>
  <si>
    <t>NP_001189397</t>
  </si>
  <si>
    <t>KIAA1217</t>
  </si>
  <si>
    <t>NM_019590</t>
  </si>
  <si>
    <t>N49H</t>
  </si>
  <si>
    <t>NP_062536</t>
  </si>
  <si>
    <t>NM_001012417</t>
  </si>
  <si>
    <t>T142S</t>
  </si>
  <si>
    <t>NP_001012417</t>
  </si>
  <si>
    <t>CDC42BPG</t>
  </si>
  <si>
    <t>NM_017525</t>
  </si>
  <si>
    <t>R89W</t>
  </si>
  <si>
    <t>NP_059995</t>
  </si>
  <si>
    <t>CCDC67</t>
  </si>
  <si>
    <t>NM_181645</t>
  </si>
  <si>
    <t>Y488N</t>
  </si>
  <si>
    <t>NP_857596</t>
  </si>
  <si>
    <t>L210*</t>
  </si>
  <si>
    <t>NP_071405</t>
  </si>
  <si>
    <t>NM_014352</t>
  </si>
  <si>
    <t>K305I</t>
  </si>
  <si>
    <t>NP_055167</t>
  </si>
  <si>
    <t>INS-IGF2</t>
  </si>
  <si>
    <t>NM_001042376</t>
  </si>
  <si>
    <t>L8Q</t>
  </si>
  <si>
    <t>NP_001035835.1</t>
  </si>
  <si>
    <t>V4I</t>
  </si>
  <si>
    <t>NP_065079</t>
  </si>
  <si>
    <t>NM_002231</t>
  </si>
  <si>
    <t>K179M</t>
  </si>
  <si>
    <t>NP_002222</t>
  </si>
  <si>
    <t>NM_000506</t>
  </si>
  <si>
    <t>P209L</t>
  </si>
  <si>
    <t>NP_000497</t>
  </si>
  <si>
    <t>L276Q</t>
  </si>
  <si>
    <t>NP_001005238</t>
  </si>
  <si>
    <t>KCNA5</t>
  </si>
  <si>
    <t>NM_002234</t>
  </si>
  <si>
    <t>S246P</t>
  </si>
  <si>
    <t>NP_002225</t>
  </si>
  <si>
    <t>R158G</t>
  </si>
  <si>
    <t>PASS,COSM162060</t>
  </si>
  <si>
    <t>NP_005546</t>
  </si>
  <si>
    <t>KRT79</t>
  </si>
  <si>
    <t>NM_175834</t>
  </si>
  <si>
    <t>Q98L</t>
  </si>
  <si>
    <t>NP_787028</t>
  </si>
  <si>
    <t>K1433*</t>
  </si>
  <si>
    <t>NP_775862</t>
  </si>
  <si>
    <t>NM_001206999</t>
  </si>
  <si>
    <t>N313Y</t>
  </si>
  <si>
    <t>NP_001193928</t>
  </si>
  <si>
    <t>SNRNP35</t>
  </si>
  <si>
    <t>NM_180699</t>
  </si>
  <si>
    <t>R78H</t>
  </si>
  <si>
    <t>NP_851030</t>
  </si>
  <si>
    <t>E2144V</t>
  </si>
  <si>
    <t>NP_056224</t>
  </si>
  <si>
    <t>L209Q</t>
  </si>
  <si>
    <t>NP_758952</t>
  </si>
  <si>
    <t>PCDH17</t>
  </si>
  <si>
    <t>NM_001040429</t>
  </si>
  <si>
    <t>S620C</t>
  </si>
  <si>
    <t>NP_001035519</t>
  </si>
  <si>
    <t>EDNRB</t>
  </si>
  <si>
    <t>NM_001201397</t>
  </si>
  <si>
    <t>C264S</t>
  </si>
  <si>
    <t>NP_001188326</t>
  </si>
  <si>
    <t>COL4A1</t>
  </si>
  <si>
    <t>NM_001845</t>
  </si>
  <si>
    <t>R1619C</t>
  </si>
  <si>
    <t>NP_001836</t>
  </si>
  <si>
    <t>L154P</t>
  </si>
  <si>
    <t>NP_001028774</t>
  </si>
  <si>
    <t>OR4K2</t>
  </si>
  <si>
    <t>NM_001005501</t>
  </si>
  <si>
    <t>C189*</t>
  </si>
  <si>
    <t>NP_001005501</t>
  </si>
  <si>
    <t>tgT/tgA</t>
  </si>
  <si>
    <t>PNP</t>
  </si>
  <si>
    <t>NM_000270</t>
  </si>
  <si>
    <t>M130L</t>
  </si>
  <si>
    <t>NP_000261</t>
  </si>
  <si>
    <t>NM_001174116</t>
  </si>
  <si>
    <t>H1847L</t>
  </si>
  <si>
    <t>NP_001167587</t>
  </si>
  <si>
    <t>NM_001018090</t>
  </si>
  <si>
    <t>I172V</t>
  </si>
  <si>
    <t>NP_001018100</t>
  </si>
  <si>
    <t>D259Y</t>
  </si>
  <si>
    <t>NP_002824</t>
  </si>
  <si>
    <t>NM_024580</t>
  </si>
  <si>
    <t>Q459L</t>
  </si>
  <si>
    <t>NP_078856</t>
  </si>
  <si>
    <t>W429R</t>
  </si>
  <si>
    <t>NP_150092</t>
  </si>
  <si>
    <t>D138A</t>
  </si>
  <si>
    <t>NP_689807</t>
  </si>
  <si>
    <t>N232D</t>
  </si>
  <si>
    <t>NP_828848</t>
  </si>
  <si>
    <t>I491L</t>
  </si>
  <si>
    <t>NP_057216</t>
  </si>
  <si>
    <t>NM_001129728</t>
  </si>
  <si>
    <t>S1173C</t>
  </si>
  <si>
    <t>NP_001123200</t>
  </si>
  <si>
    <t>Y502F</t>
  </si>
  <si>
    <t>NP_006556</t>
  </si>
  <si>
    <t>L8V</t>
  </si>
  <si>
    <t>NP_001784</t>
  </si>
  <si>
    <t>CHST6</t>
  </si>
  <si>
    <t>NM_021615</t>
  </si>
  <si>
    <t>T291S</t>
  </si>
  <si>
    <t>NP_067628</t>
  </si>
  <si>
    <t>aCt/aGt</t>
  </si>
  <si>
    <t>NM_001142448</t>
  </si>
  <si>
    <t>NP_001135920</t>
  </si>
  <si>
    <t>NM_004380</t>
  </si>
  <si>
    <t>Q1500L</t>
  </si>
  <si>
    <t>PASS,COSM96443,CM085340</t>
  </si>
  <si>
    <t>NP_004371</t>
  </si>
  <si>
    <t>H92L</t>
  </si>
  <si>
    <t>NP_001005404</t>
  </si>
  <si>
    <t>NM_173728</t>
  </si>
  <si>
    <t>E827V</t>
  </si>
  <si>
    <t>NP_776089</t>
  </si>
  <si>
    <t>MYH8</t>
  </si>
  <si>
    <t>NM_002472</t>
  </si>
  <si>
    <t>R1616S</t>
  </si>
  <si>
    <t>NP_002463</t>
  </si>
  <si>
    <t>FLCN</t>
  </si>
  <si>
    <t>NM_144997</t>
  </si>
  <si>
    <t>Q502*</t>
  </si>
  <si>
    <t>NP_659434</t>
  </si>
  <si>
    <t>XM_003403685</t>
  </si>
  <si>
    <t>Y349*</t>
  </si>
  <si>
    <t>XP_003403733</t>
  </si>
  <si>
    <t>KRT34</t>
  </si>
  <si>
    <t>NM_021013</t>
  </si>
  <si>
    <t>L195Q</t>
  </si>
  <si>
    <t>NP_066293</t>
  </si>
  <si>
    <t>K231*</t>
  </si>
  <si>
    <t>NP_002269</t>
  </si>
  <si>
    <t>Y1048S</t>
  </si>
  <si>
    <t>NP_003623</t>
  </si>
  <si>
    <t>tAt/tCt</t>
  </si>
  <si>
    <t>I228F</t>
  </si>
  <si>
    <t>NP_003777</t>
  </si>
  <si>
    <t>ANKRD40</t>
  </si>
  <si>
    <t>NM_052855</t>
  </si>
  <si>
    <t>M229L</t>
  </si>
  <si>
    <t>NP_443087</t>
  </si>
  <si>
    <t>ZNF532</t>
  </si>
  <si>
    <t>NM_018181</t>
  </si>
  <si>
    <t>S729T</t>
  </si>
  <si>
    <t>NP_060651</t>
  </si>
  <si>
    <t>Tcg/Acg</t>
  </si>
  <si>
    <t>DSG3</t>
  </si>
  <si>
    <t>NM_001944</t>
  </si>
  <si>
    <t>Q981*</t>
  </si>
  <si>
    <t>NP_001935</t>
  </si>
  <si>
    <t>LOXHD1</t>
  </si>
  <si>
    <t>NM_144612</t>
  </si>
  <si>
    <t>NP_653213</t>
  </si>
  <si>
    <t>T586S</t>
  </si>
  <si>
    <t>NP_004662</t>
  </si>
  <si>
    <t>POLRMT</t>
  </si>
  <si>
    <t>NM_005035</t>
  </si>
  <si>
    <t>Y1004F</t>
  </si>
  <si>
    <t>NP_005026</t>
  </si>
  <si>
    <t>MYO1F</t>
  </si>
  <si>
    <t>NM_012335</t>
  </si>
  <si>
    <t>L145Q</t>
  </si>
  <si>
    <t>NP_036467</t>
  </si>
  <si>
    <t>K1039*</t>
  </si>
  <si>
    <t>NP_056534</t>
  </si>
  <si>
    <t>SIN3B</t>
  </si>
  <si>
    <t>NM_015260</t>
  </si>
  <si>
    <t>K577*</t>
  </si>
  <si>
    <t>NP_056075</t>
  </si>
  <si>
    <t>K158*</t>
  </si>
  <si>
    <t>NP_055071</t>
  </si>
  <si>
    <t>L500Q</t>
  </si>
  <si>
    <t>NP_004377</t>
  </si>
  <si>
    <t>NM_000540</t>
  </si>
  <si>
    <t>L3049H</t>
  </si>
  <si>
    <t>NP_000531</t>
  </si>
  <si>
    <t>SHD</t>
  </si>
  <si>
    <t>NM_020209</t>
  </si>
  <si>
    <t>E154V</t>
  </si>
  <si>
    <t>NP_064594</t>
  </si>
  <si>
    <t>PSG9</t>
  </si>
  <si>
    <t>NM_002784</t>
  </si>
  <si>
    <t>S389C</t>
  </si>
  <si>
    <t>NP_002775</t>
  </si>
  <si>
    <t>NM_005178</t>
  </si>
  <si>
    <t>G440D</t>
  </si>
  <si>
    <t>NP_005169</t>
  </si>
  <si>
    <t>SLC8A2</t>
  </si>
  <si>
    <t>NM_015063</t>
  </si>
  <si>
    <t>K105T</t>
  </si>
  <si>
    <t>NP_055878</t>
  </si>
  <si>
    <t>NM_003706</t>
  </si>
  <si>
    <t>H154L</t>
  </si>
  <si>
    <t>NP_003697</t>
  </si>
  <si>
    <t>NM_020904</t>
  </si>
  <si>
    <t>S531C</t>
  </si>
  <si>
    <t>NP_065955</t>
  </si>
  <si>
    <t>NM_170784</t>
  </si>
  <si>
    <t>L461*</t>
  </si>
  <si>
    <t>NP_740754</t>
  </si>
  <si>
    <t>NM_031483</t>
  </si>
  <si>
    <t>K776*</t>
  </si>
  <si>
    <t>NP_113671</t>
  </si>
  <si>
    <t>Q715L</t>
  </si>
  <si>
    <t>NP_009117</t>
  </si>
  <si>
    <t>R1764W</t>
  </si>
  <si>
    <t>T397S</t>
  </si>
  <si>
    <t>NP_112181</t>
  </si>
  <si>
    <t>NM_003024</t>
  </si>
  <si>
    <t>P125R</t>
  </si>
  <si>
    <t>NP_003015</t>
  </si>
  <si>
    <t>NM_001007467</t>
  </si>
  <si>
    <t>I457F</t>
  </si>
  <si>
    <t>NP_001007468</t>
  </si>
  <si>
    <t>APOBEC3F</t>
  </si>
  <si>
    <t>NM_145298</t>
  </si>
  <si>
    <t>H247L</t>
  </si>
  <si>
    <t>NP_660341</t>
  </si>
  <si>
    <t>E368V</t>
  </si>
  <si>
    <t>NP_689726</t>
  </si>
  <si>
    <t>K6R</t>
  </si>
  <si>
    <t>NP_995321.1</t>
  </si>
  <si>
    <t>NM_001136025</t>
  </si>
  <si>
    <t>G258S</t>
  </si>
  <si>
    <t>NP_001129497</t>
  </si>
  <si>
    <t>G258V</t>
  </si>
  <si>
    <t>NM_001170961</t>
  </si>
  <si>
    <t>S1138N</t>
  </si>
  <si>
    <t>NP_001164432</t>
  </si>
  <si>
    <t>NM_000425</t>
  </si>
  <si>
    <t>L130P</t>
  </si>
  <si>
    <t>NP_000416</t>
  </si>
  <si>
    <t>P1051R</t>
  </si>
  <si>
    <t>NP_001002912.4</t>
  </si>
  <si>
    <t>CDGLIV0506A0087_T</t>
  </si>
  <si>
    <t>R284S</t>
  </si>
  <si>
    <t>NP_006591</t>
  </si>
  <si>
    <t>M950I</t>
  </si>
  <si>
    <t>NP_004295</t>
  </si>
  <si>
    <t>P310T</t>
  </si>
  <si>
    <t>Y273N</t>
  </si>
  <si>
    <t>NP_006197</t>
  </si>
  <si>
    <t>NM_018078</t>
  </si>
  <si>
    <t>NP_060548</t>
  </si>
  <si>
    <t>RASGRF2</t>
  </si>
  <si>
    <t>NM_006909</t>
  </si>
  <si>
    <t>E934K</t>
  </si>
  <si>
    <t>NP_008840</t>
  </si>
  <si>
    <t>SPATA9</t>
  </si>
  <si>
    <t>NM_031952</t>
  </si>
  <si>
    <t>I42V</t>
  </si>
  <si>
    <t>NP_114158</t>
  </si>
  <si>
    <t>PCDHA2</t>
  </si>
  <si>
    <t>NM_018905</t>
  </si>
  <si>
    <t>V649A</t>
  </si>
  <si>
    <t>NP_061728</t>
  </si>
  <si>
    <t>P283Q</t>
  </si>
  <si>
    <t>NP_064552</t>
  </si>
  <si>
    <t>MUC17</t>
  </si>
  <si>
    <t>NM_001040105</t>
  </si>
  <si>
    <t>S3572G</t>
  </si>
  <si>
    <t>NP_001035194</t>
  </si>
  <si>
    <t>TRMT12</t>
  </si>
  <si>
    <t>NM_017956</t>
  </si>
  <si>
    <t>P17T</t>
  </si>
  <si>
    <t>NP_060426</t>
  </si>
  <si>
    <t>SUPV3L1</t>
  </si>
  <si>
    <t>NM_003171</t>
  </si>
  <si>
    <t>R569G</t>
  </si>
  <si>
    <t>NP_003162</t>
  </si>
  <si>
    <t>RAB11FIP2</t>
  </si>
  <si>
    <t>NM_014904</t>
  </si>
  <si>
    <t>M236T</t>
  </si>
  <si>
    <t>NP_055719</t>
  </si>
  <si>
    <t>KCNC2</t>
  </si>
  <si>
    <t>NM_139137</t>
  </si>
  <si>
    <t>R571K</t>
  </si>
  <si>
    <t>PASS,COSM137587</t>
  </si>
  <si>
    <t>NP_631875</t>
  </si>
  <si>
    <t>ZC3H13</t>
  </si>
  <si>
    <t>NM_015070</t>
  </si>
  <si>
    <t>D312E</t>
  </si>
  <si>
    <t>NP_055885</t>
  </si>
  <si>
    <t>NM_005930</t>
  </si>
  <si>
    <t>E202K</t>
  </si>
  <si>
    <t>NP_005921</t>
  </si>
  <si>
    <t>SSH2</t>
  </si>
  <si>
    <t>NM_033389</t>
  </si>
  <si>
    <t>H1401Y</t>
  </si>
  <si>
    <t>NP_203747</t>
  </si>
  <si>
    <t>TLR7</t>
  </si>
  <si>
    <t>NM_016562</t>
  </si>
  <si>
    <t>L595Q</t>
  </si>
  <si>
    <t>NP_057646</t>
  </si>
  <si>
    <t>NM_016542</t>
  </si>
  <si>
    <t>E405G</t>
  </si>
  <si>
    <t>NP_057626</t>
  </si>
  <si>
    <t>D111V</t>
  </si>
  <si>
    <t>NP_004577</t>
  </si>
  <si>
    <t>KANK4</t>
  </si>
  <si>
    <t>NM_181712</t>
  </si>
  <si>
    <t>I224N</t>
  </si>
  <si>
    <t>NP_859063</t>
  </si>
  <si>
    <t>CDGLIV0704A0200_T</t>
  </si>
  <si>
    <t>NM_014856</t>
  </si>
  <si>
    <t>E1275D</t>
  </si>
  <si>
    <t>NP_055671</t>
  </si>
  <si>
    <t>FMO1</t>
  </si>
  <si>
    <t>NM_002021</t>
  </si>
  <si>
    <t>A350D</t>
  </si>
  <si>
    <t>NP_002012</t>
  </si>
  <si>
    <t>ABL2</t>
  </si>
  <si>
    <t>NM_005158</t>
  </si>
  <si>
    <t>A1142T</t>
  </si>
  <si>
    <t>NP_005149</t>
  </si>
  <si>
    <t>NM_005562</t>
  </si>
  <si>
    <t>Y273D</t>
  </si>
  <si>
    <t>NP_005553</t>
  </si>
  <si>
    <t>Tac/Gac</t>
  </si>
  <si>
    <t>A613S</t>
  </si>
  <si>
    <t>NP_065176</t>
  </si>
  <si>
    <t>G1405C</t>
  </si>
  <si>
    <t>NP_065859</t>
  </si>
  <si>
    <t>N83Y</t>
  </si>
  <si>
    <t>NP_653226</t>
  </si>
  <si>
    <t>CCDC148</t>
  </si>
  <si>
    <t>NM_138803</t>
  </si>
  <si>
    <t>R372H</t>
  </si>
  <si>
    <t>NP_620158</t>
  </si>
  <si>
    <t>STAT4</t>
  </si>
  <si>
    <t>NM_003151</t>
  </si>
  <si>
    <t>H516R</t>
  </si>
  <si>
    <t>NP_003142</t>
  </si>
  <si>
    <t>HEG1</t>
  </si>
  <si>
    <t>NM_020733</t>
  </si>
  <si>
    <t>D658A</t>
  </si>
  <si>
    <t>NP_065784</t>
  </si>
  <si>
    <t>D658Y</t>
  </si>
  <si>
    <t>NM_001162499</t>
  </si>
  <si>
    <t>V955G</t>
  </si>
  <si>
    <t>NP_001155971</t>
  </si>
  <si>
    <t>NM_004439</t>
  </si>
  <si>
    <t>T150A</t>
  </si>
  <si>
    <t>NP_004430</t>
  </si>
  <si>
    <t>NM_015271</t>
  </si>
  <si>
    <t>D578N</t>
  </si>
  <si>
    <t>NP_056086</t>
  </si>
  <si>
    <t>MAN2A1</t>
  </si>
  <si>
    <t>NM_002372</t>
  </si>
  <si>
    <t>S618C</t>
  </si>
  <si>
    <t>NP_002363</t>
  </si>
  <si>
    <t>L708F</t>
  </si>
  <si>
    <t>NP_848511</t>
  </si>
  <si>
    <t>NM_033267</t>
  </si>
  <si>
    <t>A181V</t>
  </si>
  <si>
    <t>NP_150366</t>
  </si>
  <si>
    <t>NM_002310</t>
  </si>
  <si>
    <t>I427T</t>
  </si>
  <si>
    <t>NP_002301</t>
  </si>
  <si>
    <t>NP_006064</t>
  </si>
  <si>
    <t>V8637I</t>
  </si>
  <si>
    <t>R122W</t>
  </si>
  <si>
    <t>NP_002110</t>
  </si>
  <si>
    <t>L1691M</t>
  </si>
  <si>
    <t>NP_002215</t>
  </si>
  <si>
    <t>NM_001198934</t>
  </si>
  <si>
    <t>E697V</t>
  </si>
  <si>
    <t>PASS,rs190495483</t>
  </si>
  <si>
    <t>NP_001185863</t>
  </si>
  <si>
    <t>NM_015723</t>
  </si>
  <si>
    <t>I695V</t>
  </si>
  <si>
    <t>NP_056538</t>
  </si>
  <si>
    <t>F454L</t>
  </si>
  <si>
    <t>NP_071426</t>
  </si>
  <si>
    <t>NM_001003801</t>
  </si>
  <si>
    <t>W182G</t>
  </si>
  <si>
    <t>NP_001003801</t>
  </si>
  <si>
    <t>PRDM14</t>
  </si>
  <si>
    <t>NM_024504</t>
  </si>
  <si>
    <t>I348L</t>
  </si>
  <si>
    <t>NP_078780</t>
  </si>
  <si>
    <t>KCNQ3</t>
  </si>
  <si>
    <t>NM_004519</t>
  </si>
  <si>
    <t>R106C</t>
  </si>
  <si>
    <t>PASS,COSM150546</t>
  </si>
  <si>
    <t>NP_004510</t>
  </si>
  <si>
    <t>S503F</t>
  </si>
  <si>
    <t>CST6</t>
  </si>
  <si>
    <t>NM_001323</t>
  </si>
  <si>
    <t>G84D</t>
  </si>
  <si>
    <t>NP_001314</t>
  </si>
  <si>
    <t>P851H</t>
  </si>
  <si>
    <t>NP_060105</t>
  </si>
  <si>
    <t>V165A</t>
  </si>
  <si>
    <t>NP_001002918</t>
  </si>
  <si>
    <t>L257V</t>
  </si>
  <si>
    <t>NP_004305</t>
  </si>
  <si>
    <t>RAG2</t>
  </si>
  <si>
    <t>NM_000536</t>
  </si>
  <si>
    <t>K119R</t>
  </si>
  <si>
    <t>NP_000527</t>
  </si>
  <si>
    <t>N269S</t>
  </si>
  <si>
    <t>NP_795371</t>
  </si>
  <si>
    <t>GPR133</t>
  </si>
  <si>
    <t>NM_198827</t>
  </si>
  <si>
    <t>G367D</t>
  </si>
  <si>
    <t>NP_942122</t>
  </si>
  <si>
    <t>V386F</t>
  </si>
  <si>
    <t>NP_478144</t>
  </si>
  <si>
    <t>NM_003502</t>
  </si>
  <si>
    <t>R403W</t>
  </si>
  <si>
    <t>NP_003493</t>
  </si>
  <si>
    <t>DNAH17</t>
  </si>
  <si>
    <t>NM_173628</t>
  </si>
  <si>
    <t>A1713D</t>
  </si>
  <si>
    <t>NP_775899</t>
  </si>
  <si>
    <t>GHDC</t>
  </si>
  <si>
    <t>NM_032484</t>
  </si>
  <si>
    <t>R449T</t>
  </si>
  <si>
    <t>NP_115873</t>
  </si>
  <si>
    <t>aGg/aCg</t>
  </si>
  <si>
    <t>NLRP5</t>
  </si>
  <si>
    <t>NM_153447</t>
  </si>
  <si>
    <t>S62T</t>
  </si>
  <si>
    <t>NP_703148</t>
  </si>
  <si>
    <t>N274H</t>
  </si>
  <si>
    <t>NP_001229609</t>
  </si>
  <si>
    <t>NM_001245002</t>
  </si>
  <si>
    <t>K126M</t>
  </si>
  <si>
    <t>NP_001231931</t>
  </si>
  <si>
    <t>N306Y</t>
  </si>
  <si>
    <t>NP_056173</t>
  </si>
  <si>
    <t>KCNJ15</t>
  </si>
  <si>
    <t>NM_170737</t>
  </si>
  <si>
    <t>H238D</t>
  </si>
  <si>
    <t>NP_733933</t>
  </si>
  <si>
    <t>Cac/Gac</t>
  </si>
  <si>
    <t>SAGE1</t>
  </si>
  <si>
    <t>NM_018666</t>
  </si>
  <si>
    <t>D377G</t>
  </si>
  <si>
    <t>NP_061136</t>
  </si>
  <si>
    <t>XM_003120213</t>
  </si>
  <si>
    <t>A117V</t>
  </si>
  <si>
    <t>XP_003120261</t>
  </si>
  <si>
    <t>NM_015378</t>
  </si>
  <si>
    <t>R542Q</t>
  </si>
  <si>
    <t>NP_056193</t>
  </si>
  <si>
    <t>CDGLIV0504A0086_T</t>
  </si>
  <si>
    <t>L307*</t>
  </si>
  <si>
    <t>NP_112195</t>
  </si>
  <si>
    <t>CRB1</t>
  </si>
  <si>
    <t>NM_201253</t>
  </si>
  <si>
    <t>Q1278H</t>
  </si>
  <si>
    <t>NP_957705</t>
  </si>
  <si>
    <t>RBBP5</t>
  </si>
  <si>
    <t>NM_005057</t>
  </si>
  <si>
    <t>NP_005048</t>
  </si>
  <si>
    <t>CENPF</t>
  </si>
  <si>
    <t>NM_016343</t>
  </si>
  <si>
    <t>M807L</t>
  </si>
  <si>
    <t>NP_057427</t>
  </si>
  <si>
    <t>NM_000029</t>
  </si>
  <si>
    <t>R2W</t>
  </si>
  <si>
    <t>NP_000020</t>
  </si>
  <si>
    <t>C1orf100</t>
  </si>
  <si>
    <t>NM_001012970</t>
  </si>
  <si>
    <t>P123L</t>
  </si>
  <si>
    <t>NP_001012988</t>
  </si>
  <si>
    <t>P280Q</t>
  </si>
  <si>
    <t>OR14C36</t>
  </si>
  <si>
    <t>NM_001001918</t>
  </si>
  <si>
    <t>C125F</t>
  </si>
  <si>
    <t>NP_001001918</t>
  </si>
  <si>
    <t>NM_001014972</t>
  </si>
  <si>
    <t>Q376L</t>
  </si>
  <si>
    <t>NP_001014972</t>
  </si>
  <si>
    <t>POTEE</t>
  </si>
  <si>
    <t>NM_001083538</t>
  </si>
  <si>
    <t>V859F</t>
  </si>
  <si>
    <t>NP_001077007</t>
  </si>
  <si>
    <t>A487E</t>
  </si>
  <si>
    <t>NP_002290</t>
  </si>
  <si>
    <t>NM_001102659</t>
  </si>
  <si>
    <t>D74Y</t>
  </si>
  <si>
    <t>NP_001096129</t>
  </si>
  <si>
    <t>NM_005235</t>
  </si>
  <si>
    <t>F297Y</t>
  </si>
  <si>
    <t>NP_005226</t>
  </si>
  <si>
    <t>T2610S</t>
  </si>
  <si>
    <t>NP_057336</t>
  </si>
  <si>
    <t>NM_003042</t>
  </si>
  <si>
    <t>M121L</t>
  </si>
  <si>
    <t>NP_003033</t>
  </si>
  <si>
    <t>NM_001199180</t>
  </si>
  <si>
    <t>R840L</t>
  </si>
  <si>
    <t>NP_001186109</t>
  </si>
  <si>
    <t>NM_005414</t>
  </si>
  <si>
    <t>H266Y</t>
  </si>
  <si>
    <t>NP_005405</t>
  </si>
  <si>
    <t>I122L</t>
  </si>
  <si>
    <t>NP_065078</t>
  </si>
  <si>
    <t>H876N</t>
  </si>
  <si>
    <t>H405L</t>
  </si>
  <si>
    <t>NP_055023</t>
  </si>
  <si>
    <t>G311R</t>
  </si>
  <si>
    <t>NP_078881</t>
  </si>
  <si>
    <t>LIAS</t>
  </si>
  <si>
    <t>NM_006859</t>
  </si>
  <si>
    <t>C5Y</t>
  </si>
  <si>
    <t>NP_006850</t>
  </si>
  <si>
    <t>ZNF608</t>
  </si>
  <si>
    <t>NM_020747</t>
  </si>
  <si>
    <t>K731Q</t>
  </si>
  <si>
    <t>NP_065798</t>
  </si>
  <si>
    <t>NP_490645</t>
  </si>
  <si>
    <t>NM_152410</t>
  </si>
  <si>
    <t>E124D</t>
  </si>
  <si>
    <t>NP_689623</t>
  </si>
  <si>
    <t>R24W</t>
  </si>
  <si>
    <t>NP_003535</t>
  </si>
  <si>
    <t>NM_001470</t>
  </si>
  <si>
    <t>Y230H</t>
  </si>
  <si>
    <t>NP_001461</t>
  </si>
  <si>
    <t>C7orf66</t>
  </si>
  <si>
    <t>NM_001024607</t>
  </si>
  <si>
    <t>G85E</t>
  </si>
  <si>
    <t>NP_001019778</t>
  </si>
  <si>
    <t>N150S</t>
  </si>
  <si>
    <t>NP_848934</t>
  </si>
  <si>
    <t>R1133H</t>
  </si>
  <si>
    <t>NP_849150</t>
  </si>
  <si>
    <t>NM_001134366</t>
  </si>
  <si>
    <t>W459R</t>
  </si>
  <si>
    <t>NP_001127838</t>
  </si>
  <si>
    <t>R1636L</t>
  </si>
  <si>
    <t>NP_036441</t>
  </si>
  <si>
    <t>N450Y</t>
  </si>
  <si>
    <t>NP_689645</t>
  </si>
  <si>
    <t>Q325K</t>
  </si>
  <si>
    <t>NP_008968</t>
  </si>
  <si>
    <t>AMBRA1</t>
  </si>
  <si>
    <t>NM_017749</t>
  </si>
  <si>
    <t>Q511H</t>
  </si>
  <si>
    <t>NP_060219</t>
  </si>
  <si>
    <t>S268T</t>
  </si>
  <si>
    <t>NP_001005243</t>
  </si>
  <si>
    <t>V1370A</t>
  </si>
  <si>
    <t>NP_002323</t>
  </si>
  <si>
    <t>NM_001109754</t>
  </si>
  <si>
    <t>L726R</t>
  </si>
  <si>
    <t>NP_001103224</t>
  </si>
  <si>
    <t>ERCC5</t>
  </si>
  <si>
    <t>NM_001204425</t>
  </si>
  <si>
    <t>V736F</t>
  </si>
  <si>
    <t>NP_001191354</t>
  </si>
  <si>
    <t>RASA3</t>
  </si>
  <si>
    <t>NM_007368</t>
  </si>
  <si>
    <t>N719S</t>
  </si>
  <si>
    <t>NP_031394</t>
  </si>
  <si>
    <t>NM_020821</t>
  </si>
  <si>
    <t>E1503K</t>
  </si>
  <si>
    <t>NP_065872</t>
  </si>
  <si>
    <t>NM_032442</t>
  </si>
  <si>
    <t>D1017G</t>
  </si>
  <si>
    <t>NP_115818</t>
  </si>
  <si>
    <t>T993A</t>
  </si>
  <si>
    <t>NP_001058</t>
  </si>
  <si>
    <t>H2205Y</t>
  </si>
  <si>
    <t>NP_005550</t>
  </si>
  <si>
    <t>ZNF574</t>
  </si>
  <si>
    <t>NM_022752</t>
  </si>
  <si>
    <t>C827R</t>
  </si>
  <si>
    <t>NP_073589</t>
  </si>
  <si>
    <t>SYCP2</t>
  </si>
  <si>
    <t>NM_014258</t>
  </si>
  <si>
    <t>R1377Q</t>
  </si>
  <si>
    <t>NP_055073</t>
  </si>
  <si>
    <t>PCMTD2</t>
  </si>
  <si>
    <t>NM_018257</t>
  </si>
  <si>
    <t>Y42C</t>
  </si>
  <si>
    <t>NP_060727</t>
  </si>
  <si>
    <t>H335Y</t>
  </si>
  <si>
    <t>NP_212134</t>
  </si>
  <si>
    <t>FITM2</t>
  </si>
  <si>
    <t>NM_001080472</t>
  </si>
  <si>
    <t>L98F</t>
  </si>
  <si>
    <t>NP_001073941</t>
  </si>
  <si>
    <t>DDX27</t>
  </si>
  <si>
    <t>NM_017895</t>
  </si>
  <si>
    <t>R553*</t>
  </si>
  <si>
    <t>NP_060365</t>
  </si>
  <si>
    <t>SGSM1</t>
  </si>
  <si>
    <t>NM_001039948</t>
  </si>
  <si>
    <t>L630F</t>
  </si>
  <si>
    <t>NP_001035037</t>
  </si>
  <si>
    <t>S2817R</t>
  </si>
  <si>
    <t>NP_055061</t>
  </si>
  <si>
    <t>V157L</t>
  </si>
  <si>
    <t>NP_009151</t>
  </si>
  <si>
    <t>H676P</t>
  </si>
  <si>
    <t>NP_078922</t>
  </si>
  <si>
    <t>3101B7_041_T</t>
  </si>
  <si>
    <t>NM_001042681</t>
  </si>
  <si>
    <t>D1249Y</t>
  </si>
  <si>
    <t>NP_001036146</t>
  </si>
  <si>
    <t>D589V</t>
  </si>
  <si>
    <t>NP_065831</t>
  </si>
  <si>
    <t>S138R</t>
  </si>
  <si>
    <t>NP_002497</t>
  </si>
  <si>
    <t>NM_004892</t>
  </si>
  <si>
    <t>S175C</t>
  </si>
  <si>
    <t>NP_004883</t>
  </si>
  <si>
    <t>XM_003403712</t>
  </si>
  <si>
    <t>R92W</t>
  </si>
  <si>
    <t>XP_003403760</t>
  </si>
  <si>
    <t>SV2A</t>
  </si>
  <si>
    <t>NM_014849</t>
  </si>
  <si>
    <t>NP_055664</t>
  </si>
  <si>
    <t>TCHHL1</t>
  </si>
  <si>
    <t>NM_001008536</t>
  </si>
  <si>
    <t>E450D</t>
  </si>
  <si>
    <t>NP_001008536</t>
  </si>
  <si>
    <t>HRNR</t>
  </si>
  <si>
    <t>NM_001009931</t>
  </si>
  <si>
    <t>H129Q</t>
  </si>
  <si>
    <t>NP_001009931</t>
  </si>
  <si>
    <t>PMF1-BGLAP</t>
  </si>
  <si>
    <t>NM_001199661</t>
  </si>
  <si>
    <t>V104A</t>
  </si>
  <si>
    <t>NP_001186590</t>
  </si>
  <si>
    <t>AIM2</t>
  </si>
  <si>
    <t>NM_004833</t>
  </si>
  <si>
    <t>N320I</t>
  </si>
  <si>
    <t>NP_004824</t>
  </si>
  <si>
    <t>DEDD</t>
  </si>
  <si>
    <t>NM_001039712</t>
  </si>
  <si>
    <t>V114A</t>
  </si>
  <si>
    <t>NP_001034801</t>
  </si>
  <si>
    <t>gTa/gCa</t>
  </si>
  <si>
    <t>RGS4</t>
  </si>
  <si>
    <t>NM_001102445</t>
  </si>
  <si>
    <t>S182C</t>
  </si>
  <si>
    <t>NP_001095915</t>
  </si>
  <si>
    <t>FASLG</t>
  </si>
  <si>
    <t>NM_000639</t>
  </si>
  <si>
    <t>Y218*</t>
  </si>
  <si>
    <t>NP_000630</t>
  </si>
  <si>
    <t>NM_020318</t>
  </si>
  <si>
    <t>S559N</t>
  </si>
  <si>
    <t>NP_064714</t>
  </si>
  <si>
    <t>C2363S</t>
  </si>
  <si>
    <t>NP_114141</t>
  </si>
  <si>
    <t>R725M</t>
  </si>
  <si>
    <t>Q187L</t>
  </si>
  <si>
    <t>NP_055592</t>
  </si>
  <si>
    <t>CEP170</t>
  </si>
  <si>
    <t>NM_014812</t>
  </si>
  <si>
    <t>M475I</t>
  </si>
  <si>
    <t>NP_055627</t>
  </si>
  <si>
    <t>ASPRV1</t>
  </si>
  <si>
    <t>NM_152792</t>
  </si>
  <si>
    <t>L254Q</t>
  </si>
  <si>
    <t>NP_690005</t>
  </si>
  <si>
    <t>M463L</t>
  </si>
  <si>
    <t>NP_116213</t>
  </si>
  <si>
    <t>NM_001178034</t>
  </si>
  <si>
    <t>T461N</t>
  </si>
  <si>
    <t>NP_001171505</t>
  </si>
  <si>
    <t>EPB41L5</t>
  </si>
  <si>
    <t>NM_020909</t>
  </si>
  <si>
    <t>L143F</t>
  </si>
  <si>
    <t>NP_065960</t>
  </si>
  <si>
    <t>TFCP2L1</t>
  </si>
  <si>
    <t>NM_014553</t>
  </si>
  <si>
    <t>K389E</t>
  </si>
  <si>
    <t>NP_055368</t>
  </si>
  <si>
    <t>Aag/Gag</t>
  </si>
  <si>
    <t>NM_207363</t>
  </si>
  <si>
    <t>S1756L</t>
  </si>
  <si>
    <t>NP_997246</t>
  </si>
  <si>
    <t>W27509R</t>
  </si>
  <si>
    <t>K24444*</t>
  </si>
  <si>
    <t>H7429L</t>
  </si>
  <si>
    <t>NM_001130445</t>
  </si>
  <si>
    <t>S767C</t>
  </si>
  <si>
    <t>NP_001123917.1</t>
  </si>
  <si>
    <t>C645S</t>
  </si>
  <si>
    <t>NP_065811</t>
  </si>
  <si>
    <t>NM_001159</t>
  </si>
  <si>
    <t>NP_001150</t>
  </si>
  <si>
    <t>NP_001623</t>
  </si>
  <si>
    <t>UGT1A4</t>
  </si>
  <si>
    <t>NM_007120</t>
  </si>
  <si>
    <t>A232T</t>
  </si>
  <si>
    <t>NP_009051</t>
  </si>
  <si>
    <t>GPN1</t>
  </si>
  <si>
    <t>NM_007266</t>
  </si>
  <si>
    <t>S211C</t>
  </si>
  <si>
    <t>NP_009197</t>
  </si>
  <si>
    <t>S650*</t>
  </si>
  <si>
    <t>NP_078968</t>
  </si>
  <si>
    <t>H62N</t>
  </si>
  <si>
    <t>NP_078784</t>
  </si>
  <si>
    <t>NM_001113523</t>
  </si>
  <si>
    <t>G580A</t>
  </si>
  <si>
    <t>NP_001106995</t>
  </si>
  <si>
    <t>ATP11B</t>
  </si>
  <si>
    <t>NM_014616</t>
  </si>
  <si>
    <t>Q514H</t>
  </si>
  <si>
    <t>NP_055431</t>
  </si>
  <si>
    <t>NM_001167931</t>
  </si>
  <si>
    <t>NP_001161403</t>
  </si>
  <si>
    <t>AMBN</t>
  </si>
  <si>
    <t>NM_016519</t>
  </si>
  <si>
    <t>M328T</t>
  </si>
  <si>
    <t>NP_057603</t>
  </si>
  <si>
    <t>W542R</t>
  </si>
  <si>
    <t>NP_055058</t>
  </si>
  <si>
    <t>NM_001098540</t>
  </si>
  <si>
    <t>L300*</t>
  </si>
  <si>
    <t>NP_001092010</t>
  </si>
  <si>
    <t>NDNF</t>
  </si>
  <si>
    <t>NM_024574</t>
  </si>
  <si>
    <t>Q473H</t>
  </si>
  <si>
    <t>NP_078850</t>
  </si>
  <si>
    <t>I85N</t>
  </si>
  <si>
    <t>NM_021069</t>
  </si>
  <si>
    <t>S639C</t>
  </si>
  <si>
    <t>NP_066547</t>
  </si>
  <si>
    <t>L2146F</t>
  </si>
  <si>
    <t>NP_005236</t>
  </si>
  <si>
    <t>SLC30A9</t>
  </si>
  <si>
    <t>NM_006345</t>
  </si>
  <si>
    <t>Y346F</t>
  </si>
  <si>
    <t>NP_006336</t>
  </si>
  <si>
    <t>ANKRD55</t>
  </si>
  <si>
    <t>NM_024669</t>
  </si>
  <si>
    <t>D517Y</t>
  </si>
  <si>
    <t>NP_078945</t>
  </si>
  <si>
    <t>N146Y</t>
  </si>
  <si>
    <t>NP_004263</t>
  </si>
  <si>
    <t>PJA2</t>
  </si>
  <si>
    <t>NM_014819</t>
  </si>
  <si>
    <t>E564*</t>
  </si>
  <si>
    <t>NP_055634</t>
  </si>
  <si>
    <t>K2112*</t>
  </si>
  <si>
    <t>PASS,rs141707850</t>
  </si>
  <si>
    <t>NP_064502</t>
  </si>
  <si>
    <t>S859A</t>
  </si>
  <si>
    <t>NP_002600</t>
  </si>
  <si>
    <t>HNRNPAB</t>
  </si>
  <si>
    <t>NM_031266</t>
  </si>
  <si>
    <t>H217P</t>
  </si>
  <si>
    <t>NP_112556</t>
  </si>
  <si>
    <t>NM_198868</t>
  </si>
  <si>
    <t>G661W</t>
  </si>
  <si>
    <t>NP_942568</t>
  </si>
  <si>
    <t>L389M</t>
  </si>
  <si>
    <t>NP_005101</t>
  </si>
  <si>
    <t>NM_182925</t>
  </si>
  <si>
    <t>V222E</t>
  </si>
  <si>
    <t>NP_891555</t>
  </si>
  <si>
    <t>K3029*</t>
  </si>
  <si>
    <t>NP_075561</t>
  </si>
  <si>
    <t>P1236A</t>
  </si>
  <si>
    <t>NP_689969</t>
  </si>
  <si>
    <t>TFAP2B</t>
  </si>
  <si>
    <t>NM_003221</t>
  </si>
  <si>
    <t>W14R</t>
  </si>
  <si>
    <t>NP_003212</t>
  </si>
  <si>
    <t>NM_001105206</t>
  </si>
  <si>
    <t>Q794L</t>
  </si>
  <si>
    <t>NP_001098676</t>
  </si>
  <si>
    <t>NM_001164685</t>
  </si>
  <si>
    <t>K55*</t>
  </si>
  <si>
    <t>NP_001158157</t>
  </si>
  <si>
    <t>Q357L</t>
  </si>
  <si>
    <t>Q439L</t>
  </si>
  <si>
    <t>NP_624311</t>
  </si>
  <si>
    <t>D176N</t>
  </si>
  <si>
    <t>NP_001025055</t>
  </si>
  <si>
    <t>NP_619645</t>
  </si>
  <si>
    <t>K773*</t>
  </si>
  <si>
    <t>PHTF2</t>
  </si>
  <si>
    <t>NM_001127358</t>
  </si>
  <si>
    <t>NP_001120830</t>
  </si>
  <si>
    <t>NM_005751</t>
  </si>
  <si>
    <t>K2342N</t>
  </si>
  <si>
    <t>NP_005742</t>
  </si>
  <si>
    <t>PUS7</t>
  </si>
  <si>
    <t>NM_019042</t>
  </si>
  <si>
    <t>N459Y</t>
  </si>
  <si>
    <t>NP_061915</t>
  </si>
  <si>
    <t>ATXN7L1</t>
  </si>
  <si>
    <t>NM_020725</t>
  </si>
  <si>
    <t>Y695C</t>
  </si>
  <si>
    <t>NP_065776</t>
  </si>
  <si>
    <t>NM_014705</t>
  </si>
  <si>
    <t>S715A</t>
  </si>
  <si>
    <t>NP_055520</t>
  </si>
  <si>
    <t>Tct/Gct</t>
  </si>
  <si>
    <t>G406W</t>
  </si>
  <si>
    <t>NP_149129</t>
  </si>
  <si>
    <t>NM_001006632</t>
  </si>
  <si>
    <t>N404S</t>
  </si>
  <si>
    <t>NP_001006633</t>
  </si>
  <si>
    <t>NM_130797</t>
  </si>
  <si>
    <t>NP_570629</t>
  </si>
  <si>
    <t>TRPA1</t>
  </si>
  <si>
    <t>NM_007332</t>
  </si>
  <si>
    <t>I695M</t>
  </si>
  <si>
    <t>NP_015628</t>
  </si>
  <si>
    <t>OSGIN2</t>
  </si>
  <si>
    <t>NM_001126111</t>
  </si>
  <si>
    <t>Y495N</t>
  </si>
  <si>
    <t>NP_001119583</t>
  </si>
  <si>
    <t>L403Q</t>
  </si>
  <si>
    <t>NP_110415</t>
  </si>
  <si>
    <t>NM_198123</t>
  </si>
  <si>
    <t>Y83N</t>
  </si>
  <si>
    <t>NP_937756</t>
  </si>
  <si>
    <t>MYC</t>
  </si>
  <si>
    <t>NM_002467</t>
  </si>
  <si>
    <t>S184N</t>
  </si>
  <si>
    <t>NP_002458</t>
  </si>
  <si>
    <t>Q321R</t>
  </si>
  <si>
    <t>HSF1</t>
  </si>
  <si>
    <t>NM_005526</t>
  </si>
  <si>
    <t>S283N</t>
  </si>
  <si>
    <t>NP_005517</t>
  </si>
  <si>
    <t>VPS28</t>
  </si>
  <si>
    <t>NM_016208</t>
  </si>
  <si>
    <t>Q185L</t>
  </si>
  <si>
    <t>NP_057292</t>
  </si>
  <si>
    <t>ARHGAP39</t>
  </si>
  <si>
    <t>NM_025251</t>
  </si>
  <si>
    <t>T772S</t>
  </si>
  <si>
    <t>NP_079527</t>
  </si>
  <si>
    <t>NM_003053</t>
  </si>
  <si>
    <t>I136V</t>
  </si>
  <si>
    <t>NP_003044</t>
  </si>
  <si>
    <t>I1577V</t>
  </si>
  <si>
    <t>NP_112561</t>
  </si>
  <si>
    <t>NM_001556</t>
  </si>
  <si>
    <t>R680P</t>
  </si>
  <si>
    <t>PASS,rs140546524</t>
  </si>
  <si>
    <t>NP_001547</t>
  </si>
  <si>
    <t>NM_001174147</t>
  </si>
  <si>
    <t>S354P</t>
  </si>
  <si>
    <t>NP_001167618</t>
  </si>
  <si>
    <t>NM_032293</t>
  </si>
  <si>
    <t>Y754N</t>
  </si>
  <si>
    <t>NP_115669</t>
  </si>
  <si>
    <t>S187C</t>
  </si>
  <si>
    <t>NP_038471</t>
  </si>
  <si>
    <t>HK1</t>
  </si>
  <si>
    <t>NM_033497</t>
  </si>
  <si>
    <t>G902A</t>
  </si>
  <si>
    <t>NP_277032</t>
  </si>
  <si>
    <t>PITX3</t>
  </si>
  <si>
    <t>NM_005029</t>
  </si>
  <si>
    <t>S123C</t>
  </si>
  <si>
    <t>NP_005020</t>
  </si>
  <si>
    <t>NM_001013031</t>
  </si>
  <si>
    <t>P789L</t>
  </si>
  <si>
    <t>PASS,rs61734226</t>
  </si>
  <si>
    <t>NP_001013049</t>
  </si>
  <si>
    <t>GPR158</t>
  </si>
  <si>
    <t>NM_020752</t>
  </si>
  <si>
    <t>N884Y</t>
  </si>
  <si>
    <t>NP_065803</t>
  </si>
  <si>
    <t>NM_032023</t>
  </si>
  <si>
    <t>R65W</t>
  </si>
  <si>
    <t>NP_114412</t>
  </si>
  <si>
    <t>HBG1</t>
  </si>
  <si>
    <t>NM_000559</t>
  </si>
  <si>
    <t>V99L</t>
  </si>
  <si>
    <t>NP_000550</t>
  </si>
  <si>
    <t>OR4C15</t>
  </si>
  <si>
    <t>NM_001001920</t>
  </si>
  <si>
    <t>L154V</t>
  </si>
  <si>
    <t>NP_001001920</t>
  </si>
  <si>
    <t>M59K</t>
  </si>
  <si>
    <t>NP_001004738</t>
  </si>
  <si>
    <t>NM_021950</t>
  </si>
  <si>
    <t>M71K</t>
  </si>
  <si>
    <t>NP_068769</t>
  </si>
  <si>
    <t>I72F</t>
  </si>
  <si>
    <t>NM_001178030</t>
  </si>
  <si>
    <t>E293V</t>
  </si>
  <si>
    <t>NP_001171501</t>
  </si>
  <si>
    <t>NM_001143831</t>
  </si>
  <si>
    <t>Y311C</t>
  </si>
  <si>
    <t>NP_001137303</t>
  </si>
  <si>
    <t>NM_015213</t>
  </si>
  <si>
    <t>N1207Y</t>
  </si>
  <si>
    <t>NP_056028</t>
  </si>
  <si>
    <t>NM_000855</t>
  </si>
  <si>
    <t>K356*</t>
  </si>
  <si>
    <t>NP_000846</t>
  </si>
  <si>
    <t>NM_181351</t>
  </si>
  <si>
    <t>V208E</t>
  </si>
  <si>
    <t>NP_851996</t>
  </si>
  <si>
    <t>ZW10</t>
  </si>
  <si>
    <t>NM_004724</t>
  </si>
  <si>
    <t>P289R</t>
  </si>
  <si>
    <t>NP_004715</t>
  </si>
  <si>
    <t>cCa/cGa</t>
  </si>
  <si>
    <t>OR8B12</t>
  </si>
  <si>
    <t>NM_001005195</t>
  </si>
  <si>
    <t>K271T</t>
  </si>
  <si>
    <t>NP_001005195</t>
  </si>
  <si>
    <t>A591T</t>
  </si>
  <si>
    <t>NP_778228</t>
  </si>
  <si>
    <t>A6T</t>
  </si>
  <si>
    <t>NP_710142</t>
  </si>
  <si>
    <t>DCDC5</t>
  </si>
  <si>
    <t>NM_020869</t>
  </si>
  <si>
    <t>Q49L</t>
  </si>
  <si>
    <t>NP_065920.2</t>
  </si>
  <si>
    <t>L662Q</t>
  </si>
  <si>
    <t>NP_000439</t>
  </si>
  <si>
    <t>AGBL2</t>
  </si>
  <si>
    <t>NM_024783</t>
  </si>
  <si>
    <t>R760Q</t>
  </si>
  <si>
    <t>NP_079059</t>
  </si>
  <si>
    <t>OR6C76</t>
  </si>
  <si>
    <t>NM_001005183</t>
  </si>
  <si>
    <t>C176S</t>
  </si>
  <si>
    <t>NP_001005183</t>
  </si>
  <si>
    <t>DTX3</t>
  </si>
  <si>
    <t>NM_178502</t>
  </si>
  <si>
    <t>P129L</t>
  </si>
  <si>
    <t>NP_848597</t>
  </si>
  <si>
    <t>NM_080548</t>
  </si>
  <si>
    <t>NP_536858.1</t>
  </si>
  <si>
    <t>NP_849148.2</t>
  </si>
  <si>
    <t>NM_001142345</t>
  </si>
  <si>
    <t>T72S</t>
  </si>
  <si>
    <t>NP_001135817</t>
  </si>
  <si>
    <t>NM_005505</t>
  </si>
  <si>
    <t>H368L</t>
  </si>
  <si>
    <t>NP_005496</t>
  </si>
  <si>
    <t>ZNF84</t>
  </si>
  <si>
    <t>NM_001127372</t>
  </si>
  <si>
    <t>Y515C</t>
  </si>
  <si>
    <t>NP_001120844</t>
  </si>
  <si>
    <t>D323V</t>
  </si>
  <si>
    <t>NP_060649</t>
  </si>
  <si>
    <t>LRRK2</t>
  </si>
  <si>
    <t>NM_198578</t>
  </si>
  <si>
    <t>E1745G</t>
  </si>
  <si>
    <t>NP_940980</t>
  </si>
  <si>
    <t>NM_001922</t>
  </si>
  <si>
    <t>L298M</t>
  </si>
  <si>
    <t>NP_001913</t>
  </si>
  <si>
    <t>I1020F</t>
  </si>
  <si>
    <t>NP_056161</t>
  </si>
  <si>
    <t>D124N</t>
  </si>
  <si>
    <t>NP_037514</t>
  </si>
  <si>
    <t>SEC23A</t>
  </si>
  <si>
    <t>NM_006364</t>
  </si>
  <si>
    <t>K392E</t>
  </si>
  <si>
    <t>NP_006355</t>
  </si>
  <si>
    <t>TEX9</t>
  </si>
  <si>
    <t>NM_198524</t>
  </si>
  <si>
    <t>S314G</t>
  </si>
  <si>
    <t>NP_940926.1</t>
  </si>
  <si>
    <t>K2018M</t>
  </si>
  <si>
    <t>NM_005902</t>
  </si>
  <si>
    <t>PASS,COSM32690</t>
  </si>
  <si>
    <t>NP_005893</t>
  </si>
  <si>
    <t>NM_052840</t>
  </si>
  <si>
    <t>R151S</t>
  </si>
  <si>
    <t>NP_443072.3</t>
  </si>
  <si>
    <t>NM_016073</t>
  </si>
  <si>
    <t>A36V</t>
  </si>
  <si>
    <t>NP_057157</t>
  </si>
  <si>
    <t>K89T</t>
  </si>
  <si>
    <t>NP_066285</t>
  </si>
  <si>
    <t>HERC2</t>
  </si>
  <si>
    <t>NM_004667</t>
  </si>
  <si>
    <t>V425F</t>
  </si>
  <si>
    <t>NP_004658</t>
  </si>
  <si>
    <t>F59Y</t>
  </si>
  <si>
    <t>K872M</t>
  </si>
  <si>
    <t>NP_000129</t>
  </si>
  <si>
    <t>ADAT1</t>
  </si>
  <si>
    <t>NM_012091</t>
  </si>
  <si>
    <t>T242A</t>
  </si>
  <si>
    <t>PASS,rs3743600,COSM148118</t>
  </si>
  <si>
    <t>NP_036223</t>
  </si>
  <si>
    <t>NM_000548</t>
  </si>
  <si>
    <t>G150R</t>
  </si>
  <si>
    <t>NP_000539</t>
  </si>
  <si>
    <t>NM_000546</t>
  </si>
  <si>
    <t>R181C</t>
  </si>
  <si>
    <t>PASS,CM920672,COSM11090,COSM45475,COSM131462,COSM131463,COSM131465,COSM131464</t>
  </si>
  <si>
    <t>NP_000537</t>
  </si>
  <si>
    <t>Q337H</t>
  </si>
  <si>
    <t>NP_658988</t>
  </si>
  <si>
    <t>R186G</t>
  </si>
  <si>
    <t>NP_000377</t>
  </si>
  <si>
    <t>R175*</t>
  </si>
  <si>
    <t>NP_443089</t>
  </si>
  <si>
    <t>KRT38</t>
  </si>
  <si>
    <t>NM_006771</t>
  </si>
  <si>
    <t>K183*</t>
  </si>
  <si>
    <t>NP_006762</t>
  </si>
  <si>
    <t>WNT9B</t>
  </si>
  <si>
    <t>NM_003396</t>
  </si>
  <si>
    <t>Q336L</t>
  </si>
  <si>
    <t>NP_003387</t>
  </si>
  <si>
    <t>N105Y</t>
  </si>
  <si>
    <t>PASS,rs116737554</t>
  </si>
  <si>
    <t>NP_597716</t>
  </si>
  <si>
    <t>L46Q</t>
  </si>
  <si>
    <t>NP_002966</t>
  </si>
  <si>
    <t>A15V</t>
  </si>
  <si>
    <t>NP_653285</t>
  </si>
  <si>
    <t>ZNF28</t>
  </si>
  <si>
    <t>NM_006969</t>
  </si>
  <si>
    <t>R486S</t>
  </si>
  <si>
    <t>NP_008900</t>
  </si>
  <si>
    <t>agG/agC</t>
  </si>
  <si>
    <t>T124S</t>
  </si>
  <si>
    <t>NP_776255</t>
  </si>
  <si>
    <t>E499*</t>
  </si>
  <si>
    <t>NP_055464</t>
  </si>
  <si>
    <t>ZNF256</t>
  </si>
  <si>
    <t>NM_005773</t>
  </si>
  <si>
    <t>C92F</t>
  </si>
  <si>
    <t>NP_005764</t>
  </si>
  <si>
    <t>L14113M</t>
  </si>
  <si>
    <t>Q28L</t>
  </si>
  <si>
    <t>NP_000192</t>
  </si>
  <si>
    <t>NM_024069</t>
  </si>
  <si>
    <t>I28F</t>
  </si>
  <si>
    <t>NP_076974</t>
  </si>
  <si>
    <t>NM_001076678</t>
  </si>
  <si>
    <t>Y573N</t>
  </si>
  <si>
    <t>NP_001070146</t>
  </si>
  <si>
    <t>H167D</t>
  </si>
  <si>
    <t>NP_001073878</t>
  </si>
  <si>
    <t>NM_032689</t>
  </si>
  <si>
    <t>P616A</t>
  </si>
  <si>
    <t>NP_116078</t>
  </si>
  <si>
    <t>G595W</t>
  </si>
  <si>
    <t>M139L</t>
  </si>
  <si>
    <t>NP_065139</t>
  </si>
  <si>
    <t>KCNQ2</t>
  </si>
  <si>
    <t>NM_172107</t>
  </si>
  <si>
    <t>L579Q</t>
  </si>
  <si>
    <t>NP_742105</t>
  </si>
  <si>
    <t>ZNF343</t>
  </si>
  <si>
    <t>NM_024325</t>
  </si>
  <si>
    <t>N35Y</t>
  </si>
  <si>
    <t>NP_077301</t>
  </si>
  <si>
    <t>FAM65C</t>
  </si>
  <si>
    <t>NM_080829</t>
  </si>
  <si>
    <t>P597L</t>
  </si>
  <si>
    <t>NP_543019</t>
  </si>
  <si>
    <t>KRTAP19-7</t>
  </si>
  <si>
    <t>NM_181614</t>
  </si>
  <si>
    <t>S60T</t>
  </si>
  <si>
    <t>NP_853645</t>
  </si>
  <si>
    <t>BPIFC</t>
  </si>
  <si>
    <t>NM_174932</t>
  </si>
  <si>
    <t>A283T</t>
  </si>
  <si>
    <t>PASS,rs113455565</t>
  </si>
  <si>
    <t>NP_777592</t>
  </si>
  <si>
    <t>KIAA2022</t>
  </si>
  <si>
    <t>NM_001008537</t>
  </si>
  <si>
    <t>N116K</t>
  </si>
  <si>
    <t>NP_001008537</t>
  </si>
  <si>
    <t>ARL13A</t>
  </si>
  <si>
    <t>NM_001162491</t>
  </si>
  <si>
    <t>H90Q</t>
  </si>
  <si>
    <t>NP_001155963</t>
  </si>
  <si>
    <t>A343S</t>
  </si>
  <si>
    <t>NP_006243</t>
  </si>
  <si>
    <t>3101B7_032_T</t>
  </si>
  <si>
    <t>T263K</t>
  </si>
  <si>
    <t>NP_115667</t>
  </si>
  <si>
    <t>P415T</t>
  </si>
  <si>
    <t>STXBP3</t>
  </si>
  <si>
    <t>NM_007269</t>
  </si>
  <si>
    <t>F337L</t>
  </si>
  <si>
    <t>NP_009200</t>
  </si>
  <si>
    <t>NP_699171</t>
  </si>
  <si>
    <t>NM_004958</t>
  </si>
  <si>
    <t>M994I</t>
  </si>
  <si>
    <t>NP_004949</t>
  </si>
  <si>
    <t>NM_000651</t>
  </si>
  <si>
    <t>P1910Q</t>
  </si>
  <si>
    <t>NP_000642</t>
  </si>
  <si>
    <t>NM_012424</t>
  </si>
  <si>
    <t>L937F</t>
  </si>
  <si>
    <t>NP_036556</t>
  </si>
  <si>
    <t>NM_001113349</t>
  </si>
  <si>
    <t>V714F</t>
  </si>
  <si>
    <t>PASS,rs139908546</t>
  </si>
  <si>
    <t>NP_001106820</t>
  </si>
  <si>
    <t>MARK1</t>
  </si>
  <si>
    <t>NM_018650</t>
  </si>
  <si>
    <t>S36G</t>
  </si>
  <si>
    <t>NP_061120</t>
  </si>
  <si>
    <t>A1411S</t>
  </si>
  <si>
    <t>NP_001026</t>
  </si>
  <si>
    <t>TFB2M</t>
  </si>
  <si>
    <t>NM_022366</t>
  </si>
  <si>
    <t>L351S</t>
  </si>
  <si>
    <t>NP_071761</t>
  </si>
  <si>
    <t>AHDC1</t>
  </si>
  <si>
    <t>NM_001029882</t>
  </si>
  <si>
    <t>A1533T</t>
  </si>
  <si>
    <t>NP_001025053.1</t>
  </si>
  <si>
    <t>R143L</t>
  </si>
  <si>
    <t>PASS,rs138940178,COSM122467</t>
  </si>
  <si>
    <t>NP_001010969</t>
  </si>
  <si>
    <t>GNLY</t>
  </si>
  <si>
    <t>NM_006433</t>
  </si>
  <si>
    <t>A5D</t>
  </si>
  <si>
    <t>NP_006424</t>
  </si>
  <si>
    <t>REV1</t>
  </si>
  <si>
    <t>NM_016316</t>
  </si>
  <si>
    <t>G185D</t>
  </si>
  <si>
    <t>NP_057400</t>
  </si>
  <si>
    <t>KCNF1</t>
  </si>
  <si>
    <t>NM_002236</t>
  </si>
  <si>
    <t>NP_002227</t>
  </si>
  <si>
    <t>Tga/Cga</t>
  </si>
  <si>
    <t>SLC20A1</t>
  </si>
  <si>
    <t>NM_005415</t>
  </si>
  <si>
    <t>H282Y</t>
  </si>
  <si>
    <t>NP_005406</t>
  </si>
  <si>
    <t>SCN9A</t>
  </si>
  <si>
    <t>NM_002977</t>
  </si>
  <si>
    <t>D1703G</t>
  </si>
  <si>
    <t>NP_002968</t>
  </si>
  <si>
    <t>NM_016653</t>
  </si>
  <si>
    <t>G426V</t>
  </si>
  <si>
    <t>NP_057737</t>
  </si>
  <si>
    <t>A1271D</t>
  </si>
  <si>
    <t>NP_775919</t>
  </si>
  <si>
    <t>P835T</t>
  </si>
  <si>
    <t>NP_919226</t>
  </si>
  <si>
    <t>FAM171B</t>
  </si>
  <si>
    <t>NM_177454</t>
  </si>
  <si>
    <t>S612R</t>
  </si>
  <si>
    <t>NP_803237</t>
  </si>
  <si>
    <t>NM_004071</t>
  </si>
  <si>
    <t>H264R</t>
  </si>
  <si>
    <t>NP_004062</t>
  </si>
  <si>
    <t>H238Y</t>
  </si>
  <si>
    <t>NP_066918</t>
  </si>
  <si>
    <t>NM_024572</t>
  </si>
  <si>
    <t>T140A</t>
  </si>
  <si>
    <t>NP_078848</t>
  </si>
  <si>
    <t>SEMA3G</t>
  </si>
  <si>
    <t>NM_020163</t>
  </si>
  <si>
    <t>G739D</t>
  </si>
  <si>
    <t>NP_064548</t>
  </si>
  <si>
    <t>K372*</t>
  </si>
  <si>
    <t>NP_055824</t>
  </si>
  <si>
    <t>R524S</t>
  </si>
  <si>
    <t>R172M</t>
  </si>
  <si>
    <t>NP_653318</t>
  </si>
  <si>
    <t>P3362H</t>
  </si>
  <si>
    <t>V868F</t>
  </si>
  <si>
    <t>GOLGA4</t>
  </si>
  <si>
    <t>NM_001172713</t>
  </si>
  <si>
    <t>D681G</t>
  </si>
  <si>
    <t>NP_001166184</t>
  </si>
  <si>
    <t>SLC26A6</t>
  </si>
  <si>
    <t>NM_022911</t>
  </si>
  <si>
    <t>S670I</t>
  </si>
  <si>
    <t>NP_075062</t>
  </si>
  <si>
    <t>Y958N</t>
  </si>
  <si>
    <t>NP_071347</t>
  </si>
  <si>
    <t>SPATA18</t>
  </si>
  <si>
    <t>NM_145263</t>
  </si>
  <si>
    <t>Q220H</t>
  </si>
  <si>
    <t>NP_660306</t>
  </si>
  <si>
    <t>T1316P</t>
  </si>
  <si>
    <t>AASDH</t>
  </si>
  <si>
    <t>NM_181806</t>
  </si>
  <si>
    <t>D650Y</t>
  </si>
  <si>
    <t>PASS,rs61978622</t>
  </si>
  <si>
    <t>NP_861522</t>
  </si>
  <si>
    <t>NM_001159285</t>
  </si>
  <si>
    <t>T119K</t>
  </si>
  <si>
    <t>NP_001152757</t>
  </si>
  <si>
    <t>R413P</t>
  </si>
  <si>
    <t>NP_849157.2</t>
  </si>
  <si>
    <t>L331M</t>
  </si>
  <si>
    <t>NM_001169118</t>
  </si>
  <si>
    <t>S344R</t>
  </si>
  <si>
    <t>NP_001162589</t>
  </si>
  <si>
    <t>NM_032446</t>
  </si>
  <si>
    <t>G663V</t>
  </si>
  <si>
    <t>NP_115822</t>
  </si>
  <si>
    <t>NM_016603</t>
  </si>
  <si>
    <t>NP_057687</t>
  </si>
  <si>
    <t>NM_031467</t>
  </si>
  <si>
    <t>H598Q</t>
  </si>
  <si>
    <t>NP_113655.2</t>
  </si>
  <si>
    <t>NM_018919</t>
  </si>
  <si>
    <t>R627C</t>
  </si>
  <si>
    <t>NP_061742</t>
  </si>
  <si>
    <t>HDAC3</t>
  </si>
  <si>
    <t>NM_003883</t>
  </si>
  <si>
    <t>Q113R</t>
  </si>
  <si>
    <t>NP_003874</t>
  </si>
  <si>
    <t>SPRY4</t>
  </si>
  <si>
    <t>NM_001127496</t>
  </si>
  <si>
    <t>H155Y</t>
  </si>
  <si>
    <t>NP_001120968</t>
  </si>
  <si>
    <t>SPINK7</t>
  </si>
  <si>
    <t>NM_032566</t>
  </si>
  <si>
    <t>C11Y</t>
  </si>
  <si>
    <t>NP_115955</t>
  </si>
  <si>
    <t>A247G</t>
  </si>
  <si>
    <t>NP_001096032</t>
  </si>
  <si>
    <t>NM_021911</t>
  </si>
  <si>
    <t>V460A</t>
  </si>
  <si>
    <t>NP_068711</t>
  </si>
  <si>
    <t>GFRAL</t>
  </si>
  <si>
    <t>NM_207410</t>
  </si>
  <si>
    <t>A48S</t>
  </si>
  <si>
    <t>NP_997293</t>
  </si>
  <si>
    <t>G103V</t>
  </si>
  <si>
    <t>NP_689901</t>
  </si>
  <si>
    <t>IL20RA</t>
  </si>
  <si>
    <t>NM_014432</t>
  </si>
  <si>
    <t>K180T</t>
  </si>
  <si>
    <t>NP_055247</t>
  </si>
  <si>
    <t>T3924K</t>
  </si>
  <si>
    <t>PASS,rs61757218</t>
  </si>
  <si>
    <t>D1275Y</t>
  </si>
  <si>
    <t>NP_036433</t>
  </si>
  <si>
    <t>NM_000601</t>
  </si>
  <si>
    <t>R647P</t>
  </si>
  <si>
    <t>NP_000592</t>
  </si>
  <si>
    <t>NM_001142327</t>
  </si>
  <si>
    <t>S2N</t>
  </si>
  <si>
    <t>NP_001135799</t>
  </si>
  <si>
    <t>UBE3C</t>
  </si>
  <si>
    <t>NM_014671</t>
  </si>
  <si>
    <t>L612F</t>
  </si>
  <si>
    <t>NP_055486</t>
  </si>
  <si>
    <t>CNBD1</t>
  </si>
  <si>
    <t>NM_173538</t>
  </si>
  <si>
    <t>V350G</t>
  </si>
  <si>
    <t>NP_775809</t>
  </si>
  <si>
    <t>S45R</t>
  </si>
  <si>
    <t>NP_036214</t>
  </si>
  <si>
    <t>EBAG9</t>
  </si>
  <si>
    <t>NM_198120</t>
  </si>
  <si>
    <t>Q142R</t>
  </si>
  <si>
    <t>NP_936056</t>
  </si>
  <si>
    <t>K737N</t>
  </si>
  <si>
    <t>NP_003175</t>
  </si>
  <si>
    <t>HR</t>
  </si>
  <si>
    <t>NM_005144</t>
  </si>
  <si>
    <t>P720T</t>
  </si>
  <si>
    <t>NP_005135</t>
  </si>
  <si>
    <t>ADAM32</t>
  </si>
  <si>
    <t>NM_145004</t>
  </si>
  <si>
    <t>NP_659441</t>
  </si>
  <si>
    <t>VPS13A</t>
  </si>
  <si>
    <t>NM_033305</t>
  </si>
  <si>
    <t>W435R</t>
  </si>
  <si>
    <t>NP_150648</t>
  </si>
  <si>
    <t>R38H</t>
  </si>
  <si>
    <t>NP_058544</t>
  </si>
  <si>
    <t>A65S</t>
  </si>
  <si>
    <t>NP_005109</t>
  </si>
  <si>
    <t>PPP6C</t>
  </si>
  <si>
    <t>NM_002721</t>
  </si>
  <si>
    <t>A287T</t>
  </si>
  <si>
    <t>NP_002712</t>
  </si>
  <si>
    <t>NM_006676</t>
  </si>
  <si>
    <t>G481*</t>
  </si>
  <si>
    <t>NP_006667</t>
  </si>
  <si>
    <t>SEC16A</t>
  </si>
  <si>
    <t>NM_014866</t>
  </si>
  <si>
    <t>Q104H</t>
  </si>
  <si>
    <t>NP_055681</t>
  </si>
  <si>
    <t>NM_001606</t>
  </si>
  <si>
    <t>A1419T</t>
  </si>
  <si>
    <t>NP_001597</t>
  </si>
  <si>
    <t>NM_002504</t>
  </si>
  <si>
    <t>Q59H</t>
  </si>
  <si>
    <t>NP_002495</t>
  </si>
  <si>
    <t>ERCC6</t>
  </si>
  <si>
    <t>NM_000124</t>
  </si>
  <si>
    <t>C523S</t>
  </si>
  <si>
    <t>NP_000115</t>
  </si>
  <si>
    <t>tGc/tCc</t>
  </si>
  <si>
    <t>A276T</t>
  </si>
  <si>
    <t>A194E</t>
  </si>
  <si>
    <t>NP_001005162</t>
  </si>
  <si>
    <t>R54Q</t>
  </si>
  <si>
    <t>NP_001005283</t>
  </si>
  <si>
    <t>AP5B1</t>
  </si>
  <si>
    <t>NM_138368</t>
  </si>
  <si>
    <t>G721V</t>
  </si>
  <si>
    <t>NP_612377</t>
  </si>
  <si>
    <t>NM_022822</t>
  </si>
  <si>
    <t>D384Y</t>
  </si>
  <si>
    <t>NP_073733</t>
  </si>
  <si>
    <t>R303*</t>
  </si>
  <si>
    <t>NP_703145</t>
  </si>
  <si>
    <t>RAB38</t>
  </si>
  <si>
    <t>NM_022337</t>
  </si>
  <si>
    <t>A126T</t>
  </si>
  <si>
    <t>NP_071732</t>
  </si>
  <si>
    <t>KIAA1731</t>
  </si>
  <si>
    <t>NM_033395</t>
  </si>
  <si>
    <t>G559V</t>
  </si>
  <si>
    <t>NP_203753</t>
  </si>
  <si>
    <t>SCN2B</t>
  </si>
  <si>
    <t>NM_004588</t>
  </si>
  <si>
    <t>Q82K</t>
  </si>
  <si>
    <t>NP_004579</t>
  </si>
  <si>
    <t>T687A</t>
  </si>
  <si>
    <t>NM_001029865</t>
  </si>
  <si>
    <t>E279G</t>
  </si>
  <si>
    <t>NP_001025036</t>
  </si>
  <si>
    <t>OR51E1</t>
  </si>
  <si>
    <t>NM_152430</t>
  </si>
  <si>
    <t>L69I</t>
  </si>
  <si>
    <t>NP_689643</t>
  </si>
  <si>
    <t>NM_052897</t>
  </si>
  <si>
    <t>P666L</t>
  </si>
  <si>
    <t>NP_443129</t>
  </si>
  <si>
    <t>L40P</t>
  </si>
  <si>
    <t>cTt/cCt</t>
  </si>
  <si>
    <t>AMDHD1</t>
  </si>
  <si>
    <t>NM_152435</t>
  </si>
  <si>
    <t>E164*</t>
  </si>
  <si>
    <t>NP_689648</t>
  </si>
  <si>
    <t>NM_018082</t>
  </si>
  <si>
    <t>K1096N</t>
  </si>
  <si>
    <t>NP_060552</t>
  </si>
  <si>
    <t>KNTC1</t>
  </si>
  <si>
    <t>NM_014708</t>
  </si>
  <si>
    <t>E998*</t>
  </si>
  <si>
    <t>NP_055523</t>
  </si>
  <si>
    <t>NM_001143821</t>
  </si>
  <si>
    <t>E1031D</t>
  </si>
  <si>
    <t>NP_001137293.2</t>
  </si>
  <si>
    <t>ARID2</t>
  </si>
  <si>
    <t>NM_152641</t>
  </si>
  <si>
    <t>NP_689854</t>
  </si>
  <si>
    <t>M1V</t>
  </si>
  <si>
    <t>NP_116248</t>
  </si>
  <si>
    <t>NM_139318</t>
  </si>
  <si>
    <t>H209N</t>
  </si>
  <si>
    <t>NP_647479</t>
  </si>
  <si>
    <t>SGPP1</t>
  </si>
  <si>
    <t>NM_030791</t>
  </si>
  <si>
    <t>L158V</t>
  </si>
  <si>
    <t>NP_110418</t>
  </si>
  <si>
    <t>NM_182914</t>
  </si>
  <si>
    <t>A2284T</t>
  </si>
  <si>
    <t>NP_878918</t>
  </si>
  <si>
    <t>I675V</t>
  </si>
  <si>
    <t>D497Y</t>
  </si>
  <si>
    <t>NP_001034568</t>
  </si>
  <si>
    <t>NM_145870</t>
  </si>
  <si>
    <t>V59L</t>
  </si>
  <si>
    <t>NP_665877</t>
  </si>
  <si>
    <t>NM_014844</t>
  </si>
  <si>
    <t>C825F</t>
  </si>
  <si>
    <t>NP_055659</t>
  </si>
  <si>
    <t>D41Y</t>
  </si>
  <si>
    <t>NP_002739</t>
  </si>
  <si>
    <t>A1087S</t>
  </si>
  <si>
    <t>NP_001074003</t>
  </si>
  <si>
    <t>NM_024776</t>
  </si>
  <si>
    <t>R874L</t>
  </si>
  <si>
    <t>NP_079052</t>
  </si>
  <si>
    <t>CHRNA5</t>
  </si>
  <si>
    <t>NM_000745</t>
  </si>
  <si>
    <t>S368G</t>
  </si>
  <si>
    <t>NP_000736</t>
  </si>
  <si>
    <t>V313A</t>
  </si>
  <si>
    <t>NP_849164</t>
  </si>
  <si>
    <t>T232N</t>
  </si>
  <si>
    <t>NM_001036</t>
  </si>
  <si>
    <t>H563R</t>
  </si>
  <si>
    <t>NP_001027</t>
  </si>
  <si>
    <t>AQR</t>
  </si>
  <si>
    <t>NM_014691</t>
  </si>
  <si>
    <t>P922S</t>
  </si>
  <si>
    <t>NP_055506</t>
  </si>
  <si>
    <t>A815S</t>
  </si>
  <si>
    <t>NP_004564</t>
  </si>
  <si>
    <t>EPB42</t>
  </si>
  <si>
    <t>NM_001114134</t>
  </si>
  <si>
    <t>A616D</t>
  </si>
  <si>
    <t>NP_001107606</t>
  </si>
  <si>
    <t>TOX3</t>
  </si>
  <si>
    <t>NM_001080430</t>
  </si>
  <si>
    <t>K245R</t>
  </si>
  <si>
    <t>NP_001073899</t>
  </si>
  <si>
    <t>NM_138736</t>
  </si>
  <si>
    <t>G42V</t>
  </si>
  <si>
    <t>NP_620073</t>
  </si>
  <si>
    <t>FAM192A</t>
  </si>
  <si>
    <t>NM_024946</t>
  </si>
  <si>
    <t>D91Y</t>
  </si>
  <si>
    <t>NP_079222</t>
  </si>
  <si>
    <t>EXOC3L1</t>
  </si>
  <si>
    <t>NM_178516</t>
  </si>
  <si>
    <t>D413N</t>
  </si>
  <si>
    <t>NP_848611</t>
  </si>
  <si>
    <t>R441L</t>
  </si>
  <si>
    <t>NP_004904</t>
  </si>
  <si>
    <t>RBBP6</t>
  </si>
  <si>
    <t>NM_006910</t>
  </si>
  <si>
    <t>D20N</t>
  </si>
  <si>
    <t>NP_008841</t>
  </si>
  <si>
    <t>R517L</t>
  </si>
  <si>
    <t>PASS,rs149610167</t>
  </si>
  <si>
    <t>NM_024535</t>
  </si>
  <si>
    <t>C695S</t>
  </si>
  <si>
    <t>NP_078811</t>
  </si>
  <si>
    <t>tGt/tCt</t>
  </si>
  <si>
    <t>NM_001128159</t>
  </si>
  <si>
    <t>A241S</t>
  </si>
  <si>
    <t>NP_001121631</t>
  </si>
  <si>
    <t>NM_033004</t>
  </si>
  <si>
    <t>A1087T</t>
  </si>
  <si>
    <t>NP_127497</t>
  </si>
  <si>
    <t>NM_004758</t>
  </si>
  <si>
    <t>NP_004749.2</t>
  </si>
  <si>
    <t>M979I</t>
  </si>
  <si>
    <t>NP_065799</t>
  </si>
  <si>
    <t>TACO1</t>
  </si>
  <si>
    <t>NM_016360</t>
  </si>
  <si>
    <t>E222D</t>
  </si>
  <si>
    <t>NP_057444</t>
  </si>
  <si>
    <t>NM_006344</t>
  </si>
  <si>
    <t>P158S</t>
  </si>
  <si>
    <t>NP_006335</t>
  </si>
  <si>
    <t>EVPL</t>
  </si>
  <si>
    <t>NM_001988</t>
  </si>
  <si>
    <t>D1984E</t>
  </si>
  <si>
    <t>NP_001979</t>
  </si>
  <si>
    <t>R273L</t>
  </si>
  <si>
    <t>PASS,rs28934576,CM920677,CM004342,CM010472,COSM43896,COSM10660,COSM10779,COSM44440,COSM165077,COSM99729</t>
  </si>
  <si>
    <t>SGSH</t>
  </si>
  <si>
    <t>NM_000199</t>
  </si>
  <si>
    <t>D466G</t>
  </si>
  <si>
    <t>NP_000190</t>
  </si>
  <si>
    <t>C17orf62</t>
  </si>
  <si>
    <t>NM_001193655</t>
  </si>
  <si>
    <t>K77*</t>
  </si>
  <si>
    <t>NP_001180584</t>
  </si>
  <si>
    <t>NM_012336</t>
  </si>
  <si>
    <t>A189S</t>
  </si>
  <si>
    <t>NP_036468</t>
  </si>
  <si>
    <t>NM_032141</t>
  </si>
  <si>
    <t>E230G</t>
  </si>
  <si>
    <t>NP_115517</t>
  </si>
  <si>
    <t>MYO19</t>
  </si>
  <si>
    <t>NM_001163735</t>
  </si>
  <si>
    <t>Y384C</t>
  </si>
  <si>
    <t>NP_001157207</t>
  </si>
  <si>
    <t>PSME3</t>
  </si>
  <si>
    <t>NM_005789</t>
  </si>
  <si>
    <t>R203L</t>
  </si>
  <si>
    <t>NP_005780</t>
  </si>
  <si>
    <t>R393S</t>
  </si>
  <si>
    <t>PASS,rs140549407</t>
  </si>
  <si>
    <t>NP_569057</t>
  </si>
  <si>
    <t>SYT3</t>
  </si>
  <si>
    <t>NM_001160329</t>
  </si>
  <si>
    <t>E147Q</t>
  </si>
  <si>
    <t>NP_001153801.1</t>
  </si>
  <si>
    <t>NLRP13</t>
  </si>
  <si>
    <t>NM_176810</t>
  </si>
  <si>
    <t>D889N</t>
  </si>
  <si>
    <t>NP_789780</t>
  </si>
  <si>
    <t>E46*</t>
  </si>
  <si>
    <t>NP_115871</t>
  </si>
  <si>
    <t>ZNF781</t>
  </si>
  <si>
    <t>NM_152605</t>
  </si>
  <si>
    <t>Y61C</t>
  </si>
  <si>
    <t>NP_689818</t>
  </si>
  <si>
    <t>CYP2F1</t>
  </si>
  <si>
    <t>NM_000774</t>
  </si>
  <si>
    <t>R98S</t>
  </si>
  <si>
    <t>NP_000765</t>
  </si>
  <si>
    <t>V1317L</t>
  </si>
  <si>
    <t>NP_004482</t>
  </si>
  <si>
    <t>ZNF541</t>
  </si>
  <si>
    <t>NM_001101419</t>
  </si>
  <si>
    <t>S5I</t>
  </si>
  <si>
    <t>NP_001094889</t>
  </si>
  <si>
    <t>VSTM2L</t>
  </si>
  <si>
    <t>NM_080607</t>
  </si>
  <si>
    <t>R128C</t>
  </si>
  <si>
    <t>NP_542174</t>
  </si>
  <si>
    <t>NM_018837</t>
  </si>
  <si>
    <t>P851T</t>
  </si>
  <si>
    <t>NP_061325</t>
  </si>
  <si>
    <t>NM_001178008</t>
  </si>
  <si>
    <t>R317S</t>
  </si>
  <si>
    <t>NP_001171479</t>
  </si>
  <si>
    <t>POFUT2</t>
  </si>
  <si>
    <t>NM_133635</t>
  </si>
  <si>
    <t>E348*</t>
  </si>
  <si>
    <t>NP_598368</t>
  </si>
  <si>
    <t>A420T</t>
  </si>
  <si>
    <t>NP_002464</t>
  </si>
  <si>
    <t>P869T</t>
  </si>
  <si>
    <t>NP_000386</t>
  </si>
  <si>
    <t>NM_001013647</t>
  </si>
  <si>
    <t>NP_001013669</t>
  </si>
  <si>
    <t>A4GALT</t>
  </si>
  <si>
    <t>NM_017436</t>
  </si>
  <si>
    <t>Q51K</t>
  </si>
  <si>
    <t>NP_059132</t>
  </si>
  <si>
    <t>L405S</t>
  </si>
  <si>
    <t>NP_038472</t>
  </si>
  <si>
    <t>GLRA4</t>
  </si>
  <si>
    <t>NM_001024452</t>
  </si>
  <si>
    <t>NP_001019623</t>
  </si>
  <si>
    <t>NM_001085354</t>
  </si>
  <si>
    <t>K614I</t>
  </si>
  <si>
    <t>NP_001078823</t>
  </si>
  <si>
    <t>XM_002343850</t>
  </si>
  <si>
    <t>M541I</t>
  </si>
  <si>
    <t>XP_002343891</t>
  </si>
  <si>
    <t>NM_001902</t>
  </si>
  <si>
    <t>V366A</t>
  </si>
  <si>
    <t>NP_001893</t>
  </si>
  <si>
    <t>3101B7_035_T</t>
  </si>
  <si>
    <t>G1034*</t>
  </si>
  <si>
    <t>ATP1A4</t>
  </si>
  <si>
    <t>NM_144699</t>
  </si>
  <si>
    <t>A938V</t>
  </si>
  <si>
    <t>NP_653300</t>
  </si>
  <si>
    <t>Y613C</t>
  </si>
  <si>
    <t>NP_742068</t>
  </si>
  <si>
    <t>H471Q</t>
  </si>
  <si>
    <t>NP_036519</t>
  </si>
  <si>
    <t>V472M</t>
  </si>
  <si>
    <t>E554D</t>
  </si>
  <si>
    <t>NP_859070</t>
  </si>
  <si>
    <t>L1100*</t>
  </si>
  <si>
    <t>NM_001135599</t>
  </si>
  <si>
    <t>Q31*</t>
  </si>
  <si>
    <t>NP_001129071</t>
  </si>
  <si>
    <t>K3090T</t>
  </si>
  <si>
    <t>NP_001364</t>
  </si>
  <si>
    <t>I38K</t>
  </si>
  <si>
    <t>F62C</t>
  </si>
  <si>
    <t>NP_001001959</t>
  </si>
  <si>
    <t>E9225D</t>
  </si>
  <si>
    <t>C3218R</t>
  </si>
  <si>
    <t>NP_775922</t>
  </si>
  <si>
    <t>A931V</t>
  </si>
  <si>
    <t>NP_061720</t>
  </si>
  <si>
    <t>M184I</t>
  </si>
  <si>
    <t>NP_940961</t>
  </si>
  <si>
    <t>E1089*</t>
  </si>
  <si>
    <t>NP_000083</t>
  </si>
  <si>
    <t>RBKS</t>
  </si>
  <si>
    <t>NM_022128</t>
  </si>
  <si>
    <t>G5E</t>
  </si>
  <si>
    <t>NP_071411</t>
  </si>
  <si>
    <t>NM_001135651</t>
  </si>
  <si>
    <t>D175Y</t>
  </si>
  <si>
    <t>NP_001129123</t>
  </si>
  <si>
    <t>W141R</t>
  </si>
  <si>
    <t>NP_056244</t>
  </si>
  <si>
    <t>EPHB1</t>
  </si>
  <si>
    <t>NM_004441</t>
  </si>
  <si>
    <t>T957A</t>
  </si>
  <si>
    <t>NP_004432</t>
  </si>
  <si>
    <t>C47R</t>
  </si>
  <si>
    <t>NP_872395</t>
  </si>
  <si>
    <t>R258*</t>
  </si>
  <si>
    <t>NM_001128430</t>
  </si>
  <si>
    <t>Q252P</t>
  </si>
  <si>
    <t>NP_001121902</t>
  </si>
  <si>
    <t>N914S</t>
  </si>
  <si>
    <t>NP_055062</t>
  </si>
  <si>
    <t>T549I</t>
  </si>
  <si>
    <t>NP_001030017</t>
  </si>
  <si>
    <t>NM_001102575</t>
  </si>
  <si>
    <t>S470Y</t>
  </si>
  <si>
    <t>PASS,rs190203684</t>
  </si>
  <si>
    <t>NP_001096045</t>
  </si>
  <si>
    <t>NR2F1</t>
  </si>
  <si>
    <t>NM_005654</t>
  </si>
  <si>
    <t>V292I</t>
  </si>
  <si>
    <t>NP_005645</t>
  </si>
  <si>
    <t>SNCAIP</t>
  </si>
  <si>
    <t>NM_005460</t>
  </si>
  <si>
    <t>A489V</t>
  </si>
  <si>
    <t>NP_005451</t>
  </si>
  <si>
    <t>R869L</t>
  </si>
  <si>
    <t>NP_057688</t>
  </si>
  <si>
    <t>PCDHA12</t>
  </si>
  <si>
    <t>NM_018903</t>
  </si>
  <si>
    <t>Y36C</t>
  </si>
  <si>
    <t>NP_061726</t>
  </si>
  <si>
    <t>M532T</t>
  </si>
  <si>
    <t>NP_067633</t>
  </si>
  <si>
    <t>NM_001130173</t>
  </si>
  <si>
    <t>L265*</t>
  </si>
  <si>
    <t>NP_001123645</t>
  </si>
  <si>
    <t>A2391T</t>
  </si>
  <si>
    <t>HIST1H3E</t>
  </si>
  <si>
    <t>NM_003532</t>
  </si>
  <si>
    <t>T33M</t>
  </si>
  <si>
    <t>NP_003523</t>
  </si>
  <si>
    <t>G1918A</t>
  </si>
  <si>
    <t>NP_055904</t>
  </si>
  <si>
    <t>NM_005228</t>
  </si>
  <si>
    <t>K129E</t>
  </si>
  <si>
    <t>NP_005219</t>
  </si>
  <si>
    <t>RBM48</t>
  </si>
  <si>
    <t>NM_032120</t>
  </si>
  <si>
    <t>G310R</t>
  </si>
  <si>
    <t>PASS,rs188801072</t>
  </si>
  <si>
    <t>NP_115496</t>
  </si>
  <si>
    <t>NM_001166345</t>
  </si>
  <si>
    <t>K122*</t>
  </si>
  <si>
    <t>NP_001159817</t>
  </si>
  <si>
    <t>NM_001164665</t>
  </si>
  <si>
    <t>T146A</t>
  </si>
  <si>
    <t>NP_001158137</t>
  </si>
  <si>
    <t>NM_001202475</t>
  </si>
  <si>
    <t>I214V</t>
  </si>
  <si>
    <t>NP_001189404</t>
  </si>
  <si>
    <t>N388H</t>
  </si>
  <si>
    <t>NP_612152</t>
  </si>
  <si>
    <t>P105T</t>
  </si>
  <si>
    <t>NP_694957</t>
  </si>
  <si>
    <t>FABP9</t>
  </si>
  <si>
    <t>NM_001080526</t>
  </si>
  <si>
    <t>NP_001073995</t>
  </si>
  <si>
    <t>D413G</t>
  </si>
  <si>
    <t>I251N</t>
  </si>
  <si>
    <t>NM_002839</t>
  </si>
  <si>
    <t>R232L</t>
  </si>
  <si>
    <t>NP_002830</t>
  </si>
  <si>
    <t>KIF27</t>
  </si>
  <si>
    <t>NM_017576</t>
  </si>
  <si>
    <t>N693T</t>
  </si>
  <si>
    <t>NP_060046</t>
  </si>
  <si>
    <t>L512M</t>
  </si>
  <si>
    <t>NP_775960</t>
  </si>
  <si>
    <t>S124Y</t>
  </si>
  <si>
    <t>NP_005445</t>
  </si>
  <si>
    <t>SMARCA2</t>
  </si>
  <si>
    <t>NM_003070</t>
  </si>
  <si>
    <t>H854R</t>
  </si>
  <si>
    <t>NP_003061</t>
  </si>
  <si>
    <t>ARHGAP22</t>
  </si>
  <si>
    <t>NM_021226</t>
  </si>
  <si>
    <t>K429M</t>
  </si>
  <si>
    <t>NP_067049</t>
  </si>
  <si>
    <t>ZNF195</t>
  </si>
  <si>
    <t>NM_001130520</t>
  </si>
  <si>
    <t>G176E</t>
  </si>
  <si>
    <t>NP_001123992</t>
  </si>
  <si>
    <t>TRIM51GP</t>
  </si>
  <si>
    <t>NM_001206625</t>
  </si>
  <si>
    <t>L252S</t>
  </si>
  <si>
    <t>NP_001193554</t>
  </si>
  <si>
    <t>I46N</t>
  </si>
  <si>
    <t>NP_689531</t>
  </si>
  <si>
    <t>M589L</t>
  </si>
  <si>
    <t>NP_076417</t>
  </si>
  <si>
    <t>R468Q</t>
  </si>
  <si>
    <t>PASS,COSM136886</t>
  </si>
  <si>
    <t>NP_640334</t>
  </si>
  <si>
    <t>Y407C</t>
  </si>
  <si>
    <t>NP_065107</t>
  </si>
  <si>
    <t>NM_001031719</t>
  </si>
  <si>
    <t>V124A</t>
  </si>
  <si>
    <t>NP_001026889</t>
  </si>
  <si>
    <t>ATP8B4</t>
  </si>
  <si>
    <t>NM_024837</t>
  </si>
  <si>
    <t>NP_079113</t>
  </si>
  <si>
    <t>C3226G</t>
  </si>
  <si>
    <t>NP_003913</t>
  </si>
  <si>
    <t>PARP16</t>
  </si>
  <si>
    <t>NM_017851</t>
  </si>
  <si>
    <t>Y139C</t>
  </si>
  <si>
    <t>NP_060321</t>
  </si>
  <si>
    <t>NM_018349</t>
  </si>
  <si>
    <t>K90M</t>
  </si>
  <si>
    <t>NP_060819</t>
  </si>
  <si>
    <t>H1249Q</t>
  </si>
  <si>
    <t>NP_002364</t>
  </si>
  <si>
    <t>NM_153618</t>
  </si>
  <si>
    <t>R281W</t>
  </si>
  <si>
    <t>NP_705871</t>
  </si>
  <si>
    <t>LPO</t>
  </si>
  <si>
    <t>NM_006151</t>
  </si>
  <si>
    <t>N649S</t>
  </si>
  <si>
    <t>NP_006142</t>
  </si>
  <si>
    <t>TANC2</t>
  </si>
  <si>
    <t>NM_025185</t>
  </si>
  <si>
    <t>G1034R</t>
  </si>
  <si>
    <t>NP_079461</t>
  </si>
  <si>
    <t>SDK2</t>
  </si>
  <si>
    <t>NM_001144952</t>
  </si>
  <si>
    <t>W812R</t>
  </si>
  <si>
    <t>NP_001138424</t>
  </si>
  <si>
    <t>V157F</t>
  </si>
  <si>
    <t>PASS,rs121912654,COSM10670,COSM43625,COSM45120,COSM131480,COSM131481,COSM131483,COSM131482</t>
  </si>
  <si>
    <t>DHRS13</t>
  </si>
  <si>
    <t>NM_144683</t>
  </si>
  <si>
    <t>V168L</t>
  </si>
  <si>
    <t>NP_653284</t>
  </si>
  <si>
    <t>SLFN12</t>
  </si>
  <si>
    <t>NM_018042</t>
  </si>
  <si>
    <t>N208H</t>
  </si>
  <si>
    <t>NP_060512</t>
  </si>
  <si>
    <t>NM_004448</t>
  </si>
  <si>
    <t>V1128I</t>
  </si>
  <si>
    <t>NP_004439</t>
  </si>
  <si>
    <t>NM_003315</t>
  </si>
  <si>
    <t>Y222C</t>
  </si>
  <si>
    <t>NP_003306</t>
  </si>
  <si>
    <t>NM_001242409</t>
  </si>
  <si>
    <t>R173L</t>
  </si>
  <si>
    <t>NP_001229338</t>
  </si>
  <si>
    <t>NM_015559</t>
  </si>
  <si>
    <t>F1038I</t>
  </si>
  <si>
    <t>NP_056374</t>
  </si>
  <si>
    <t>LRRC4B</t>
  </si>
  <si>
    <t>NM_001080457</t>
  </si>
  <si>
    <t>D188H</t>
  </si>
  <si>
    <t>NP_001073926</t>
  </si>
  <si>
    <t>NM_001098491</t>
  </si>
  <si>
    <t>E208Q</t>
  </si>
  <si>
    <t>NP_001091961</t>
  </si>
  <si>
    <t>G65R</t>
  </si>
  <si>
    <t>NP_775752</t>
  </si>
  <si>
    <t>A4114G</t>
  </si>
  <si>
    <t>NM_003423</t>
  </si>
  <si>
    <t>D149N</t>
  </si>
  <si>
    <t>NP_003414</t>
  </si>
  <si>
    <t>NM_002333</t>
  </si>
  <si>
    <t>C437F</t>
  </si>
  <si>
    <t>NP_002324</t>
  </si>
  <si>
    <t>N551I</t>
  </si>
  <si>
    <t>NP_004354.2</t>
  </si>
  <si>
    <t>NM_006494</t>
  </si>
  <si>
    <t>I33F</t>
  </si>
  <si>
    <t>NP_006485</t>
  </si>
  <si>
    <t>ARFGAP1</t>
  </si>
  <si>
    <t>NM_175609</t>
  </si>
  <si>
    <t>E196G</t>
  </si>
  <si>
    <t>NP_783202</t>
  </si>
  <si>
    <t>G388D</t>
  </si>
  <si>
    <t>NP_543016</t>
  </si>
  <si>
    <t>NM_001247</t>
  </si>
  <si>
    <t>H132R</t>
  </si>
  <si>
    <t>NP_001238</t>
  </si>
  <si>
    <t>XM_001721786</t>
  </si>
  <si>
    <t>A40T</t>
  </si>
  <si>
    <t>XP_001721838</t>
  </si>
  <si>
    <t>NM_184234</t>
  </si>
  <si>
    <t>I261T</t>
  </si>
  <si>
    <t>NP_909122</t>
  </si>
  <si>
    <t>A660P</t>
  </si>
  <si>
    <t>NP_001025035</t>
  </si>
  <si>
    <t>D37H</t>
  </si>
  <si>
    <t>M478I</t>
  </si>
  <si>
    <t>PASS,rs149520817</t>
  </si>
  <si>
    <t>NP_002228</t>
  </si>
  <si>
    <t>KRTAP10-2</t>
  </si>
  <si>
    <t>NM_198693</t>
  </si>
  <si>
    <t>C220Y</t>
  </si>
  <si>
    <t>NP_941966</t>
  </si>
  <si>
    <t>L337V</t>
  </si>
  <si>
    <t>NP_004138</t>
  </si>
  <si>
    <t>NM_001170553</t>
  </si>
  <si>
    <t>S140L</t>
  </si>
  <si>
    <t>NP_001164024</t>
  </si>
  <si>
    <t>A1226G</t>
  </si>
  <si>
    <t>NP_065845</t>
  </si>
  <si>
    <t>3206A7_019_T</t>
  </si>
  <si>
    <t>E612V</t>
  </si>
  <si>
    <t>NP_689976</t>
  </si>
  <si>
    <t>SIKE1</t>
  </si>
  <si>
    <t>NM_001102396</t>
  </si>
  <si>
    <t>NP_001095866</t>
  </si>
  <si>
    <t>PRKAB2</t>
  </si>
  <si>
    <t>NM_005399</t>
  </si>
  <si>
    <t>F202L</t>
  </si>
  <si>
    <t>NP_005390</t>
  </si>
  <si>
    <t>S1503Y</t>
  </si>
  <si>
    <t>ASH1L</t>
  </si>
  <si>
    <t>NM_018489</t>
  </si>
  <si>
    <t>R2397Q</t>
  </si>
  <si>
    <t>NP_060959</t>
  </si>
  <si>
    <t>NM_152501</t>
  </si>
  <si>
    <t>A199V</t>
  </si>
  <si>
    <t>NP_689714.2</t>
  </si>
  <si>
    <t>NM_012351</t>
  </si>
  <si>
    <t>E275D</t>
  </si>
  <si>
    <t>NP_036483</t>
  </si>
  <si>
    <t>NM_004801</t>
  </si>
  <si>
    <t>T285M</t>
  </si>
  <si>
    <t>NP_004792</t>
  </si>
  <si>
    <t>I1187T</t>
  </si>
  <si>
    <t>NM_001822</t>
  </si>
  <si>
    <t>V421I</t>
  </si>
  <si>
    <t>NP_001813</t>
  </si>
  <si>
    <t>NM_001201480</t>
  </si>
  <si>
    <t>I719N</t>
  </si>
  <si>
    <t>NP_001188409</t>
  </si>
  <si>
    <t>C3572Y</t>
  </si>
  <si>
    <t>NM_001875</t>
  </si>
  <si>
    <t>D914N</t>
  </si>
  <si>
    <t>NP_001866</t>
  </si>
  <si>
    <t>NM_173076</t>
  </si>
  <si>
    <t>T717P</t>
  </si>
  <si>
    <t>NP_775099</t>
  </si>
  <si>
    <t>RHBDD1</t>
  </si>
  <si>
    <t>NM_032276</t>
  </si>
  <si>
    <t>Q46L</t>
  </si>
  <si>
    <t>NP_115652</t>
  </si>
  <si>
    <t>NM_153021</t>
  </si>
  <si>
    <t>P735S</t>
  </si>
  <si>
    <t>NP_694566</t>
  </si>
  <si>
    <t>NM_000145</t>
  </si>
  <si>
    <t>N558K</t>
  </si>
  <si>
    <t>NP_000136</t>
  </si>
  <si>
    <t>PHC3</t>
  </si>
  <si>
    <t>NM_024947</t>
  </si>
  <si>
    <t>E606K</t>
  </si>
  <si>
    <t>NP_079223</t>
  </si>
  <si>
    <t>P2448T</t>
  </si>
  <si>
    <t>CEP135</t>
  </si>
  <si>
    <t>NM_025009</t>
  </si>
  <si>
    <t>NP_079285.2</t>
  </si>
  <si>
    <t>G182R</t>
  </si>
  <si>
    <t>NP_116082.1</t>
  </si>
  <si>
    <t>SLC7A11</t>
  </si>
  <si>
    <t>NM_014331</t>
  </si>
  <si>
    <t>S326Y</t>
  </si>
  <si>
    <t>NP_055146</t>
  </si>
  <si>
    <t>L250V</t>
  </si>
  <si>
    <t>NP_775933</t>
  </si>
  <si>
    <t>GRXCR1</t>
  </si>
  <si>
    <t>NM_001080476</t>
  </si>
  <si>
    <t>S268P</t>
  </si>
  <si>
    <t>NP_001073945</t>
  </si>
  <si>
    <t>TRIM23</t>
  </si>
  <si>
    <t>NM_001656</t>
  </si>
  <si>
    <t>L448I</t>
  </si>
  <si>
    <t>NP_001647</t>
  </si>
  <si>
    <t>E577D</t>
  </si>
  <si>
    <t>NP_787052</t>
  </si>
  <si>
    <t>MYO10</t>
  </si>
  <si>
    <t>NM_012334</t>
  </si>
  <si>
    <t>A1500D</t>
  </si>
  <si>
    <t>NP_036466</t>
  </si>
  <si>
    <t>MED23</t>
  </si>
  <si>
    <t>NM_004830</t>
  </si>
  <si>
    <t>T29N</t>
  </si>
  <si>
    <t>NP_004821</t>
  </si>
  <si>
    <t>NM_172105</t>
  </si>
  <si>
    <t>T119I</t>
  </si>
  <si>
    <t>NP_742103</t>
  </si>
  <si>
    <t>NM_002511</t>
  </si>
  <si>
    <t>A197E</t>
  </si>
  <si>
    <t>PASS,rs140322909</t>
  </si>
  <si>
    <t>NP_002502</t>
  </si>
  <si>
    <t>NM_001710</t>
  </si>
  <si>
    <t>W495C</t>
  </si>
  <si>
    <t>NP_001701</t>
  </si>
  <si>
    <t>NM_007271</t>
  </si>
  <si>
    <t>I209F</t>
  </si>
  <si>
    <t>NP_009202</t>
  </si>
  <si>
    <t>CLIP2</t>
  </si>
  <si>
    <t>NM_003388</t>
  </si>
  <si>
    <t>A265V</t>
  </si>
  <si>
    <t>NP_003379</t>
  </si>
  <si>
    <t>HDAC9</t>
  </si>
  <si>
    <t>NM_178425</t>
  </si>
  <si>
    <t>R409*</t>
  </si>
  <si>
    <t>NP_848512</t>
  </si>
  <si>
    <t>F54L</t>
  </si>
  <si>
    <t>NP_056483.3</t>
  </si>
  <si>
    <t>L1329P</t>
  </si>
  <si>
    <t>NM_173851</t>
  </si>
  <si>
    <t>L167M</t>
  </si>
  <si>
    <t>NP_776250</t>
  </si>
  <si>
    <t>NM_139025</t>
  </si>
  <si>
    <t>P1107S</t>
  </si>
  <si>
    <t>NP_620594</t>
  </si>
  <si>
    <t>T1403M</t>
  </si>
  <si>
    <t>R1013H</t>
  </si>
  <si>
    <t>NP_059129</t>
  </si>
  <si>
    <t>NM_139075</t>
  </si>
  <si>
    <t>H226L</t>
  </si>
  <si>
    <t>NP_620714</t>
  </si>
  <si>
    <t>L6R</t>
  </si>
  <si>
    <t>NP_689936</t>
  </si>
  <si>
    <t>MUC6</t>
  </si>
  <si>
    <t>NM_005961</t>
  </si>
  <si>
    <t>P2001L</t>
  </si>
  <si>
    <t>NP_005952</t>
  </si>
  <si>
    <t>NM_031418</t>
  </si>
  <si>
    <t>NP_113606</t>
  </si>
  <si>
    <t>T2622I</t>
  </si>
  <si>
    <t>NP_000543</t>
  </si>
  <si>
    <t>R1334W</t>
  </si>
  <si>
    <t>ARHGEF7</t>
  </si>
  <si>
    <t>NM_001113511</t>
  </si>
  <si>
    <t>M483R</t>
  </si>
  <si>
    <t>NP_001106983</t>
  </si>
  <si>
    <t>aTg/aGg</t>
  </si>
  <si>
    <t>N1745K</t>
  </si>
  <si>
    <t>NP_000419</t>
  </si>
  <si>
    <t>TSHR</t>
  </si>
  <si>
    <t>NM_000369</t>
  </si>
  <si>
    <t>F631S</t>
  </si>
  <si>
    <t>PASS,CM067070,COSM26478</t>
  </si>
  <si>
    <t>NP_000360</t>
  </si>
  <si>
    <t>UBR7</t>
  </si>
  <si>
    <t>NM_175748</t>
  </si>
  <si>
    <t>G285C</t>
  </si>
  <si>
    <t>NP_786924</t>
  </si>
  <si>
    <t>CSPG4</t>
  </si>
  <si>
    <t>NM_001897</t>
  </si>
  <si>
    <t>D1153G</t>
  </si>
  <si>
    <t>NP_001888</t>
  </si>
  <si>
    <t>KIF2B</t>
  </si>
  <si>
    <t>NM_032559</t>
  </si>
  <si>
    <t>K39N</t>
  </si>
  <si>
    <t>NP_115948</t>
  </si>
  <si>
    <t>T155N</t>
  </si>
  <si>
    <t>PASS,CM942117,COSM11218,COSM44033,COSM44545</t>
  </si>
  <si>
    <t>NM_001130528</t>
  </si>
  <si>
    <t>L1266F</t>
  </si>
  <si>
    <t>NP_001124000</t>
  </si>
  <si>
    <t>SHISA7</t>
  </si>
  <si>
    <t>NM_001145176</t>
  </si>
  <si>
    <t>M258T</t>
  </si>
  <si>
    <t>NP_001138648</t>
  </si>
  <si>
    <t>SSC5D</t>
  </si>
  <si>
    <t>NM_001144950</t>
  </si>
  <si>
    <t>E1384Q</t>
  </si>
  <si>
    <t>NP_001138422</t>
  </si>
  <si>
    <t>NM_001127222</t>
  </si>
  <si>
    <t>R476H</t>
  </si>
  <si>
    <t>NP_001120694</t>
  </si>
  <si>
    <t>H663D</t>
  </si>
  <si>
    <t>NPHS1</t>
  </si>
  <si>
    <t>NM_004646</t>
  </si>
  <si>
    <t>A605P</t>
  </si>
  <si>
    <t>NP_004637</t>
  </si>
  <si>
    <t>M25V</t>
  </si>
  <si>
    <t>R18H</t>
  </si>
  <si>
    <t>NP_787054</t>
  </si>
  <si>
    <t>NM_000343</t>
  </si>
  <si>
    <t>I430T</t>
  </si>
  <si>
    <t>NP_000334</t>
  </si>
  <si>
    <t>K344T</t>
  </si>
  <si>
    <t>NP_958443</t>
  </si>
  <si>
    <t>STARD8</t>
  </si>
  <si>
    <t>NM_001142503</t>
  </si>
  <si>
    <t>S514C</t>
  </si>
  <si>
    <t>NP_001135975</t>
  </si>
  <si>
    <t>NM_001163278</t>
  </si>
  <si>
    <t>G2686R</t>
  </si>
  <si>
    <t>NP_001156750</t>
  </si>
  <si>
    <t>E40K</t>
  </si>
  <si>
    <t>NP_689908</t>
  </si>
  <si>
    <t>NM_017514</t>
  </si>
  <si>
    <t>A1563S</t>
  </si>
  <si>
    <t>PASS,rs150337074</t>
  </si>
  <si>
    <t>NP_059984</t>
  </si>
  <si>
    <t>NM_024911</t>
  </si>
  <si>
    <t>P183A</t>
  </si>
  <si>
    <t>NP_079187</t>
  </si>
  <si>
    <t>9096_T</t>
  </si>
  <si>
    <t>Y588C</t>
  </si>
  <si>
    <t>NP_003117</t>
  </si>
  <si>
    <t>L845V</t>
  </si>
  <si>
    <t>NP_055979</t>
  </si>
  <si>
    <t>ASAP3</t>
  </si>
  <si>
    <t>NM_017707</t>
  </si>
  <si>
    <t>E672V</t>
  </si>
  <si>
    <t>NP_060177</t>
  </si>
  <si>
    <t>M1720T</t>
  </si>
  <si>
    <t>ZSCAN20</t>
  </si>
  <si>
    <t>NM_145238</t>
  </si>
  <si>
    <t>K886Q</t>
  </si>
  <si>
    <t>NP_660281</t>
  </si>
  <si>
    <t>I2411V</t>
  </si>
  <si>
    <t>RNF181</t>
  </si>
  <si>
    <t>NM_016494</t>
  </si>
  <si>
    <t>Y127D</t>
  </si>
  <si>
    <t>NP_057578</t>
  </si>
  <si>
    <t>KCNJ3</t>
  </si>
  <si>
    <t>NM_002239</t>
  </si>
  <si>
    <t>D32N</t>
  </si>
  <si>
    <t>NP_002230</t>
  </si>
  <si>
    <t>NM_002349</t>
  </si>
  <si>
    <t>P1485H</t>
  </si>
  <si>
    <t>NP_002340</t>
  </si>
  <si>
    <t>K58T</t>
  </si>
  <si>
    <t>NP_055455</t>
  </si>
  <si>
    <t>K512T</t>
  </si>
  <si>
    <t>NP_945314</t>
  </si>
  <si>
    <t>NM_001627</t>
  </si>
  <si>
    <t>C157Y</t>
  </si>
  <si>
    <t>NP_001618.2</t>
  </si>
  <si>
    <t>V689G</t>
  </si>
  <si>
    <t>NP_060169</t>
  </si>
  <si>
    <t>STXBP5L</t>
  </si>
  <si>
    <t>NM_014980</t>
  </si>
  <si>
    <t>A516D</t>
  </si>
  <si>
    <t>NP_055795</t>
  </si>
  <si>
    <t>I1484V</t>
  </si>
  <si>
    <t>NP_060024</t>
  </si>
  <si>
    <t>S111F</t>
  </si>
  <si>
    <t>NP_694972</t>
  </si>
  <si>
    <t>W593R</t>
  </si>
  <si>
    <t>NP_689829</t>
  </si>
  <si>
    <t>NM_178822</t>
  </si>
  <si>
    <t>D2222N</t>
  </si>
  <si>
    <t>NP_849144</t>
  </si>
  <si>
    <t>S213I</t>
  </si>
  <si>
    <t>NP_115655</t>
  </si>
  <si>
    <t>N387K</t>
  </si>
  <si>
    <t>PASS,COSM131449</t>
  </si>
  <si>
    <t>ZNF35</t>
  </si>
  <si>
    <t>NM_003420</t>
  </si>
  <si>
    <t>G396R</t>
  </si>
  <si>
    <t>NP_003411</t>
  </si>
  <si>
    <t>FBXW12</t>
  </si>
  <si>
    <t>NM_001159929</t>
  </si>
  <si>
    <t>N35D</t>
  </si>
  <si>
    <t>NP_001153401</t>
  </si>
  <si>
    <t>SLC25A20</t>
  </si>
  <si>
    <t>NM_000387</t>
  </si>
  <si>
    <t>P43L</t>
  </si>
  <si>
    <t>NP_000378</t>
  </si>
  <si>
    <t>NM_001014447</t>
  </si>
  <si>
    <t>E481V</t>
  </si>
  <si>
    <t>NP_001014447</t>
  </si>
  <si>
    <t>NM_001148</t>
  </si>
  <si>
    <t>V1176M</t>
  </si>
  <si>
    <t>NP_001139</t>
  </si>
  <si>
    <t>RAB28</t>
  </si>
  <si>
    <t>NM_001017979</t>
  </si>
  <si>
    <t>V92A</t>
  </si>
  <si>
    <t>NP_001017979</t>
  </si>
  <si>
    <t>NM_033211</t>
  </si>
  <si>
    <t>S49*</t>
  </si>
  <si>
    <t>NP_149988</t>
  </si>
  <si>
    <t>D1493E</t>
  </si>
  <si>
    <t>OR2Y1</t>
  </si>
  <si>
    <t>NM_001001657</t>
  </si>
  <si>
    <t>R94C</t>
  </si>
  <si>
    <t>NP_001001657</t>
  </si>
  <si>
    <t>EGFLAM</t>
  </si>
  <si>
    <t>NM_001205301</t>
  </si>
  <si>
    <t>E614D</t>
  </si>
  <si>
    <t>NP_001192230</t>
  </si>
  <si>
    <t>L48V</t>
  </si>
  <si>
    <t>NP_006572</t>
  </si>
  <si>
    <t>S603A</t>
  </si>
  <si>
    <t>NP_005059</t>
  </si>
  <si>
    <t>MAP3K4</t>
  </si>
  <si>
    <t>NM_005922</t>
  </si>
  <si>
    <t>Q717L</t>
  </si>
  <si>
    <t>NP_005913</t>
  </si>
  <si>
    <t>TCTE3</t>
  </si>
  <si>
    <t>NM_174910</t>
  </si>
  <si>
    <t>T19S</t>
  </si>
  <si>
    <t>NP_777570</t>
  </si>
  <si>
    <t>SCAND3</t>
  </si>
  <si>
    <t>NM_052923</t>
  </si>
  <si>
    <t>K1009N</t>
  </si>
  <si>
    <t>NP_443155</t>
  </si>
  <si>
    <t>R345H</t>
  </si>
  <si>
    <t>NP_071393</t>
  </si>
  <si>
    <t>P2693L</t>
  </si>
  <si>
    <t>V1448E</t>
  </si>
  <si>
    <t>NP_000159</t>
  </si>
  <si>
    <t>BMP1</t>
  </si>
  <si>
    <t>NM_006129</t>
  </si>
  <si>
    <t>V406F</t>
  </si>
  <si>
    <t>PASS,rs138976457</t>
  </si>
  <si>
    <t>NP_006120</t>
  </si>
  <si>
    <t>C9orf64</t>
  </si>
  <si>
    <t>NM_032307</t>
  </si>
  <si>
    <t>M236V</t>
  </si>
  <si>
    <t>NP_115683</t>
  </si>
  <si>
    <t>NM_001006617</t>
  </si>
  <si>
    <t>S45*</t>
  </si>
  <si>
    <t>NP_001006618</t>
  </si>
  <si>
    <t>Q2559L</t>
  </si>
  <si>
    <t>NP_055861</t>
  </si>
  <si>
    <t>TTF1</t>
  </si>
  <si>
    <t>NM_007344</t>
  </si>
  <si>
    <t>A400G</t>
  </si>
  <si>
    <t>NP_031370</t>
  </si>
  <si>
    <t>gCa/gGa</t>
  </si>
  <si>
    <t>NM_001122823</t>
  </si>
  <si>
    <t>H104N</t>
  </si>
  <si>
    <t>NP_001116295</t>
  </si>
  <si>
    <t>L249I</t>
  </si>
  <si>
    <t>FRMPD1</t>
  </si>
  <si>
    <t>NM_014907</t>
  </si>
  <si>
    <t>S218N</t>
  </si>
  <si>
    <t>NP_055722</t>
  </si>
  <si>
    <t>NRAP</t>
  </si>
  <si>
    <t>NM_198060</t>
  </si>
  <si>
    <t>P15L</t>
  </si>
  <si>
    <t>NP_932326</t>
  </si>
  <si>
    <t>DMBT1</t>
  </si>
  <si>
    <t>NM_007329</t>
  </si>
  <si>
    <t>L56Q</t>
  </si>
  <si>
    <t>NP_015568</t>
  </si>
  <si>
    <t>CCDC3</t>
  </si>
  <si>
    <t>NM_031455</t>
  </si>
  <si>
    <t>R218W</t>
  </si>
  <si>
    <t>NP_113643</t>
  </si>
  <si>
    <t>NM_032597</t>
  </si>
  <si>
    <t>T606N</t>
  </si>
  <si>
    <t>NP_115986</t>
  </si>
  <si>
    <t>E167Q</t>
  </si>
  <si>
    <t>NP_660201</t>
  </si>
  <si>
    <t>NM_001080463</t>
  </si>
  <si>
    <t>R4191C</t>
  </si>
  <si>
    <t>NP_001073932</t>
  </si>
  <si>
    <t>NP_055771</t>
  </si>
  <si>
    <t>V246M</t>
  </si>
  <si>
    <t>NP_001004464</t>
  </si>
  <si>
    <t>S1043N</t>
  </si>
  <si>
    <t>NP_038477</t>
  </si>
  <si>
    <t>TRHDE</t>
  </si>
  <si>
    <t>NM_013381</t>
  </si>
  <si>
    <t>P507Q</t>
  </si>
  <si>
    <t>NP_037513</t>
  </si>
  <si>
    <t>CEP290</t>
  </si>
  <si>
    <t>NM_025114</t>
  </si>
  <si>
    <t>L903F</t>
  </si>
  <si>
    <t>NP_079390</t>
  </si>
  <si>
    <t>NM_001042403</t>
  </si>
  <si>
    <t>T34M</t>
  </si>
  <si>
    <t>NP_001035862</t>
  </si>
  <si>
    <t>GPC6</t>
  </si>
  <si>
    <t>NM_005708</t>
  </si>
  <si>
    <t>P61S</t>
  </si>
  <si>
    <t>NP_005699</t>
  </si>
  <si>
    <t>NM_005977</t>
  </si>
  <si>
    <t>T433I</t>
  </si>
  <si>
    <t>NP_005968</t>
  </si>
  <si>
    <t>GTF2F2</t>
  </si>
  <si>
    <t>NM_004128</t>
  </si>
  <si>
    <t>I68V</t>
  </si>
  <si>
    <t>NP_004119</t>
  </si>
  <si>
    <t>D103N</t>
  </si>
  <si>
    <t>NP_060699</t>
  </si>
  <si>
    <t>Q475*</t>
  </si>
  <si>
    <t>W439R</t>
  </si>
  <si>
    <t>NP_060698</t>
  </si>
  <si>
    <t>M857L</t>
  </si>
  <si>
    <t>NP_060506</t>
  </si>
  <si>
    <t>EFS</t>
  </si>
  <si>
    <t>NM_005864</t>
  </si>
  <si>
    <t>L66S</t>
  </si>
  <si>
    <t>NP_005855</t>
  </si>
  <si>
    <t>N1633K</t>
  </si>
  <si>
    <t>NP_000248</t>
  </si>
  <si>
    <t>Q570P</t>
  </si>
  <si>
    <t>NP_055906</t>
  </si>
  <si>
    <t>LTK</t>
  </si>
  <si>
    <t>NM_002344</t>
  </si>
  <si>
    <t>A126D</t>
  </si>
  <si>
    <t>NP_002335</t>
  </si>
  <si>
    <t>PASS,rs45502196,CS010578,CS091023</t>
  </si>
  <si>
    <t>NM_001214906</t>
  </si>
  <si>
    <t>D490G</t>
  </si>
  <si>
    <t>NP_001201835</t>
  </si>
  <si>
    <t>NM_001242498</t>
  </si>
  <si>
    <t>M206V</t>
  </si>
  <si>
    <t>NP_001229427</t>
  </si>
  <si>
    <t>LLGL2</t>
  </si>
  <si>
    <t>NM_001031803</t>
  </si>
  <si>
    <t>A752T</t>
  </si>
  <si>
    <t>NP_001026973</t>
  </si>
  <si>
    <t>F109V</t>
  </si>
  <si>
    <t>PASS,COSM48817</t>
  </si>
  <si>
    <t>NM_207459</t>
  </si>
  <si>
    <t>D112Y</t>
  </si>
  <si>
    <t>NP_997342</t>
  </si>
  <si>
    <t>MYO18A</t>
  </si>
  <si>
    <t>NM_078471</t>
  </si>
  <si>
    <t>P187T</t>
  </si>
  <si>
    <t>NP_510880</t>
  </si>
  <si>
    <t>ATP2A3</t>
  </si>
  <si>
    <t>NM_174953</t>
  </si>
  <si>
    <t>T799P</t>
  </si>
  <si>
    <t>NP_777613</t>
  </si>
  <si>
    <t>S84C</t>
  </si>
  <si>
    <t>NP_000217.2</t>
  </si>
  <si>
    <t>NM_170685</t>
  </si>
  <si>
    <t>K82N</t>
  </si>
  <si>
    <t>NP_733786</t>
  </si>
  <si>
    <t>S8P</t>
  </si>
  <si>
    <t>NP_665699</t>
  </si>
  <si>
    <t>S545L</t>
  </si>
  <si>
    <t>SMAD4</t>
  </si>
  <si>
    <t>NM_005359</t>
  </si>
  <si>
    <t>Q311L</t>
  </si>
  <si>
    <t>NP_005350</t>
  </si>
  <si>
    <t>IRF3</t>
  </si>
  <si>
    <t>NM_001571</t>
  </si>
  <si>
    <t>T390P</t>
  </si>
  <si>
    <t>NP_001562</t>
  </si>
  <si>
    <t>SBNO2</t>
  </si>
  <si>
    <t>NM_014963</t>
  </si>
  <si>
    <t>A203S</t>
  </si>
  <si>
    <t>NP_055778</t>
  </si>
  <si>
    <t>NM_001161616</t>
  </si>
  <si>
    <t>R101W</t>
  </si>
  <si>
    <t>NP_001155088</t>
  </si>
  <si>
    <t>ZNF675</t>
  </si>
  <si>
    <t>NM_138330</t>
  </si>
  <si>
    <t>I33N</t>
  </si>
  <si>
    <t>NP_612203</t>
  </si>
  <si>
    <t>T97I</t>
  </si>
  <si>
    <t>XP_003119875</t>
  </si>
  <si>
    <t>A429T</t>
  </si>
  <si>
    <t>NP_060083</t>
  </si>
  <si>
    <t>NM_032608</t>
  </si>
  <si>
    <t>E2544G</t>
  </si>
  <si>
    <t>NP_115997.5</t>
  </si>
  <si>
    <t>NAGA</t>
  </si>
  <si>
    <t>NM_000262</t>
  </si>
  <si>
    <t>Q143L</t>
  </si>
  <si>
    <t>NP_000253</t>
  </si>
  <si>
    <t>PKDREJ</t>
  </si>
  <si>
    <t>NM_006071</t>
  </si>
  <si>
    <t>M933T</t>
  </si>
  <si>
    <t>NP_006062</t>
  </si>
  <si>
    <t>YIPF1</t>
  </si>
  <si>
    <t>NM_018982</t>
  </si>
  <si>
    <t>A283S</t>
  </si>
  <si>
    <t>NP_061855.1</t>
  </si>
  <si>
    <t>3206A7_017_T</t>
  </si>
  <si>
    <t>TM2D1</t>
  </si>
  <si>
    <t>NM_032027</t>
  </si>
  <si>
    <t>E44A</t>
  </si>
  <si>
    <t>NP_114416.1</t>
  </si>
  <si>
    <t>RNF207</t>
  </si>
  <si>
    <t>NM_207396</t>
  </si>
  <si>
    <t>L468V</t>
  </si>
  <si>
    <t>NP_997279</t>
  </si>
  <si>
    <t>I1966V</t>
  </si>
  <si>
    <t>NP_212132</t>
  </si>
  <si>
    <t>GBP6</t>
  </si>
  <si>
    <t>NM_198460</t>
  </si>
  <si>
    <t>A319D</t>
  </si>
  <si>
    <t>NP_940862</t>
  </si>
  <si>
    <t>RBM15</t>
  </si>
  <si>
    <t>NM_022768</t>
  </si>
  <si>
    <t>L345R</t>
  </si>
  <si>
    <t>NP_073605.4</t>
  </si>
  <si>
    <t>H1643R</t>
  </si>
  <si>
    <t>NM_005998</t>
  </si>
  <si>
    <t>C398F</t>
  </si>
  <si>
    <t>NP_005989</t>
  </si>
  <si>
    <t>NP_001004310</t>
  </si>
  <si>
    <t>NM_002585</t>
  </si>
  <si>
    <t>L77F</t>
  </si>
  <si>
    <t>NP_002576</t>
  </si>
  <si>
    <t>E168K</t>
  </si>
  <si>
    <t>NM_018122</t>
  </si>
  <si>
    <t>H645P</t>
  </si>
  <si>
    <t>NP_060592</t>
  </si>
  <si>
    <t>FAM71A</t>
  </si>
  <si>
    <t>NM_153606</t>
  </si>
  <si>
    <t>D215Y</t>
  </si>
  <si>
    <t>NP_705834</t>
  </si>
  <si>
    <t>R488L</t>
  </si>
  <si>
    <t>NP_060510</t>
  </si>
  <si>
    <t>G2121R</t>
  </si>
  <si>
    <t>R649L</t>
  </si>
  <si>
    <t>ZBTB40</t>
  </si>
  <si>
    <t>NM_014870</t>
  </si>
  <si>
    <t>A894T</t>
  </si>
  <si>
    <t>NP_055685</t>
  </si>
  <si>
    <t>HTR1D</t>
  </si>
  <si>
    <t>NM_000864</t>
  </si>
  <si>
    <t>N275H</t>
  </si>
  <si>
    <t>NP_000855</t>
  </si>
  <si>
    <t>P877T</t>
  </si>
  <si>
    <t>NP_064450</t>
  </si>
  <si>
    <t>OR6F1</t>
  </si>
  <si>
    <t>NM_001005286</t>
  </si>
  <si>
    <t>L46M</t>
  </si>
  <si>
    <t>NP_001005286</t>
  </si>
  <si>
    <t>TRIM63</t>
  </si>
  <si>
    <t>NM_032588</t>
  </si>
  <si>
    <t>S266P</t>
  </si>
  <si>
    <t>NP_115977</t>
  </si>
  <si>
    <t>G814D</t>
  </si>
  <si>
    <t>PPP1R8</t>
  </si>
  <si>
    <t>NM_014110</t>
  </si>
  <si>
    <t>T228S</t>
  </si>
  <si>
    <t>NP_054829</t>
  </si>
  <si>
    <t>HCRTR1</t>
  </si>
  <si>
    <t>NM_001525</t>
  </si>
  <si>
    <t>C376*</t>
  </si>
  <si>
    <t>NP_001516</t>
  </si>
  <si>
    <t>MT1E</t>
  </si>
  <si>
    <t>XM_003118958</t>
  </si>
  <si>
    <t>K31T</t>
  </si>
  <si>
    <t>XP_003119006</t>
  </si>
  <si>
    <t>W275*</t>
  </si>
  <si>
    <t>C1orf94</t>
  </si>
  <si>
    <t>NM_001134734</t>
  </si>
  <si>
    <t>Y588F</t>
  </si>
  <si>
    <t>NP_001128206</t>
  </si>
  <si>
    <t>RFX8</t>
  </si>
  <si>
    <t>NM_001145664</t>
  </si>
  <si>
    <t>D225E</t>
  </si>
  <si>
    <t>NP_001139136</t>
  </si>
  <si>
    <t>SNTG2</t>
  </si>
  <si>
    <t>NM_018968</t>
  </si>
  <si>
    <t>A179S</t>
  </si>
  <si>
    <t>NP_061841</t>
  </si>
  <si>
    <t>GLI2</t>
  </si>
  <si>
    <t>NM_005270</t>
  </si>
  <si>
    <t>A1415D</t>
  </si>
  <si>
    <t>NP_005261</t>
  </si>
  <si>
    <t>GPR17</t>
  </si>
  <si>
    <t>NM_005291</t>
  </si>
  <si>
    <t>R248W</t>
  </si>
  <si>
    <t>NP_005282</t>
  </si>
  <si>
    <t>IMP4</t>
  </si>
  <si>
    <t>NM_033416</t>
  </si>
  <si>
    <t>E120G</t>
  </si>
  <si>
    <t>NP_219484</t>
  </si>
  <si>
    <t>E211D</t>
  </si>
  <si>
    <t>NEB</t>
  </si>
  <si>
    <t>NM_001164508</t>
  </si>
  <si>
    <t>M3159I</t>
  </si>
  <si>
    <t>NP_001157980</t>
  </si>
  <si>
    <t>NM_001880</t>
  </si>
  <si>
    <t>D386H</t>
  </si>
  <si>
    <t>NP_001871</t>
  </si>
  <si>
    <t>ITGA4</t>
  </si>
  <si>
    <t>NM_000885</t>
  </si>
  <si>
    <t>NP_000876</t>
  </si>
  <si>
    <t>NM_024085</t>
  </si>
  <si>
    <t>R231P</t>
  </si>
  <si>
    <t>NP_076990</t>
  </si>
  <si>
    <t>S1541Y</t>
  </si>
  <si>
    <t>NP_005867</t>
  </si>
  <si>
    <t>PRR21</t>
  </si>
  <si>
    <t>NM_001080835</t>
  </si>
  <si>
    <t>P332T</t>
  </si>
  <si>
    <t>NP_001074304</t>
  </si>
  <si>
    <t>DNAJC5G</t>
  </si>
  <si>
    <t>NM_173650</t>
  </si>
  <si>
    <t>F33L</t>
  </si>
  <si>
    <t>NP_775921.1</t>
  </si>
  <si>
    <t>CRIM1</t>
  </si>
  <si>
    <t>NM_016441</t>
  </si>
  <si>
    <t>L514M</t>
  </si>
  <si>
    <t>NP_057525</t>
  </si>
  <si>
    <t>VIT</t>
  </si>
  <si>
    <t>NM_001177971</t>
  </si>
  <si>
    <t>Q562H</t>
  </si>
  <si>
    <t>NP_001171442</t>
  </si>
  <si>
    <t>G197V</t>
  </si>
  <si>
    <t>NP_036337</t>
  </si>
  <si>
    <t>STON1-GTF2A1L</t>
  </si>
  <si>
    <t>NM_001198594</t>
  </si>
  <si>
    <t>A545T</t>
  </si>
  <si>
    <t>NP_001185523</t>
  </si>
  <si>
    <t>MANF</t>
  </si>
  <si>
    <t>NM_006010</t>
  </si>
  <si>
    <t>D181Y</t>
  </si>
  <si>
    <t>NP_006001</t>
  </si>
  <si>
    <t>DUX3</t>
  </si>
  <si>
    <t>NM_012148</t>
  </si>
  <si>
    <t>G147S</t>
  </si>
  <si>
    <t>NP_036280</t>
  </si>
  <si>
    <t>NM_002213</t>
  </si>
  <si>
    <t>L164H</t>
  </si>
  <si>
    <t>NP_002204</t>
  </si>
  <si>
    <t>GATA2</t>
  </si>
  <si>
    <t>NM_032638</t>
  </si>
  <si>
    <t>A434S</t>
  </si>
  <si>
    <t>NP_116027</t>
  </si>
  <si>
    <t>TMCC1</t>
  </si>
  <si>
    <t>NM_001017395</t>
  </si>
  <si>
    <t>V259I</t>
  </si>
  <si>
    <t>NP_001017395</t>
  </si>
  <si>
    <t>T759S</t>
  </si>
  <si>
    <t>A506S</t>
  </si>
  <si>
    <t>NP_569713</t>
  </si>
  <si>
    <t>L144P</t>
  </si>
  <si>
    <t>NP_940907</t>
  </si>
  <si>
    <t>A1870S</t>
  </si>
  <si>
    <t>SCN11A</t>
  </si>
  <si>
    <t>NM_014139</t>
  </si>
  <si>
    <t>V399I</t>
  </si>
  <si>
    <t>NP_054858</t>
  </si>
  <si>
    <t>KBTBD5</t>
  </si>
  <si>
    <t>NM_152393</t>
  </si>
  <si>
    <t>R227H</t>
  </si>
  <si>
    <t>NP_689606</t>
  </si>
  <si>
    <t>A484V</t>
  </si>
  <si>
    <t>NP_699207</t>
  </si>
  <si>
    <t>A175E</t>
  </si>
  <si>
    <t>PASS,rs144377602</t>
  </si>
  <si>
    <t>NP_999876.2</t>
  </si>
  <si>
    <t>PPEF2</t>
  </si>
  <si>
    <t>NM_006239</t>
  </si>
  <si>
    <t>F497S</t>
  </si>
  <si>
    <t>NP_006230</t>
  </si>
  <si>
    <t>C340S</t>
  </si>
  <si>
    <t>NP_003719</t>
  </si>
  <si>
    <t>D250Y</t>
  </si>
  <si>
    <t>NP_065775</t>
  </si>
  <si>
    <t>GLRB</t>
  </si>
  <si>
    <t>NM_000824</t>
  </si>
  <si>
    <t>W289C</t>
  </si>
  <si>
    <t>NP_000815</t>
  </si>
  <si>
    <t>PROM1</t>
  </si>
  <si>
    <t>NM_006017</t>
  </si>
  <si>
    <t>S300L</t>
  </si>
  <si>
    <t>NP_006008.1</t>
  </si>
  <si>
    <t>MSH3</t>
  </si>
  <si>
    <t>NM_002439</t>
  </si>
  <si>
    <t>L640F</t>
  </si>
  <si>
    <t>NP_002430</t>
  </si>
  <si>
    <t>R646C</t>
  </si>
  <si>
    <t>SLC35A4</t>
  </si>
  <si>
    <t>NM_080670</t>
  </si>
  <si>
    <t>G248C</t>
  </si>
  <si>
    <t>NP_542401</t>
  </si>
  <si>
    <t>PCDHB15</t>
  </si>
  <si>
    <t>NM_018935</t>
  </si>
  <si>
    <t>D535E</t>
  </si>
  <si>
    <t>PASS,rs150604901</t>
  </si>
  <si>
    <t>NP_061758</t>
  </si>
  <si>
    <t>NM_005219</t>
  </si>
  <si>
    <t>M1144I</t>
  </si>
  <si>
    <t>NP_005210</t>
  </si>
  <si>
    <t>GRXCR2</t>
  </si>
  <si>
    <t>NM_001080516</t>
  </si>
  <si>
    <t>S44*</t>
  </si>
  <si>
    <t>NP_001073985</t>
  </si>
  <si>
    <t>LARP1</t>
  </si>
  <si>
    <t>NM_015315</t>
  </si>
  <si>
    <t>D243N</t>
  </si>
  <si>
    <t>NP_056130</t>
  </si>
  <si>
    <t>GPRIN1</t>
  </si>
  <si>
    <t>NM_052899</t>
  </si>
  <si>
    <t>R43K</t>
  </si>
  <si>
    <t>NP_443131</t>
  </si>
  <si>
    <t>CDH6</t>
  </si>
  <si>
    <t>NM_004932</t>
  </si>
  <si>
    <t>D376N</t>
  </si>
  <si>
    <t>NP_004923</t>
  </si>
  <si>
    <t>T46A</t>
  </si>
  <si>
    <t>UFL1</t>
  </si>
  <si>
    <t>NM_015323</t>
  </si>
  <si>
    <t>A242S</t>
  </si>
  <si>
    <t>NP_056138</t>
  </si>
  <si>
    <t>NM_015491</t>
  </si>
  <si>
    <t>NP_056306</t>
  </si>
  <si>
    <t>GPR6</t>
  </si>
  <si>
    <t>NM_005284</t>
  </si>
  <si>
    <t>S158R</t>
  </si>
  <si>
    <t>NP_005275</t>
  </si>
  <si>
    <t>FYN</t>
  </si>
  <si>
    <t>NM_153047</t>
  </si>
  <si>
    <t>D191Y</t>
  </si>
  <si>
    <t>NP_694592</t>
  </si>
  <si>
    <t>R30L</t>
  </si>
  <si>
    <t>NP_004964</t>
  </si>
  <si>
    <t>C6orf118</t>
  </si>
  <si>
    <t>NM_144980</t>
  </si>
  <si>
    <t>Q78*</t>
  </si>
  <si>
    <t>NP_659417</t>
  </si>
  <si>
    <t>NM_006995</t>
  </si>
  <si>
    <t>NP_008926</t>
  </si>
  <si>
    <t>S272C</t>
  </si>
  <si>
    <t>NP_039225</t>
  </si>
  <si>
    <t>KIF6</t>
  </si>
  <si>
    <t>NM_145027</t>
  </si>
  <si>
    <t>E75K</t>
  </si>
  <si>
    <t>NP_659464</t>
  </si>
  <si>
    <t>G88V</t>
  </si>
  <si>
    <t>AARS2</t>
  </si>
  <si>
    <t>NM_020745</t>
  </si>
  <si>
    <t>G597*</t>
  </si>
  <si>
    <t>NP_065796</t>
  </si>
  <si>
    <t>GPR111</t>
  </si>
  <si>
    <t>NM_153839</t>
  </si>
  <si>
    <t>V145L</t>
  </si>
  <si>
    <t>NP_722581.4</t>
  </si>
  <si>
    <t>PGK2</t>
  </si>
  <si>
    <t>NM_138733</t>
  </si>
  <si>
    <t>A413T</t>
  </si>
  <si>
    <t>NP_620061</t>
  </si>
  <si>
    <t>NM_001762</t>
  </si>
  <si>
    <t>R314L</t>
  </si>
  <si>
    <t>NP_001753</t>
  </si>
  <si>
    <t>P533T</t>
  </si>
  <si>
    <t>COL1A2</t>
  </si>
  <si>
    <t>NM_000089</t>
  </si>
  <si>
    <t>A203D</t>
  </si>
  <si>
    <t>NP_000080</t>
  </si>
  <si>
    <t>CUX1</t>
  </si>
  <si>
    <t>NM_181552</t>
  </si>
  <si>
    <t>Q166H</t>
  </si>
  <si>
    <t>NP_853530</t>
  </si>
  <si>
    <t>D451Y</t>
  </si>
  <si>
    <t>NP_068749</t>
  </si>
  <si>
    <t>PRKAR2B</t>
  </si>
  <si>
    <t>NM_002736</t>
  </si>
  <si>
    <t>S269N</t>
  </si>
  <si>
    <t>NP_002727</t>
  </si>
  <si>
    <t>CLEC5A</t>
  </si>
  <si>
    <t>NM_013252</t>
  </si>
  <si>
    <t>F170L</t>
  </si>
  <si>
    <t>NP_037384</t>
  </si>
  <si>
    <t>D382Y</t>
  </si>
  <si>
    <t>NP_114152</t>
  </si>
  <si>
    <t>P295S</t>
  </si>
  <si>
    <t>NM_001635</t>
  </si>
  <si>
    <t>P129H</t>
  </si>
  <si>
    <t>NP_001626</t>
  </si>
  <si>
    <t>COPS5</t>
  </si>
  <si>
    <t>NM_006837</t>
  </si>
  <si>
    <t>A185S</t>
  </si>
  <si>
    <t>NP_006828</t>
  </si>
  <si>
    <t>A341S</t>
  </si>
  <si>
    <t>NP_001243802</t>
  </si>
  <si>
    <t>LACTB2</t>
  </si>
  <si>
    <t>NM_016027</t>
  </si>
  <si>
    <t>D128H</t>
  </si>
  <si>
    <t>NP_057111</t>
  </si>
  <si>
    <t>G489V</t>
  </si>
  <si>
    <t>TRHR</t>
  </si>
  <si>
    <t>NM_003301</t>
  </si>
  <si>
    <t>S290L</t>
  </si>
  <si>
    <t>NP_003292</t>
  </si>
  <si>
    <t>USP17L7</t>
  </si>
  <si>
    <t>NM_001256869</t>
  </si>
  <si>
    <t>S490F</t>
  </si>
  <si>
    <t>NP_001243798</t>
  </si>
  <si>
    <t>NM_145647</t>
  </si>
  <si>
    <t>M662I</t>
  </si>
  <si>
    <t>NP_663622</t>
  </si>
  <si>
    <t>RNF139</t>
  </si>
  <si>
    <t>NM_007218</t>
  </si>
  <si>
    <t>V246A</t>
  </si>
  <si>
    <t>NP_009149</t>
  </si>
  <si>
    <t>ZNF572</t>
  </si>
  <si>
    <t>NM_152412</t>
  </si>
  <si>
    <t>T183A</t>
  </si>
  <si>
    <t>NP_689625</t>
  </si>
  <si>
    <t>A604T</t>
  </si>
  <si>
    <t>NP_056996</t>
  </si>
  <si>
    <t>A315D</t>
  </si>
  <si>
    <t>NP_001073900</t>
  </si>
  <si>
    <t>M602K</t>
  </si>
  <si>
    <t>TLE4</t>
  </si>
  <si>
    <t>NM_007005</t>
  </si>
  <si>
    <t>C491R</t>
  </si>
  <si>
    <t>NP_008936</t>
  </si>
  <si>
    <t>AGTPBP1</t>
  </si>
  <si>
    <t>NM_015239</t>
  </si>
  <si>
    <t>S1034I</t>
  </si>
  <si>
    <t>NP_056054</t>
  </si>
  <si>
    <t>E2473Q</t>
  </si>
  <si>
    <t>NP_067047</t>
  </si>
  <si>
    <t>OR1J4</t>
  </si>
  <si>
    <t>NM_001004452</t>
  </si>
  <si>
    <t>S148Y</t>
  </si>
  <si>
    <t>NP_001004452</t>
  </si>
  <si>
    <t>OR1L8</t>
  </si>
  <si>
    <t>NM_001004454</t>
  </si>
  <si>
    <t>I93M</t>
  </si>
  <si>
    <t>NP_001004454</t>
  </si>
  <si>
    <t>P854H</t>
  </si>
  <si>
    <t>NP_659402</t>
  </si>
  <si>
    <t>TMEM8C</t>
  </si>
  <si>
    <t>NM_001080483</t>
  </si>
  <si>
    <t>F60S</t>
  </si>
  <si>
    <t>NP_001073952</t>
  </si>
  <si>
    <t>NM_203447</t>
  </si>
  <si>
    <t>A440S</t>
  </si>
  <si>
    <t>NP_982272</t>
  </si>
  <si>
    <t>C868*</t>
  </si>
  <si>
    <t>PASS,rs146604611</t>
  </si>
  <si>
    <t>FAM22D</t>
  </si>
  <si>
    <t>NM_001009610</t>
  </si>
  <si>
    <t>P48T</t>
  </si>
  <si>
    <t>NP_001009610</t>
  </si>
  <si>
    <t>E842*</t>
  </si>
  <si>
    <t>TUBGCP2</t>
  </si>
  <si>
    <t>NM_006659</t>
  </si>
  <si>
    <t>R36K</t>
  </si>
  <si>
    <t>NP_006650</t>
  </si>
  <si>
    <t>PTPLA</t>
  </si>
  <si>
    <t>NM_014241</t>
  </si>
  <si>
    <t>F185S</t>
  </si>
  <si>
    <t>NP_055056</t>
  </si>
  <si>
    <t>PFKP</t>
  </si>
  <si>
    <t>NM_002627</t>
  </si>
  <si>
    <t>K763N</t>
  </si>
  <si>
    <t>NP_002618</t>
  </si>
  <si>
    <t>NM_006955</t>
  </si>
  <si>
    <t>E498*</t>
  </si>
  <si>
    <t>NP_008886</t>
  </si>
  <si>
    <t>E1138*</t>
  </si>
  <si>
    <t>HBG2</t>
  </si>
  <si>
    <t>NM_000184</t>
  </si>
  <si>
    <t>T136N</t>
  </si>
  <si>
    <t>NP_000175</t>
  </si>
  <si>
    <t>OR8J3</t>
  </si>
  <si>
    <t>NM_001004064</t>
  </si>
  <si>
    <t>M284K</t>
  </si>
  <si>
    <t>NP_001004064</t>
  </si>
  <si>
    <t>S50I</t>
  </si>
  <si>
    <t>NP_001004743</t>
  </si>
  <si>
    <t>S192I</t>
  </si>
  <si>
    <t>C197*</t>
  </si>
  <si>
    <t>NP_996776</t>
  </si>
  <si>
    <t>NM_004254</t>
  </si>
  <si>
    <t>S156N</t>
  </si>
  <si>
    <t>NP_004245</t>
  </si>
  <si>
    <t>EIF1AD</t>
  </si>
  <si>
    <t>NM_001242485</t>
  </si>
  <si>
    <t>E158*</t>
  </si>
  <si>
    <t>NP_001229414</t>
  </si>
  <si>
    <t>NM_002335</t>
  </si>
  <si>
    <t>E644D</t>
  </si>
  <si>
    <t>PASS,rs2277268</t>
  </si>
  <si>
    <t>NP_002326</t>
  </si>
  <si>
    <t>NUMA1</t>
  </si>
  <si>
    <t>NM_006185</t>
  </si>
  <si>
    <t>A1184P</t>
  </si>
  <si>
    <t>NP_006176</t>
  </si>
  <si>
    <t>P4HA3</t>
  </si>
  <si>
    <t>NM_182904</t>
  </si>
  <si>
    <t>A200V</t>
  </si>
  <si>
    <t>NP_878907</t>
  </si>
  <si>
    <t>TYR</t>
  </si>
  <si>
    <t>NM_000372</t>
  </si>
  <si>
    <t>D454H</t>
  </si>
  <si>
    <t>NP_000363</t>
  </si>
  <si>
    <t>R105W</t>
  </si>
  <si>
    <t>NP_065697</t>
  </si>
  <si>
    <t>V3617I</t>
  </si>
  <si>
    <t>NP_001008781</t>
  </si>
  <si>
    <t>NP_002448</t>
  </si>
  <si>
    <t>W183*</t>
  </si>
  <si>
    <t>NP_689800</t>
  </si>
  <si>
    <t>A216T</t>
  </si>
  <si>
    <t>NM_014622</t>
  </si>
  <si>
    <t>V264L</t>
  </si>
  <si>
    <t>NP_055437</t>
  </si>
  <si>
    <t>D273N</t>
  </si>
  <si>
    <t>NM_001126181</t>
  </si>
  <si>
    <t>A30D</t>
  </si>
  <si>
    <t>NP_001119653.1</t>
  </si>
  <si>
    <t>FAM118B</t>
  </si>
  <si>
    <t>NM_024556</t>
  </si>
  <si>
    <t>I321M</t>
  </si>
  <si>
    <t>NP_078832</t>
  </si>
  <si>
    <t>G1327R</t>
  </si>
  <si>
    <t>NP_000343</t>
  </si>
  <si>
    <t>NM_018259</t>
  </si>
  <si>
    <t>L661F</t>
  </si>
  <si>
    <t>NP_060729</t>
  </si>
  <si>
    <t>OR4C3</t>
  </si>
  <si>
    <t>NM_001004702</t>
  </si>
  <si>
    <t>G229S</t>
  </si>
  <si>
    <t>NP_001004702</t>
  </si>
  <si>
    <t>OR51A4</t>
  </si>
  <si>
    <t>NM_001005329</t>
  </si>
  <si>
    <t>M61I</t>
  </si>
  <si>
    <t>NP_001005329</t>
  </si>
  <si>
    <t>OR4C13</t>
  </si>
  <si>
    <t>NM_001001955</t>
  </si>
  <si>
    <t>E233G</t>
  </si>
  <si>
    <t>NP_001001955</t>
  </si>
  <si>
    <t>DIP2B</t>
  </si>
  <si>
    <t>NM_173602</t>
  </si>
  <si>
    <t>G693E</t>
  </si>
  <si>
    <t>NP_775873</t>
  </si>
  <si>
    <t>KRT2</t>
  </si>
  <si>
    <t>NM_000423</t>
  </si>
  <si>
    <t>A448D</t>
  </si>
  <si>
    <t>NP_000414</t>
  </si>
  <si>
    <t>NM_005371</t>
  </si>
  <si>
    <t>E4G</t>
  </si>
  <si>
    <t>NP_005362</t>
  </si>
  <si>
    <t>C170R</t>
  </si>
  <si>
    <t>NP_056248</t>
  </si>
  <si>
    <t>LEPREL2</t>
  </si>
  <si>
    <t>NM_014262</t>
  </si>
  <si>
    <t>A173V</t>
  </si>
  <si>
    <t>NP_055077</t>
  </si>
  <si>
    <t>NAP1L1</t>
  </si>
  <si>
    <t>NM_004537</t>
  </si>
  <si>
    <t>D355N</t>
  </si>
  <si>
    <t>NP_004528</t>
  </si>
  <si>
    <t>GPN3</t>
  </si>
  <si>
    <t>NM_001164372</t>
  </si>
  <si>
    <t>Y264*</t>
  </si>
  <si>
    <t>NP_001157844</t>
  </si>
  <si>
    <t>K298*</t>
  </si>
  <si>
    <t>NP_997320</t>
  </si>
  <si>
    <t>C12orf35</t>
  </si>
  <si>
    <t>NM_018169</t>
  </si>
  <si>
    <t>E1200V</t>
  </si>
  <si>
    <t>NP_060639</t>
  </si>
  <si>
    <t>YARS2</t>
  </si>
  <si>
    <t>NM_001040436</t>
  </si>
  <si>
    <t>R118L</t>
  </si>
  <si>
    <t>NP_001035526</t>
  </si>
  <si>
    <t>G1919E</t>
  </si>
  <si>
    <t>NP_056493</t>
  </si>
  <si>
    <t>T667N</t>
  </si>
  <si>
    <t>A325T</t>
  </si>
  <si>
    <t>NP_001367</t>
  </si>
  <si>
    <t>OR4Q3</t>
  </si>
  <si>
    <t>NM_172194</t>
  </si>
  <si>
    <t>A189V</t>
  </si>
  <si>
    <t>PASS,COSM163141</t>
  </si>
  <si>
    <t>NP_751944</t>
  </si>
  <si>
    <t>RNF31</t>
  </si>
  <si>
    <t>NM_017999</t>
  </si>
  <si>
    <t>A406T</t>
  </si>
  <si>
    <t>NP_060469</t>
  </si>
  <si>
    <t>V990A</t>
  </si>
  <si>
    <t>V327F</t>
  </si>
  <si>
    <t>CHRNB4</t>
  </si>
  <si>
    <t>NM_000750</t>
  </si>
  <si>
    <t>R230H</t>
  </si>
  <si>
    <t>NP_000741</t>
  </si>
  <si>
    <t>R1207S</t>
  </si>
  <si>
    <t>NP_997400</t>
  </si>
  <si>
    <t>AEN</t>
  </si>
  <si>
    <t>NM_022767</t>
  </si>
  <si>
    <t>NP_073604</t>
  </si>
  <si>
    <t>NM_013227</t>
  </si>
  <si>
    <t>R561L</t>
  </si>
  <si>
    <t>NP_037359</t>
  </si>
  <si>
    <t>A1962V</t>
  </si>
  <si>
    <t>NP_078928</t>
  </si>
  <si>
    <t>ATP10A</t>
  </si>
  <si>
    <t>NM_024490</t>
  </si>
  <si>
    <t>T1302P</t>
  </si>
  <si>
    <t>NP_077816</t>
  </si>
  <si>
    <t>A543S</t>
  </si>
  <si>
    <t>PASS,rs139846899</t>
  </si>
  <si>
    <t>P313H</t>
  </si>
  <si>
    <t>NP_001096654</t>
  </si>
  <si>
    <t>NM_001164273</t>
  </si>
  <si>
    <t>T2589I</t>
  </si>
  <si>
    <t>NP_001157745</t>
  </si>
  <si>
    <t>NM_001184832</t>
  </si>
  <si>
    <t>T631N</t>
  </si>
  <si>
    <t>NP_001171761</t>
  </si>
  <si>
    <t>R258L</t>
  </si>
  <si>
    <t>PASS,COSM139022</t>
  </si>
  <si>
    <t>NP_001731</t>
  </si>
  <si>
    <t>R85H</t>
  </si>
  <si>
    <t>NP_055676</t>
  </si>
  <si>
    <t>CLEC16A</t>
  </si>
  <si>
    <t>NM_015226</t>
  </si>
  <si>
    <t>R443C</t>
  </si>
  <si>
    <t>NP_056041</t>
  </si>
  <si>
    <t>A282E</t>
  </si>
  <si>
    <t>NP_065815</t>
  </si>
  <si>
    <t>ITGAD</t>
  </si>
  <si>
    <t>NM_005353</t>
  </si>
  <si>
    <t>A909D</t>
  </si>
  <si>
    <t>NP_005344</t>
  </si>
  <si>
    <t>E410*</t>
  </si>
  <si>
    <t>ZNF500</t>
  </si>
  <si>
    <t>NM_021646</t>
  </si>
  <si>
    <t>K323R</t>
  </si>
  <si>
    <t>NP_067678</t>
  </si>
  <si>
    <t>E848G</t>
  </si>
  <si>
    <t>NP_055619</t>
  </si>
  <si>
    <t>DNAI2</t>
  </si>
  <si>
    <t>NM_023036</t>
  </si>
  <si>
    <t>E2D</t>
  </si>
  <si>
    <t>NP_075462.3</t>
  </si>
  <si>
    <t>R249S</t>
  </si>
  <si>
    <t>PASS,rs28934571,COSM10785,COSM10817,COSM44625,COSM131478,COSM131479</t>
  </si>
  <si>
    <t>NM_001243540</t>
  </si>
  <si>
    <t>L485I</t>
  </si>
  <si>
    <t>NP_001230469</t>
  </si>
  <si>
    <t>L132M</t>
  </si>
  <si>
    <t>NM_002615</t>
  </si>
  <si>
    <t>L192F</t>
  </si>
  <si>
    <t>NP_002606</t>
  </si>
  <si>
    <t>LGALS9B</t>
  </si>
  <si>
    <t>NM_001042685</t>
  </si>
  <si>
    <t>S39I</t>
  </si>
  <si>
    <t>NP_001036150</t>
  </si>
  <si>
    <t>TSR1</t>
  </si>
  <si>
    <t>NM_018128</t>
  </si>
  <si>
    <t>P394R</t>
  </si>
  <si>
    <t>NP_060598</t>
  </si>
  <si>
    <t>OR1A1</t>
  </si>
  <si>
    <t>NM_014565</t>
  </si>
  <si>
    <t>G252V</t>
  </si>
  <si>
    <t>NP_055380</t>
  </si>
  <si>
    <t>NM_025248</t>
  </si>
  <si>
    <t>E741D</t>
  </si>
  <si>
    <t>NP_079524</t>
  </si>
  <si>
    <t>THRA</t>
  </si>
  <si>
    <t>NM_003250</t>
  </si>
  <si>
    <t>G390C</t>
  </si>
  <si>
    <t>NP_003241</t>
  </si>
  <si>
    <t>CACNA1G</t>
  </si>
  <si>
    <t>NM_018896</t>
  </si>
  <si>
    <t>R737*</t>
  </si>
  <si>
    <t>NP_061496</t>
  </si>
  <si>
    <t>CLUL1</t>
  </si>
  <si>
    <t>NM_199167</t>
  </si>
  <si>
    <t>K84N</t>
  </si>
  <si>
    <t>NP_954636</t>
  </si>
  <si>
    <t>A674P</t>
  </si>
  <si>
    <t>NP_056110</t>
  </si>
  <si>
    <t>NM_003803</t>
  </si>
  <si>
    <t>Q75H</t>
  </si>
  <si>
    <t>NP_003794</t>
  </si>
  <si>
    <t>NM_004746</t>
  </si>
  <si>
    <t>NP_004737</t>
  </si>
  <si>
    <t>SIGLEC9</t>
  </si>
  <si>
    <t>NM_014441</t>
  </si>
  <si>
    <t>F367L</t>
  </si>
  <si>
    <t>NP_055256</t>
  </si>
  <si>
    <t>SIGLEC12</t>
  </si>
  <si>
    <t>NM_053003</t>
  </si>
  <si>
    <t>R289S</t>
  </si>
  <si>
    <t>NP_443729</t>
  </si>
  <si>
    <t>LILRB1</t>
  </si>
  <si>
    <t>NM_001081637</t>
  </si>
  <si>
    <t>R487Q</t>
  </si>
  <si>
    <t>NP_001075106</t>
  </si>
  <si>
    <t>ZNF772</t>
  </si>
  <si>
    <t>NM_001024596</t>
  </si>
  <si>
    <t>S335C</t>
  </si>
  <si>
    <t>NP_001019767</t>
  </si>
  <si>
    <t>ZNF773</t>
  </si>
  <si>
    <t>NM_198542</t>
  </si>
  <si>
    <t>G130V</t>
  </si>
  <si>
    <t>NP_940944</t>
  </si>
  <si>
    <t>ZNF417</t>
  </si>
  <si>
    <t>NM_152475</t>
  </si>
  <si>
    <t>R7S</t>
  </si>
  <si>
    <t>NP_689688</t>
  </si>
  <si>
    <t>ZNF324B</t>
  </si>
  <si>
    <t>NM_207395</t>
  </si>
  <si>
    <t>G459R</t>
  </si>
  <si>
    <t>NP_997278</t>
  </si>
  <si>
    <t>INSR</t>
  </si>
  <si>
    <t>NM_000208</t>
  </si>
  <si>
    <t>H456R</t>
  </si>
  <si>
    <t>NP_000199</t>
  </si>
  <si>
    <t>CAMSAP3</t>
  </si>
  <si>
    <t>NM_001080429</t>
  </si>
  <si>
    <t>S400C</t>
  </si>
  <si>
    <t>NP_001073898</t>
  </si>
  <si>
    <t>P557R</t>
  </si>
  <si>
    <t>NM_001136196</t>
  </si>
  <si>
    <t>G833V</t>
  </si>
  <si>
    <t>NP_001129668.1</t>
  </si>
  <si>
    <t>NM_001204118</t>
  </si>
  <si>
    <t>NP_001191047</t>
  </si>
  <si>
    <t>ILVBL</t>
  </si>
  <si>
    <t>NM_006844</t>
  </si>
  <si>
    <t>W487C</t>
  </si>
  <si>
    <t>NP_006835</t>
  </si>
  <si>
    <t>R634Q</t>
  </si>
  <si>
    <t>NP_001073890</t>
  </si>
  <si>
    <t>TLE6</t>
  </si>
  <si>
    <t>NM_001143986</t>
  </si>
  <si>
    <t>P142L</t>
  </si>
  <si>
    <t>NP_001137458</t>
  </si>
  <si>
    <t>D770E</t>
  </si>
  <si>
    <t>C54S</t>
  </si>
  <si>
    <t>NP_473453</t>
  </si>
  <si>
    <t>UQCC</t>
  </si>
  <si>
    <t>NM_018244</t>
  </si>
  <si>
    <t>R68G</t>
  </si>
  <si>
    <t>NP_060714</t>
  </si>
  <si>
    <t>F380L</t>
  </si>
  <si>
    <t>NP_066363</t>
  </si>
  <si>
    <t>MLC1</t>
  </si>
  <si>
    <t>NM_139202</t>
  </si>
  <si>
    <t>C326*</t>
  </si>
  <si>
    <t>PASS,rs11568186</t>
  </si>
  <si>
    <t>NP_631941</t>
  </si>
  <si>
    <t>NM_018995</t>
  </si>
  <si>
    <t>P422L</t>
  </si>
  <si>
    <t>NP_061868</t>
  </si>
  <si>
    <t>CRYBB2</t>
  </si>
  <si>
    <t>NM_000496</t>
  </si>
  <si>
    <t>S96T</t>
  </si>
  <si>
    <t>NP_000487</t>
  </si>
  <si>
    <t>Tcc/Acc</t>
  </si>
  <si>
    <t>S96C</t>
  </si>
  <si>
    <t>SMTN</t>
  </si>
  <si>
    <t>NM_001207017</t>
  </si>
  <si>
    <t>S299I</t>
  </si>
  <si>
    <t>NP_001193946</t>
  </si>
  <si>
    <t>DEPDC5</t>
  </si>
  <si>
    <t>NM_001242896</t>
  </si>
  <si>
    <t>NP_001229825</t>
  </si>
  <si>
    <t>APOBEC3C</t>
  </si>
  <si>
    <t>NM_014508</t>
  </si>
  <si>
    <t>A109D</t>
  </si>
  <si>
    <t>NP_055323</t>
  </si>
  <si>
    <t>TAB1</t>
  </si>
  <si>
    <t>NM_006116</t>
  </si>
  <si>
    <t>T435I</t>
  </si>
  <si>
    <t>NP_006107</t>
  </si>
  <si>
    <t>H451N</t>
  </si>
  <si>
    <t>NP_065768</t>
  </si>
  <si>
    <t>A234S</t>
  </si>
  <si>
    <t>NP_689637</t>
  </si>
  <si>
    <t>PCDH11X</t>
  </si>
  <si>
    <t>NM_001168362</t>
  </si>
  <si>
    <t>Q1257*</t>
  </si>
  <si>
    <t>NP_001161834</t>
  </si>
  <si>
    <t>R246C</t>
  </si>
  <si>
    <t>NP_005131</t>
  </si>
  <si>
    <t>MXRA5</t>
  </si>
  <si>
    <t>NM_015419</t>
  </si>
  <si>
    <t>C2659F</t>
  </si>
  <si>
    <t>NP_056234</t>
  </si>
  <si>
    <t>TTLL7</t>
  </si>
  <si>
    <t>NM_024686</t>
  </si>
  <si>
    <t>D263E</t>
  </si>
  <si>
    <t>NP_078962</t>
  </si>
  <si>
    <t>9086_T</t>
  </si>
  <si>
    <t>CD1B</t>
  </si>
  <si>
    <t>NM_001764</t>
  </si>
  <si>
    <t>G288V</t>
  </si>
  <si>
    <t>PASS,rs190425067</t>
  </si>
  <si>
    <t>NP_001755</t>
  </si>
  <si>
    <t>CHML</t>
  </si>
  <si>
    <t>NM_001821</t>
  </si>
  <si>
    <t>T88A</t>
  </si>
  <si>
    <t>NP_001812</t>
  </si>
  <si>
    <t>MMADHC</t>
  </si>
  <si>
    <t>NM_015702</t>
  </si>
  <si>
    <t>N282I</t>
  </si>
  <si>
    <t>NP_056517</t>
  </si>
  <si>
    <t>B3GALT1</t>
  </si>
  <si>
    <t>NM_020981</t>
  </si>
  <si>
    <t>D246N</t>
  </si>
  <si>
    <t>NP_066191</t>
  </si>
  <si>
    <t>S541C</t>
  </si>
  <si>
    <t>NP_078898</t>
  </si>
  <si>
    <t>FOXN2</t>
  </si>
  <si>
    <t>NM_002158</t>
  </si>
  <si>
    <t>Q26H</t>
  </si>
  <si>
    <t>NP_002149</t>
  </si>
  <si>
    <t>T355M</t>
  </si>
  <si>
    <t>NP_060868</t>
  </si>
  <si>
    <t>ZNF717</t>
  </si>
  <si>
    <t>NM_001128223</t>
  </si>
  <si>
    <t>D41N</t>
  </si>
  <si>
    <t>PASS,rs112631091,rs146969485</t>
  </si>
  <si>
    <t>NP_001121695</t>
  </si>
  <si>
    <t>DPPA4</t>
  </si>
  <si>
    <t>NM_018189</t>
  </si>
  <si>
    <t>A101P</t>
  </si>
  <si>
    <t>NP_060659</t>
  </si>
  <si>
    <t>D1065N</t>
  </si>
  <si>
    <t>NM_015236</t>
  </si>
  <si>
    <t>D1305E</t>
  </si>
  <si>
    <t>NP_056051</t>
  </si>
  <si>
    <t>PDHA2</t>
  </si>
  <si>
    <t>NM_005390</t>
  </si>
  <si>
    <t>A4T</t>
  </si>
  <si>
    <t>NP_005381</t>
  </si>
  <si>
    <t>NM_004101</t>
  </si>
  <si>
    <t>P52T</t>
  </si>
  <si>
    <t>NP_004092</t>
  </si>
  <si>
    <t>SLCO6A1</t>
  </si>
  <si>
    <t>NM_173488</t>
  </si>
  <si>
    <t>R612C</t>
  </si>
  <si>
    <t>NP_775759.3</t>
  </si>
  <si>
    <t>ZNF184</t>
  </si>
  <si>
    <t>NM_007149</t>
  </si>
  <si>
    <t>R738H</t>
  </si>
  <si>
    <t>NP_009080</t>
  </si>
  <si>
    <t>P4668T</t>
  </si>
  <si>
    <t>L114P</t>
  </si>
  <si>
    <t>NP_055194</t>
  </si>
  <si>
    <t>NM_201380</t>
  </si>
  <si>
    <t>R3409H</t>
  </si>
  <si>
    <t>NP_958782</t>
  </si>
  <si>
    <t>UBXN8</t>
  </si>
  <si>
    <t>NM_005671</t>
  </si>
  <si>
    <t>NP_005662</t>
  </si>
  <si>
    <t>F341L</t>
  </si>
  <si>
    <t>NP_597721</t>
  </si>
  <si>
    <t>INPP5F</t>
  </si>
  <si>
    <t>NM_014937</t>
  </si>
  <si>
    <t>N301S</t>
  </si>
  <si>
    <t>NP_055752</t>
  </si>
  <si>
    <t>SDHAF2</t>
  </si>
  <si>
    <t>NM_017841</t>
  </si>
  <si>
    <t>NP_060311</t>
  </si>
  <si>
    <t>NM_014361</t>
  </si>
  <si>
    <t>V359A</t>
  </si>
  <si>
    <t>NP_055176</t>
  </si>
  <si>
    <t>V2151F</t>
  </si>
  <si>
    <t>S1885*</t>
  </si>
  <si>
    <t>XM_002343339</t>
  </si>
  <si>
    <t>A171T</t>
  </si>
  <si>
    <t>XP_002343380</t>
  </si>
  <si>
    <t>HSF5</t>
  </si>
  <si>
    <t>NM_001080439</t>
  </si>
  <si>
    <t>G60V</t>
  </si>
  <si>
    <t>NP_001073908</t>
  </si>
  <si>
    <t>A836V</t>
  </si>
  <si>
    <t>NP_000325</t>
  </si>
  <si>
    <t>NUFIP2</t>
  </si>
  <si>
    <t>NM_020772</t>
  </si>
  <si>
    <t>S484C</t>
  </si>
  <si>
    <t>NP_065823</t>
  </si>
  <si>
    <t>Q146L</t>
  </si>
  <si>
    <t>NP_114168</t>
  </si>
  <si>
    <t>NM_005151</t>
  </si>
  <si>
    <t>K454E</t>
  </si>
  <si>
    <t>NP_005142</t>
  </si>
  <si>
    <t>NM_003422</t>
  </si>
  <si>
    <t>P170A</t>
  </si>
  <si>
    <t>NP_003413</t>
  </si>
  <si>
    <t>A191V</t>
  </si>
  <si>
    <t>NP_001001414</t>
  </si>
  <si>
    <t>R47Q</t>
  </si>
  <si>
    <t>NM_021115</t>
  </si>
  <si>
    <t>R914H</t>
  </si>
  <si>
    <t>NP_066938</t>
  </si>
  <si>
    <t>NM_005650</t>
  </si>
  <si>
    <t>Q287K</t>
  </si>
  <si>
    <t>NP_005641.1</t>
  </si>
  <si>
    <t>Y120*</t>
  </si>
  <si>
    <t>NP_076987</t>
  </si>
  <si>
    <t>S1105C</t>
  </si>
  <si>
    <t>NP_000177</t>
  </si>
  <si>
    <t>9105_T</t>
  </si>
  <si>
    <t>A327V</t>
  </si>
  <si>
    <t>KIF3C</t>
  </si>
  <si>
    <t>NM_002254</t>
  </si>
  <si>
    <t>I387F</t>
  </si>
  <si>
    <t>NP_002245</t>
  </si>
  <si>
    <t>ABCG5</t>
  </si>
  <si>
    <t>NM_022436</t>
  </si>
  <si>
    <t>P290S</t>
  </si>
  <si>
    <t>NP_071881</t>
  </si>
  <si>
    <t>ADAM29</t>
  </si>
  <si>
    <t>NM_001130705</t>
  </si>
  <si>
    <t>S748P</t>
  </si>
  <si>
    <t>NP_001124177</t>
  </si>
  <si>
    <t>MAML1</t>
  </si>
  <si>
    <t>NM_014757</t>
  </si>
  <si>
    <t>G697D</t>
  </si>
  <si>
    <t>NP_055572</t>
  </si>
  <si>
    <t>FILIP1</t>
  </si>
  <si>
    <t>NM_015687</t>
  </si>
  <si>
    <t>K281R</t>
  </si>
  <si>
    <t>NP_056502</t>
  </si>
  <si>
    <t>A138V</t>
  </si>
  <si>
    <t>SUMF2</t>
  </si>
  <si>
    <t>NM_001130069</t>
  </si>
  <si>
    <t>A305D</t>
  </si>
  <si>
    <t>NP_001123541</t>
  </si>
  <si>
    <t>ZC3HAV1</t>
  </si>
  <si>
    <t>NM_020119</t>
  </si>
  <si>
    <t>S257C</t>
  </si>
  <si>
    <t>NP_064504</t>
  </si>
  <si>
    <t>CACNA1B</t>
  </si>
  <si>
    <t>NM_000718</t>
  </si>
  <si>
    <t>NP_000709</t>
  </si>
  <si>
    <t>ITPRIP</t>
  </si>
  <si>
    <t>NM_033397</t>
  </si>
  <si>
    <t>P24L</t>
  </si>
  <si>
    <t>NP_203755</t>
  </si>
  <si>
    <t>LRRC4C</t>
  </si>
  <si>
    <t>NM_020929</t>
  </si>
  <si>
    <t>T392A</t>
  </si>
  <si>
    <t>NP_065980</t>
  </si>
  <si>
    <t>E441K</t>
  </si>
  <si>
    <t>NP_001408</t>
  </si>
  <si>
    <t>W31L</t>
  </si>
  <si>
    <t>NP_000222</t>
  </si>
  <si>
    <t>S156T</t>
  </si>
  <si>
    <t>CHD9</t>
  </si>
  <si>
    <t>NM_025134</t>
  </si>
  <si>
    <t>K516R</t>
  </si>
  <si>
    <t>NP_079410</t>
  </si>
  <si>
    <t>NM_145891</t>
  </si>
  <si>
    <t>A59T</t>
  </si>
  <si>
    <t>NP_665898</t>
  </si>
  <si>
    <t>A29T</t>
  </si>
  <si>
    <t>JAM2</t>
  </si>
  <si>
    <t>NM_021219</t>
  </si>
  <si>
    <t>K33T</t>
  </si>
  <si>
    <t>NP_067042</t>
  </si>
  <si>
    <t>NM_001099411</t>
  </si>
  <si>
    <t>A852D</t>
  </si>
  <si>
    <t>NP_001092881</t>
  </si>
  <si>
    <t>UBL4A</t>
  </si>
  <si>
    <t>NM_014235</t>
  </si>
  <si>
    <t>T131K</t>
  </si>
  <si>
    <t>NP_055050</t>
  </si>
  <si>
    <t>N351T</t>
  </si>
  <si>
    <t>NP_000706</t>
  </si>
  <si>
    <t>9087_T</t>
  </si>
  <si>
    <t>L352V</t>
  </si>
  <si>
    <t>Ttg/Gtg</t>
  </si>
  <si>
    <t>ARID1A</t>
  </si>
  <si>
    <t>NM_006015</t>
  </si>
  <si>
    <t>P478L</t>
  </si>
  <si>
    <t>NP_006006</t>
  </si>
  <si>
    <t>NM_152670</t>
  </si>
  <si>
    <t>Q128L</t>
  </si>
  <si>
    <t>NP_689883</t>
  </si>
  <si>
    <t>CHST10</t>
  </si>
  <si>
    <t>NM_004854</t>
  </si>
  <si>
    <t>K319N</t>
  </si>
  <si>
    <t>PASS,rs145728380</t>
  </si>
  <si>
    <t>NP_004845</t>
  </si>
  <si>
    <t>GULP1</t>
  </si>
  <si>
    <t>NM_016315</t>
  </si>
  <si>
    <t>T293I</t>
  </si>
  <si>
    <t>NP_057399</t>
  </si>
  <si>
    <t>NM_002194</t>
  </si>
  <si>
    <t>L372F</t>
  </si>
  <si>
    <t>NP_002185</t>
  </si>
  <si>
    <t>MARS2</t>
  </si>
  <si>
    <t>NM_138395</t>
  </si>
  <si>
    <t>C132F</t>
  </si>
  <si>
    <t>NP_612404</t>
  </si>
  <si>
    <t>TYW5</t>
  </si>
  <si>
    <t>NM_001039693</t>
  </si>
  <si>
    <t>Y105D</t>
  </si>
  <si>
    <t>NP_001034782</t>
  </si>
  <si>
    <t>K104T</t>
  </si>
  <si>
    <t>E103A</t>
  </si>
  <si>
    <t>G902V</t>
  </si>
  <si>
    <t>NP_742066</t>
  </si>
  <si>
    <t>A469E</t>
  </si>
  <si>
    <t>R421Q</t>
  </si>
  <si>
    <t>NP_114119</t>
  </si>
  <si>
    <t>N57S</t>
  </si>
  <si>
    <t>NP_001073884</t>
  </si>
  <si>
    <t>CPA3</t>
  </si>
  <si>
    <t>NM_001870</t>
  </si>
  <si>
    <t>M232T</t>
  </si>
  <si>
    <t>NP_001861</t>
  </si>
  <si>
    <t>P2290H</t>
  </si>
  <si>
    <t>P137L</t>
  </si>
  <si>
    <t>NP_056175</t>
  </si>
  <si>
    <t>NM_173514</t>
  </si>
  <si>
    <t>G146V</t>
  </si>
  <si>
    <t>NP_775785</t>
  </si>
  <si>
    <t>NM_000859</t>
  </si>
  <si>
    <t>D424G</t>
  </si>
  <si>
    <t>NP_000850</t>
  </si>
  <si>
    <t>RASA1</t>
  </si>
  <si>
    <t>NM_002890</t>
  </si>
  <si>
    <t>D667Y</t>
  </si>
  <si>
    <t>NP_002881</t>
  </si>
  <si>
    <t>NM_018900</t>
  </si>
  <si>
    <t>T476M</t>
  </si>
  <si>
    <t>NP_061723</t>
  </si>
  <si>
    <t>G780A</t>
  </si>
  <si>
    <t>NP_001849</t>
  </si>
  <si>
    <t>NM_001431</t>
  </si>
  <si>
    <t>I723T</t>
  </si>
  <si>
    <t>NP_001422.1</t>
  </si>
  <si>
    <t>RNF182</t>
  </si>
  <si>
    <t>NM_001165033</t>
  </si>
  <si>
    <t>V213I</t>
  </si>
  <si>
    <t>NP_001158505</t>
  </si>
  <si>
    <t>L218Q</t>
  </si>
  <si>
    <t>PHACTR2</t>
  </si>
  <si>
    <t>NM_001100164</t>
  </si>
  <si>
    <t>V368I</t>
  </si>
  <si>
    <t>PASS,rs186432598</t>
  </si>
  <si>
    <t>NP_001093634</t>
  </si>
  <si>
    <t>PLA2G7</t>
  </si>
  <si>
    <t>NM_001168357</t>
  </si>
  <si>
    <t>V65F</t>
  </si>
  <si>
    <t>NP_001161829</t>
  </si>
  <si>
    <t>NM_021163</t>
  </si>
  <si>
    <t>E313V</t>
  </si>
  <si>
    <t>NP_066986</t>
  </si>
  <si>
    <t>NM_014413</t>
  </si>
  <si>
    <t>G504V</t>
  </si>
  <si>
    <t>NP_055228</t>
  </si>
  <si>
    <t>L619V</t>
  </si>
  <si>
    <t>NP_001612</t>
  </si>
  <si>
    <t>NFE2L3</t>
  </si>
  <si>
    <t>NM_004289</t>
  </si>
  <si>
    <t>T332I</t>
  </si>
  <si>
    <t>PASS,rs147199325</t>
  </si>
  <si>
    <t>NP_004280</t>
  </si>
  <si>
    <t>M251V</t>
  </si>
  <si>
    <t>NP_002559</t>
  </si>
  <si>
    <t>FAM75C1</t>
  </si>
  <si>
    <t>NM_001145124</t>
  </si>
  <si>
    <t>P77Q</t>
  </si>
  <si>
    <t>NP_001138596</t>
  </si>
  <si>
    <t>N764Y</t>
  </si>
  <si>
    <t>Q100K</t>
  </si>
  <si>
    <t>NP_001004741</t>
  </si>
  <si>
    <t>NM_024806</t>
  </si>
  <si>
    <t>S134G</t>
  </si>
  <si>
    <t>NP_079082</t>
  </si>
  <si>
    <t>NM_024662</t>
  </si>
  <si>
    <t>G295V</t>
  </si>
  <si>
    <t>NP_078938</t>
  </si>
  <si>
    <t>A426T</t>
  </si>
  <si>
    <t>NP_065813</t>
  </si>
  <si>
    <t>NM_007199</t>
  </si>
  <si>
    <t>F219L</t>
  </si>
  <si>
    <t>NP_009130</t>
  </si>
  <si>
    <t>S874L</t>
  </si>
  <si>
    <t>PARPBP</t>
  </si>
  <si>
    <t>NM_017915</t>
  </si>
  <si>
    <t>K262N</t>
  </si>
  <si>
    <t>NP_060385</t>
  </si>
  <si>
    <t>G587R</t>
  </si>
  <si>
    <t>NP_004407</t>
  </si>
  <si>
    <t>K167N</t>
  </si>
  <si>
    <t>V499L</t>
  </si>
  <si>
    <t>NP_115949</t>
  </si>
  <si>
    <t>L363P</t>
  </si>
  <si>
    <t>PASS,rs79109919</t>
  </si>
  <si>
    <t>P516T</t>
  </si>
  <si>
    <t>NP_004635</t>
  </si>
  <si>
    <t>NM_130901</t>
  </si>
  <si>
    <t>NP_570971</t>
  </si>
  <si>
    <t>E808K</t>
  </si>
  <si>
    <t>Y118*</t>
  </si>
  <si>
    <t>NP_660295</t>
  </si>
  <si>
    <t>P368T</t>
  </si>
  <si>
    <t>NP_115971</t>
  </si>
  <si>
    <t>NM_001039933</t>
  </si>
  <si>
    <t>V143D</t>
  </si>
  <si>
    <t>NP_001035022</t>
  </si>
  <si>
    <t>TEX2</t>
  </si>
  <si>
    <t>NM_018469</t>
  </si>
  <si>
    <t>E931K</t>
  </si>
  <si>
    <t>NP_060939</t>
  </si>
  <si>
    <t>DUS1L</t>
  </si>
  <si>
    <t>NM_022156</t>
  </si>
  <si>
    <t>K394T</t>
  </si>
  <si>
    <t>NP_071439</t>
  </si>
  <si>
    <t>P603L</t>
  </si>
  <si>
    <t>NP_659412</t>
  </si>
  <si>
    <t>SLFN12L</t>
  </si>
  <si>
    <t>NM_001195790</t>
  </si>
  <si>
    <t>A555S</t>
  </si>
  <si>
    <t>NP_001182719</t>
  </si>
  <si>
    <t>K554N</t>
  </si>
  <si>
    <t>S1295C</t>
  </si>
  <si>
    <t>NLRP7</t>
  </si>
  <si>
    <t>NM_001127255</t>
  </si>
  <si>
    <t>A526T</t>
  </si>
  <si>
    <t>NP_001120727</t>
  </si>
  <si>
    <t>ZNF814</t>
  </si>
  <si>
    <t>NM_001144989</t>
  </si>
  <si>
    <t>A337V</t>
  </si>
  <si>
    <t>PASS,rs145250945</t>
  </si>
  <si>
    <t>NP_001138461</t>
  </si>
  <si>
    <t>SLC1A6</t>
  </si>
  <si>
    <t>NM_005071</t>
  </si>
  <si>
    <t>I68F</t>
  </si>
  <si>
    <t>NP_005062</t>
  </si>
  <si>
    <t>L1685*</t>
  </si>
  <si>
    <t>NM_000868</t>
  </si>
  <si>
    <t>E306Q</t>
  </si>
  <si>
    <t>NP_000859</t>
  </si>
  <si>
    <t>PRPS2</t>
  </si>
  <si>
    <t>NM_002765</t>
  </si>
  <si>
    <t>A172S</t>
  </si>
  <si>
    <t>NP_002756</t>
  </si>
  <si>
    <t>NM_153380</t>
  </si>
  <si>
    <t>Q430*</t>
  </si>
  <si>
    <t>NP_700359</t>
  </si>
  <si>
    <t>A63T</t>
  </si>
  <si>
    <t>9099_T</t>
  </si>
  <si>
    <t>NP_064536</t>
  </si>
  <si>
    <t>D6495N</t>
  </si>
  <si>
    <t>K2146R</t>
  </si>
  <si>
    <t>Q196H</t>
  </si>
  <si>
    <t>NP_660305</t>
  </si>
  <si>
    <t>T197S</t>
  </si>
  <si>
    <t>A379D</t>
  </si>
  <si>
    <t>NP_001073892</t>
  </si>
  <si>
    <t>K335I</t>
  </si>
  <si>
    <t>PASS,COSM17797</t>
  </si>
  <si>
    <t>NM_199327</t>
  </si>
  <si>
    <t>K277R</t>
  </si>
  <si>
    <t>NP_955359</t>
  </si>
  <si>
    <t>NM_001170700</t>
  </si>
  <si>
    <t>N489D</t>
  </si>
  <si>
    <t>NP_001164171</t>
  </si>
  <si>
    <t>E205K</t>
  </si>
  <si>
    <t>NP_001092</t>
  </si>
  <si>
    <t>NM_001134450</t>
  </si>
  <si>
    <t>A65T</t>
  </si>
  <si>
    <t>NP_001127922</t>
  </si>
  <si>
    <t>D383N</t>
  </si>
  <si>
    <t>NP_079107</t>
  </si>
  <si>
    <t>ARHGEF10</t>
  </si>
  <si>
    <t>NM_014629</t>
  </si>
  <si>
    <t>E258*</t>
  </si>
  <si>
    <t>NP_055444</t>
  </si>
  <si>
    <t>EPHX2</t>
  </si>
  <si>
    <t>NM_001979</t>
  </si>
  <si>
    <t>M54T</t>
  </si>
  <si>
    <t>NP_001970</t>
  </si>
  <si>
    <t>S1790T</t>
  </si>
  <si>
    <t>R447G</t>
  </si>
  <si>
    <t>NP_055870</t>
  </si>
  <si>
    <t>R136K</t>
  </si>
  <si>
    <t>PASS,rs146036416</t>
  </si>
  <si>
    <t>NP_473372</t>
  </si>
  <si>
    <t>PTDSS2</t>
  </si>
  <si>
    <t>NM_030783</t>
  </si>
  <si>
    <t>T73I</t>
  </si>
  <si>
    <t>NP_110410</t>
  </si>
  <si>
    <t>NP_001138937</t>
  </si>
  <si>
    <t>L112S</t>
  </si>
  <si>
    <t>NP_694567</t>
  </si>
  <si>
    <t>CKAP2</t>
  </si>
  <si>
    <t>NM_001098525</t>
  </si>
  <si>
    <t>T280K</t>
  </si>
  <si>
    <t>NP_001091995</t>
  </si>
  <si>
    <t>R1554S</t>
  </si>
  <si>
    <t>NP_115582</t>
  </si>
  <si>
    <t>NM_001135865</t>
  </si>
  <si>
    <t>A521P</t>
  </si>
  <si>
    <t>NP_001129337</t>
  </si>
  <si>
    <t>T532I</t>
  </si>
  <si>
    <t>C19orf75</t>
  </si>
  <si>
    <t>NM_173635</t>
  </si>
  <si>
    <t>F111L</t>
  </si>
  <si>
    <t>PASS,rs189631727</t>
  </si>
  <si>
    <t>NP_775906</t>
  </si>
  <si>
    <t>ZNF880</t>
  </si>
  <si>
    <t>NM_001145434</t>
  </si>
  <si>
    <t>E135*</t>
  </si>
  <si>
    <t>NP_001138906</t>
  </si>
  <si>
    <t>NM_001146184</t>
  </si>
  <si>
    <t>Y757*</t>
  </si>
  <si>
    <t>NP_001139656</t>
  </si>
  <si>
    <t>TICAM1</t>
  </si>
  <si>
    <t>NM_182919</t>
  </si>
  <si>
    <t>Y395C</t>
  </si>
  <si>
    <t>NP_891549</t>
  </si>
  <si>
    <t>PRAME</t>
  </si>
  <si>
    <t>NM_206954</t>
  </si>
  <si>
    <t>L94P</t>
  </si>
  <si>
    <t>NP_996837</t>
  </si>
  <si>
    <t>L724V</t>
  </si>
  <si>
    <t>P53L</t>
  </si>
  <si>
    <t>NP_001073939</t>
  </si>
  <si>
    <t>9114_T</t>
  </si>
  <si>
    <t>I155N</t>
  </si>
  <si>
    <t>D360Y</t>
  </si>
  <si>
    <t>NP_055616</t>
  </si>
  <si>
    <t>R1100W</t>
  </si>
  <si>
    <t>Y3609S</t>
  </si>
  <si>
    <t>PANK4</t>
  </si>
  <si>
    <t>NM_018216</t>
  </si>
  <si>
    <t>W569G</t>
  </si>
  <si>
    <t>NP_060686</t>
  </si>
  <si>
    <t>A25681S</t>
  </si>
  <si>
    <t>P1207L</t>
  </si>
  <si>
    <t>MAP2</t>
  </si>
  <si>
    <t>NM_002374</t>
  </si>
  <si>
    <t>Q884K</t>
  </si>
  <si>
    <t>NP_002365</t>
  </si>
  <si>
    <t>DHX15</t>
  </si>
  <si>
    <t>NM_001358</t>
  </si>
  <si>
    <t>A473T</t>
  </si>
  <si>
    <t>NP_001349</t>
  </si>
  <si>
    <t>NM_001025105</t>
  </si>
  <si>
    <t>R310H</t>
  </si>
  <si>
    <t>NP_001020276</t>
  </si>
  <si>
    <t>PRDM9</t>
  </si>
  <si>
    <t>NM_020227</t>
  </si>
  <si>
    <t>E556D</t>
  </si>
  <si>
    <t>NP_064612</t>
  </si>
  <si>
    <t>NM_133493</t>
  </si>
  <si>
    <t>K137T</t>
  </si>
  <si>
    <t>NP_598000</t>
  </si>
  <si>
    <t>NM_013439</t>
  </si>
  <si>
    <t>G266S</t>
  </si>
  <si>
    <t>NP_038467</t>
  </si>
  <si>
    <t>K479M</t>
  </si>
  <si>
    <t>P574L</t>
  </si>
  <si>
    <t>N2001I</t>
  </si>
  <si>
    <t>H785P</t>
  </si>
  <si>
    <t>PATL1</t>
  </si>
  <si>
    <t>NM_152716</t>
  </si>
  <si>
    <t>NP_689929</t>
  </si>
  <si>
    <t>XM_003403451</t>
  </si>
  <si>
    <t>I191N</t>
  </si>
  <si>
    <t>XP_003403499</t>
  </si>
  <si>
    <t>E238D</t>
  </si>
  <si>
    <t>NP_775489</t>
  </si>
  <si>
    <t>M3066L</t>
  </si>
  <si>
    <t>NP_612429</t>
  </si>
  <si>
    <t>K372N</t>
  </si>
  <si>
    <t>S1158G</t>
  </si>
  <si>
    <t>NP_000878</t>
  </si>
  <si>
    <t>A690P</t>
  </si>
  <si>
    <t>G1028C</t>
  </si>
  <si>
    <t>PASS,rs72653175,CM070691</t>
  </si>
  <si>
    <t>NP_000079</t>
  </si>
  <si>
    <t>S220F</t>
  </si>
  <si>
    <t>NP_075556</t>
  </si>
  <si>
    <t>PCIF1</t>
  </si>
  <si>
    <t>NM_022104</t>
  </si>
  <si>
    <t>S673G</t>
  </si>
  <si>
    <t>NP_071387</t>
  </si>
  <si>
    <t>TUBA8</t>
  </si>
  <si>
    <t>NM_018943</t>
  </si>
  <si>
    <t>D392N</t>
  </si>
  <si>
    <t>NP_061816</t>
  </si>
  <si>
    <t>TCEAL3</t>
  </si>
  <si>
    <t>NM_032926</t>
  </si>
  <si>
    <t>Q93*</t>
  </si>
  <si>
    <t>NP_116315</t>
  </si>
  <si>
    <t>NM_017883</t>
  </si>
  <si>
    <t>D388G</t>
  </si>
  <si>
    <t>NP_060353</t>
  </si>
  <si>
    <t>Q855R</t>
  </si>
  <si>
    <t>9102_T</t>
  </si>
  <si>
    <t>LAMP3</t>
  </si>
  <si>
    <t>NM_014398</t>
  </si>
  <si>
    <t>F30S</t>
  </si>
  <si>
    <t>NP_055213</t>
  </si>
  <si>
    <t>DNAJB14</t>
  </si>
  <si>
    <t>NM_001031723</t>
  </si>
  <si>
    <t>V296G</t>
  </si>
  <si>
    <t>NP_001026893</t>
  </si>
  <si>
    <t>L483R</t>
  </si>
  <si>
    <t>NP_005500</t>
  </si>
  <si>
    <t>BCLAF1</t>
  </si>
  <si>
    <t>NM_014739</t>
  </si>
  <si>
    <t>NP_055554</t>
  </si>
  <si>
    <t>NM_000772</t>
  </si>
  <si>
    <t>L314R</t>
  </si>
  <si>
    <t>NP_000763</t>
  </si>
  <si>
    <t>E135G</t>
  </si>
  <si>
    <t>XP_001720850</t>
  </si>
  <si>
    <t>NM_005154</t>
  </si>
  <si>
    <t>L122R</t>
  </si>
  <si>
    <t>NP_005145</t>
  </si>
  <si>
    <t>RLTPR</t>
  </si>
  <si>
    <t>NM_001013838</t>
  </si>
  <si>
    <t>R1141H</t>
  </si>
  <si>
    <t>NP_001013860</t>
  </si>
  <si>
    <t>SYNRG</t>
  </si>
  <si>
    <t>NM_007247</t>
  </si>
  <si>
    <t>P972L</t>
  </si>
  <si>
    <t>NP_009178</t>
  </si>
  <si>
    <t>P357L</t>
  </si>
  <si>
    <t>NP_003480</t>
  </si>
  <si>
    <t>NM_145733</t>
  </si>
  <si>
    <t>K226N</t>
  </si>
  <si>
    <t>NP_663786</t>
  </si>
  <si>
    <t>N77T</t>
  </si>
  <si>
    <t>PASS,rs148294496</t>
  </si>
  <si>
    <t>NP_001143</t>
  </si>
  <si>
    <t>G2556W</t>
  </si>
  <si>
    <t>9154_T</t>
  </si>
  <si>
    <t>F1691L</t>
  </si>
  <si>
    <t>E735A</t>
  </si>
  <si>
    <t>NP_000499</t>
  </si>
  <si>
    <t>GIGYF1</t>
  </si>
  <si>
    <t>NM_022574</t>
  </si>
  <si>
    <t>E885D</t>
  </si>
  <si>
    <t>NP_072096</t>
  </si>
  <si>
    <t>R2751H</t>
  </si>
  <si>
    <t>OR4C6</t>
  </si>
  <si>
    <t>NM_001004704</t>
  </si>
  <si>
    <t>E17G</t>
  </si>
  <si>
    <t>NP_001004704</t>
  </si>
  <si>
    <t>RSRC2</t>
  </si>
  <si>
    <t>NM_023012</t>
  </si>
  <si>
    <t>R187K</t>
  </si>
  <si>
    <t>NP_075388</t>
  </si>
  <si>
    <t>Q37H</t>
  </si>
  <si>
    <t>N2246S</t>
  </si>
  <si>
    <t>NM_018948</t>
  </si>
  <si>
    <t>H393R</t>
  </si>
  <si>
    <t>NP_061821</t>
  </si>
  <si>
    <t>9143_T</t>
  </si>
  <si>
    <t>LRRC8C</t>
  </si>
  <si>
    <t>NM_032270</t>
  </si>
  <si>
    <t>I199T</t>
  </si>
  <si>
    <t>NP_115646</t>
  </si>
  <si>
    <t>A147T</t>
  </si>
  <si>
    <t>L2566F</t>
  </si>
  <si>
    <t>MED12L</t>
  </si>
  <si>
    <t>NM_053002</t>
  </si>
  <si>
    <t>C1268F</t>
  </si>
  <si>
    <t>NP_443728</t>
  </si>
  <si>
    <t>S33C</t>
  </si>
  <si>
    <t>PASS,COSM5677,COSM5673,COSM5669</t>
  </si>
  <si>
    <t>VIPR1</t>
  </si>
  <si>
    <t>NM_004624</t>
  </si>
  <si>
    <t>C314*</t>
  </si>
  <si>
    <t>NP_004615</t>
  </si>
  <si>
    <t>NM_001130698</t>
  </si>
  <si>
    <t>I856V</t>
  </si>
  <si>
    <t>NP_001124170</t>
  </si>
  <si>
    <t>IRF2</t>
  </si>
  <si>
    <t>NM_002199</t>
  </si>
  <si>
    <t>E295A</t>
  </si>
  <si>
    <t>NP_002190</t>
  </si>
  <si>
    <t>MCTP1</t>
  </si>
  <si>
    <t>NM_024717</t>
  </si>
  <si>
    <t>Q715*</t>
  </si>
  <si>
    <t>NP_078993</t>
  </si>
  <si>
    <t>NM_018918</t>
  </si>
  <si>
    <t>N343D</t>
  </si>
  <si>
    <t>NP_061741</t>
  </si>
  <si>
    <t>NM_001142556</t>
  </si>
  <si>
    <t>K263*</t>
  </si>
  <si>
    <t>NP_001136028</t>
  </si>
  <si>
    <t>NM_004568</t>
  </si>
  <si>
    <t>NP_004559</t>
  </si>
  <si>
    <t>CYP21A2</t>
  </si>
  <si>
    <t>NM_000500</t>
  </si>
  <si>
    <t>W303C</t>
  </si>
  <si>
    <t>PASS,CM970411</t>
  </si>
  <si>
    <t>NP_000491</t>
  </si>
  <si>
    <t>SPATS1</t>
  </si>
  <si>
    <t>NM_145026</t>
  </si>
  <si>
    <t>Q279K</t>
  </si>
  <si>
    <t>NP_659463</t>
  </si>
  <si>
    <t>MUC12</t>
  </si>
  <si>
    <t>NM_001164462</t>
  </si>
  <si>
    <t>Q3971*</t>
  </si>
  <si>
    <t>NP_001157934</t>
  </si>
  <si>
    <t>NM_001127453</t>
  </si>
  <si>
    <t>G369D</t>
  </si>
  <si>
    <t>NP_001120925</t>
  </si>
  <si>
    <t>NM_001198532</t>
  </si>
  <si>
    <t>R504L</t>
  </si>
  <si>
    <t>NP_001185461</t>
  </si>
  <si>
    <t>P342S</t>
  </si>
  <si>
    <t>METTL7A</t>
  </si>
  <si>
    <t>NM_014033</t>
  </si>
  <si>
    <t>E232G</t>
  </si>
  <si>
    <t>NP_054752</t>
  </si>
  <si>
    <t>LTBR</t>
  </si>
  <si>
    <t>NM_002342</t>
  </si>
  <si>
    <t>C58S</t>
  </si>
  <si>
    <t>NP_002333</t>
  </si>
  <si>
    <t>S44I</t>
  </si>
  <si>
    <t>NP_653271</t>
  </si>
  <si>
    <t>NM_181486</t>
  </si>
  <si>
    <t>E243K</t>
  </si>
  <si>
    <t>PASS,CD991893</t>
  </si>
  <si>
    <t>NP_852259</t>
  </si>
  <si>
    <t>NM_052910</t>
  </si>
  <si>
    <t>H527N</t>
  </si>
  <si>
    <t>NP_443142</t>
  </si>
  <si>
    <t>ZAR1L</t>
  </si>
  <si>
    <t>NM_001136571</t>
  </si>
  <si>
    <t>P158L</t>
  </si>
  <si>
    <t>NP_001130043</t>
  </si>
  <si>
    <t>Y253*</t>
  </si>
  <si>
    <t>NM_017996</t>
  </si>
  <si>
    <t>I127V</t>
  </si>
  <si>
    <t>NP_060466</t>
  </si>
  <si>
    <t>HEXIM2</t>
  </si>
  <si>
    <t>NM_144608</t>
  </si>
  <si>
    <t>S109R</t>
  </si>
  <si>
    <t>NP_653209</t>
  </si>
  <si>
    <t>NM_006546</t>
  </si>
  <si>
    <t>A414T</t>
  </si>
  <si>
    <t>NP_006537</t>
  </si>
  <si>
    <t>FFAR3</t>
  </si>
  <si>
    <t>NM_005304</t>
  </si>
  <si>
    <t>V50M</t>
  </si>
  <si>
    <t>NP_005295</t>
  </si>
  <si>
    <t>DPF1</t>
  </si>
  <si>
    <t>NM_001135155</t>
  </si>
  <si>
    <t>P297L</t>
  </si>
  <si>
    <t>NP_001128627</t>
  </si>
  <si>
    <t>Q137R</t>
  </si>
  <si>
    <t>NP_036541</t>
  </si>
  <si>
    <t>SLC9A8</t>
  </si>
  <si>
    <t>NM_015266</t>
  </si>
  <si>
    <t>W115L</t>
  </si>
  <si>
    <t>NP_056081</t>
  </si>
  <si>
    <t>NM_001139500</t>
  </si>
  <si>
    <t>W179L</t>
  </si>
  <si>
    <t>NP_001132972</t>
  </si>
  <si>
    <t>R128S</t>
  </si>
  <si>
    <t>NP_001129980</t>
  </si>
  <si>
    <t>9121_T</t>
  </si>
  <si>
    <t>S41W</t>
  </si>
  <si>
    <t>NP_057575</t>
  </si>
  <si>
    <t>A93G</t>
  </si>
  <si>
    <t>NP_001017975</t>
  </si>
  <si>
    <t>R1070W</t>
  </si>
  <si>
    <t>NM_025244</t>
  </si>
  <si>
    <t>S555I</t>
  </si>
  <si>
    <t>NP_079520</t>
  </si>
  <si>
    <t>ZDBF2</t>
  </si>
  <si>
    <t>NM_020923</t>
  </si>
  <si>
    <t>Q1026H</t>
  </si>
  <si>
    <t>NP_065974</t>
  </si>
  <si>
    <t>E127V</t>
  </si>
  <si>
    <t>NP_005706</t>
  </si>
  <si>
    <t>T196I</t>
  </si>
  <si>
    <t>NP_002989</t>
  </si>
  <si>
    <t>C190W</t>
  </si>
  <si>
    <t>NP_001008712</t>
  </si>
  <si>
    <t>HNRNPH3</t>
  </si>
  <si>
    <t>NM_012207</t>
  </si>
  <si>
    <t>G336S</t>
  </si>
  <si>
    <t>NP_036339</t>
  </si>
  <si>
    <t>NM_001098175</t>
  </si>
  <si>
    <t>NP_001091645</t>
  </si>
  <si>
    <t>NM_001128612</t>
  </si>
  <si>
    <t>N283T</t>
  </si>
  <si>
    <t>NP_001122084</t>
  </si>
  <si>
    <t>MTCH2</t>
  </si>
  <si>
    <t>NM_014342</t>
  </si>
  <si>
    <t>M278V</t>
  </si>
  <si>
    <t>NP_055157</t>
  </si>
  <si>
    <t>NM_015989</t>
  </si>
  <si>
    <t>Y362H</t>
  </si>
  <si>
    <t>NP_057073</t>
  </si>
  <si>
    <t>STYK1</t>
  </si>
  <si>
    <t>NM_018423</t>
  </si>
  <si>
    <t>T208I</t>
  </si>
  <si>
    <t>NP_060893</t>
  </si>
  <si>
    <t>NM_021953</t>
  </si>
  <si>
    <t>S589N</t>
  </si>
  <si>
    <t>NP_068772</t>
  </si>
  <si>
    <t>A307E</t>
  </si>
  <si>
    <t>NM_001079673</t>
  </si>
  <si>
    <t>I226V</t>
  </si>
  <si>
    <t>NP_001073141</t>
  </si>
  <si>
    <t>NM_005065</t>
  </si>
  <si>
    <t>H685N</t>
  </si>
  <si>
    <t>NP_005056</t>
  </si>
  <si>
    <t>TSSK4</t>
  </si>
  <si>
    <t>NM_001184739</t>
  </si>
  <si>
    <t>M50I</t>
  </si>
  <si>
    <t>NP_001171668</t>
  </si>
  <si>
    <t>TYRO3</t>
  </si>
  <si>
    <t>NM_006293</t>
  </si>
  <si>
    <t>A535T</t>
  </si>
  <si>
    <t>NP_006284</t>
  </si>
  <si>
    <t>Y168*</t>
  </si>
  <si>
    <t>taC/taG</t>
  </si>
  <si>
    <t>NOB1</t>
  </si>
  <si>
    <t>NM_014062</t>
  </si>
  <si>
    <t>H287Q</t>
  </si>
  <si>
    <t>NP_054781</t>
  </si>
  <si>
    <t>T279I</t>
  </si>
  <si>
    <t>BIRC8</t>
  </si>
  <si>
    <t>NM_033341</t>
  </si>
  <si>
    <t>R172G</t>
  </si>
  <si>
    <t>NP_203127</t>
  </si>
  <si>
    <t>SPTBN4</t>
  </si>
  <si>
    <t>NM_020971</t>
  </si>
  <si>
    <t>P1863L</t>
  </si>
  <si>
    <t>PASS,rs140466069</t>
  </si>
  <si>
    <t>NP_066022</t>
  </si>
  <si>
    <t>B9D2</t>
  </si>
  <si>
    <t>NM_030578</t>
  </si>
  <si>
    <t>A126V</t>
  </si>
  <si>
    <t>NP_085055</t>
  </si>
  <si>
    <t>NM_002637</t>
  </si>
  <si>
    <t>D591H</t>
  </si>
  <si>
    <t>NP_002628</t>
  </si>
  <si>
    <t>FOXD3</t>
  </si>
  <si>
    <t>NM_012183</t>
  </si>
  <si>
    <t>S165I</t>
  </si>
  <si>
    <t>NP_036315</t>
  </si>
  <si>
    <t>3206A7_009_T</t>
  </si>
  <si>
    <t>A774S</t>
  </si>
  <si>
    <t>CAMTA1</t>
  </si>
  <si>
    <t>NM_015215</t>
  </si>
  <si>
    <t>A1195D</t>
  </si>
  <si>
    <t>NP_056030</t>
  </si>
  <si>
    <t>SPATA1</t>
  </si>
  <si>
    <t>XM_003118960</t>
  </si>
  <si>
    <t>M385I</t>
  </si>
  <si>
    <t>XP_003119008</t>
  </si>
  <si>
    <t>W79R</t>
  </si>
  <si>
    <t>TMEM201</t>
  </si>
  <si>
    <t>NM_001130924</t>
  </si>
  <si>
    <t>A170S</t>
  </si>
  <si>
    <t>NP_001124396</t>
  </si>
  <si>
    <t>PTBP2</t>
  </si>
  <si>
    <t>NM_021190</t>
  </si>
  <si>
    <t>V5L</t>
  </si>
  <si>
    <t>NP_067013</t>
  </si>
  <si>
    <t>NM_080629</t>
  </si>
  <si>
    <t>Q301*</t>
  </si>
  <si>
    <t>NP_542196</t>
  </si>
  <si>
    <t>AMY1A</t>
  </si>
  <si>
    <t>NM_004038</t>
  </si>
  <si>
    <t>F330L</t>
  </si>
  <si>
    <t>NP_004029</t>
  </si>
  <si>
    <t>OVGP1</t>
  </si>
  <si>
    <t>NM_002557</t>
  </si>
  <si>
    <t>R641L</t>
  </si>
  <si>
    <t>PASS,rs143921927</t>
  </si>
  <si>
    <t>NP_002548</t>
  </si>
  <si>
    <t>R363Q</t>
  </si>
  <si>
    <t>NP_006690</t>
  </si>
  <si>
    <t>SPAG17</t>
  </si>
  <si>
    <t>NM_206996</t>
  </si>
  <si>
    <t>R1766C</t>
  </si>
  <si>
    <t>NP_996879</t>
  </si>
  <si>
    <t>NM_015383</t>
  </si>
  <si>
    <t>D874E</t>
  </si>
  <si>
    <t>NP_056198</t>
  </si>
  <si>
    <t>E439K</t>
  </si>
  <si>
    <t>NM_007113</t>
  </si>
  <si>
    <t>E1149*</t>
  </si>
  <si>
    <t>NP_009044</t>
  </si>
  <si>
    <t>Y1983N</t>
  </si>
  <si>
    <t>NP_001014364</t>
  </si>
  <si>
    <t>R45S</t>
  </si>
  <si>
    <t>NP_848518</t>
  </si>
  <si>
    <t>NM_005698</t>
  </si>
  <si>
    <t>A346S</t>
  </si>
  <si>
    <t>NP_005689</t>
  </si>
  <si>
    <t>S444R</t>
  </si>
  <si>
    <t>NP_443161</t>
  </si>
  <si>
    <t>NM_052938</t>
  </si>
  <si>
    <t>P236S</t>
  </si>
  <si>
    <t>NP_443170</t>
  </si>
  <si>
    <t>T200P</t>
  </si>
  <si>
    <t>OR6P1</t>
  </si>
  <si>
    <t>NM_001160325</t>
  </si>
  <si>
    <t>C109Y</t>
  </si>
  <si>
    <t>NP_001153797</t>
  </si>
  <si>
    <t>G1011V</t>
  </si>
  <si>
    <t>S238F</t>
  </si>
  <si>
    <t>S814N</t>
  </si>
  <si>
    <t>NP_001073895</t>
  </si>
  <si>
    <t>SEC16B</t>
  </si>
  <si>
    <t>NM_033127</t>
  </si>
  <si>
    <t>V280G</t>
  </si>
  <si>
    <t>NP_149118</t>
  </si>
  <si>
    <t>NM_001205293</t>
  </si>
  <si>
    <t>G992V</t>
  </si>
  <si>
    <t>NP_001192222</t>
  </si>
  <si>
    <t>A1664D</t>
  </si>
  <si>
    <t>A761D</t>
  </si>
  <si>
    <t>R719S</t>
  </si>
  <si>
    <t>NP_950252</t>
  </si>
  <si>
    <t>E186V</t>
  </si>
  <si>
    <t>NM_002838</t>
  </si>
  <si>
    <t>S128C</t>
  </si>
  <si>
    <t>NP_002829</t>
  </si>
  <si>
    <t>NM_006618</t>
  </si>
  <si>
    <t>R380H</t>
  </si>
  <si>
    <t>NP_006609</t>
  </si>
  <si>
    <t>NM_016121</t>
  </si>
  <si>
    <t>N561S</t>
  </si>
  <si>
    <t>NP_057205</t>
  </si>
  <si>
    <t>HSPG2</t>
  </si>
  <si>
    <t>NM_005529</t>
  </si>
  <si>
    <t>S2559R</t>
  </si>
  <si>
    <t>NP_005520</t>
  </si>
  <si>
    <t>agC/agG</t>
  </si>
  <si>
    <t>F2783L</t>
  </si>
  <si>
    <t>G696V</t>
  </si>
  <si>
    <t>G2015W</t>
  </si>
  <si>
    <t>D4702G</t>
  </si>
  <si>
    <t>ZP4</t>
  </si>
  <si>
    <t>NM_021186</t>
  </si>
  <si>
    <t>D150G</t>
  </si>
  <si>
    <t>NP_067009.1</t>
  </si>
  <si>
    <t>C1orf101</t>
  </si>
  <si>
    <t>NM_001130957</t>
  </si>
  <si>
    <t>C413F</t>
  </si>
  <si>
    <t>NP_001124429</t>
  </si>
  <si>
    <t>OR2T12</t>
  </si>
  <si>
    <t>NM_001004692</t>
  </si>
  <si>
    <t>V207F</t>
  </si>
  <si>
    <t>NP_001004692</t>
  </si>
  <si>
    <t>MECR</t>
  </si>
  <si>
    <t>NM_016011</t>
  </si>
  <si>
    <t>G287E</t>
  </si>
  <si>
    <t>NP_057095</t>
  </si>
  <si>
    <t>LEPRE1</t>
  </si>
  <si>
    <t>NM_001243246</t>
  </si>
  <si>
    <t>M474I</t>
  </si>
  <si>
    <t>NP_001230175</t>
  </si>
  <si>
    <t>Y287F</t>
  </si>
  <si>
    <t>A29D</t>
  </si>
  <si>
    <t>ANKRD36</t>
  </si>
  <si>
    <t>NM_001164315</t>
  </si>
  <si>
    <t>T428P</t>
  </si>
  <si>
    <t>NP_001157787.1</t>
  </si>
  <si>
    <t>Acg/Ccg</t>
  </si>
  <si>
    <t>A436P</t>
  </si>
  <si>
    <t>Gca/Cca</t>
  </si>
  <si>
    <t>P965S</t>
  </si>
  <si>
    <t>NP_001073896</t>
  </si>
  <si>
    <t>A2228S</t>
  </si>
  <si>
    <t>M227I</t>
  </si>
  <si>
    <t>R5979S</t>
  </si>
  <si>
    <t>CWC22</t>
  </si>
  <si>
    <t>NM_020943</t>
  </si>
  <si>
    <t>E325*</t>
  </si>
  <si>
    <t>NP_065994</t>
  </si>
  <si>
    <t>NM_000090</t>
  </si>
  <si>
    <t>R1024L</t>
  </si>
  <si>
    <t>NP_000081</t>
  </si>
  <si>
    <t>STRADB</t>
  </si>
  <si>
    <t>NM_018571</t>
  </si>
  <si>
    <t>A103S</t>
  </si>
  <si>
    <t>NP_061041</t>
  </si>
  <si>
    <t>M862L</t>
  </si>
  <si>
    <t>A934S</t>
  </si>
  <si>
    <t>PASS,rs143523583</t>
  </si>
  <si>
    <t>NP_072174</t>
  </si>
  <si>
    <t>CNPPD1</t>
  </si>
  <si>
    <t>NM_015680</t>
  </si>
  <si>
    <t>A293S</t>
  </si>
  <si>
    <t>NP_056495</t>
  </si>
  <si>
    <t>NM_018089</t>
  </si>
  <si>
    <t>A220P</t>
  </si>
  <si>
    <t>NP_060559</t>
  </si>
  <si>
    <t>STK11IP</t>
  </si>
  <si>
    <t>NM_052902</t>
  </si>
  <si>
    <t>G214V</t>
  </si>
  <si>
    <t>NP_443134</t>
  </si>
  <si>
    <t>UGT1A10</t>
  </si>
  <si>
    <t>NM_019075</t>
  </si>
  <si>
    <t>E215*</t>
  </si>
  <si>
    <t>NP_061948</t>
  </si>
  <si>
    <t>NM_004369</t>
  </si>
  <si>
    <t>P1622R</t>
  </si>
  <si>
    <t>NP_004360</t>
  </si>
  <si>
    <t>S70C</t>
  </si>
  <si>
    <t>NP_001035535</t>
  </si>
  <si>
    <t>A285T</t>
  </si>
  <si>
    <t>SOS1</t>
  </si>
  <si>
    <t>NM_005633</t>
  </si>
  <si>
    <t>N591Y</t>
  </si>
  <si>
    <t>NP_005624</t>
  </si>
  <si>
    <t>THUMPD2</t>
  </si>
  <si>
    <t>NM_025264</t>
  </si>
  <si>
    <t>V368G</t>
  </si>
  <si>
    <t>NP_079540</t>
  </si>
  <si>
    <t>K260N</t>
  </si>
  <si>
    <t>S594Y</t>
  </si>
  <si>
    <t>NM_014674</t>
  </si>
  <si>
    <t>K540*</t>
  </si>
  <si>
    <t>NP_055489</t>
  </si>
  <si>
    <t>I167V</t>
  </si>
  <si>
    <t>NM_002941</t>
  </si>
  <si>
    <t>C1015F</t>
  </si>
  <si>
    <t>NP_002932</t>
  </si>
  <si>
    <t>JAGN1</t>
  </si>
  <si>
    <t>NM_032492</t>
  </si>
  <si>
    <t>V68L</t>
  </si>
  <si>
    <t>NP_115881</t>
  </si>
  <si>
    <t>COL8A1</t>
  </si>
  <si>
    <t>NM_020351</t>
  </si>
  <si>
    <t>H60Q</t>
  </si>
  <si>
    <t>NP_065084</t>
  </si>
  <si>
    <t>A193E</t>
  </si>
  <si>
    <t>Q875K</t>
  </si>
  <si>
    <t>DTX3L</t>
  </si>
  <si>
    <t>NM_138287</t>
  </si>
  <si>
    <t>S551L</t>
  </si>
  <si>
    <t>NP_612144</t>
  </si>
  <si>
    <t>DIRC2</t>
  </si>
  <si>
    <t>NM_032839</t>
  </si>
  <si>
    <t>V430I</t>
  </si>
  <si>
    <t>NP_116228</t>
  </si>
  <si>
    <t>F1465L</t>
  </si>
  <si>
    <t>IFT122</t>
  </si>
  <si>
    <t>NM_052989</t>
  </si>
  <si>
    <t>NP_443715</t>
  </si>
  <si>
    <t>A66V</t>
  </si>
  <si>
    <t>NP_004180</t>
  </si>
  <si>
    <t>ATR</t>
  </si>
  <si>
    <t>NM_001184</t>
  </si>
  <si>
    <t>G826E</t>
  </si>
  <si>
    <t>NP_001175</t>
  </si>
  <si>
    <t>NM_001130960</t>
  </si>
  <si>
    <t>T1149K</t>
  </si>
  <si>
    <t>NP_001124432</t>
  </si>
  <si>
    <t>TNIK</t>
  </si>
  <si>
    <t>NM_015028</t>
  </si>
  <si>
    <t>Q614L</t>
  </si>
  <si>
    <t>NP_055843</t>
  </si>
  <si>
    <t>ABCC5</t>
  </si>
  <si>
    <t>NM_005688</t>
  </si>
  <si>
    <t>R531S</t>
  </si>
  <si>
    <t>NP_005679</t>
  </si>
  <si>
    <t>S2293R</t>
  </si>
  <si>
    <t>NM_012157</t>
  </si>
  <si>
    <t>A250D</t>
  </si>
  <si>
    <t>NP_036289</t>
  </si>
  <si>
    <t>F1917Y</t>
  </si>
  <si>
    <t>NP_006505</t>
  </si>
  <si>
    <t>V416L</t>
  </si>
  <si>
    <t>C3orf77</t>
  </si>
  <si>
    <t>NM_001145030</t>
  </si>
  <si>
    <t>G648V</t>
  </si>
  <si>
    <t>NP_001138502</t>
  </si>
  <si>
    <t>FYCO1</t>
  </si>
  <si>
    <t>NM_024513</t>
  </si>
  <si>
    <t>G152V</t>
  </si>
  <si>
    <t>NP_078789</t>
  </si>
  <si>
    <t>NP_005042</t>
  </si>
  <si>
    <t>JAKMIP1</t>
  </si>
  <si>
    <t>NM_001099433</t>
  </si>
  <si>
    <t>L693M</t>
  </si>
  <si>
    <t>NP_001092903</t>
  </si>
  <si>
    <t>A273S</t>
  </si>
  <si>
    <t>NP_543009</t>
  </si>
  <si>
    <t>A330V</t>
  </si>
  <si>
    <t>G241C</t>
  </si>
  <si>
    <t>NP_932069</t>
  </si>
  <si>
    <t>NM_001083</t>
  </si>
  <si>
    <t>Q776K</t>
  </si>
  <si>
    <t>NP_001074</t>
  </si>
  <si>
    <t>H93L</t>
  </si>
  <si>
    <t>A370V</t>
  </si>
  <si>
    <t>NP_001012985</t>
  </si>
  <si>
    <t>GPM6A</t>
  </si>
  <si>
    <t>NM_005277</t>
  </si>
  <si>
    <t>A50V</t>
  </si>
  <si>
    <t>NP_005268</t>
  </si>
  <si>
    <t>CCDC111</t>
  </si>
  <si>
    <t>NM_152683</t>
  </si>
  <si>
    <t>W243S</t>
  </si>
  <si>
    <t>NP_689896</t>
  </si>
  <si>
    <t>BEND4</t>
  </si>
  <si>
    <t>NM_207406</t>
  </si>
  <si>
    <t>P376T</t>
  </si>
  <si>
    <t>NP_997289</t>
  </si>
  <si>
    <t>NM_000809</t>
  </si>
  <si>
    <t>S33Y</t>
  </si>
  <si>
    <t>PASS,rs139428676</t>
  </si>
  <si>
    <t>NP_000800</t>
  </si>
  <si>
    <t>ESM1</t>
  </si>
  <si>
    <t>NM_007036</t>
  </si>
  <si>
    <t>R184L</t>
  </si>
  <si>
    <t>NP_008967</t>
  </si>
  <si>
    <t>W208L</t>
  </si>
  <si>
    <t>G387V</t>
  </si>
  <si>
    <t>NP_006589</t>
  </si>
  <si>
    <t>SLC6A18</t>
  </si>
  <si>
    <t>NM_182632</t>
  </si>
  <si>
    <t>A293V</t>
  </si>
  <si>
    <t>NP_872438</t>
  </si>
  <si>
    <t>NM_018908</t>
  </si>
  <si>
    <t>A660D</t>
  </si>
  <si>
    <t>NP_061731</t>
  </si>
  <si>
    <t>NM_018910</t>
  </si>
  <si>
    <t>A363D</t>
  </si>
  <si>
    <t>NP_061733</t>
  </si>
  <si>
    <t>PCDHB10</t>
  </si>
  <si>
    <t>NM_018930</t>
  </si>
  <si>
    <t>S375P</t>
  </si>
  <si>
    <t>NP_061753</t>
  </si>
  <si>
    <t>PCDHB11</t>
  </si>
  <si>
    <t>NM_018931</t>
  </si>
  <si>
    <t>T756K</t>
  </si>
  <si>
    <t>NP_061754</t>
  </si>
  <si>
    <t>G125V</t>
  </si>
  <si>
    <t>NP_612357</t>
  </si>
  <si>
    <t>SLC6A7</t>
  </si>
  <si>
    <t>NM_014228</t>
  </si>
  <si>
    <t>F63L</t>
  </si>
  <si>
    <t>NP_055043</t>
  </si>
  <si>
    <t>G433V</t>
  </si>
  <si>
    <t>NP_004937</t>
  </si>
  <si>
    <t>C5orf58</t>
  </si>
  <si>
    <t>NM_001102609</t>
  </si>
  <si>
    <t>L20*</t>
  </si>
  <si>
    <t>NP_001096079</t>
  </si>
  <si>
    <t>HNRNPH1</t>
  </si>
  <si>
    <t>NM_005520</t>
  </si>
  <si>
    <t>K87M</t>
  </si>
  <si>
    <t>NP_005511</t>
  </si>
  <si>
    <t>A238D</t>
  </si>
  <si>
    <t>NP_057363</t>
  </si>
  <si>
    <t>P110T</t>
  </si>
  <si>
    <t>NP_758438</t>
  </si>
  <si>
    <t>L241M</t>
  </si>
  <si>
    <t>NP_001517</t>
  </si>
  <si>
    <t>NM_004999</t>
  </si>
  <si>
    <t>R295H</t>
  </si>
  <si>
    <t>NP_004990</t>
  </si>
  <si>
    <t>NM_201280</t>
  </si>
  <si>
    <t>M149I</t>
  </si>
  <si>
    <t>NP_958437</t>
  </si>
  <si>
    <t>NM_001242792</t>
  </si>
  <si>
    <t>Q658K</t>
  </si>
  <si>
    <t>NP_001229721.1</t>
  </si>
  <si>
    <t>GJB7</t>
  </si>
  <si>
    <t>NM_198568</t>
  </si>
  <si>
    <t>F68L</t>
  </si>
  <si>
    <t>NP_940970</t>
  </si>
  <si>
    <t>MDN1</t>
  </si>
  <si>
    <t>NM_014611</t>
  </si>
  <si>
    <t>R1430L</t>
  </si>
  <si>
    <t>NP_055426</t>
  </si>
  <si>
    <t>NM_000426</t>
  </si>
  <si>
    <t>L1870I</t>
  </si>
  <si>
    <t>NP_000417</t>
  </si>
  <si>
    <t>NM_001242648</t>
  </si>
  <si>
    <t>P335A</t>
  </si>
  <si>
    <t>NP_001229577</t>
  </si>
  <si>
    <t>TXLNB</t>
  </si>
  <si>
    <t>NM_153235</t>
  </si>
  <si>
    <t>G100V</t>
  </si>
  <si>
    <t>NP_694967</t>
  </si>
  <si>
    <t>PNLDC1</t>
  </si>
  <si>
    <t>NM_173516</t>
  </si>
  <si>
    <t>E127A</t>
  </si>
  <si>
    <t>NP_775787</t>
  </si>
  <si>
    <t>Q300*</t>
  </si>
  <si>
    <t>NP_001494</t>
  </si>
  <si>
    <t>R4L</t>
  </si>
  <si>
    <t>NP_003530</t>
  </si>
  <si>
    <t>BTN1A1</t>
  </si>
  <si>
    <t>NM_001732</t>
  </si>
  <si>
    <t>M88I</t>
  </si>
  <si>
    <t>NP_001723</t>
  </si>
  <si>
    <t>OR2B6</t>
  </si>
  <si>
    <t>NM_012367</t>
  </si>
  <si>
    <t>A109S</t>
  </si>
  <si>
    <t>NP_036499</t>
  </si>
  <si>
    <t>C6orf10</t>
  </si>
  <si>
    <t>NM_006781</t>
  </si>
  <si>
    <t>A240V</t>
  </si>
  <si>
    <t>NP_006772</t>
  </si>
  <si>
    <t>NM_001145338</t>
  </si>
  <si>
    <t>A121D</t>
  </si>
  <si>
    <t>NP_001138810</t>
  </si>
  <si>
    <t>ZBTB9</t>
  </si>
  <si>
    <t>NM_152735</t>
  </si>
  <si>
    <t>R260L</t>
  </si>
  <si>
    <t>NP_689948</t>
  </si>
  <si>
    <t>KCTD20</t>
  </si>
  <si>
    <t>NM_173562</t>
  </si>
  <si>
    <t>L198F</t>
  </si>
  <si>
    <t>NP_775833</t>
  </si>
  <si>
    <t>NM_152734</t>
  </si>
  <si>
    <t>D150Y</t>
  </si>
  <si>
    <t>NP_689947</t>
  </si>
  <si>
    <t>LRFN2</t>
  </si>
  <si>
    <t>NM_020737</t>
  </si>
  <si>
    <t>D118E</t>
  </si>
  <si>
    <t>NP_065788</t>
  </si>
  <si>
    <t>GUCA1A</t>
  </si>
  <si>
    <t>NM_000409</t>
  </si>
  <si>
    <t>R40L</t>
  </si>
  <si>
    <t>PASS,rs186171388</t>
  </si>
  <si>
    <t>NP_000400</t>
  </si>
  <si>
    <t>DLK2</t>
  </si>
  <si>
    <t>NM_206539</t>
  </si>
  <si>
    <t>P50L</t>
  </si>
  <si>
    <t>NP_996262</t>
  </si>
  <si>
    <t>GPR116</t>
  </si>
  <si>
    <t>NM_001098518</t>
  </si>
  <si>
    <t>K511N</t>
  </si>
  <si>
    <t>NP_001091988</t>
  </si>
  <si>
    <t>NM_001080495</t>
  </si>
  <si>
    <t>G2943V</t>
  </si>
  <si>
    <t>NP_001073964</t>
  </si>
  <si>
    <t>C217F</t>
  </si>
  <si>
    <t>G231V</t>
  </si>
  <si>
    <t>NM_002069</t>
  </si>
  <si>
    <t>A299S</t>
  </si>
  <si>
    <t>NP_002060</t>
  </si>
  <si>
    <t>NM_033026</t>
  </si>
  <si>
    <t>D1482Y</t>
  </si>
  <si>
    <t>NP_149015</t>
  </si>
  <si>
    <t>NM_021151</t>
  </si>
  <si>
    <t>V275A</t>
  </si>
  <si>
    <t>NP_066974</t>
  </si>
  <si>
    <t>R783G</t>
  </si>
  <si>
    <t>NP_857597</t>
  </si>
  <si>
    <t>NM_033107</t>
  </si>
  <si>
    <t>R24S</t>
  </si>
  <si>
    <t>NP_149098</t>
  </si>
  <si>
    <t>LRCH4</t>
  </si>
  <si>
    <t>NM_002319</t>
  </si>
  <si>
    <t>R162L</t>
  </si>
  <si>
    <t>NP_002310</t>
  </si>
  <si>
    <t>ACHE</t>
  </si>
  <si>
    <t>NM_015831</t>
  </si>
  <si>
    <t>F338L</t>
  </si>
  <si>
    <t>NP_056646</t>
  </si>
  <si>
    <t>NM_000111</t>
  </si>
  <si>
    <t>G105A</t>
  </si>
  <si>
    <t>NP_000102</t>
  </si>
  <si>
    <t>R888W</t>
  </si>
  <si>
    <t>WNT2</t>
  </si>
  <si>
    <t>NM_003391</t>
  </si>
  <si>
    <t>A354S</t>
  </si>
  <si>
    <t>PASS,rs143749132</t>
  </si>
  <si>
    <t>NP_003382</t>
  </si>
  <si>
    <t>A189D</t>
  </si>
  <si>
    <t>PTPRZ1</t>
  </si>
  <si>
    <t>NM_002851</t>
  </si>
  <si>
    <t>A1800D</t>
  </si>
  <si>
    <t>NP_002842</t>
  </si>
  <si>
    <t>G91C</t>
  </si>
  <si>
    <t>NP_001106177</t>
  </si>
  <si>
    <t>CCDC136</t>
  </si>
  <si>
    <t>NM_022742</t>
  </si>
  <si>
    <t>R708S</t>
  </si>
  <si>
    <t>NP_073579.4</t>
  </si>
  <si>
    <t>KCP</t>
  </si>
  <si>
    <t>NM_001135914</t>
  </si>
  <si>
    <t>P55T</t>
  </si>
  <si>
    <t>NP_001129386</t>
  </si>
  <si>
    <t>TRPV6</t>
  </si>
  <si>
    <t>NM_018646</t>
  </si>
  <si>
    <t>S448R</t>
  </si>
  <si>
    <t>PASS,rs143647258</t>
  </si>
  <si>
    <t>NP_061116</t>
  </si>
  <si>
    <t>MLL3</t>
  </si>
  <si>
    <t>NM_170606</t>
  </si>
  <si>
    <t>A374V</t>
  </si>
  <si>
    <t>NP_733751</t>
  </si>
  <si>
    <t>VIPR2</t>
  </si>
  <si>
    <t>NM_003382</t>
  </si>
  <si>
    <t>G317V</t>
  </si>
  <si>
    <t>NP_003373</t>
  </si>
  <si>
    <t>ITGB8</t>
  </si>
  <si>
    <t>NM_002214</t>
  </si>
  <si>
    <t>G539*</t>
  </si>
  <si>
    <t>NP_002205</t>
  </si>
  <si>
    <t>S565Y</t>
  </si>
  <si>
    <t>NP_597725</t>
  </si>
  <si>
    <t>D659Y</t>
  </si>
  <si>
    <t>A378D</t>
  </si>
  <si>
    <t>ST18</t>
  </si>
  <si>
    <t>NM_014682</t>
  </si>
  <si>
    <t>A3T</t>
  </si>
  <si>
    <t>NP_055497</t>
  </si>
  <si>
    <t>NM_014781</t>
  </si>
  <si>
    <t>D1349Y</t>
  </si>
  <si>
    <t>NP_055596</t>
  </si>
  <si>
    <t>ZFHX4</t>
  </si>
  <si>
    <t>NM_024721</t>
  </si>
  <si>
    <t>R2531M</t>
  </si>
  <si>
    <t>PASS,rs186850472</t>
  </si>
  <si>
    <t>NP_078997</t>
  </si>
  <si>
    <t>A104V</t>
  </si>
  <si>
    <t>NP_149117</t>
  </si>
  <si>
    <t>A2003T</t>
  </si>
  <si>
    <t>TRPS1</t>
  </si>
  <si>
    <t>NM_014112</t>
  </si>
  <si>
    <t>A852E</t>
  </si>
  <si>
    <t>NP_054831</t>
  </si>
  <si>
    <t>G1702*</t>
  </si>
  <si>
    <t>NP_066933</t>
  </si>
  <si>
    <t>MTBP</t>
  </si>
  <si>
    <t>NM_022045</t>
  </si>
  <si>
    <t>G32S</t>
  </si>
  <si>
    <t>NP_071328</t>
  </si>
  <si>
    <t>Q1875*</t>
  </si>
  <si>
    <t>NP_003226</t>
  </si>
  <si>
    <t>NM_000637</t>
  </si>
  <si>
    <t>G201V</t>
  </si>
  <si>
    <t>NP_000628</t>
  </si>
  <si>
    <t>NM_001005365</t>
  </si>
  <si>
    <t>H207N</t>
  </si>
  <si>
    <t>NP_001005365.2</t>
  </si>
  <si>
    <t>HNRNPK</t>
  </si>
  <si>
    <t>NM_031263</t>
  </si>
  <si>
    <t>R409L</t>
  </si>
  <si>
    <t>NP_112553</t>
  </si>
  <si>
    <t>S973R</t>
  </si>
  <si>
    <t>WNK2</t>
  </si>
  <si>
    <t>NM_006648</t>
  </si>
  <si>
    <t>G344V</t>
  </si>
  <si>
    <t>NP_006639</t>
  </si>
  <si>
    <t>SVEP1</t>
  </si>
  <si>
    <t>NM_153366</t>
  </si>
  <si>
    <t>P2327T</t>
  </si>
  <si>
    <t>NP_699197</t>
  </si>
  <si>
    <t>ANGPTL2</t>
  </si>
  <si>
    <t>NM_012098</t>
  </si>
  <si>
    <t>V112M</t>
  </si>
  <si>
    <t>NP_036230</t>
  </si>
  <si>
    <t>NM_001130438</t>
  </si>
  <si>
    <t>R459L</t>
  </si>
  <si>
    <t>NP_001123910</t>
  </si>
  <si>
    <t>EXOSC2</t>
  </si>
  <si>
    <t>NM_014285</t>
  </si>
  <si>
    <t>P13H</t>
  </si>
  <si>
    <t>NP_055100</t>
  </si>
  <si>
    <t>R1192L</t>
  </si>
  <si>
    <t>PASS,rs79023327</t>
  </si>
  <si>
    <t>NP_659403</t>
  </si>
  <si>
    <t>FAM221B</t>
  </si>
  <si>
    <t>NM_001012446</t>
  </si>
  <si>
    <t>I245F</t>
  </si>
  <si>
    <t>NP_001012448</t>
  </si>
  <si>
    <t>FAM170B</t>
  </si>
  <si>
    <t>NM_001164484</t>
  </si>
  <si>
    <t>R163P</t>
  </si>
  <si>
    <t>NP_001157956</t>
  </si>
  <si>
    <t>EGR2</t>
  </si>
  <si>
    <t>NM_000399</t>
  </si>
  <si>
    <t>L466F</t>
  </si>
  <si>
    <t>NP_000390</t>
  </si>
  <si>
    <t>CHST3</t>
  </si>
  <si>
    <t>NM_004273</t>
  </si>
  <si>
    <t>P8T</t>
  </si>
  <si>
    <t>NP_004264</t>
  </si>
  <si>
    <t>KAT6B</t>
  </si>
  <si>
    <t>NM_012330</t>
  </si>
  <si>
    <t>T1988N</t>
  </si>
  <si>
    <t>NP_036462</t>
  </si>
  <si>
    <t>KIF20B</t>
  </si>
  <si>
    <t>NM_016195</t>
  </si>
  <si>
    <t>E951K</t>
  </si>
  <si>
    <t>NP_057279</t>
  </si>
  <si>
    <t>CYP26C1</t>
  </si>
  <si>
    <t>NM_183374</t>
  </si>
  <si>
    <t>A239S</t>
  </si>
  <si>
    <t>NP_899230</t>
  </si>
  <si>
    <t>GPAM</t>
  </si>
  <si>
    <t>NM_020918</t>
  </si>
  <si>
    <t>K649N</t>
  </si>
  <si>
    <t>NP_065969</t>
  </si>
  <si>
    <t>DOCK1</t>
  </si>
  <si>
    <t>NM_001380</t>
  </si>
  <si>
    <t>NP_001371</t>
  </si>
  <si>
    <t>GLRX3</t>
  </si>
  <si>
    <t>NM_006541</t>
  </si>
  <si>
    <t>A54P</t>
  </si>
  <si>
    <t>NP_006532</t>
  </si>
  <si>
    <t>A356E</t>
  </si>
  <si>
    <t>PASS,rs181041655</t>
  </si>
  <si>
    <t>EPC1</t>
  </si>
  <si>
    <t>NM_025209</t>
  </si>
  <si>
    <t>NP_079485</t>
  </si>
  <si>
    <t>CCDC7</t>
  </si>
  <si>
    <t>NM_001026383</t>
  </si>
  <si>
    <t>K388E</t>
  </si>
  <si>
    <t>NP_001021554</t>
  </si>
  <si>
    <t>NRP1</t>
  </si>
  <si>
    <t>NM_003873</t>
  </si>
  <si>
    <t>I857V</t>
  </si>
  <si>
    <t>NP_003864</t>
  </si>
  <si>
    <t>DIP2C</t>
  </si>
  <si>
    <t>NM_014974</t>
  </si>
  <si>
    <t>D632H</t>
  </si>
  <si>
    <t>NP_055789</t>
  </si>
  <si>
    <t>TMEM132A</t>
  </si>
  <si>
    <t>NM_017870</t>
  </si>
  <si>
    <t>L415Q</t>
  </si>
  <si>
    <t>NP_060340</t>
  </si>
  <si>
    <t>NM_001923</t>
  </si>
  <si>
    <t>E535*</t>
  </si>
  <si>
    <t>PASS,COSM77569</t>
  </si>
  <si>
    <t>NP_001914</t>
  </si>
  <si>
    <t>FIBP</t>
  </si>
  <si>
    <t>NM_198897</t>
  </si>
  <si>
    <t>A90S</t>
  </si>
  <si>
    <t>NP_942600</t>
  </si>
  <si>
    <t>G275V</t>
  </si>
  <si>
    <t>NP_065203</t>
  </si>
  <si>
    <t>NPAS4</t>
  </si>
  <si>
    <t>NM_178864</t>
  </si>
  <si>
    <t>M715I</t>
  </si>
  <si>
    <t>NP_849195</t>
  </si>
  <si>
    <t>DPP3</t>
  </si>
  <si>
    <t>NM_130443</t>
  </si>
  <si>
    <t>E451*</t>
  </si>
  <si>
    <t>NP_569710</t>
  </si>
  <si>
    <t>R598C</t>
  </si>
  <si>
    <t>A651S</t>
  </si>
  <si>
    <t>NP_055639</t>
  </si>
  <si>
    <t>G439R</t>
  </si>
  <si>
    <t>NP_001092286</t>
  </si>
  <si>
    <t>I2589T</t>
  </si>
  <si>
    <t>Y419H</t>
  </si>
  <si>
    <t>M631I</t>
  </si>
  <si>
    <t>CLDN25</t>
  </si>
  <si>
    <t>NM_001101389</t>
  </si>
  <si>
    <t>V194E</t>
  </si>
  <si>
    <t>NP_001094859</t>
  </si>
  <si>
    <t>NM_001166598</t>
  </si>
  <si>
    <t>E101K</t>
  </si>
  <si>
    <t>NP_001160070</t>
  </si>
  <si>
    <t>DSCAML1</t>
  </si>
  <si>
    <t>NM_020693</t>
  </si>
  <si>
    <t>A1617V</t>
  </si>
  <si>
    <t>NP_065744</t>
  </si>
  <si>
    <t>NM_022169</t>
  </si>
  <si>
    <t>A161S</t>
  </si>
  <si>
    <t>NP_071452</t>
  </si>
  <si>
    <t>M79I</t>
  </si>
  <si>
    <t>NP_001004463</t>
  </si>
  <si>
    <t>NM_002017</t>
  </si>
  <si>
    <t>R438G</t>
  </si>
  <si>
    <t>NP_002008</t>
  </si>
  <si>
    <t>SLC6A5</t>
  </si>
  <si>
    <t>NM_004211</t>
  </si>
  <si>
    <t>V134L</t>
  </si>
  <si>
    <t>NP_004202</t>
  </si>
  <si>
    <t>A1316V</t>
  </si>
  <si>
    <t>NP_036326</t>
  </si>
  <si>
    <t>NM_016320</t>
  </si>
  <si>
    <t>Q1590R</t>
  </si>
  <si>
    <t>NP_057404</t>
  </si>
  <si>
    <t>CRY2</t>
  </si>
  <si>
    <t>NM_021117</t>
  </si>
  <si>
    <t>A568P</t>
  </si>
  <si>
    <t>NP_066940.2</t>
  </si>
  <si>
    <t>ZNF408</t>
  </si>
  <si>
    <t>NM_024741</t>
  </si>
  <si>
    <t>A372S</t>
  </si>
  <si>
    <t>PASS,rs141624151</t>
  </si>
  <si>
    <t>NP_079017</t>
  </si>
  <si>
    <t>OR52R1</t>
  </si>
  <si>
    <t>NM_001005177</t>
  </si>
  <si>
    <t>R305S</t>
  </si>
  <si>
    <t>NP_001005177</t>
  </si>
  <si>
    <t>IGFBP6</t>
  </si>
  <si>
    <t>NM_002178</t>
  </si>
  <si>
    <t>P147H</t>
  </si>
  <si>
    <t>PASS,rs149341863</t>
  </si>
  <si>
    <t>NP_002169</t>
  </si>
  <si>
    <t>NP_008828</t>
  </si>
  <si>
    <t>A1365S</t>
  </si>
  <si>
    <t>SLC26A10</t>
  </si>
  <si>
    <t>NM_133489</t>
  </si>
  <si>
    <t>L273R</t>
  </si>
  <si>
    <t>NP_597996</t>
  </si>
  <si>
    <t>SH2B3</t>
  </si>
  <si>
    <t>NM_005475</t>
  </si>
  <si>
    <t>V402M</t>
  </si>
  <si>
    <t>NP_005466</t>
  </si>
  <si>
    <t>ACAD10</t>
  </si>
  <si>
    <t>NM_001136538</t>
  </si>
  <si>
    <t>V589L</t>
  </si>
  <si>
    <t>NP_001130010</t>
  </si>
  <si>
    <t>D240Y</t>
  </si>
  <si>
    <t>PRB2</t>
  </si>
  <si>
    <t>NM_006248</t>
  </si>
  <si>
    <t>P153H</t>
  </si>
  <si>
    <t>NP_006239.3</t>
  </si>
  <si>
    <t>E1196*</t>
  </si>
  <si>
    <t>L561R</t>
  </si>
  <si>
    <t>T920N</t>
  </si>
  <si>
    <t>NP_006222</t>
  </si>
  <si>
    <t>Q1259H</t>
  </si>
  <si>
    <t>AEBP2</t>
  </si>
  <si>
    <t>NM_001114176</t>
  </si>
  <si>
    <t>K300N</t>
  </si>
  <si>
    <t>NP_001107648</t>
  </si>
  <si>
    <t>NM_021957</t>
  </si>
  <si>
    <t>S335*</t>
  </si>
  <si>
    <t>NP_068776</t>
  </si>
  <si>
    <t>NM_177444</t>
  </si>
  <si>
    <t>E785*</t>
  </si>
  <si>
    <t>NP_803193</t>
  </si>
  <si>
    <t>CCDC65</t>
  </si>
  <si>
    <t>NM_033124</t>
  </si>
  <si>
    <t>P11H</t>
  </si>
  <si>
    <t>NP_149115</t>
  </si>
  <si>
    <t>P1019T</t>
  </si>
  <si>
    <t>NM_178009</t>
  </si>
  <si>
    <t>V1024L</t>
  </si>
  <si>
    <t>NP_821077</t>
  </si>
  <si>
    <t>NM_001204424</t>
  </si>
  <si>
    <t>D99G</t>
  </si>
  <si>
    <t>NP_001191353</t>
  </si>
  <si>
    <t>S142Y</t>
  </si>
  <si>
    <t>NM_001080408</t>
  </si>
  <si>
    <t>P79Q</t>
  </si>
  <si>
    <t>NP_001073877</t>
  </si>
  <si>
    <t>E661*</t>
  </si>
  <si>
    <t>PASS,rs144915346</t>
  </si>
  <si>
    <t>D188Y</t>
  </si>
  <si>
    <t>NM_017661</t>
  </si>
  <si>
    <t>M297I</t>
  </si>
  <si>
    <t>NP_060131</t>
  </si>
  <si>
    <t>ANKDD1A</t>
  </si>
  <si>
    <t>NM_182703</t>
  </si>
  <si>
    <t>A162S</t>
  </si>
  <si>
    <t>NP_874362</t>
  </si>
  <si>
    <t>A179T</t>
  </si>
  <si>
    <t>NP_003604</t>
  </si>
  <si>
    <t>PKM</t>
  </si>
  <si>
    <t>NM_001206796</t>
  </si>
  <si>
    <t>R106L</t>
  </si>
  <si>
    <t>NP_001193725</t>
  </si>
  <si>
    <t>CYP1A1</t>
  </si>
  <si>
    <t>NM_000499</t>
  </si>
  <si>
    <t>G398R</t>
  </si>
  <si>
    <t>NP_000490</t>
  </si>
  <si>
    <t>D566E</t>
  </si>
  <si>
    <t>NP_001708</t>
  </si>
  <si>
    <t>G65V</t>
  </si>
  <si>
    <t>A1852D</t>
  </si>
  <si>
    <t>MAGEL2</t>
  </si>
  <si>
    <t>NM_019066</t>
  </si>
  <si>
    <t>A1202S</t>
  </si>
  <si>
    <t>NP_061939</t>
  </si>
  <si>
    <t>XM_003403454</t>
  </si>
  <si>
    <t>E254*</t>
  </si>
  <si>
    <t>XP_003403502</t>
  </si>
  <si>
    <t>PGBD4</t>
  </si>
  <si>
    <t>NM_152595</t>
  </si>
  <si>
    <t>A530S</t>
  </si>
  <si>
    <t>NP_689808</t>
  </si>
  <si>
    <t>S875Y</t>
  </si>
  <si>
    <t>NP_786883</t>
  </si>
  <si>
    <t>P1062T</t>
  </si>
  <si>
    <t>PAK6</t>
  </si>
  <si>
    <t>NM_001128628</t>
  </si>
  <si>
    <t>P249L</t>
  </si>
  <si>
    <t>NP_001122100</t>
  </si>
  <si>
    <t>SPTBN5</t>
  </si>
  <si>
    <t>NM_016642</t>
  </si>
  <si>
    <t>NP_057726</t>
  </si>
  <si>
    <t>ZFP106</t>
  </si>
  <si>
    <t>NM_022473</t>
  </si>
  <si>
    <t>N253K</t>
  </si>
  <si>
    <t>NP_071918</t>
  </si>
  <si>
    <t>A76D</t>
  </si>
  <si>
    <t>NP_443187</t>
  </si>
  <si>
    <t>STRC</t>
  </si>
  <si>
    <t>NM_153700</t>
  </si>
  <si>
    <t>A1240V</t>
  </si>
  <si>
    <t>NP_714544</t>
  </si>
  <si>
    <t>NM_138423</t>
  </si>
  <si>
    <t>NP_612432</t>
  </si>
  <si>
    <t>NP_060850</t>
  </si>
  <si>
    <t>E80D</t>
  </si>
  <si>
    <t>ADAMTS18</t>
  </si>
  <si>
    <t>NM_199355</t>
  </si>
  <si>
    <t>C453Y</t>
  </si>
  <si>
    <t>NP_955387</t>
  </si>
  <si>
    <t>A1681S</t>
  </si>
  <si>
    <t>C183S</t>
  </si>
  <si>
    <t>NP_067018</t>
  </si>
  <si>
    <t>ZNF75A</t>
  </si>
  <si>
    <t>NM_153028</t>
  </si>
  <si>
    <t>Y2C</t>
  </si>
  <si>
    <t>NP_694573</t>
  </si>
  <si>
    <t>A312T</t>
  </si>
  <si>
    <t>NP_055884</t>
  </si>
  <si>
    <t>N182K</t>
  </si>
  <si>
    <t>NM_001201457</t>
  </si>
  <si>
    <t>D1015E</t>
  </si>
  <si>
    <t>NP_001188386</t>
  </si>
  <si>
    <t>MED13</t>
  </si>
  <si>
    <t>NM_005121</t>
  </si>
  <si>
    <t>D51N</t>
  </si>
  <si>
    <t>NP_005112</t>
  </si>
  <si>
    <t>KCNH6</t>
  </si>
  <si>
    <t>NM_030779</t>
  </si>
  <si>
    <t>R107L</t>
  </si>
  <si>
    <t>NP_110406</t>
  </si>
  <si>
    <t>D123Y</t>
  </si>
  <si>
    <t>NP_001424</t>
  </si>
  <si>
    <t>K121R</t>
  </si>
  <si>
    <t>CEP95</t>
  </si>
  <si>
    <t>NM_138363</t>
  </si>
  <si>
    <t>L651F</t>
  </si>
  <si>
    <t>NP_612372</t>
  </si>
  <si>
    <t>G471V</t>
  </si>
  <si>
    <t>C360S</t>
  </si>
  <si>
    <t>NM_005964</t>
  </si>
  <si>
    <t>L1457*</t>
  </si>
  <si>
    <t>NP_005955</t>
  </si>
  <si>
    <t>L362P</t>
  </si>
  <si>
    <t>NP_001363</t>
  </si>
  <si>
    <t>R41L</t>
  </si>
  <si>
    <t>NP_001035088</t>
  </si>
  <si>
    <t>NM_014964</t>
  </si>
  <si>
    <t>E26V</t>
  </si>
  <si>
    <t>NP_055779</t>
  </si>
  <si>
    <t>SLC47A1</t>
  </si>
  <si>
    <t>NM_018242</t>
  </si>
  <si>
    <t>F232L</t>
  </si>
  <si>
    <t>NP_060712</t>
  </si>
  <si>
    <t>NM_005165</t>
  </si>
  <si>
    <t>I47S</t>
  </si>
  <si>
    <t>NP_005156</t>
  </si>
  <si>
    <t>CCL7</t>
  </si>
  <si>
    <t>NM_006273</t>
  </si>
  <si>
    <t>P44T</t>
  </si>
  <si>
    <t>NP_006264</t>
  </si>
  <si>
    <t>G647V</t>
  </si>
  <si>
    <t>PASS,CD962156</t>
  </si>
  <si>
    <t>NP_000333</t>
  </si>
  <si>
    <t>ITGA3</t>
  </si>
  <si>
    <t>NM_005501</t>
  </si>
  <si>
    <t>G692W</t>
  </si>
  <si>
    <t>NP_005492</t>
  </si>
  <si>
    <t>Q634K</t>
  </si>
  <si>
    <t>S269F</t>
  </si>
  <si>
    <t>BCL2</t>
  </si>
  <si>
    <t>NM_000633</t>
  </si>
  <si>
    <t>L169M</t>
  </si>
  <si>
    <t>NP_000624</t>
  </si>
  <si>
    <t>HRH4</t>
  </si>
  <si>
    <t>NM_021624</t>
  </si>
  <si>
    <t>E163*</t>
  </si>
  <si>
    <t>NP_067637</t>
  </si>
  <si>
    <t>G473V</t>
  </si>
  <si>
    <t>TPGS2</t>
  </si>
  <si>
    <t>NM_015476</t>
  </si>
  <si>
    <t>K300R</t>
  </si>
  <si>
    <t>NP_056291</t>
  </si>
  <si>
    <t>NM_001204136</t>
  </si>
  <si>
    <t>R248L</t>
  </si>
  <si>
    <t>NP_001191065</t>
  </si>
  <si>
    <t>ZNF615</t>
  </si>
  <si>
    <t>NM_198480</t>
  </si>
  <si>
    <t>Q29E</t>
  </si>
  <si>
    <t>NP_940882</t>
  </si>
  <si>
    <t>NM_001130917</t>
  </si>
  <si>
    <t>E90*</t>
  </si>
  <si>
    <t>NP_001124389</t>
  </si>
  <si>
    <t>LILRB4</t>
  </si>
  <si>
    <t>NM_006847</t>
  </si>
  <si>
    <t>L213P</t>
  </si>
  <si>
    <t>NP_006838</t>
  </si>
  <si>
    <t>ISOC2</t>
  </si>
  <si>
    <t>NM_001136201</t>
  </si>
  <si>
    <t>NP_001129673</t>
  </si>
  <si>
    <t>NLRP11</t>
  </si>
  <si>
    <t>NM_145007</t>
  </si>
  <si>
    <t>D80Y</t>
  </si>
  <si>
    <t>NP_659444</t>
  </si>
  <si>
    <t>ZNF44</t>
  </si>
  <si>
    <t>NM_001164276</t>
  </si>
  <si>
    <t>E248Q</t>
  </si>
  <si>
    <t>NP_001157748</t>
  </si>
  <si>
    <t>ZNF442</t>
  </si>
  <si>
    <t>NM_030824</t>
  </si>
  <si>
    <t>Y209F</t>
  </si>
  <si>
    <t>NP_110451</t>
  </si>
  <si>
    <t>NM_078481</t>
  </si>
  <si>
    <t>A397S</t>
  </si>
  <si>
    <t>NP_510966</t>
  </si>
  <si>
    <t>NWD1</t>
  </si>
  <si>
    <t>NM_001007525</t>
  </si>
  <si>
    <t>G760V</t>
  </si>
  <si>
    <t>NP_001007526</t>
  </si>
  <si>
    <t>G545V</t>
  </si>
  <si>
    <t>NP_056507</t>
  </si>
  <si>
    <t>C772F</t>
  </si>
  <si>
    <t>NP_116205</t>
  </si>
  <si>
    <t>S1957C</t>
  </si>
  <si>
    <t>IL28B</t>
  </si>
  <si>
    <t>NM_172139</t>
  </si>
  <si>
    <t>D4H</t>
  </si>
  <si>
    <t>NP_742151</t>
  </si>
  <si>
    <t>S46*</t>
  </si>
  <si>
    <t>NP_001137304</t>
  </si>
  <si>
    <t>P451A</t>
  </si>
  <si>
    <t>PSG11</t>
  </si>
  <si>
    <t>NM_002785</t>
  </si>
  <si>
    <t>S186R</t>
  </si>
  <si>
    <t>NP_002776.3</t>
  </si>
  <si>
    <t>NM_001102600</t>
  </si>
  <si>
    <t>S583Y</t>
  </si>
  <si>
    <t>NP_001096070</t>
  </si>
  <si>
    <t>D389H</t>
  </si>
  <si>
    <t>NP_114429</t>
  </si>
  <si>
    <t>NP_055983</t>
  </si>
  <si>
    <t>GLTSCR2</t>
  </si>
  <si>
    <t>NM_015710</t>
  </si>
  <si>
    <t>K107N</t>
  </si>
  <si>
    <t>NP_056525</t>
  </si>
  <si>
    <t>NM_022106</t>
  </si>
  <si>
    <t>S300I</t>
  </si>
  <si>
    <t>NP_071389</t>
  </si>
  <si>
    <t>A827T</t>
  </si>
  <si>
    <t>NP_057733</t>
  </si>
  <si>
    <t>PCED1A</t>
  </si>
  <si>
    <t>NM_022760</t>
  </si>
  <si>
    <t>M182I</t>
  </si>
  <si>
    <t>NP_073597</t>
  </si>
  <si>
    <t>L375I</t>
  </si>
  <si>
    <t>Ctc/Atc</t>
  </si>
  <si>
    <t>PLCG1</t>
  </si>
  <si>
    <t>NM_002660</t>
  </si>
  <si>
    <t>N851S</t>
  </si>
  <si>
    <t>NP_002651</t>
  </si>
  <si>
    <t>NM_007050</t>
  </si>
  <si>
    <t>H662N</t>
  </si>
  <si>
    <t>NP_008981</t>
  </si>
  <si>
    <t>PREX1</t>
  </si>
  <si>
    <t>NM_020820</t>
  </si>
  <si>
    <t>S523N</t>
  </si>
  <si>
    <t>NP_065871</t>
  </si>
  <si>
    <t>G1130V</t>
  </si>
  <si>
    <t>NM_001135101</t>
  </si>
  <si>
    <t>G56W</t>
  </si>
  <si>
    <t>NP_001128573</t>
  </si>
  <si>
    <t>S410R</t>
  </si>
  <si>
    <t>NP_001032903</t>
  </si>
  <si>
    <t>P347S</t>
  </si>
  <si>
    <t>NP_689825</t>
  </si>
  <si>
    <t>CABIN1</t>
  </si>
  <si>
    <t>NM_012295</t>
  </si>
  <si>
    <t>G80V</t>
  </si>
  <si>
    <t>NP_036427</t>
  </si>
  <si>
    <t>SPECC1L</t>
  </si>
  <si>
    <t>NM_001145468</t>
  </si>
  <si>
    <t>R1007I</t>
  </si>
  <si>
    <t>NP_001138940</t>
  </si>
  <si>
    <t>POLR3H</t>
  </si>
  <si>
    <t>NM_138338</t>
  </si>
  <si>
    <t>Y131D</t>
  </si>
  <si>
    <t>NP_612211</t>
  </si>
  <si>
    <t>GTSE1</t>
  </si>
  <si>
    <t>NM_016426</t>
  </si>
  <si>
    <t>Q78H</t>
  </si>
  <si>
    <t>NP_057510</t>
  </si>
  <si>
    <t>P153Q</t>
  </si>
  <si>
    <t>NP_001013764</t>
  </si>
  <si>
    <t>S135N</t>
  </si>
  <si>
    <t>NP_940912</t>
  </si>
  <si>
    <t>FRMPD3</t>
  </si>
  <si>
    <t>XM_042978</t>
  </si>
  <si>
    <t>S1111I</t>
  </si>
  <si>
    <t>XP_042978</t>
  </si>
  <si>
    <t>A119S</t>
  </si>
  <si>
    <t>NP_001004486</t>
  </si>
  <si>
    <t>S75R</t>
  </si>
  <si>
    <t>NP_057605</t>
  </si>
  <si>
    <t>ZNF645</t>
  </si>
  <si>
    <t>NM_152577</t>
  </si>
  <si>
    <t>M4I</t>
  </si>
  <si>
    <t>NP_689790</t>
  </si>
  <si>
    <t>N317D</t>
  </si>
  <si>
    <t>NP_002014</t>
  </si>
  <si>
    <t>9264_T</t>
  </si>
  <si>
    <t>NM_001146261</t>
  </si>
  <si>
    <t>K399R</t>
  </si>
  <si>
    <t>NP_001139733</t>
  </si>
  <si>
    <t>REG1B</t>
  </si>
  <si>
    <t>NM_006507</t>
  </si>
  <si>
    <t>NP_006498</t>
  </si>
  <si>
    <t>P1171A</t>
  </si>
  <si>
    <t>NP_004332</t>
  </si>
  <si>
    <t>I170F</t>
  </si>
  <si>
    <t>K127Q</t>
  </si>
  <si>
    <t>NP_064576</t>
  </si>
  <si>
    <t>Q380H</t>
  </si>
  <si>
    <t>Q1020H</t>
  </si>
  <si>
    <t>NP_079429</t>
  </si>
  <si>
    <t>A164S</t>
  </si>
  <si>
    <t>NP_001073977</t>
  </si>
  <si>
    <t>R391H</t>
  </si>
  <si>
    <t>NP_061155</t>
  </si>
  <si>
    <t>NM_018967</t>
  </si>
  <si>
    <t>V285F</t>
  </si>
  <si>
    <t>NP_061840</t>
  </si>
  <si>
    <t>NM_001100391</t>
  </si>
  <si>
    <t>S120C</t>
  </si>
  <si>
    <t>NP_001093861</t>
  </si>
  <si>
    <t>JAK2</t>
  </si>
  <si>
    <t>NM_004972</t>
  </si>
  <si>
    <t>S1035A</t>
  </si>
  <si>
    <t>NP_004963</t>
  </si>
  <si>
    <t>C2309Y</t>
  </si>
  <si>
    <t>A456T</t>
  </si>
  <si>
    <t>NP_005076</t>
  </si>
  <si>
    <t>NP_071939</t>
  </si>
  <si>
    <t>F33V</t>
  </si>
  <si>
    <t>OR5AK2</t>
  </si>
  <si>
    <t>NM_001005323</t>
  </si>
  <si>
    <t>P129T</t>
  </si>
  <si>
    <t>NP_001005323</t>
  </si>
  <si>
    <t>NM_001198868</t>
  </si>
  <si>
    <t>NP_001185797</t>
  </si>
  <si>
    <t>S192P</t>
  </si>
  <si>
    <t>NP_006682</t>
  </si>
  <si>
    <t>R1986*</t>
  </si>
  <si>
    <t>NP_005413</t>
  </si>
  <si>
    <t>P17H</t>
  </si>
  <si>
    <t>NP_689802</t>
  </si>
  <si>
    <t>V315L</t>
  </si>
  <si>
    <t>NP_004084</t>
  </si>
  <si>
    <t>NM_001220488</t>
  </si>
  <si>
    <t>S753N</t>
  </si>
  <si>
    <t>NP_001207417</t>
  </si>
  <si>
    <t>NM_001113756</t>
  </si>
  <si>
    <t>I184L</t>
  </si>
  <si>
    <t>NP_001107228</t>
  </si>
  <si>
    <t>MAGEC1</t>
  </si>
  <si>
    <t>NM_005462</t>
  </si>
  <si>
    <t>P581H</t>
  </si>
  <si>
    <t>NP_005453</t>
  </si>
  <si>
    <t>SLC35D1</t>
  </si>
  <si>
    <t>NM_015139</t>
  </si>
  <si>
    <t>D252G</t>
  </si>
  <si>
    <t>NP_055954</t>
  </si>
  <si>
    <t>9113_T</t>
  </si>
  <si>
    <t>Q495E</t>
  </si>
  <si>
    <t>T1291K</t>
  </si>
  <si>
    <t>NM_015074</t>
  </si>
  <si>
    <t>C400S</t>
  </si>
  <si>
    <t>NP_055889</t>
  </si>
  <si>
    <t>L673P</t>
  </si>
  <si>
    <t>NP_001399</t>
  </si>
  <si>
    <t>NM_024626</t>
  </si>
  <si>
    <t>S151T</t>
  </si>
  <si>
    <t>NP_078902.2</t>
  </si>
  <si>
    <t>NM_015100</t>
  </si>
  <si>
    <t>R1321H</t>
  </si>
  <si>
    <t>NP_055915</t>
  </si>
  <si>
    <t>LCE1B</t>
  </si>
  <si>
    <t>NM_178349</t>
  </si>
  <si>
    <t>C76R</t>
  </si>
  <si>
    <t>NP_848126</t>
  </si>
  <si>
    <t>ATP8B2</t>
  </si>
  <si>
    <t>NM_020452</t>
  </si>
  <si>
    <t>E459K</t>
  </si>
  <si>
    <t>NP_065185</t>
  </si>
  <si>
    <t>RUSC1-AS1</t>
  </si>
  <si>
    <t>NM_001039517</t>
  </si>
  <si>
    <t>L165H</t>
  </si>
  <si>
    <t>NP_001034606</t>
  </si>
  <si>
    <t>ARHGAP30</t>
  </si>
  <si>
    <t>NM_001025598</t>
  </si>
  <si>
    <t>S426Y</t>
  </si>
  <si>
    <t>NP_001020769</t>
  </si>
  <si>
    <t>D2111V</t>
  </si>
  <si>
    <t>NP_055625</t>
  </si>
  <si>
    <t>GABRD</t>
  </si>
  <si>
    <t>NM_000815</t>
  </si>
  <si>
    <t>G29D</t>
  </si>
  <si>
    <t>NP_000806</t>
  </si>
  <si>
    <t>NM_017596</t>
  </si>
  <si>
    <t>N1248H</t>
  </si>
  <si>
    <t>NP_060066</t>
  </si>
  <si>
    <t>CD46</t>
  </si>
  <si>
    <t>NM_172359</t>
  </si>
  <si>
    <t>H124R</t>
  </si>
  <si>
    <t>NP_758869</t>
  </si>
  <si>
    <t>A1116V</t>
  </si>
  <si>
    <t>ERMAP</t>
  </si>
  <si>
    <t>NM_018538</t>
  </si>
  <si>
    <t>R181K</t>
  </si>
  <si>
    <t>NP_061008</t>
  </si>
  <si>
    <t>NM_004389</t>
  </si>
  <si>
    <t>Q454E</t>
  </si>
  <si>
    <t>NP_004380</t>
  </si>
  <si>
    <t>D76N</t>
  </si>
  <si>
    <t>NP_808879</t>
  </si>
  <si>
    <t>LRP2</t>
  </si>
  <si>
    <t>NM_004525</t>
  </si>
  <si>
    <t>L1835P</t>
  </si>
  <si>
    <t>NP_004516</t>
  </si>
  <si>
    <t>EVX2</t>
  </si>
  <si>
    <t>NM_001080458</t>
  </si>
  <si>
    <t>R247C</t>
  </si>
  <si>
    <t>NP_001073927</t>
  </si>
  <si>
    <t>W4988R</t>
  </si>
  <si>
    <t>R1465K</t>
  </si>
  <si>
    <t>NP_000384</t>
  </si>
  <si>
    <t>L2222*</t>
  </si>
  <si>
    <t>NP_000375</t>
  </si>
  <si>
    <t>R237C</t>
  </si>
  <si>
    <t>NP_004647</t>
  </si>
  <si>
    <t>NM_014220</t>
  </si>
  <si>
    <t>V47L</t>
  </si>
  <si>
    <t>NP_055035</t>
  </si>
  <si>
    <t>PDCD10</t>
  </si>
  <si>
    <t>NM_145860</t>
  </si>
  <si>
    <t>E73K</t>
  </si>
  <si>
    <t>NP_665859</t>
  </si>
  <si>
    <t>H4205D</t>
  </si>
  <si>
    <t>PASS,rs59101491</t>
  </si>
  <si>
    <t>STAC</t>
  </si>
  <si>
    <t>NM_003149</t>
  </si>
  <si>
    <t>K214M</t>
  </si>
  <si>
    <t>NP_003140</t>
  </si>
  <si>
    <t>NM_006309</t>
  </si>
  <si>
    <t>NP_006300</t>
  </si>
  <si>
    <t>L65P</t>
  </si>
  <si>
    <t>NP_072091</t>
  </si>
  <si>
    <t>LRBA</t>
  </si>
  <si>
    <t>NM_001199282</t>
  </si>
  <si>
    <t>T420K</t>
  </si>
  <si>
    <t>NP_001186211</t>
  </si>
  <si>
    <t>A2403T</t>
  </si>
  <si>
    <t>FRG1</t>
  </si>
  <si>
    <t>NM_004477</t>
  </si>
  <si>
    <t>S169G</t>
  </si>
  <si>
    <t>NP_004468</t>
  </si>
  <si>
    <t>Q942H</t>
  </si>
  <si>
    <t>F428S</t>
  </si>
  <si>
    <t>NP_003319</t>
  </si>
  <si>
    <t>NM_173665</t>
  </si>
  <si>
    <t>G243R</t>
  </si>
  <si>
    <t>NP_775936</t>
  </si>
  <si>
    <t>PAM</t>
  </si>
  <si>
    <t>NM_000919</t>
  </si>
  <si>
    <t>S279R</t>
  </si>
  <si>
    <t>NP_000910</t>
  </si>
  <si>
    <t>Agt/Cgt</t>
  </si>
  <si>
    <t>S1784G</t>
  </si>
  <si>
    <t>PCDHGA4</t>
  </si>
  <si>
    <t>NM_018917</t>
  </si>
  <si>
    <t>V645F</t>
  </si>
  <si>
    <t>NP_061740</t>
  </si>
  <si>
    <t>GNPDA1</t>
  </si>
  <si>
    <t>NM_005471</t>
  </si>
  <si>
    <t>G150V</t>
  </si>
  <si>
    <t>NP_005462</t>
  </si>
  <si>
    <t>V474I</t>
  </si>
  <si>
    <t>NP_112217</t>
  </si>
  <si>
    <t>NIPBL</t>
  </si>
  <si>
    <t>NM_133433</t>
  </si>
  <si>
    <t>T1410A</t>
  </si>
  <si>
    <t>NP_597677</t>
  </si>
  <si>
    <t>D231H</t>
  </si>
  <si>
    <t>NP_940851</t>
  </si>
  <si>
    <t>NM_000947</t>
  </si>
  <si>
    <t>M496I</t>
  </si>
  <si>
    <t>NP_000938</t>
  </si>
  <si>
    <t>H719N</t>
  </si>
  <si>
    <t>NP_060166</t>
  </si>
  <si>
    <t>NM_024694</t>
  </si>
  <si>
    <t>N32D</t>
  </si>
  <si>
    <t>NP_078970</t>
  </si>
  <si>
    <t>NM_203395</t>
  </si>
  <si>
    <t>Y184C</t>
  </si>
  <si>
    <t>NP_981932</t>
  </si>
  <si>
    <t>S93N</t>
  </si>
  <si>
    <t>NP_039268</t>
  </si>
  <si>
    <t>Q63*</t>
  </si>
  <si>
    <t>NP_004548</t>
  </si>
  <si>
    <t>NM_001168370</t>
  </si>
  <si>
    <t>E1569G</t>
  </si>
  <si>
    <t>NP_001161842</t>
  </si>
  <si>
    <t>A1252V</t>
  </si>
  <si>
    <t>E176Q</t>
  </si>
  <si>
    <t>E61*</t>
  </si>
  <si>
    <t>NP_073565</t>
  </si>
  <si>
    <t>ADHFE1</t>
  </si>
  <si>
    <t>NM_144650</t>
  </si>
  <si>
    <t>K170N</t>
  </si>
  <si>
    <t>NP_653251</t>
  </si>
  <si>
    <t>SLCO5A1</t>
  </si>
  <si>
    <t>NM_030958</t>
  </si>
  <si>
    <t>T712A</t>
  </si>
  <si>
    <t>NP_112220</t>
  </si>
  <si>
    <t>RP1L1</t>
  </si>
  <si>
    <t>NM_178857</t>
  </si>
  <si>
    <t>D1873G</t>
  </si>
  <si>
    <t>NP_849188</t>
  </si>
  <si>
    <t>NM_032611</t>
  </si>
  <si>
    <t>Y14F</t>
  </si>
  <si>
    <t>NP_116000</t>
  </si>
  <si>
    <t>KANK1</t>
  </si>
  <si>
    <t>NM_015158</t>
  </si>
  <si>
    <t>G1278R</t>
  </si>
  <si>
    <t>NP_055973</t>
  </si>
  <si>
    <t>ZNF782</t>
  </si>
  <si>
    <t>NM_001001662</t>
  </si>
  <si>
    <t>P153S</t>
  </si>
  <si>
    <t>NP_001001662</t>
  </si>
  <si>
    <t>GRIN3A</t>
  </si>
  <si>
    <t>NM_133445</t>
  </si>
  <si>
    <t>S309T</t>
  </si>
  <si>
    <t>NP_597702</t>
  </si>
  <si>
    <t>MLLT3</t>
  </si>
  <si>
    <t>NM_004529</t>
  </si>
  <si>
    <t>R437G</t>
  </si>
  <si>
    <t>NP_004520</t>
  </si>
  <si>
    <t>S904T</t>
  </si>
  <si>
    <t>NP_060715</t>
  </si>
  <si>
    <t>NM_020383</t>
  </si>
  <si>
    <t>K137E</t>
  </si>
  <si>
    <t>NP_065116</t>
  </si>
  <si>
    <t>V434G</t>
  </si>
  <si>
    <t>NP_003371</t>
  </si>
  <si>
    <t>C257F</t>
  </si>
  <si>
    <t>OR5W2</t>
  </si>
  <si>
    <t>NM_001001960</t>
  </si>
  <si>
    <t>L276F</t>
  </si>
  <si>
    <t>NP_001001960</t>
  </si>
  <si>
    <t>S255Y</t>
  </si>
  <si>
    <t>G3025C</t>
  </si>
  <si>
    <t>ARNTL</t>
  </si>
  <si>
    <t>NM_001178</t>
  </si>
  <si>
    <t>R83Q</t>
  </si>
  <si>
    <t>NP_001169</t>
  </si>
  <si>
    <t>H612N</t>
  </si>
  <si>
    <t>H790Y</t>
  </si>
  <si>
    <t>NP_065134</t>
  </si>
  <si>
    <t>TSPAN8</t>
  </si>
  <si>
    <t>NM_004616</t>
  </si>
  <si>
    <t>C75F</t>
  </si>
  <si>
    <t>NP_004607</t>
  </si>
  <si>
    <t>SLC6A15</t>
  </si>
  <si>
    <t>NM_182767</t>
  </si>
  <si>
    <t>F358Y</t>
  </si>
  <si>
    <t>PASS,rs141120120</t>
  </si>
  <si>
    <t>NP_877499</t>
  </si>
  <si>
    <t>N327K</t>
  </si>
  <si>
    <t>NP_067052</t>
  </si>
  <si>
    <t>TXNRD1</t>
  </si>
  <si>
    <t>NM_001093771</t>
  </si>
  <si>
    <t>S335F</t>
  </si>
  <si>
    <t>NP_001087240.1</t>
  </si>
  <si>
    <t>NM_018413</t>
  </si>
  <si>
    <t>R81Q</t>
  </si>
  <si>
    <t>NP_060883</t>
  </si>
  <si>
    <t>NP_001138430</t>
  </si>
  <si>
    <t>SACS</t>
  </si>
  <si>
    <t>NM_014363</t>
  </si>
  <si>
    <t>S3252T</t>
  </si>
  <si>
    <t>NP_055178</t>
  </si>
  <si>
    <t>FAM123A</t>
  </si>
  <si>
    <t>NM_152704</t>
  </si>
  <si>
    <t>R583G</t>
  </si>
  <si>
    <t>NP_689917</t>
  </si>
  <si>
    <t>K412*</t>
  </si>
  <si>
    <t>NP_000312</t>
  </si>
  <si>
    <t>RPGRIP1</t>
  </si>
  <si>
    <t>NM_020366</t>
  </si>
  <si>
    <t>R700L</t>
  </si>
  <si>
    <t>NP_065099</t>
  </si>
  <si>
    <t>G260R</t>
  </si>
  <si>
    <t>A756V</t>
  </si>
  <si>
    <t>NP_005468</t>
  </si>
  <si>
    <t>NM_139057</t>
  </si>
  <si>
    <t>G249R</t>
  </si>
  <si>
    <t>NP_620688</t>
  </si>
  <si>
    <t>I243F</t>
  </si>
  <si>
    <t>V223M</t>
  </si>
  <si>
    <t>NP_000266</t>
  </si>
  <si>
    <t>Y771D</t>
  </si>
  <si>
    <t>NM_138994</t>
  </si>
  <si>
    <t>W628*</t>
  </si>
  <si>
    <t>NP_620481</t>
  </si>
  <si>
    <t>ABCA8</t>
  </si>
  <si>
    <t>NM_007168</t>
  </si>
  <si>
    <t>S1084F</t>
  </si>
  <si>
    <t>NP_009099</t>
  </si>
  <si>
    <t>G245D</t>
  </si>
  <si>
    <t>PASS,rs121912656,CM900209,CM010464,COSM11196,COSM43965,COSM39293,COSM43606,COSM42810,COSM45770,COSM131475,COSM131476,COSM131477</t>
  </si>
  <si>
    <t>Q131P</t>
  </si>
  <si>
    <t>G551D</t>
  </si>
  <si>
    <t>WNK4</t>
  </si>
  <si>
    <t>NM_032387</t>
  </si>
  <si>
    <t>A147G</t>
  </si>
  <si>
    <t>NP_115763</t>
  </si>
  <si>
    <t>R56W</t>
  </si>
  <si>
    <t>NP_114097</t>
  </si>
  <si>
    <t>KIAA1468</t>
  </si>
  <si>
    <t>NM_020854</t>
  </si>
  <si>
    <t>R1082Q</t>
  </si>
  <si>
    <t>NP_065905</t>
  </si>
  <si>
    <t>SLC39A6</t>
  </si>
  <si>
    <t>NM_012319</t>
  </si>
  <si>
    <t>D488Y</t>
  </si>
  <si>
    <t>NP_036451</t>
  </si>
  <si>
    <t>A251S</t>
  </si>
  <si>
    <t>NP_001965</t>
  </si>
  <si>
    <t>F1150S</t>
  </si>
  <si>
    <t>NM_001080543</t>
  </si>
  <si>
    <t>M614V</t>
  </si>
  <si>
    <t>NP_001074012</t>
  </si>
  <si>
    <t>GRWD1</t>
  </si>
  <si>
    <t>NM_031485</t>
  </si>
  <si>
    <t>I286V</t>
  </si>
  <si>
    <t>NP_113673</t>
  </si>
  <si>
    <t>XM_001717339</t>
  </si>
  <si>
    <t>H270Y</t>
  </si>
  <si>
    <t>XP_001717391</t>
  </si>
  <si>
    <t>T28A</t>
  </si>
  <si>
    <t>NP_079169</t>
  </si>
  <si>
    <t>A118E</t>
  </si>
  <si>
    <t>NP_055850</t>
  </si>
  <si>
    <t>NM_199203</t>
  </si>
  <si>
    <t>R236L</t>
  </si>
  <si>
    <t>PASS,rs143006544</t>
  </si>
  <si>
    <t>NP_954673</t>
  </si>
  <si>
    <t>KRTAP24-1</t>
  </si>
  <si>
    <t>NM_001085455</t>
  </si>
  <si>
    <t>R219*</t>
  </si>
  <si>
    <t>NP_001078924</t>
  </si>
  <si>
    <t>Q155R</t>
  </si>
  <si>
    <t>PCNT</t>
  </si>
  <si>
    <t>NM_006031</t>
  </si>
  <si>
    <t>V2162L</t>
  </si>
  <si>
    <t>NP_006022</t>
  </si>
  <si>
    <t>Gtt/Ctt</t>
  </si>
  <si>
    <t>NM_001169111</t>
  </si>
  <si>
    <t>V254A</t>
  </si>
  <si>
    <t>NP_001162582</t>
  </si>
  <si>
    <t>ARSE</t>
  </si>
  <si>
    <t>NM_000047</t>
  </si>
  <si>
    <t>L48I</t>
  </si>
  <si>
    <t>NP_000038</t>
  </si>
  <si>
    <t>NP_006035</t>
  </si>
  <si>
    <t>E2125*</t>
  </si>
  <si>
    <t>9176_T</t>
  </si>
  <si>
    <t>BMP3</t>
  </si>
  <si>
    <t>NM_001201</t>
  </si>
  <si>
    <t>K224E</t>
  </si>
  <si>
    <t>NP_001192</t>
  </si>
  <si>
    <t>R274I</t>
  </si>
  <si>
    <t>NP_000903</t>
  </si>
  <si>
    <t>CCDC87</t>
  </si>
  <si>
    <t>NM_018219</t>
  </si>
  <si>
    <t>D695N</t>
  </si>
  <si>
    <t>NP_060689</t>
  </si>
  <si>
    <t>NM_030813</t>
  </si>
  <si>
    <t>R250L</t>
  </si>
  <si>
    <t>NP_110440</t>
  </si>
  <si>
    <t>NM_006313</t>
  </si>
  <si>
    <t>V851A</t>
  </si>
  <si>
    <t>NP_006304</t>
  </si>
  <si>
    <t>D268N</t>
  </si>
  <si>
    <t>STXBP4</t>
  </si>
  <si>
    <t>NM_178509</t>
  </si>
  <si>
    <t>NP_848604</t>
  </si>
  <si>
    <t>K467Q</t>
  </si>
  <si>
    <t>S1035L</t>
  </si>
  <si>
    <t>M516V</t>
  </si>
  <si>
    <t>9149_T</t>
  </si>
  <si>
    <t>G2506W</t>
  </si>
  <si>
    <t>K103R</t>
  </si>
  <si>
    <t>OR6K2</t>
  </si>
  <si>
    <t>NM_001005279</t>
  </si>
  <si>
    <t>L82R</t>
  </si>
  <si>
    <t>NP_001005279</t>
  </si>
  <si>
    <t>KCNJ10</t>
  </si>
  <si>
    <t>NM_002241</t>
  </si>
  <si>
    <t>C140Y</t>
  </si>
  <si>
    <t>NP_002232</t>
  </si>
  <si>
    <t>Y678C</t>
  </si>
  <si>
    <t>NMNAT2</t>
  </si>
  <si>
    <t>NM_015039</t>
  </si>
  <si>
    <t>R167H</t>
  </si>
  <si>
    <t>NP_055854</t>
  </si>
  <si>
    <t>H727N</t>
  </si>
  <si>
    <t>ANKRD36C</t>
  </si>
  <si>
    <t>XM_003119864</t>
  </si>
  <si>
    <t>I2051V</t>
  </si>
  <si>
    <t>XP_003119912</t>
  </si>
  <si>
    <t>R945*</t>
  </si>
  <si>
    <t>BOC</t>
  </si>
  <si>
    <t>NM_033254</t>
  </si>
  <si>
    <t>V397I</t>
  </si>
  <si>
    <t>NP_150279</t>
  </si>
  <si>
    <t>COPG1</t>
  </si>
  <si>
    <t>NM_016128</t>
  </si>
  <si>
    <t>R32H</t>
  </si>
  <si>
    <t>NP_057212</t>
  </si>
  <si>
    <t>NM_014869</t>
  </si>
  <si>
    <t>D356N</t>
  </si>
  <si>
    <t>NP_055684</t>
  </si>
  <si>
    <t>E545K</t>
  </si>
  <si>
    <t>PASS,COSM125370,COSM27133,COSM763,rs104886003</t>
  </si>
  <si>
    <t>NP_006209</t>
  </si>
  <si>
    <t>ZNF621</t>
  </si>
  <si>
    <t>NM_001098414</t>
  </si>
  <si>
    <t>R119W</t>
  </si>
  <si>
    <t>NP_001091884</t>
  </si>
  <si>
    <t>D32G</t>
  </si>
  <si>
    <t>PASS,COSM5681,COSM5690,COSM5691</t>
  </si>
  <si>
    <t>GTDC2</t>
  </si>
  <si>
    <t>NM_032806</t>
  </si>
  <si>
    <t>E531V</t>
  </si>
  <si>
    <t>NP_116195</t>
  </si>
  <si>
    <t>PCDHA4</t>
  </si>
  <si>
    <t>NM_018907</t>
  </si>
  <si>
    <t>S99R</t>
  </si>
  <si>
    <t>NP_061730</t>
  </si>
  <si>
    <t>XM_002342495</t>
  </si>
  <si>
    <t>N44D</t>
  </si>
  <si>
    <t>XP_002342536</t>
  </si>
  <si>
    <t>FAM83B</t>
  </si>
  <si>
    <t>NM_001010872</t>
  </si>
  <si>
    <t>S291L</t>
  </si>
  <si>
    <t>NP_001010872</t>
  </si>
  <si>
    <t>M1I</t>
  </si>
  <si>
    <t>NCR2</t>
  </si>
  <si>
    <t>NM_004828</t>
  </si>
  <si>
    <t>L208P</t>
  </si>
  <si>
    <t>NP_004819</t>
  </si>
  <si>
    <t>ZNF679</t>
  </si>
  <si>
    <t>NM_153363</t>
  </si>
  <si>
    <t>P8R</t>
  </si>
  <si>
    <t>NP_699194</t>
  </si>
  <si>
    <t>G510V</t>
  </si>
  <si>
    <t>NP_000713</t>
  </si>
  <si>
    <t>NM_017667</t>
  </si>
  <si>
    <t>M877I</t>
  </si>
  <si>
    <t>NP_060137</t>
  </si>
  <si>
    <t>DNAJB9</t>
  </si>
  <si>
    <t>NM_012328</t>
  </si>
  <si>
    <t>G164E</t>
  </si>
  <si>
    <t>NP_036460</t>
  </si>
  <si>
    <t>SPAG1</t>
  </si>
  <si>
    <t>NM_172218</t>
  </si>
  <si>
    <t>E71V</t>
  </si>
  <si>
    <t>NP_757367</t>
  </si>
  <si>
    <t>NM_006766</t>
  </si>
  <si>
    <t>K119Q</t>
  </si>
  <si>
    <t>PASS,rs77503253</t>
  </si>
  <si>
    <t>NP_006757</t>
  </si>
  <si>
    <t>ERMP1</t>
  </si>
  <si>
    <t>NM_024896</t>
  </si>
  <si>
    <t>V161I</t>
  </si>
  <si>
    <t>NP_079172</t>
  </si>
  <si>
    <t>NM_001002759</t>
  </si>
  <si>
    <t>L173I</t>
  </si>
  <si>
    <t>NP_001002759</t>
  </si>
  <si>
    <t>Q68K</t>
  </si>
  <si>
    <t>NP_057649</t>
  </si>
  <si>
    <t>S21*</t>
  </si>
  <si>
    <t>NP_000732</t>
  </si>
  <si>
    <t>T2861S</t>
  </si>
  <si>
    <t>NP_997244</t>
  </si>
  <si>
    <t>NM_138317</t>
  </si>
  <si>
    <t>G196V</t>
  </si>
  <si>
    <t>NP_612190</t>
  </si>
  <si>
    <t>D218G</t>
  </si>
  <si>
    <t>NP_000227</t>
  </si>
  <si>
    <t>EIF2AK4</t>
  </si>
  <si>
    <t>NM_001013703</t>
  </si>
  <si>
    <t>D457V</t>
  </si>
  <si>
    <t>NP_001013725</t>
  </si>
  <si>
    <t>S565F</t>
  </si>
  <si>
    <t>NP_109590</t>
  </si>
  <si>
    <t>M708V</t>
  </si>
  <si>
    <t>NP_005777</t>
  </si>
  <si>
    <t>GPR32</t>
  </si>
  <si>
    <t>NM_001506</t>
  </si>
  <si>
    <t>W185L</t>
  </si>
  <si>
    <t>NP_001497</t>
  </si>
  <si>
    <t>G359V</t>
  </si>
  <si>
    <t>S10862G</t>
  </si>
  <si>
    <t>KEAP1</t>
  </si>
  <si>
    <t>NM_203500</t>
  </si>
  <si>
    <t>E582K</t>
  </si>
  <si>
    <t>NP_987096</t>
  </si>
  <si>
    <t>H316Y</t>
  </si>
  <si>
    <t>NP_443084</t>
  </si>
  <si>
    <t>ZNF221</t>
  </si>
  <si>
    <t>NM_013359</t>
  </si>
  <si>
    <t>Q296*</t>
  </si>
  <si>
    <t>NP_037491</t>
  </si>
  <si>
    <t>NM_018197</t>
  </si>
  <si>
    <t>I87V</t>
  </si>
  <si>
    <t>NP_060667</t>
  </si>
  <si>
    <t>EPB41L1</t>
  </si>
  <si>
    <t>NM_012156</t>
  </si>
  <si>
    <t>D833V</t>
  </si>
  <si>
    <t>NP_036288</t>
  </si>
  <si>
    <t>D4N</t>
  </si>
  <si>
    <t>NP_787053</t>
  </si>
  <si>
    <t>NM_001099781</t>
  </si>
  <si>
    <t>A47V</t>
  </si>
  <si>
    <t>NP_001093251</t>
  </si>
  <si>
    <t>K1909N</t>
  </si>
  <si>
    <t>E470Q</t>
  </si>
  <si>
    <t>NP_003595</t>
  </si>
  <si>
    <t>NM_001242891</t>
  </si>
  <si>
    <t>G244D</t>
  </si>
  <si>
    <t>NP_001229820</t>
  </si>
  <si>
    <t>9193_T</t>
  </si>
  <si>
    <t>E245K</t>
  </si>
  <si>
    <t>R132C</t>
  </si>
  <si>
    <t>PASS,rs121913499,COSM28747,COSM28748,COSM28749</t>
  </si>
  <si>
    <t>NP_005887</t>
  </si>
  <si>
    <t>ST3GAL6</t>
  </si>
  <si>
    <t>NM_006100</t>
  </si>
  <si>
    <t>NP_006091</t>
  </si>
  <si>
    <t>NP_778226</t>
  </si>
  <si>
    <t>PDIA5</t>
  </si>
  <si>
    <t>NM_006810</t>
  </si>
  <si>
    <t>L156R</t>
  </si>
  <si>
    <t>NP_006801</t>
  </si>
  <si>
    <t>R2356C</t>
  </si>
  <si>
    <t>NM_002662</t>
  </si>
  <si>
    <t>N795K</t>
  </si>
  <si>
    <t>NP_002653</t>
  </si>
  <si>
    <t>NP_848591</t>
  </si>
  <si>
    <t>NM_000587</t>
  </si>
  <si>
    <t>S23C</t>
  </si>
  <si>
    <t>NP_000578</t>
  </si>
  <si>
    <t>AIM1</t>
  </si>
  <si>
    <t>NM_001624</t>
  </si>
  <si>
    <t>V547I</t>
  </si>
  <si>
    <t>PASS,rs181129946</t>
  </si>
  <si>
    <t>NP_001615</t>
  </si>
  <si>
    <t>A1921S</t>
  </si>
  <si>
    <t>T820I</t>
  </si>
  <si>
    <t>PASS,rs932840</t>
  </si>
  <si>
    <t>NM_013389</t>
  </si>
  <si>
    <t>S314R</t>
  </si>
  <si>
    <t>NP_037521</t>
  </si>
  <si>
    <t>G1290R</t>
  </si>
  <si>
    <t>NM_030927</t>
  </si>
  <si>
    <t>N165D</t>
  </si>
  <si>
    <t>NP_112189</t>
  </si>
  <si>
    <t>WDR74</t>
  </si>
  <si>
    <t>NM_018093</t>
  </si>
  <si>
    <t>R302W</t>
  </si>
  <si>
    <t>NP_060563</t>
  </si>
  <si>
    <t>NM_005269</t>
  </si>
  <si>
    <t>A108V</t>
  </si>
  <si>
    <t>NP_005260</t>
  </si>
  <si>
    <t>D665N</t>
  </si>
  <si>
    <t>NP_055953</t>
  </si>
  <si>
    <t>NM_001134771</t>
  </si>
  <si>
    <t>T335M</t>
  </si>
  <si>
    <t>NP_001128243</t>
  </si>
  <si>
    <t>YY1AP1</t>
  </si>
  <si>
    <t>NM_001198903</t>
  </si>
  <si>
    <t>A620T</t>
  </si>
  <si>
    <t>PASS,rs142531956</t>
  </si>
  <si>
    <t>NP_001185832</t>
  </si>
  <si>
    <t>9104_T</t>
  </si>
  <si>
    <t>R132G</t>
  </si>
  <si>
    <t>NM_018165</t>
  </si>
  <si>
    <t>S909*</t>
  </si>
  <si>
    <t>PASS,rs141067977</t>
  </si>
  <si>
    <t>NP_060635</t>
  </si>
  <si>
    <t>G1053S</t>
  </si>
  <si>
    <t>TARS</t>
  </si>
  <si>
    <t>NM_152295</t>
  </si>
  <si>
    <t>E224*</t>
  </si>
  <si>
    <t>NP_689508</t>
  </si>
  <si>
    <t>H506L</t>
  </si>
  <si>
    <t>NP_005484</t>
  </si>
  <si>
    <t>DLC1</t>
  </si>
  <si>
    <t>NM_182643</t>
  </si>
  <si>
    <t>A229S</t>
  </si>
  <si>
    <t>NP_872584</t>
  </si>
  <si>
    <t>NM_001831</t>
  </si>
  <si>
    <t>R371L</t>
  </si>
  <si>
    <t>NP_001822</t>
  </si>
  <si>
    <t>R999C</t>
  </si>
  <si>
    <t>PASS,COSM136658</t>
  </si>
  <si>
    <t>NP_000544</t>
  </si>
  <si>
    <t>ANKRD18B</t>
  </si>
  <si>
    <t>NM_001244752</t>
  </si>
  <si>
    <t>P1005S</t>
  </si>
  <si>
    <t>NP_001231681</t>
  </si>
  <si>
    <t>ME3</t>
  </si>
  <si>
    <t>NM_001014811</t>
  </si>
  <si>
    <t>Q391H</t>
  </si>
  <si>
    <t>NP_001014811</t>
  </si>
  <si>
    <t>E2F8</t>
  </si>
  <si>
    <t>NM_024680</t>
  </si>
  <si>
    <t>T281A</t>
  </si>
  <si>
    <t>NP_078956</t>
  </si>
  <si>
    <t>ACADS</t>
  </si>
  <si>
    <t>NM_000017</t>
  </si>
  <si>
    <t>D269Y</t>
  </si>
  <si>
    <t>NP_000008</t>
  </si>
  <si>
    <t>NALCN</t>
  </si>
  <si>
    <t>NM_052867</t>
  </si>
  <si>
    <t>A586T</t>
  </si>
  <si>
    <t>NP_443099</t>
  </si>
  <si>
    <t>S730G</t>
  </si>
  <si>
    <t>MAP2K1</t>
  </si>
  <si>
    <t>NM_002755</t>
  </si>
  <si>
    <t>K57N</t>
  </si>
  <si>
    <t>NP_002746</t>
  </si>
  <si>
    <t>GABRA5</t>
  </si>
  <si>
    <t>NM_001165037</t>
  </si>
  <si>
    <t>G438S</t>
  </si>
  <si>
    <t>PASS,rs150679383</t>
  </si>
  <si>
    <t>NP_001158509</t>
  </si>
  <si>
    <t>MT1B</t>
  </si>
  <si>
    <t>NM_005947</t>
  </si>
  <si>
    <t>G17S</t>
  </si>
  <si>
    <t>NP_005938</t>
  </si>
  <si>
    <t>D364G</t>
  </si>
  <si>
    <t>NP_004387</t>
  </si>
  <si>
    <t>ZNF677</t>
  </si>
  <si>
    <t>NM_182609</t>
  </si>
  <si>
    <t>C324Y</t>
  </si>
  <si>
    <t>NP_872415</t>
  </si>
  <si>
    <t>D295V</t>
  </si>
  <si>
    <t>NM_001164617</t>
  </si>
  <si>
    <t>R199Q</t>
  </si>
  <si>
    <t>NP_001158089</t>
  </si>
  <si>
    <t>CHD5</t>
  </si>
  <si>
    <t>NM_015557</t>
  </si>
  <si>
    <t>NP_056372.1</t>
  </si>
  <si>
    <t>9210_T</t>
  </si>
  <si>
    <t>P1117L</t>
  </si>
  <si>
    <t>Q1420E</t>
  </si>
  <si>
    <t>MCOLN3</t>
  </si>
  <si>
    <t>NM_018298</t>
  </si>
  <si>
    <t>F485L</t>
  </si>
  <si>
    <t>NP_060768</t>
  </si>
  <si>
    <t>UBL4B</t>
  </si>
  <si>
    <t>NM_203412</t>
  </si>
  <si>
    <t>H129Y</t>
  </si>
  <si>
    <t>NP_981957</t>
  </si>
  <si>
    <t>NM_198268</t>
  </si>
  <si>
    <t>L729Q</t>
  </si>
  <si>
    <t>NP_938009</t>
  </si>
  <si>
    <t>NM_001105518</t>
  </si>
  <si>
    <t>K88*</t>
  </si>
  <si>
    <t>NP_001098988</t>
  </si>
  <si>
    <t>C102*</t>
  </si>
  <si>
    <t>NP_061134</t>
  </si>
  <si>
    <t>F550C</t>
  </si>
  <si>
    <t>Q499H</t>
  </si>
  <si>
    <t>NP_005086</t>
  </si>
  <si>
    <t>NM_001002755</t>
  </si>
  <si>
    <t>Y138C</t>
  </si>
  <si>
    <t>NP_001002755</t>
  </si>
  <si>
    <t>Y486C</t>
  </si>
  <si>
    <t>G3667R</t>
  </si>
  <si>
    <t>E3666G</t>
  </si>
  <si>
    <t>NM_001142644</t>
  </si>
  <si>
    <t>G1143A</t>
  </si>
  <si>
    <t>NP_001136116</t>
  </si>
  <si>
    <t>A493P</t>
  </si>
  <si>
    <t>NP_004817</t>
  </si>
  <si>
    <t>NM_152879</t>
  </si>
  <si>
    <t>NP_690618</t>
  </si>
  <si>
    <t>CNTN3</t>
  </si>
  <si>
    <t>NM_020872</t>
  </si>
  <si>
    <t>P770S</t>
  </si>
  <si>
    <t>NP_065923</t>
  </si>
  <si>
    <t>N1137H</t>
  </si>
  <si>
    <t>ZNF501</t>
  </si>
  <si>
    <t>NM_145044</t>
  </si>
  <si>
    <t>T226S</t>
  </si>
  <si>
    <t>NP_659481</t>
  </si>
  <si>
    <t>FAM13A</t>
  </si>
  <si>
    <t>NM_014883</t>
  </si>
  <si>
    <t>E150Q</t>
  </si>
  <si>
    <t>NP_055698</t>
  </si>
  <si>
    <t>SEC24B</t>
  </si>
  <si>
    <t>NM_006323</t>
  </si>
  <si>
    <t>V838I</t>
  </si>
  <si>
    <t>NP_006314</t>
  </si>
  <si>
    <t>EXOSC9</t>
  </si>
  <si>
    <t>NM_001034194</t>
  </si>
  <si>
    <t>M106L</t>
  </si>
  <si>
    <t>NP_001029366</t>
  </si>
  <si>
    <t>NM_000038</t>
  </si>
  <si>
    <t>PASS,CS031429</t>
  </si>
  <si>
    <t>NP_000029</t>
  </si>
  <si>
    <t>TRAM2</t>
  </si>
  <si>
    <t>NM_012288</t>
  </si>
  <si>
    <t>N351S</t>
  </si>
  <si>
    <t>NP_036420</t>
  </si>
  <si>
    <t>PHIP</t>
  </si>
  <si>
    <t>NM_017934</t>
  </si>
  <si>
    <t>L1422V</t>
  </si>
  <si>
    <t>NP_060404</t>
  </si>
  <si>
    <t>A104T</t>
  </si>
  <si>
    <t>NP_003505</t>
  </si>
  <si>
    <t>C4A</t>
  </si>
  <si>
    <t>NM_007293</t>
  </si>
  <si>
    <t>L1210R</t>
  </si>
  <si>
    <t>PASS,rs74322619</t>
  </si>
  <si>
    <t>NP_009224</t>
  </si>
  <si>
    <t>D209Y</t>
  </si>
  <si>
    <t>NP_899229</t>
  </si>
  <si>
    <t>NM_001159279</t>
  </si>
  <si>
    <t>P323H</t>
  </si>
  <si>
    <t>NP_001152751</t>
  </si>
  <si>
    <t>E1191Q</t>
  </si>
  <si>
    <t>NP_001157413</t>
  </si>
  <si>
    <t>NM_013393</t>
  </si>
  <si>
    <t>D183G</t>
  </si>
  <si>
    <t>NP_037525</t>
  </si>
  <si>
    <t>F143L</t>
  </si>
  <si>
    <t>NP_150093</t>
  </si>
  <si>
    <t>JRK</t>
  </si>
  <si>
    <t>NM_001077527</t>
  </si>
  <si>
    <t>K14N</t>
  </si>
  <si>
    <t>NP_001070995</t>
  </si>
  <si>
    <t>K2490N</t>
  </si>
  <si>
    <t>I435T</t>
  </si>
  <si>
    <t>W1382*</t>
  </si>
  <si>
    <t>H1221R</t>
  </si>
  <si>
    <t>NP_001138668</t>
  </si>
  <si>
    <t>NCOA4</t>
  </si>
  <si>
    <t>NM_001145260</t>
  </si>
  <si>
    <t>L130Q</t>
  </si>
  <si>
    <t>NP_001138732.1</t>
  </si>
  <si>
    <t>PTPRE</t>
  </si>
  <si>
    <t>NM_006504</t>
  </si>
  <si>
    <t>D399Y</t>
  </si>
  <si>
    <t>NP_006495</t>
  </si>
  <si>
    <t>FANCF</t>
  </si>
  <si>
    <t>NM_022725</t>
  </si>
  <si>
    <t>Q316E</t>
  </si>
  <si>
    <t>NP_073562</t>
  </si>
  <si>
    <t>G52D</t>
  </si>
  <si>
    <t>MLL2</t>
  </si>
  <si>
    <t>NM_003482</t>
  </si>
  <si>
    <t>G4303S</t>
  </si>
  <si>
    <t>NP_003473</t>
  </si>
  <si>
    <t>PPP1R13B</t>
  </si>
  <si>
    <t>NM_015316</t>
  </si>
  <si>
    <t>R101Q</t>
  </si>
  <si>
    <t>NP_056131</t>
  </si>
  <si>
    <t>F4463L</t>
  </si>
  <si>
    <t>K2346N</t>
  </si>
  <si>
    <t>KIF7</t>
  </si>
  <si>
    <t>NM_198525</t>
  </si>
  <si>
    <t>E1239K</t>
  </si>
  <si>
    <t>NP_940927</t>
  </si>
  <si>
    <t>H370Q</t>
  </si>
  <si>
    <t>BCAR1</t>
  </si>
  <si>
    <t>NM_001170714</t>
  </si>
  <si>
    <t>E250K</t>
  </si>
  <si>
    <t>NP_001164185</t>
  </si>
  <si>
    <t>KLHDC4</t>
  </si>
  <si>
    <t>NM_017566</t>
  </si>
  <si>
    <t>R341H</t>
  </si>
  <si>
    <t>NP_060036</t>
  </si>
  <si>
    <t>PARN</t>
  </si>
  <si>
    <t>NM_002582</t>
  </si>
  <si>
    <t>R605K</t>
  </si>
  <si>
    <t>NP_002573</t>
  </si>
  <si>
    <t>OR1F1</t>
  </si>
  <si>
    <t>NM_012360</t>
  </si>
  <si>
    <t>A125T</t>
  </si>
  <si>
    <t>NP_036492</t>
  </si>
  <si>
    <t>NM_001190411</t>
  </si>
  <si>
    <t>W200*</t>
  </si>
  <si>
    <t>NP_001177340</t>
  </si>
  <si>
    <t>ANKFN1</t>
  </si>
  <si>
    <t>NM_153228</t>
  </si>
  <si>
    <t>M150I</t>
  </si>
  <si>
    <t>NP_694960</t>
  </si>
  <si>
    <t>A2T</t>
  </si>
  <si>
    <t>NP_001094065</t>
  </si>
  <si>
    <t>R8G</t>
  </si>
  <si>
    <t>NP_060619</t>
  </si>
  <si>
    <t>L414P</t>
  </si>
  <si>
    <t>NP_004850</t>
  </si>
  <si>
    <t>AZI1</t>
  </si>
  <si>
    <t>NM_014984</t>
  </si>
  <si>
    <t>R13C</t>
  </si>
  <si>
    <t>NP_055799</t>
  </si>
  <si>
    <t>NM_001094</t>
  </si>
  <si>
    <t>L463I</t>
  </si>
  <si>
    <t>NP_001085</t>
  </si>
  <si>
    <t>E1631A</t>
  </si>
  <si>
    <t>EPB41L3</t>
  </si>
  <si>
    <t>NM_012307</t>
  </si>
  <si>
    <t>K952Q</t>
  </si>
  <si>
    <t>NP_036439.2</t>
  </si>
  <si>
    <t>A193T</t>
  </si>
  <si>
    <t>E131K</t>
  </si>
  <si>
    <t>NP_789790</t>
  </si>
  <si>
    <t>Q133*</t>
  </si>
  <si>
    <t>S5293F</t>
  </si>
  <si>
    <t>NM_033196</t>
  </si>
  <si>
    <t>S94A</t>
  </si>
  <si>
    <t>NP_149973</t>
  </si>
  <si>
    <t>XM_001719792</t>
  </si>
  <si>
    <t>K672R</t>
  </si>
  <si>
    <t>XP_001719844</t>
  </si>
  <si>
    <t>P1119Q</t>
  </si>
  <si>
    <t>NP_055532</t>
  </si>
  <si>
    <t>C20orf194</t>
  </si>
  <si>
    <t>NM_001009984</t>
  </si>
  <si>
    <t>L612R</t>
  </si>
  <si>
    <t>NP_001009984</t>
  </si>
  <si>
    <t>RBM12</t>
  </si>
  <si>
    <t>NM_001198838</t>
  </si>
  <si>
    <t>V886L</t>
  </si>
  <si>
    <t>NP_001185767</t>
  </si>
  <si>
    <t>NM_021100</t>
  </si>
  <si>
    <t>R277H</t>
  </si>
  <si>
    <t>NP_066923</t>
  </si>
  <si>
    <t>Y830C</t>
  </si>
  <si>
    <t>W905*</t>
  </si>
  <si>
    <t>OSBPL9</t>
  </si>
  <si>
    <t>NM_148909</t>
  </si>
  <si>
    <t>A375T</t>
  </si>
  <si>
    <t>NP_683707</t>
  </si>
  <si>
    <t>9227_T</t>
  </si>
  <si>
    <t>G28D</t>
  </si>
  <si>
    <t>NP_997253</t>
  </si>
  <si>
    <t>A174T</t>
  </si>
  <si>
    <t>D480N</t>
  </si>
  <si>
    <t>IL23R</t>
  </si>
  <si>
    <t>NM_144701</t>
  </si>
  <si>
    <t>S499N</t>
  </si>
  <si>
    <t>NP_653302</t>
  </si>
  <si>
    <t>P68L</t>
  </si>
  <si>
    <t>NP_004666</t>
  </si>
  <si>
    <t>P654L</t>
  </si>
  <si>
    <t>G312R</t>
  </si>
  <si>
    <t>G510S</t>
  </si>
  <si>
    <t>G431D</t>
  </si>
  <si>
    <t>NP_056349</t>
  </si>
  <si>
    <t>RPF1</t>
  </si>
  <si>
    <t>NM_025065</t>
  </si>
  <si>
    <t>NP_079341</t>
  </si>
  <si>
    <t>SSX2IP</t>
  </si>
  <si>
    <t>NM_001166293</t>
  </si>
  <si>
    <t>D506N</t>
  </si>
  <si>
    <t>NP_001159765</t>
  </si>
  <si>
    <t>DDAH1</t>
  </si>
  <si>
    <t>NM_012137</t>
  </si>
  <si>
    <t>P183S</t>
  </si>
  <si>
    <t>NP_036269</t>
  </si>
  <si>
    <t>V305I</t>
  </si>
  <si>
    <t>P759S</t>
  </si>
  <si>
    <t>SH3GLB1</t>
  </si>
  <si>
    <t>NM_001206651</t>
  </si>
  <si>
    <t>NP_001193580</t>
  </si>
  <si>
    <t>ABCA4</t>
  </si>
  <si>
    <t>NM_000350</t>
  </si>
  <si>
    <t>A1255V</t>
  </si>
  <si>
    <t>NP_000341</t>
  </si>
  <si>
    <t>CNN3</t>
  </si>
  <si>
    <t>NM_001839</t>
  </si>
  <si>
    <t>V163I</t>
  </si>
  <si>
    <t>NP_001830</t>
  </si>
  <si>
    <t>NM_001037317</t>
  </si>
  <si>
    <t>A27T</t>
  </si>
  <si>
    <t>NP_001032394</t>
  </si>
  <si>
    <t>FRRS1</t>
  </si>
  <si>
    <t>NM_001013660</t>
  </si>
  <si>
    <t>M501I</t>
  </si>
  <si>
    <t>NP_001013682</t>
  </si>
  <si>
    <t>RTCA</t>
  </si>
  <si>
    <t>NM_001130841</t>
  </si>
  <si>
    <t>NP_001124313</t>
  </si>
  <si>
    <t>VCAM1</t>
  </si>
  <si>
    <t>NM_001078</t>
  </si>
  <si>
    <t>G478E</t>
  </si>
  <si>
    <t>NP_001069</t>
  </si>
  <si>
    <t>G1486R</t>
  </si>
  <si>
    <t>G581D</t>
  </si>
  <si>
    <t>AMY2B</t>
  </si>
  <si>
    <t>NM_020978</t>
  </si>
  <si>
    <t>G324R</t>
  </si>
  <si>
    <t>NP_066188</t>
  </si>
  <si>
    <t>HENMT1</t>
  </si>
  <si>
    <t>NM_001102592</t>
  </si>
  <si>
    <t>L241P</t>
  </si>
  <si>
    <t>NP_001096062</t>
  </si>
  <si>
    <t>SORT1</t>
  </si>
  <si>
    <t>NM_002959</t>
  </si>
  <si>
    <t>G521R</t>
  </si>
  <si>
    <t>NP_002950</t>
  </si>
  <si>
    <t>G460R</t>
  </si>
  <si>
    <t>NM_001001998</t>
  </si>
  <si>
    <t>R221Q</t>
  </si>
  <si>
    <t>NP_001001998</t>
  </si>
  <si>
    <t>NM_003051</t>
  </si>
  <si>
    <t>G317R</t>
  </si>
  <si>
    <t>NP_003042</t>
  </si>
  <si>
    <t>A232V</t>
  </si>
  <si>
    <t>A182T</t>
  </si>
  <si>
    <t>A419T</t>
  </si>
  <si>
    <t>ADAM30</t>
  </si>
  <si>
    <t>NM_021794</t>
  </si>
  <si>
    <t>S371N</t>
  </si>
  <si>
    <t>NP_068566</t>
  </si>
  <si>
    <t>NM_024408</t>
  </si>
  <si>
    <t>C115Y</t>
  </si>
  <si>
    <t>NP_077719</t>
  </si>
  <si>
    <t>HNRNPCL1</t>
  </si>
  <si>
    <t>NM_001136561</t>
  </si>
  <si>
    <t>A128V</t>
  </si>
  <si>
    <t>NP_001130033</t>
  </si>
  <si>
    <t>PDE4DIP</t>
  </si>
  <si>
    <t>NM_001198834</t>
  </si>
  <si>
    <t>G1080S</t>
  </si>
  <si>
    <t>NP_001185763</t>
  </si>
  <si>
    <t>NM_014455</t>
  </si>
  <si>
    <t>S252N</t>
  </si>
  <si>
    <t>NP_055270</t>
  </si>
  <si>
    <t>E621K</t>
  </si>
  <si>
    <t>NP_004689</t>
  </si>
  <si>
    <t>NM_003944</t>
  </si>
  <si>
    <t>G447R</t>
  </si>
  <si>
    <t>NP_003935</t>
  </si>
  <si>
    <t>Q536*</t>
  </si>
  <si>
    <t>G696D</t>
  </si>
  <si>
    <t>G378R</t>
  </si>
  <si>
    <t>G2440R</t>
  </si>
  <si>
    <t>A1778T</t>
  </si>
  <si>
    <t>R1595Q</t>
  </si>
  <si>
    <t>LCE2D</t>
  </si>
  <si>
    <t>NM_178430</t>
  </si>
  <si>
    <t>T21I</t>
  </si>
  <si>
    <t>NP_848517</t>
  </si>
  <si>
    <t>SPRR1B</t>
  </si>
  <si>
    <t>NM_003125</t>
  </si>
  <si>
    <t>P32S</t>
  </si>
  <si>
    <t>NP_003116</t>
  </si>
  <si>
    <t>NUP210L</t>
  </si>
  <si>
    <t>NM_207308</t>
  </si>
  <si>
    <t>A1350T</t>
  </si>
  <si>
    <t>NP_997191</t>
  </si>
  <si>
    <t>NM_002249</t>
  </si>
  <si>
    <t>T430I</t>
  </si>
  <si>
    <t>NP_002240</t>
  </si>
  <si>
    <t>GON4L</t>
  </si>
  <si>
    <t>NM_001037533</t>
  </si>
  <si>
    <t>S1537N</t>
  </si>
  <si>
    <t>NP_001032622</t>
  </si>
  <si>
    <t>P261L</t>
  </si>
  <si>
    <t>NP_871001</t>
  </si>
  <si>
    <t>E424K</t>
  </si>
  <si>
    <t>BCAN</t>
  </si>
  <si>
    <t>NM_021948</t>
  </si>
  <si>
    <t>R347C</t>
  </si>
  <si>
    <t>NP_068767</t>
  </si>
  <si>
    <t>E1260K</t>
  </si>
  <si>
    <t>NP_006608</t>
  </si>
  <si>
    <t>SH2D2A</t>
  </si>
  <si>
    <t>NM_003975</t>
  </si>
  <si>
    <t>G298E</t>
  </si>
  <si>
    <t>NP_003966.2</t>
  </si>
  <si>
    <t>FCRL3</t>
  </si>
  <si>
    <t>NM_052939</t>
  </si>
  <si>
    <t>A552V</t>
  </si>
  <si>
    <t>NP_443171</t>
  </si>
  <si>
    <t>FCRL2</t>
  </si>
  <si>
    <t>NM_030764</t>
  </si>
  <si>
    <t>A346V</t>
  </si>
  <si>
    <t>NP_110391</t>
  </si>
  <si>
    <t>T182I</t>
  </si>
  <si>
    <t>NP_005522</t>
  </si>
  <si>
    <t>P163L</t>
  </si>
  <si>
    <t>ATP1A2</t>
  </si>
  <si>
    <t>NM_000702</t>
  </si>
  <si>
    <t>G874D</t>
  </si>
  <si>
    <t>NP_000693</t>
  </si>
  <si>
    <t>SLAMF6</t>
  </si>
  <si>
    <t>NM_052931</t>
  </si>
  <si>
    <t>R85Q</t>
  </si>
  <si>
    <t>NP_443163</t>
  </si>
  <si>
    <t>P83S</t>
  </si>
  <si>
    <t>NP_056256</t>
  </si>
  <si>
    <t>V1607L</t>
  </si>
  <si>
    <t>NP_055816</t>
  </si>
  <si>
    <t>G174S</t>
  </si>
  <si>
    <t>NP_848645</t>
  </si>
  <si>
    <t>NM_001145277</t>
  </si>
  <si>
    <t>NP_001138749</t>
  </si>
  <si>
    <t>E861K</t>
  </si>
  <si>
    <t>G362D</t>
  </si>
  <si>
    <t>NP_002996</t>
  </si>
  <si>
    <t>G179E</t>
  </si>
  <si>
    <t>SELL</t>
  </si>
  <si>
    <t>NM_000655</t>
  </si>
  <si>
    <t>E90K</t>
  </si>
  <si>
    <t>NP_000646</t>
  </si>
  <si>
    <t>METTL18</t>
  </si>
  <si>
    <t>NM_033418</t>
  </si>
  <si>
    <t>P247S</t>
  </si>
  <si>
    <t>NP_219486</t>
  </si>
  <si>
    <t>NM_014857</t>
  </si>
  <si>
    <t>A628T</t>
  </si>
  <si>
    <t>NP_055672</t>
  </si>
  <si>
    <t>A563T</t>
  </si>
  <si>
    <t>NP_003276</t>
  </si>
  <si>
    <t>P321S</t>
  </si>
  <si>
    <t>P1116L</t>
  </si>
  <si>
    <t>P1738L</t>
  </si>
  <si>
    <t>DHX9</t>
  </si>
  <si>
    <t>NM_001357</t>
  </si>
  <si>
    <t>P1126S</t>
  </si>
  <si>
    <t>NP_001348</t>
  </si>
  <si>
    <t>APOBEC4</t>
  </si>
  <si>
    <t>NM_203454</t>
  </si>
  <si>
    <t>T252I</t>
  </si>
  <si>
    <t>NP_982279</t>
  </si>
  <si>
    <t>P3286S</t>
  </si>
  <si>
    <t>NM_017847</t>
  </si>
  <si>
    <t>G32E</t>
  </si>
  <si>
    <t>NP_060317</t>
  </si>
  <si>
    <t>V577I</t>
  </si>
  <si>
    <t>NP_000954</t>
  </si>
  <si>
    <t>R228C</t>
  </si>
  <si>
    <t>NM_198503</t>
  </si>
  <si>
    <t>G871S</t>
  </si>
  <si>
    <t>NP_940905</t>
  </si>
  <si>
    <t>ASPM</t>
  </si>
  <si>
    <t>NM_018136</t>
  </si>
  <si>
    <t>R2257K</t>
  </si>
  <si>
    <t>NP_060606</t>
  </si>
  <si>
    <t>N78I</t>
  </si>
  <si>
    <t>G859R</t>
  </si>
  <si>
    <t>P1036L</t>
  </si>
  <si>
    <t>S1375N</t>
  </si>
  <si>
    <t>PPFIA4</t>
  </si>
  <si>
    <t>NM_015053</t>
  </si>
  <si>
    <t>C484Y</t>
  </si>
  <si>
    <t>NP_055868</t>
  </si>
  <si>
    <t>PPP1R15B</t>
  </si>
  <si>
    <t>NM_032833</t>
  </si>
  <si>
    <t>S614N</t>
  </si>
  <si>
    <t>NP_116222</t>
  </si>
  <si>
    <t>NM_001005388</t>
  </si>
  <si>
    <t>T935I</t>
  </si>
  <si>
    <t>NP_001005388</t>
  </si>
  <si>
    <t>V249M</t>
  </si>
  <si>
    <t>CR2</t>
  </si>
  <si>
    <t>NM_001877</t>
  </si>
  <si>
    <t>G262R</t>
  </si>
  <si>
    <t>NP_001868.2</t>
  </si>
  <si>
    <t>RCOR3</t>
  </si>
  <si>
    <t>NM_001136223</t>
  </si>
  <si>
    <t>W125*</t>
  </si>
  <si>
    <t>NP_001129695</t>
  </si>
  <si>
    <t>SLC30A1</t>
  </si>
  <si>
    <t>NM_021194</t>
  </si>
  <si>
    <t>W273*</t>
  </si>
  <si>
    <t>NP_067017</t>
  </si>
  <si>
    <t>ANGEL2</t>
  </si>
  <si>
    <t>NM_144567</t>
  </si>
  <si>
    <t>W95*</t>
  </si>
  <si>
    <t>NP_653168</t>
  </si>
  <si>
    <t>S2521N</t>
  </si>
  <si>
    <t>A2046T</t>
  </si>
  <si>
    <t>NBPF3</t>
  </si>
  <si>
    <t>NM_032264</t>
  </si>
  <si>
    <t>V155I</t>
  </si>
  <si>
    <t>NP_115640</t>
  </si>
  <si>
    <t>MIA3</t>
  </si>
  <si>
    <t>NM_198551</t>
  </si>
  <si>
    <t>E1277K</t>
  </si>
  <si>
    <t>NP_940953</t>
  </si>
  <si>
    <t>SUSD4</t>
  </si>
  <si>
    <t>NM_017982</t>
  </si>
  <si>
    <t>G213E</t>
  </si>
  <si>
    <t>NP_060452</t>
  </si>
  <si>
    <t>G234D</t>
  </si>
  <si>
    <t>NP_055991</t>
  </si>
  <si>
    <t>NVL</t>
  </si>
  <si>
    <t>NM_002533</t>
  </si>
  <si>
    <t>G254R</t>
  </si>
  <si>
    <t>NP_002524</t>
  </si>
  <si>
    <t>D2524Y</t>
  </si>
  <si>
    <t>R983K</t>
  </si>
  <si>
    <t>E355K</t>
  </si>
  <si>
    <t>G213R</t>
  </si>
  <si>
    <t>Q1361*</t>
  </si>
  <si>
    <t>A1492V</t>
  </si>
  <si>
    <t>R3746K</t>
  </si>
  <si>
    <t>ACTA1</t>
  </si>
  <si>
    <t>NM_001100</t>
  </si>
  <si>
    <t>Q123*</t>
  </si>
  <si>
    <t>NP_001091</t>
  </si>
  <si>
    <t>C1orf131</t>
  </si>
  <si>
    <t>NM_152379</t>
  </si>
  <si>
    <t>R264Q</t>
  </si>
  <si>
    <t>NP_689592</t>
  </si>
  <si>
    <t>EPHB2</t>
  </si>
  <si>
    <t>NM_004442</t>
  </si>
  <si>
    <t>P290L</t>
  </si>
  <si>
    <t>NP_004433</t>
  </si>
  <si>
    <t>W185*</t>
  </si>
  <si>
    <t>NP_003263</t>
  </si>
  <si>
    <t>FH</t>
  </si>
  <si>
    <t>NM_000143</t>
  </si>
  <si>
    <t>V436M</t>
  </si>
  <si>
    <t>NP_000134</t>
  </si>
  <si>
    <t>AKT3</t>
  </si>
  <si>
    <t>NM_005465</t>
  </si>
  <si>
    <t>G160E</t>
  </si>
  <si>
    <t>NP_005456</t>
  </si>
  <si>
    <t>CNST</t>
  </si>
  <si>
    <t>NM_152609</t>
  </si>
  <si>
    <t>G714R</t>
  </si>
  <si>
    <t>NP_689822</t>
  </si>
  <si>
    <t>AHCTF1</t>
  </si>
  <si>
    <t>NM_015446</t>
  </si>
  <si>
    <t>G428E</t>
  </si>
  <si>
    <t>NP_056261</t>
  </si>
  <si>
    <t>OR2W5</t>
  </si>
  <si>
    <t>NM_001004698</t>
  </si>
  <si>
    <t>A262T</t>
  </si>
  <si>
    <t>NP_001004698</t>
  </si>
  <si>
    <t>OR1C1</t>
  </si>
  <si>
    <t>NM_012353</t>
  </si>
  <si>
    <t>R293K</t>
  </si>
  <si>
    <t>NP_036485</t>
  </si>
  <si>
    <t>OR2M3</t>
  </si>
  <si>
    <t>NM_001004689</t>
  </si>
  <si>
    <t>A119V</t>
  </si>
  <si>
    <t>NP_001004689</t>
  </si>
  <si>
    <t>OR2G6</t>
  </si>
  <si>
    <t>NM_001013355</t>
  </si>
  <si>
    <t>L39F</t>
  </si>
  <si>
    <t>NP_001013373</t>
  </si>
  <si>
    <t>G238S</t>
  </si>
  <si>
    <t>NM_001193308</t>
  </si>
  <si>
    <t>L310F</t>
  </si>
  <si>
    <t>NP_001180237</t>
  </si>
  <si>
    <t>GPR3</t>
  </si>
  <si>
    <t>NM_005281</t>
  </si>
  <si>
    <t>G51D</t>
  </si>
  <si>
    <t>NP_005272</t>
  </si>
  <si>
    <t>GMEB1</t>
  </si>
  <si>
    <t>NM_024482</t>
  </si>
  <si>
    <t>V318I</t>
  </si>
  <si>
    <t>NP_077808</t>
  </si>
  <si>
    <t>PUM1</t>
  </si>
  <si>
    <t>NM_001020658</t>
  </si>
  <si>
    <t>G313S</t>
  </si>
  <si>
    <t>NP_001018494</t>
  </si>
  <si>
    <t>A2285T</t>
  </si>
  <si>
    <t>NP_443128.2</t>
  </si>
  <si>
    <t>L177F</t>
  </si>
  <si>
    <t>G576S</t>
  </si>
  <si>
    <t>EIF2C4</t>
  </si>
  <si>
    <t>NM_017629</t>
  </si>
  <si>
    <t>G390S</t>
  </si>
  <si>
    <t>NP_060099</t>
  </si>
  <si>
    <t>G1720R</t>
  </si>
  <si>
    <t>NP_036222</t>
  </si>
  <si>
    <t>A3181T</t>
  </si>
  <si>
    <t>G5101E</t>
  </si>
  <si>
    <t>CCDC30</t>
  </si>
  <si>
    <t>NM_001080850</t>
  </si>
  <si>
    <t>D552N</t>
  </si>
  <si>
    <t>NP_001074319</t>
  </si>
  <si>
    <t>ST3GAL3</t>
  </si>
  <si>
    <t>NM_174963</t>
  </si>
  <si>
    <t>E191*</t>
  </si>
  <si>
    <t>NP_777623</t>
  </si>
  <si>
    <t>P89S</t>
  </si>
  <si>
    <t>NP_060620</t>
  </si>
  <si>
    <t>G1194E</t>
  </si>
  <si>
    <t>P1117S</t>
  </si>
  <si>
    <t>NM_016115</t>
  </si>
  <si>
    <t>E229K</t>
  </si>
  <si>
    <t>NP_057199</t>
  </si>
  <si>
    <t>NM_020532</t>
  </si>
  <si>
    <t>T873I</t>
  </si>
  <si>
    <t>NP_065393</t>
  </si>
  <si>
    <t>G460E</t>
  </si>
  <si>
    <t>NP_001073902</t>
  </si>
  <si>
    <t>NM_015252</t>
  </si>
  <si>
    <t>G440E</t>
  </si>
  <si>
    <t>NP_056067</t>
  </si>
  <si>
    <t>R1337K</t>
  </si>
  <si>
    <t>STAMBP</t>
  </si>
  <si>
    <t>NM_201647</t>
  </si>
  <si>
    <t>NP_964010</t>
  </si>
  <si>
    <t>REG1A</t>
  </si>
  <si>
    <t>NM_002909</t>
  </si>
  <si>
    <t>P30L</t>
  </si>
  <si>
    <t>NP_002900</t>
  </si>
  <si>
    <t>G20S</t>
  </si>
  <si>
    <t>NP_938015</t>
  </si>
  <si>
    <t>KIDINS220</t>
  </si>
  <si>
    <t>NM_020738</t>
  </si>
  <si>
    <t>E81K</t>
  </si>
  <si>
    <t>NP_065789</t>
  </si>
  <si>
    <t>T426I</t>
  </si>
  <si>
    <t>NM_001242559</t>
  </si>
  <si>
    <t>NP_001229488</t>
  </si>
  <si>
    <t>NP_006258</t>
  </si>
  <si>
    <t>G1014E</t>
  </si>
  <si>
    <t>R1294H</t>
  </si>
  <si>
    <t>NP_004841</t>
  </si>
  <si>
    <t>IL1B</t>
  </si>
  <si>
    <t>NM_000576</t>
  </si>
  <si>
    <t>R120*</t>
  </si>
  <si>
    <t>NP_000567</t>
  </si>
  <si>
    <t>G70D</t>
  </si>
  <si>
    <t>NP_062564</t>
  </si>
  <si>
    <t>IL36A</t>
  </si>
  <si>
    <t>NM_014440</t>
  </si>
  <si>
    <t>NP_055255</t>
  </si>
  <si>
    <t>S130F</t>
  </si>
  <si>
    <t>NP_775270</t>
  </si>
  <si>
    <t>XM_003403503</t>
  </si>
  <si>
    <t>S87N</t>
  </si>
  <si>
    <t>XP_003403551</t>
  </si>
  <si>
    <t>GREB1</t>
  </si>
  <si>
    <t>NM_014668</t>
  </si>
  <si>
    <t>A1582T</t>
  </si>
  <si>
    <t>NP_055483</t>
  </si>
  <si>
    <t>NTSR2</t>
  </si>
  <si>
    <t>NM_012344</t>
  </si>
  <si>
    <t>A372V</t>
  </si>
  <si>
    <t>NP_036476</t>
  </si>
  <si>
    <t>NM_001029996</t>
  </si>
  <si>
    <t>A528T</t>
  </si>
  <si>
    <t>NP_001025167</t>
  </si>
  <si>
    <t>UGGT1</t>
  </si>
  <si>
    <t>NM_020120</t>
  </si>
  <si>
    <t>G1183S</t>
  </si>
  <si>
    <t>NP_064505</t>
  </si>
  <si>
    <t>POTEI</t>
  </si>
  <si>
    <t>XM_928585</t>
  </si>
  <si>
    <t>R795H</t>
  </si>
  <si>
    <t>XP_933678</t>
  </si>
  <si>
    <t>CCDC74A</t>
  </si>
  <si>
    <t>NM_138770</t>
  </si>
  <si>
    <t>NP_620125</t>
  </si>
  <si>
    <t>A194T</t>
  </si>
  <si>
    <t>EPC2</t>
  </si>
  <si>
    <t>NM_015630</t>
  </si>
  <si>
    <t>A79T</t>
  </si>
  <si>
    <t>NP_056445</t>
  </si>
  <si>
    <t>KIF5C</t>
  </si>
  <si>
    <t>NM_004522</t>
  </si>
  <si>
    <t>G226R</t>
  </si>
  <si>
    <t>NP_004513</t>
  </si>
  <si>
    <t>GALNT13</t>
  </si>
  <si>
    <t>NM_052917</t>
  </si>
  <si>
    <t>S241N</t>
  </si>
  <si>
    <t>NP_443149</t>
  </si>
  <si>
    <t>Q404*</t>
  </si>
  <si>
    <t>ERMN</t>
  </si>
  <si>
    <t>NM_001009959</t>
  </si>
  <si>
    <t>G174R</t>
  </si>
  <si>
    <t>NP_001009959</t>
  </si>
  <si>
    <t>NM_003628</t>
  </si>
  <si>
    <t>G817R</t>
  </si>
  <si>
    <t>NP_003619</t>
  </si>
  <si>
    <t>SLC4A10</t>
  </si>
  <si>
    <t>NM_001178015</t>
  </si>
  <si>
    <t>NP_001171486.1</t>
  </si>
  <si>
    <t>FAP</t>
  </si>
  <si>
    <t>NM_004460</t>
  </si>
  <si>
    <t>G84R</t>
  </si>
  <si>
    <t>NP_004451</t>
  </si>
  <si>
    <t>SCN3A</t>
  </si>
  <si>
    <t>NM_006922</t>
  </si>
  <si>
    <t>L512F</t>
  </si>
  <si>
    <t>PASS,rs145500931</t>
  </si>
  <si>
    <t>NP_008853</t>
  </si>
  <si>
    <t>NM_002976</t>
  </si>
  <si>
    <t>A1395V</t>
  </si>
  <si>
    <t>NP_002967</t>
  </si>
  <si>
    <t>T3229I</t>
  </si>
  <si>
    <t>S1115N</t>
  </si>
  <si>
    <t>A3179V</t>
  </si>
  <si>
    <t>PLEKHA3</t>
  </si>
  <si>
    <t>NM_019091</t>
  </si>
  <si>
    <t>G25R</t>
  </si>
  <si>
    <t>NP_061964</t>
  </si>
  <si>
    <t>P19573L</t>
  </si>
  <si>
    <t>V6165M</t>
  </si>
  <si>
    <t>A4355T</t>
  </si>
  <si>
    <t>G4128D</t>
  </si>
  <si>
    <t>A1942V</t>
  </si>
  <si>
    <t>A579T</t>
  </si>
  <si>
    <t>P1204S</t>
  </si>
  <si>
    <t>ITGAV</t>
  </si>
  <si>
    <t>NM_002210</t>
  </si>
  <si>
    <t>NP_002201</t>
  </si>
  <si>
    <t>WDR75</t>
  </si>
  <si>
    <t>NM_032168</t>
  </si>
  <si>
    <t>A278T</t>
  </si>
  <si>
    <t>NP_115544</t>
  </si>
  <si>
    <t>NM_000534</t>
  </si>
  <si>
    <t>A114T</t>
  </si>
  <si>
    <t>NP_000525</t>
  </si>
  <si>
    <t>MSTN</t>
  </si>
  <si>
    <t>NM_005259</t>
  </si>
  <si>
    <t>G337S</t>
  </si>
  <si>
    <t>NP_005250</t>
  </si>
  <si>
    <t>G248R</t>
  </si>
  <si>
    <t>MYO1B</t>
  </si>
  <si>
    <t>NM_001130158</t>
  </si>
  <si>
    <t>R291Q</t>
  </si>
  <si>
    <t>NP_001123630</t>
  </si>
  <si>
    <t>BOLL</t>
  </si>
  <si>
    <t>NM_197970</t>
  </si>
  <si>
    <t>P135L</t>
  </si>
  <si>
    <t>NP_932074</t>
  </si>
  <si>
    <t>A427T</t>
  </si>
  <si>
    <t>DYTN</t>
  </si>
  <si>
    <t>NM_001093730</t>
  </si>
  <si>
    <t>Q489*</t>
  </si>
  <si>
    <t>NP_001087199</t>
  </si>
  <si>
    <t>G237S</t>
  </si>
  <si>
    <t>A2272V</t>
  </si>
  <si>
    <t>A2885T</t>
  </si>
  <si>
    <t>GMPPA</t>
  </si>
  <si>
    <t>NM_013335</t>
  </si>
  <si>
    <t>G141D</t>
  </si>
  <si>
    <t>NP_037467</t>
  </si>
  <si>
    <t>S132N</t>
  </si>
  <si>
    <t>NP_079519</t>
  </si>
  <si>
    <t>NM_080424</t>
  </si>
  <si>
    <t>A338T</t>
  </si>
  <si>
    <t>NP_536349</t>
  </si>
  <si>
    <t>B3GNT7</t>
  </si>
  <si>
    <t>NM_145236</t>
  </si>
  <si>
    <t>V243I</t>
  </si>
  <si>
    <t>NP_660279</t>
  </si>
  <si>
    <t>G588R</t>
  </si>
  <si>
    <t>G595S</t>
  </si>
  <si>
    <t>SAG</t>
  </si>
  <si>
    <t>NM_000541</t>
  </si>
  <si>
    <t>R179C</t>
  </si>
  <si>
    <t>NP_000532</t>
  </si>
  <si>
    <t>UGT1A1</t>
  </si>
  <si>
    <t>NM_000463</t>
  </si>
  <si>
    <t>F83L</t>
  </si>
  <si>
    <t>NP_000454</t>
  </si>
  <si>
    <t>P2169S</t>
  </si>
  <si>
    <t>HDAC4</t>
  </si>
  <si>
    <t>NM_006037</t>
  </si>
  <si>
    <t>S853N</t>
  </si>
  <si>
    <t>NP_006028</t>
  </si>
  <si>
    <t>E467K</t>
  </si>
  <si>
    <t>NP_004027</t>
  </si>
  <si>
    <t>NM_018263</t>
  </si>
  <si>
    <t>G1412S</t>
  </si>
  <si>
    <t>NP_060733</t>
  </si>
  <si>
    <t>R1217K</t>
  </si>
  <si>
    <t>G148S</t>
  </si>
  <si>
    <t>NP_002237</t>
  </si>
  <si>
    <t>G895E</t>
  </si>
  <si>
    <t>A899T</t>
  </si>
  <si>
    <t>G423E</t>
  </si>
  <si>
    <t>NP_056477</t>
  </si>
  <si>
    <t>D901N</t>
  </si>
  <si>
    <t>FAM179A</t>
  </si>
  <si>
    <t>NM_199280</t>
  </si>
  <si>
    <t>T380I</t>
  </si>
  <si>
    <t>NP_954974</t>
  </si>
  <si>
    <t>C2orf71</t>
  </si>
  <si>
    <t>NM_001029883</t>
  </si>
  <si>
    <t>S138N</t>
  </si>
  <si>
    <t>NP_001025054</t>
  </si>
  <si>
    <t>NM_017735</t>
  </si>
  <si>
    <t>D685N</t>
  </si>
  <si>
    <t>NP_060205</t>
  </si>
  <si>
    <t>S939F</t>
  </si>
  <si>
    <t>HEATR5B</t>
  </si>
  <si>
    <t>NM_019024</t>
  </si>
  <si>
    <t>A1353T</t>
  </si>
  <si>
    <t>NP_061897</t>
  </si>
  <si>
    <t>DCDC2C</t>
  </si>
  <si>
    <t>XM_003403748</t>
  </si>
  <si>
    <t>T579I</t>
  </si>
  <si>
    <t>PASS,rs187953335</t>
  </si>
  <si>
    <t>XP_003403796</t>
  </si>
  <si>
    <t>C441Y</t>
  </si>
  <si>
    <t>PASS,CM070286</t>
  </si>
  <si>
    <t>SLC8A1</t>
  </si>
  <si>
    <t>NM_021097</t>
  </si>
  <si>
    <t>D316N</t>
  </si>
  <si>
    <t>NP_066920</t>
  </si>
  <si>
    <t>ATP6V1E2</t>
  </si>
  <si>
    <t>NM_080653</t>
  </si>
  <si>
    <t>A214T</t>
  </si>
  <si>
    <t>NP_542384</t>
  </si>
  <si>
    <t>LHCGR</t>
  </si>
  <si>
    <t>NM_000233</t>
  </si>
  <si>
    <t>G642D</t>
  </si>
  <si>
    <t>NP_000224</t>
  </si>
  <si>
    <t>DUSP7</t>
  </si>
  <si>
    <t>NM_001947</t>
  </si>
  <si>
    <t>M375I</t>
  </si>
  <si>
    <t>NP_001938</t>
  </si>
  <si>
    <t>V985M</t>
  </si>
  <si>
    <t>NM_002841</t>
  </si>
  <si>
    <t>E110K</t>
  </si>
  <si>
    <t>NP_002832</t>
  </si>
  <si>
    <t>A1327V</t>
  </si>
  <si>
    <t>W945*</t>
  </si>
  <si>
    <t>P631S</t>
  </si>
  <si>
    <t>PRICKLE2</t>
  </si>
  <si>
    <t>NM_198859</t>
  </si>
  <si>
    <t>P392S</t>
  </si>
  <si>
    <t>NP_942559</t>
  </si>
  <si>
    <t>NM_198159</t>
  </si>
  <si>
    <t>A464T</t>
  </si>
  <si>
    <t>NP_937802</t>
  </si>
  <si>
    <t>P197S</t>
  </si>
  <si>
    <t>NP_057290</t>
  </si>
  <si>
    <t>P275L</t>
  </si>
  <si>
    <t>NP_001005515</t>
  </si>
  <si>
    <t>IL17RC</t>
  </si>
  <si>
    <t>NM_153461</t>
  </si>
  <si>
    <t>G99R</t>
  </si>
  <si>
    <t>NP_703191</t>
  </si>
  <si>
    <t>NM_033084</t>
  </si>
  <si>
    <t>R401K</t>
  </si>
  <si>
    <t>NP_149075</t>
  </si>
  <si>
    <t>IMPG2</t>
  </si>
  <si>
    <t>NM_016247</t>
  </si>
  <si>
    <t>S482N</t>
  </si>
  <si>
    <t>NP_057331</t>
  </si>
  <si>
    <t>T350I</t>
  </si>
  <si>
    <t>NM_015480</t>
  </si>
  <si>
    <t>G115E</t>
  </si>
  <si>
    <t>NP_056295</t>
  </si>
  <si>
    <t>A966V</t>
  </si>
  <si>
    <t>A381V</t>
  </si>
  <si>
    <t>S253N</t>
  </si>
  <si>
    <t>NP_001009899</t>
  </si>
  <si>
    <t>ATP6V1A</t>
  </si>
  <si>
    <t>NM_001690</t>
  </si>
  <si>
    <t>A376T</t>
  </si>
  <si>
    <t>NP_001681</t>
  </si>
  <si>
    <t>NM_000796</t>
  </si>
  <si>
    <t>P344L</t>
  </si>
  <si>
    <t>NP_000787</t>
  </si>
  <si>
    <t>RABL3</t>
  </si>
  <si>
    <t>NM_173825</t>
  </si>
  <si>
    <t>W37*</t>
  </si>
  <si>
    <t>NP_776186</t>
  </si>
  <si>
    <t>NM_199420</t>
  </si>
  <si>
    <t>G2388E</t>
  </si>
  <si>
    <t>NP_955452</t>
  </si>
  <si>
    <t>V439I</t>
  </si>
  <si>
    <t>A140T</t>
  </si>
  <si>
    <t>G169R</t>
  </si>
  <si>
    <t>NM_183357</t>
  </si>
  <si>
    <t>A450V</t>
  </si>
  <si>
    <t>NP_899200</t>
  </si>
  <si>
    <t>G2318R</t>
  </si>
  <si>
    <t>G2322E</t>
  </si>
  <si>
    <t>UMPS</t>
  </si>
  <si>
    <t>NM_000373</t>
  </si>
  <si>
    <t>I150V</t>
  </si>
  <si>
    <t>NP_000364</t>
  </si>
  <si>
    <t>MUC13</t>
  </si>
  <si>
    <t>NM_033049</t>
  </si>
  <si>
    <t>P71L</t>
  </si>
  <si>
    <t>NP_149038</t>
  </si>
  <si>
    <t>SNX4</t>
  </si>
  <si>
    <t>NM_003794</t>
  </si>
  <si>
    <t>NP_003785</t>
  </si>
  <si>
    <t>NM_025112</t>
  </si>
  <si>
    <t>C390Y</t>
  </si>
  <si>
    <t>NP_079388</t>
  </si>
  <si>
    <t>NM_052883</t>
  </si>
  <si>
    <t>G316R</t>
  </si>
  <si>
    <t>NP_443115.1</t>
  </si>
  <si>
    <t>RUVBL1</t>
  </si>
  <si>
    <t>NM_003707</t>
  </si>
  <si>
    <t>G88D</t>
  </si>
  <si>
    <t>NP_003698</t>
  </si>
  <si>
    <t>NM_001127192</t>
  </si>
  <si>
    <t>D52N</t>
  </si>
  <si>
    <t>NP_001120664</t>
  </si>
  <si>
    <t>NM_001102608</t>
  </si>
  <si>
    <t>P720L</t>
  </si>
  <si>
    <t>NP_001096078</t>
  </si>
  <si>
    <t>A209T</t>
  </si>
  <si>
    <t>RASA2</t>
  </si>
  <si>
    <t>NM_006506</t>
  </si>
  <si>
    <t>G414R</t>
  </si>
  <si>
    <t>NP_006497</t>
  </si>
  <si>
    <t>R996K</t>
  </si>
  <si>
    <t>NM_032137</t>
  </si>
  <si>
    <t>A368T</t>
  </si>
  <si>
    <t>NP_115513</t>
  </si>
  <si>
    <t>CPB1</t>
  </si>
  <si>
    <t>NM_001871</t>
  </si>
  <si>
    <t>G361D</t>
  </si>
  <si>
    <t>NP_001862</t>
  </si>
  <si>
    <t>SUCNR1</t>
  </si>
  <si>
    <t>NM_033050</t>
  </si>
  <si>
    <t>P181L</t>
  </si>
  <si>
    <t>NP_149039</t>
  </si>
  <si>
    <t>NM_172160</t>
  </si>
  <si>
    <t>L201F</t>
  </si>
  <si>
    <t>NP_751892</t>
  </si>
  <si>
    <t>SSR3</t>
  </si>
  <si>
    <t>NM_007107</t>
  </si>
  <si>
    <t>V148M</t>
  </si>
  <si>
    <t>NP_009038</t>
  </si>
  <si>
    <t>MLF1</t>
  </si>
  <si>
    <t>NM_022443</t>
  </si>
  <si>
    <t>G102R</t>
  </si>
  <si>
    <t>NP_071888</t>
  </si>
  <si>
    <t>SPATA16</t>
  </si>
  <si>
    <t>NM_031955</t>
  </si>
  <si>
    <t>L465F</t>
  </si>
  <si>
    <t>NP_114161</t>
  </si>
  <si>
    <t>NLGN1</t>
  </si>
  <si>
    <t>NM_014932</t>
  </si>
  <si>
    <t>P118L</t>
  </si>
  <si>
    <t>PASS,COSM40379</t>
  </si>
  <si>
    <t>NP_055747</t>
  </si>
  <si>
    <t>NM_001134380</t>
  </si>
  <si>
    <t>G39E</t>
  </si>
  <si>
    <t>NP_001127852</t>
  </si>
  <si>
    <t>NM_207015</t>
  </si>
  <si>
    <t>G793E</t>
  </si>
  <si>
    <t>NP_996898</t>
  </si>
  <si>
    <t>ZNF639</t>
  </si>
  <si>
    <t>NM_016331</t>
  </si>
  <si>
    <t>C291Y</t>
  </si>
  <si>
    <t>NP_057415</t>
  </si>
  <si>
    <t>Q441*</t>
  </si>
  <si>
    <t>VPS8</t>
  </si>
  <si>
    <t>NM_015303</t>
  </si>
  <si>
    <t>S447N</t>
  </si>
  <si>
    <t>NP_056118</t>
  </si>
  <si>
    <t>ADIPOQ</t>
  </si>
  <si>
    <t>NM_004797</t>
  </si>
  <si>
    <t>S174N</t>
  </si>
  <si>
    <t>NP_004788</t>
  </si>
  <si>
    <t>S77N</t>
  </si>
  <si>
    <t>NP_714919</t>
  </si>
  <si>
    <t>TP63</t>
  </si>
  <si>
    <t>NM_003722</t>
  </si>
  <si>
    <t>P511S</t>
  </si>
  <si>
    <t>PASS,rs148076109</t>
  </si>
  <si>
    <t>NP_003713</t>
  </si>
  <si>
    <t>P363L</t>
  </si>
  <si>
    <t>P2368S</t>
  </si>
  <si>
    <t>V40I</t>
  </si>
  <si>
    <t>NP_055502</t>
  </si>
  <si>
    <t>P299S</t>
  </si>
  <si>
    <t>NM_199347</t>
  </si>
  <si>
    <t>NP_955379</t>
  </si>
  <si>
    <t>NM_175607</t>
  </si>
  <si>
    <t>W921*</t>
  </si>
  <si>
    <t>PASS,COSM137380,COSM137379</t>
  </si>
  <si>
    <t>NP_783200</t>
  </si>
  <si>
    <t>CLASP2</t>
  </si>
  <si>
    <t>NM_015097</t>
  </si>
  <si>
    <t>A1025T</t>
  </si>
  <si>
    <t>NP_055912</t>
  </si>
  <si>
    <t>CHL1</t>
  </si>
  <si>
    <t>NM_006614</t>
  </si>
  <si>
    <t>P353L</t>
  </si>
  <si>
    <t>NP_006605</t>
  </si>
  <si>
    <t>TRANK1</t>
  </si>
  <si>
    <t>NM_014831</t>
  </si>
  <si>
    <t>D1689N</t>
  </si>
  <si>
    <t>NP_055646</t>
  </si>
  <si>
    <t>A1738T</t>
  </si>
  <si>
    <t>Q1532*</t>
  </si>
  <si>
    <t>NM_001105513</t>
  </si>
  <si>
    <t>C644Y</t>
  </si>
  <si>
    <t>NP_001098983</t>
  </si>
  <si>
    <t>A1129T</t>
  </si>
  <si>
    <t>NP_060356</t>
  </si>
  <si>
    <t>S426N</t>
  </si>
  <si>
    <t>NP_653320</t>
  </si>
  <si>
    <t>KIF15</t>
  </si>
  <si>
    <t>NM_020242</t>
  </si>
  <si>
    <t>V673I</t>
  </si>
  <si>
    <t>NP_064627</t>
  </si>
  <si>
    <t>TGM4</t>
  </si>
  <si>
    <t>NM_003241</t>
  </si>
  <si>
    <t>P616L</t>
  </si>
  <si>
    <t>NP_003232</t>
  </si>
  <si>
    <t>G370D</t>
  </si>
  <si>
    <t>CCR1</t>
  </si>
  <si>
    <t>NM_001295</t>
  </si>
  <si>
    <t>P88L</t>
  </si>
  <si>
    <t>NP_001286</t>
  </si>
  <si>
    <t>NM_001099952</t>
  </si>
  <si>
    <t>G268S</t>
  </si>
  <si>
    <t>NP_001093422</t>
  </si>
  <si>
    <t>COL7A1</t>
  </si>
  <si>
    <t>NM_000094</t>
  </si>
  <si>
    <t>G1501D</t>
  </si>
  <si>
    <t>NP_000085</t>
  </si>
  <si>
    <t>S133N</t>
  </si>
  <si>
    <t>G405D</t>
  </si>
  <si>
    <t>NP_689753</t>
  </si>
  <si>
    <t>SRP72</t>
  </si>
  <si>
    <t>NM_006947</t>
  </si>
  <si>
    <t>G629D</t>
  </si>
  <si>
    <t>NP_008878</t>
  </si>
  <si>
    <t>P939S</t>
  </si>
  <si>
    <t>UGT2B11</t>
  </si>
  <si>
    <t>NM_001073</t>
  </si>
  <si>
    <t>L218F</t>
  </si>
  <si>
    <t>NP_001064</t>
  </si>
  <si>
    <t>R684K</t>
  </si>
  <si>
    <t>NP_114095</t>
  </si>
  <si>
    <t>NM_001144978</t>
  </si>
  <si>
    <t>A332T</t>
  </si>
  <si>
    <t>NP_001138450</t>
  </si>
  <si>
    <t>G326R</t>
  </si>
  <si>
    <t>NP_060585</t>
  </si>
  <si>
    <t>S209N</t>
  </si>
  <si>
    <t>NP_001036249</t>
  </si>
  <si>
    <t>C747Y</t>
  </si>
  <si>
    <t>NP_079350</t>
  </si>
  <si>
    <t>G967E</t>
  </si>
  <si>
    <t>L2982I</t>
  </si>
  <si>
    <t>G3741R</t>
  </si>
  <si>
    <t>BMP2K</t>
  </si>
  <si>
    <t>NM_198892</t>
  </si>
  <si>
    <t>NP_942595</t>
  </si>
  <si>
    <t>W796*</t>
  </si>
  <si>
    <t>NP_598375</t>
  </si>
  <si>
    <t>TRMT44</t>
  </si>
  <si>
    <t>NM_152544</t>
  </si>
  <si>
    <t>R461K</t>
  </si>
  <si>
    <t>NP_689757</t>
  </si>
  <si>
    <t>DMP1</t>
  </si>
  <si>
    <t>NM_001079911</t>
  </si>
  <si>
    <t>G104D</t>
  </si>
  <si>
    <t>NP_001073380</t>
  </si>
  <si>
    <t>GPRIN3</t>
  </si>
  <si>
    <t>NM_198281</t>
  </si>
  <si>
    <t>E449K</t>
  </si>
  <si>
    <t>NP_938022</t>
  </si>
  <si>
    <t>RAP1GDS1</t>
  </si>
  <si>
    <t>NM_001100426</t>
  </si>
  <si>
    <t>M202I</t>
  </si>
  <si>
    <t>NP_001093896</t>
  </si>
  <si>
    <t>A494T</t>
  </si>
  <si>
    <t>NM_003998</t>
  </si>
  <si>
    <t>A156T</t>
  </si>
  <si>
    <t>NP_003989</t>
  </si>
  <si>
    <t>COL25A1</t>
  </si>
  <si>
    <t>NM_198721</t>
  </si>
  <si>
    <t>NP_942014</t>
  </si>
  <si>
    <t>LRIT3</t>
  </si>
  <si>
    <t>NM_198506</t>
  </si>
  <si>
    <t>R395*</t>
  </si>
  <si>
    <t>NP_940908</t>
  </si>
  <si>
    <t>EGF</t>
  </si>
  <si>
    <t>NM_001963</t>
  </si>
  <si>
    <t>A862V</t>
  </si>
  <si>
    <t>NP_001954</t>
  </si>
  <si>
    <t>NM_001102406</t>
  </si>
  <si>
    <t>G524S</t>
  </si>
  <si>
    <t>NP_001095876</t>
  </si>
  <si>
    <t>A637T</t>
  </si>
  <si>
    <t>S960L</t>
  </si>
  <si>
    <t>G3431E</t>
  </si>
  <si>
    <t>TRAM1L1</t>
  </si>
  <si>
    <t>NM_152402</t>
  </si>
  <si>
    <t>G136D</t>
  </si>
  <si>
    <t>NP_689615</t>
  </si>
  <si>
    <t>A944T</t>
  </si>
  <si>
    <t>NP_597734</t>
  </si>
  <si>
    <t>G1256R</t>
  </si>
  <si>
    <t>G100D</t>
  </si>
  <si>
    <t>NP_057683</t>
  </si>
  <si>
    <t>BBS7</t>
  </si>
  <si>
    <t>NM_176824</t>
  </si>
  <si>
    <t>G513D</t>
  </si>
  <si>
    <t>NP_789794</t>
  </si>
  <si>
    <t>G549S</t>
  </si>
  <si>
    <t>PCDH10</t>
  </si>
  <si>
    <t>NM_032961</t>
  </si>
  <si>
    <t>NP_116586</t>
  </si>
  <si>
    <t>NM_019035</t>
  </si>
  <si>
    <t>T485I</t>
  </si>
  <si>
    <t>NP_061908</t>
  </si>
  <si>
    <t>NM_002413</t>
  </si>
  <si>
    <t>G125R</t>
  </si>
  <si>
    <t>NP_002404</t>
  </si>
  <si>
    <t>CLGN</t>
  </si>
  <si>
    <t>NM_004362</t>
  </si>
  <si>
    <t>G153D</t>
  </si>
  <si>
    <t>NP_004353</t>
  </si>
  <si>
    <t>FREM3</t>
  </si>
  <si>
    <t>NM_001168235</t>
  </si>
  <si>
    <t>V1317I</t>
  </si>
  <si>
    <t>NP_001161707</t>
  </si>
  <si>
    <t>ABCE1</t>
  </si>
  <si>
    <t>NM_002940</t>
  </si>
  <si>
    <t>A180S</t>
  </si>
  <si>
    <t>NP_002931</t>
  </si>
  <si>
    <t>NM_001131007</t>
  </si>
  <si>
    <t>G1533E</t>
  </si>
  <si>
    <t>NP_001124479</t>
  </si>
  <si>
    <t>G671R</t>
  </si>
  <si>
    <t>GUCY1A3</t>
  </si>
  <si>
    <t>NM_001130682</t>
  </si>
  <si>
    <t>T328I</t>
  </si>
  <si>
    <t>NP_001124154</t>
  </si>
  <si>
    <t>GRIA2</t>
  </si>
  <si>
    <t>NM_000826</t>
  </si>
  <si>
    <t>P700L</t>
  </si>
  <si>
    <t>NP_000817.2</t>
  </si>
  <si>
    <t>G823S</t>
  </si>
  <si>
    <t>FSTL5</t>
  </si>
  <si>
    <t>NM_020116</t>
  </si>
  <si>
    <t>P168S</t>
  </si>
  <si>
    <t>NP_064501</t>
  </si>
  <si>
    <t>TKTL2</t>
  </si>
  <si>
    <t>NM_032136</t>
  </si>
  <si>
    <t>A553T</t>
  </si>
  <si>
    <t>NP_115512</t>
  </si>
  <si>
    <t>S301N</t>
  </si>
  <si>
    <t>R1050K</t>
  </si>
  <si>
    <t>S786N</t>
  </si>
  <si>
    <t>G169E</t>
  </si>
  <si>
    <t>G457D</t>
  </si>
  <si>
    <t>NP_036450</t>
  </si>
  <si>
    <t>S811N</t>
  </si>
  <si>
    <t>A159V</t>
  </si>
  <si>
    <t>NP_775824</t>
  </si>
  <si>
    <t>NM_003704</t>
  </si>
  <si>
    <t>NP_003695</t>
  </si>
  <si>
    <t>ZNF141</t>
  </si>
  <si>
    <t>NM_003441</t>
  </si>
  <si>
    <t>G391R</t>
  </si>
  <si>
    <t>NP_003432</t>
  </si>
  <si>
    <t>ADRA2C</t>
  </si>
  <si>
    <t>NM_000683</t>
  </si>
  <si>
    <t>A411T</t>
  </si>
  <si>
    <t>NP_000674</t>
  </si>
  <si>
    <t>PGM2</t>
  </si>
  <si>
    <t>NM_018290</t>
  </si>
  <si>
    <t>G352S</t>
  </si>
  <si>
    <t>NP_060760</t>
  </si>
  <si>
    <t>NM_003359</t>
  </si>
  <si>
    <t>G384D</t>
  </si>
  <si>
    <t>NP_003350</t>
  </si>
  <si>
    <t>NM_001100399</t>
  </si>
  <si>
    <t>E907K</t>
  </si>
  <si>
    <t>NP_001093869</t>
  </si>
  <si>
    <t>L434F</t>
  </si>
  <si>
    <t>W117*</t>
  </si>
  <si>
    <t>NP_000803</t>
  </si>
  <si>
    <t>P301L</t>
  </si>
  <si>
    <t>H662Y</t>
  </si>
  <si>
    <t>NP_079363</t>
  </si>
  <si>
    <t>W180*</t>
  </si>
  <si>
    <t>G457S</t>
  </si>
  <si>
    <t>MAP3K1</t>
  </si>
  <si>
    <t>NM_005921</t>
  </si>
  <si>
    <t>G282D</t>
  </si>
  <si>
    <t>NP_005912</t>
  </si>
  <si>
    <t>G629R</t>
  </si>
  <si>
    <t>RAB3C</t>
  </si>
  <si>
    <t>NM_138453</t>
  </si>
  <si>
    <t>G42E</t>
  </si>
  <si>
    <t>NP_612462</t>
  </si>
  <si>
    <t>V647I</t>
  </si>
  <si>
    <t>NP_922932</t>
  </si>
  <si>
    <t>SREK1</t>
  </si>
  <si>
    <t>NM_001077199</t>
  </si>
  <si>
    <t>G412S</t>
  </si>
  <si>
    <t>NP_001070667</t>
  </si>
  <si>
    <t>CDK7</t>
  </si>
  <si>
    <t>NM_001799</t>
  </si>
  <si>
    <t>G300E</t>
  </si>
  <si>
    <t>NP_001790</t>
  </si>
  <si>
    <t>CCDC125</t>
  </si>
  <si>
    <t>NM_176816</t>
  </si>
  <si>
    <t>G66R</t>
  </si>
  <si>
    <t>NP_789786</t>
  </si>
  <si>
    <t>P528L</t>
  </si>
  <si>
    <t>NP_005900</t>
  </si>
  <si>
    <t>FAM169A</t>
  </si>
  <si>
    <t>NM_015566</t>
  </si>
  <si>
    <t>NP_056381</t>
  </si>
  <si>
    <t>FASTKD3</t>
  </si>
  <si>
    <t>NM_024091</t>
  </si>
  <si>
    <t>C266Y</t>
  </si>
  <si>
    <t>NP_076996</t>
  </si>
  <si>
    <t>NM_004385</t>
  </si>
  <si>
    <t>G1241D</t>
  </si>
  <si>
    <t>NP_004376</t>
  </si>
  <si>
    <t>T2457N</t>
  </si>
  <si>
    <t>BRD9</t>
  </si>
  <si>
    <t>NM_023924</t>
  </si>
  <si>
    <t>A226T</t>
  </si>
  <si>
    <t>NP_076413</t>
  </si>
  <si>
    <t>S4947N</t>
  </si>
  <si>
    <t>NP_115495</t>
  </si>
  <si>
    <t>A46T</t>
  </si>
  <si>
    <t>NP_694966</t>
  </si>
  <si>
    <t>NM_018343</t>
  </si>
  <si>
    <t>G331R</t>
  </si>
  <si>
    <t>NP_060813</t>
  </si>
  <si>
    <t>E1975K</t>
  </si>
  <si>
    <t>LMNB1</t>
  </si>
  <si>
    <t>NM_005573</t>
  </si>
  <si>
    <t>NP_005564</t>
  </si>
  <si>
    <t>G16E</t>
  </si>
  <si>
    <t>NP_005723</t>
  </si>
  <si>
    <t>KIF3A</t>
  </si>
  <si>
    <t>NM_007054</t>
  </si>
  <si>
    <t>E668K</t>
  </si>
  <si>
    <t>NP_008985</t>
  </si>
  <si>
    <t>E784K</t>
  </si>
  <si>
    <t>Q3147*</t>
  </si>
  <si>
    <t>NP_001360</t>
  </si>
  <si>
    <t>G1574R</t>
  </si>
  <si>
    <t>APBB3</t>
  </si>
  <si>
    <t>NM_133174</t>
  </si>
  <si>
    <t>G379D</t>
  </si>
  <si>
    <t>NP_573420</t>
  </si>
  <si>
    <t>PCDHA13</t>
  </si>
  <si>
    <t>NM_018904</t>
  </si>
  <si>
    <t>T294I</t>
  </si>
  <si>
    <t>NP_061727</t>
  </si>
  <si>
    <t>PCDHB3</t>
  </si>
  <si>
    <t>NM_018937</t>
  </si>
  <si>
    <t>P221S</t>
  </si>
  <si>
    <t>NP_061760</t>
  </si>
  <si>
    <t>P364L</t>
  </si>
  <si>
    <t>PCDHGA1</t>
  </si>
  <si>
    <t>NM_018912</t>
  </si>
  <si>
    <t>A28V</t>
  </si>
  <si>
    <t>NP_061735</t>
  </si>
  <si>
    <t>PCDHGA2</t>
  </si>
  <si>
    <t>NM_018915</t>
  </si>
  <si>
    <t>G734S</t>
  </si>
  <si>
    <t>NP_061738</t>
  </si>
  <si>
    <t>NM_018913</t>
  </si>
  <si>
    <t>A32V</t>
  </si>
  <si>
    <t>NP_061736</t>
  </si>
  <si>
    <t>SH3RF2</t>
  </si>
  <si>
    <t>NM_152550</t>
  </si>
  <si>
    <t>D345N</t>
  </si>
  <si>
    <t>NP_689763</t>
  </si>
  <si>
    <t>G186D</t>
  </si>
  <si>
    <t>NP_061891</t>
  </si>
  <si>
    <t>SH3TC2</t>
  </si>
  <si>
    <t>NM_024577</t>
  </si>
  <si>
    <t>G939S</t>
  </si>
  <si>
    <t>NP_078853</t>
  </si>
  <si>
    <t>L688F</t>
  </si>
  <si>
    <t>G305R</t>
  </si>
  <si>
    <t>NM_001166208</t>
  </si>
  <si>
    <t>G494S</t>
  </si>
  <si>
    <t>NP_001159680</t>
  </si>
  <si>
    <t>NM_001128209</t>
  </si>
  <si>
    <t>G28S</t>
  </si>
  <si>
    <t>NP_001121681</t>
  </si>
  <si>
    <t>L435F</t>
  </si>
  <si>
    <t>NP_036436</t>
  </si>
  <si>
    <t>GABRA6</t>
  </si>
  <si>
    <t>NM_000811</t>
  </si>
  <si>
    <t>P380S</t>
  </si>
  <si>
    <t>NP_000802</t>
  </si>
  <si>
    <t>A410T</t>
  </si>
  <si>
    <t>SLIT3</t>
  </si>
  <si>
    <t>NM_003062</t>
  </si>
  <si>
    <t>C499Y</t>
  </si>
  <si>
    <t>NP_003053</t>
  </si>
  <si>
    <t>R687Q</t>
  </si>
  <si>
    <t>HRH2</t>
  </si>
  <si>
    <t>NM_001131055</t>
  </si>
  <si>
    <t>A253V</t>
  </si>
  <si>
    <t>NP_001124527</t>
  </si>
  <si>
    <t>G229D</t>
  </si>
  <si>
    <t>NP_002106</t>
  </si>
  <si>
    <t>NM_022455</t>
  </si>
  <si>
    <t>A1676T</t>
  </si>
  <si>
    <t>NP_071900</t>
  </si>
  <si>
    <t>V793M</t>
  </si>
  <si>
    <t>ZFP62</t>
  </si>
  <si>
    <t>NM_001172638</t>
  </si>
  <si>
    <t>G669E</t>
  </si>
  <si>
    <t>NP_001166109</t>
  </si>
  <si>
    <t>CDH18</t>
  </si>
  <si>
    <t>NM_004934</t>
  </si>
  <si>
    <t>NP_004925</t>
  </si>
  <si>
    <t>R171C</t>
  </si>
  <si>
    <t>DROSHA</t>
  </si>
  <si>
    <t>NM_013235</t>
  </si>
  <si>
    <t>G995R</t>
  </si>
  <si>
    <t>NP_037367</t>
  </si>
  <si>
    <t>PDZD2</t>
  </si>
  <si>
    <t>NM_178140</t>
  </si>
  <si>
    <t>L1872F</t>
  </si>
  <si>
    <t>NP_835260</t>
  </si>
  <si>
    <t>L24F</t>
  </si>
  <si>
    <t>SLC1A3</t>
  </si>
  <si>
    <t>NM_004172</t>
  </si>
  <si>
    <t>P84S</t>
  </si>
  <si>
    <t>NP_004163</t>
  </si>
  <si>
    <t>A2631T</t>
  </si>
  <si>
    <t>EFHC1</t>
  </si>
  <si>
    <t>NM_018100</t>
  </si>
  <si>
    <t>NP_060570</t>
  </si>
  <si>
    <t>GCM1</t>
  </si>
  <si>
    <t>NM_003643</t>
  </si>
  <si>
    <t>G245R</t>
  </si>
  <si>
    <t>NP_003634</t>
  </si>
  <si>
    <t>KLHL31</t>
  </si>
  <si>
    <t>NM_001003760</t>
  </si>
  <si>
    <t>A291V</t>
  </si>
  <si>
    <t>NP_001003760</t>
  </si>
  <si>
    <t>R249K</t>
  </si>
  <si>
    <t>NP_006558</t>
  </si>
  <si>
    <t>TINAG</t>
  </si>
  <si>
    <t>NM_014464</t>
  </si>
  <si>
    <t>R27K</t>
  </si>
  <si>
    <t>NP_055279</t>
  </si>
  <si>
    <t>BMP5</t>
  </si>
  <si>
    <t>NM_021073</t>
  </si>
  <si>
    <t>R53K</t>
  </si>
  <si>
    <t>NP_066551</t>
  </si>
  <si>
    <t>A708V</t>
  </si>
  <si>
    <t>NP_000120</t>
  </si>
  <si>
    <t>P360L</t>
  </si>
  <si>
    <t>G832E</t>
  </si>
  <si>
    <t>NP_001695</t>
  </si>
  <si>
    <t>R38K</t>
  </si>
  <si>
    <t>G255D</t>
  </si>
  <si>
    <t>NM_001162529</t>
  </si>
  <si>
    <t>M439I</t>
  </si>
  <si>
    <t>NP_001156001</t>
  </si>
  <si>
    <t>KCNQ5</t>
  </si>
  <si>
    <t>NM_001160133</t>
  </si>
  <si>
    <t>G706S</t>
  </si>
  <si>
    <t>NP_001153605</t>
  </si>
  <si>
    <t>DSP</t>
  </si>
  <si>
    <t>NM_004415</t>
  </si>
  <si>
    <t>D1940N</t>
  </si>
  <si>
    <t>NP_004406</t>
  </si>
  <si>
    <t>G2322S</t>
  </si>
  <si>
    <t>NM_004370</t>
  </si>
  <si>
    <t>G1693E</t>
  </si>
  <si>
    <t>NP_004361</t>
  </si>
  <si>
    <t>G618R</t>
  </si>
  <si>
    <t>NM_016083</t>
  </si>
  <si>
    <t>R444K</t>
  </si>
  <si>
    <t>NP_057167</t>
  </si>
  <si>
    <t>G597E</t>
  </si>
  <si>
    <t>G1278D</t>
  </si>
  <si>
    <t>NP_006819</t>
  </si>
  <si>
    <t>NM_021956</t>
  </si>
  <si>
    <t>E788K</t>
  </si>
  <si>
    <t>NP_068775</t>
  </si>
  <si>
    <t>HACE1</t>
  </si>
  <si>
    <t>NM_020771</t>
  </si>
  <si>
    <t>D543N</t>
  </si>
  <si>
    <t>NP_065822</t>
  </si>
  <si>
    <t>RTN4IP1</t>
  </si>
  <si>
    <t>NM_032730</t>
  </si>
  <si>
    <t>A98T</t>
  </si>
  <si>
    <t>NP_116119</t>
  </si>
  <si>
    <t>NR2E1</t>
  </si>
  <si>
    <t>NM_003269</t>
  </si>
  <si>
    <t>T283I</t>
  </si>
  <si>
    <t>NP_003260</t>
  </si>
  <si>
    <t>FIG4</t>
  </si>
  <si>
    <t>NM_014845</t>
  </si>
  <si>
    <t>G208R</t>
  </si>
  <si>
    <t>NP_055660</t>
  </si>
  <si>
    <t>G430D</t>
  </si>
  <si>
    <t>NP_149116</t>
  </si>
  <si>
    <t>G964E</t>
  </si>
  <si>
    <t>FAM26E</t>
  </si>
  <si>
    <t>NM_153711</t>
  </si>
  <si>
    <t>P42S</t>
  </si>
  <si>
    <t>NP_714922</t>
  </si>
  <si>
    <t>NM_001135648</t>
  </si>
  <si>
    <t>G220E</t>
  </si>
  <si>
    <t>NP_001129120</t>
  </si>
  <si>
    <t>S1477N</t>
  </si>
  <si>
    <t>G394R</t>
  </si>
  <si>
    <t>NP_006725</t>
  </si>
  <si>
    <t>STX11</t>
  </si>
  <si>
    <t>NM_003764</t>
  </si>
  <si>
    <t>R4Q</t>
  </si>
  <si>
    <t>NP_003755</t>
  </si>
  <si>
    <t>CCDC170</t>
  </si>
  <si>
    <t>NM_025059</t>
  </si>
  <si>
    <t>A113T</t>
  </si>
  <si>
    <t>NP_079335</t>
  </si>
  <si>
    <t>V3887M</t>
  </si>
  <si>
    <t>M1120I</t>
  </si>
  <si>
    <t>A1110T</t>
  </si>
  <si>
    <t>V28I</t>
  </si>
  <si>
    <t>D17N</t>
  </si>
  <si>
    <t>RPS6KA2</t>
  </si>
  <si>
    <t>NM_001006932</t>
  </si>
  <si>
    <t>G89E</t>
  </si>
  <si>
    <t>NP_001006933</t>
  </si>
  <si>
    <t>FAM65B</t>
  </si>
  <si>
    <t>NM_014722</t>
  </si>
  <si>
    <t>NP_055537</t>
  </si>
  <si>
    <t>ZSCAN12</t>
  </si>
  <si>
    <t>NM_001163391</t>
  </si>
  <si>
    <t>NP_001156863</t>
  </si>
  <si>
    <t>OR12D3</t>
  </si>
  <si>
    <t>NM_030959</t>
  </si>
  <si>
    <t>A279T</t>
  </si>
  <si>
    <t>NP_112221</t>
  </si>
  <si>
    <t>A67T</t>
  </si>
  <si>
    <t>NP_039229</t>
  </si>
  <si>
    <t>A236V</t>
  </si>
  <si>
    <t>ABCF1</t>
  </si>
  <si>
    <t>NM_001025091</t>
  </si>
  <si>
    <t>A379T</t>
  </si>
  <si>
    <t>NP_001020262</t>
  </si>
  <si>
    <t>HLA-DPA1</t>
  </si>
  <si>
    <t>NM_001242525</t>
  </si>
  <si>
    <t>G156R</t>
  </si>
  <si>
    <t>PASS,COSM138551</t>
  </si>
  <si>
    <t>NP_001229454.1</t>
  </si>
  <si>
    <t>COL11A2</t>
  </si>
  <si>
    <t>NM_080680</t>
  </si>
  <si>
    <t>P564S</t>
  </si>
  <si>
    <t>NP_542411</t>
  </si>
  <si>
    <t>RXRB</t>
  </si>
  <si>
    <t>NM_021976</t>
  </si>
  <si>
    <t>R187Q</t>
  </si>
  <si>
    <t>NP_068811</t>
  </si>
  <si>
    <t>T2334M</t>
  </si>
  <si>
    <t>A2426V</t>
  </si>
  <si>
    <t>GLP1R</t>
  </si>
  <si>
    <t>NM_002062</t>
  </si>
  <si>
    <t>C226Y</t>
  </si>
  <si>
    <t>NP_002053</t>
  </si>
  <si>
    <t>PGC</t>
  </si>
  <si>
    <t>NM_002630</t>
  </si>
  <si>
    <t>Q107*</t>
  </si>
  <si>
    <t>NP_002621</t>
  </si>
  <si>
    <t>KIAA0240</t>
  </si>
  <si>
    <t>NM_015349</t>
  </si>
  <si>
    <t>A1020T</t>
  </si>
  <si>
    <t>NP_056164</t>
  </si>
  <si>
    <t>D1264N</t>
  </si>
  <si>
    <t>TDRD6</t>
  </si>
  <si>
    <t>NM_001010870</t>
  </si>
  <si>
    <t>V1088F</t>
  </si>
  <si>
    <t>NP_001010870</t>
  </si>
  <si>
    <t>A7T</t>
  </si>
  <si>
    <t>NP_722580.3</t>
  </si>
  <si>
    <t>A520V</t>
  </si>
  <si>
    <t>L625F</t>
  </si>
  <si>
    <t>CDYL</t>
  </si>
  <si>
    <t>NM_004824</t>
  </si>
  <si>
    <t>NP_004815</t>
  </si>
  <si>
    <t>A169V</t>
  </si>
  <si>
    <t>DEFB114</t>
  </si>
  <si>
    <t>NM_001037499</t>
  </si>
  <si>
    <t>NP_001032588</t>
  </si>
  <si>
    <t>NM_000790</t>
  </si>
  <si>
    <t>NP_000781.1</t>
  </si>
  <si>
    <t>NM_000048</t>
  </si>
  <si>
    <t>W428*</t>
  </si>
  <si>
    <t>NP_000039</t>
  </si>
  <si>
    <t>TMEM248</t>
  </si>
  <si>
    <t>NM_017994</t>
  </si>
  <si>
    <t>NP_060464</t>
  </si>
  <si>
    <t>TYW1</t>
  </si>
  <si>
    <t>NM_018264</t>
  </si>
  <si>
    <t>M321I</t>
  </si>
  <si>
    <t>NP_060734</t>
  </si>
  <si>
    <t>WBSCR28</t>
  </si>
  <si>
    <t>NM_182504</t>
  </si>
  <si>
    <t>C173Y</t>
  </si>
  <si>
    <t>NP_872310</t>
  </si>
  <si>
    <t>HIP1</t>
  </si>
  <si>
    <t>NM_005338</t>
  </si>
  <si>
    <t>R126K</t>
  </si>
  <si>
    <t>NP_005329</t>
  </si>
  <si>
    <t>A153T</t>
  </si>
  <si>
    <t>NP_036611</t>
  </si>
  <si>
    <t>MIOS</t>
  </si>
  <si>
    <t>NM_019005</t>
  </si>
  <si>
    <t>S481N</t>
  </si>
  <si>
    <t>NP_061878</t>
  </si>
  <si>
    <t>R3807K</t>
  </si>
  <si>
    <t>E1022K</t>
  </si>
  <si>
    <t>SEMA3A</t>
  </si>
  <si>
    <t>NM_006080</t>
  </si>
  <si>
    <t>T261I</t>
  </si>
  <si>
    <t>NP_006071</t>
  </si>
  <si>
    <t>ABCB4</t>
  </si>
  <si>
    <t>NM_000443</t>
  </si>
  <si>
    <t>A690T</t>
  </si>
  <si>
    <t>NP_000434</t>
  </si>
  <si>
    <t>A347T</t>
  </si>
  <si>
    <t>SAMD9</t>
  </si>
  <si>
    <t>NM_001193307</t>
  </si>
  <si>
    <t>A592T</t>
  </si>
  <si>
    <t>NP_001180236</t>
  </si>
  <si>
    <t>SAMD9L</t>
  </si>
  <si>
    <t>NM_152703</t>
  </si>
  <si>
    <t>T1101I</t>
  </si>
  <si>
    <t>NP_689916</t>
  </si>
  <si>
    <t>CALCR</t>
  </si>
  <si>
    <t>NM_001742</t>
  </si>
  <si>
    <t>G67R</t>
  </si>
  <si>
    <t>NP_001733</t>
  </si>
  <si>
    <t>P195L</t>
  </si>
  <si>
    <t>G649D</t>
  </si>
  <si>
    <t>PON3</t>
  </si>
  <si>
    <t>NM_000940</t>
  </si>
  <si>
    <t>R210K</t>
  </si>
  <si>
    <t>NP_000931</t>
  </si>
  <si>
    <t>V26M</t>
  </si>
  <si>
    <t>NP_003430</t>
  </si>
  <si>
    <t>GAL3ST4</t>
  </si>
  <si>
    <t>NM_024637</t>
  </si>
  <si>
    <t>A334T</t>
  </si>
  <si>
    <t>NP_078913</t>
  </si>
  <si>
    <t>ZAN</t>
  </si>
  <si>
    <t>NM_173059</t>
  </si>
  <si>
    <t>P619L</t>
  </si>
  <si>
    <t>NP_775082</t>
  </si>
  <si>
    <t>G244S</t>
  </si>
  <si>
    <t>W3249*</t>
  </si>
  <si>
    <t>A941V</t>
  </si>
  <si>
    <t>PASS,rs148817224</t>
  </si>
  <si>
    <t>G1159S</t>
  </si>
  <si>
    <t>V801I</t>
  </si>
  <si>
    <t>R323K</t>
  </si>
  <si>
    <t>P642L</t>
  </si>
  <si>
    <t>NP_031382</t>
  </si>
  <si>
    <t>G613S</t>
  </si>
  <si>
    <t>PPP1R3A</t>
  </si>
  <si>
    <t>NM_002711</t>
  </si>
  <si>
    <t>P828L</t>
  </si>
  <si>
    <t>NP_002702</t>
  </si>
  <si>
    <t>TFEC</t>
  </si>
  <si>
    <t>NM_012252</t>
  </si>
  <si>
    <t>A227T</t>
  </si>
  <si>
    <t>PASS,COSM164880</t>
  </si>
  <si>
    <t>NP_036384</t>
  </si>
  <si>
    <t>TES</t>
  </si>
  <si>
    <t>NM_015641</t>
  </si>
  <si>
    <t>V343I</t>
  </si>
  <si>
    <t>NP_056456</t>
  </si>
  <si>
    <t>NM_021908</t>
  </si>
  <si>
    <t>W466*</t>
  </si>
  <si>
    <t>NP_068708</t>
  </si>
  <si>
    <t>L1436F</t>
  </si>
  <si>
    <t>NP_000483</t>
  </si>
  <si>
    <t>ING3</t>
  </si>
  <si>
    <t>NM_019071</t>
  </si>
  <si>
    <t>G263R</t>
  </si>
  <si>
    <t>NP_061944</t>
  </si>
  <si>
    <t>P2059S</t>
  </si>
  <si>
    <t>LMOD2</t>
  </si>
  <si>
    <t>NM_207163</t>
  </si>
  <si>
    <t>A521V</t>
  </si>
  <si>
    <t>NP_997046</t>
  </si>
  <si>
    <t>G409R</t>
  </si>
  <si>
    <t>NP_005293</t>
  </si>
  <si>
    <t>NM_000845</t>
  </si>
  <si>
    <t>NP_000836</t>
  </si>
  <si>
    <t>ZC3HC1</t>
  </si>
  <si>
    <t>NM_016478</t>
  </si>
  <si>
    <t>W90*</t>
  </si>
  <si>
    <t>NP_057562</t>
  </si>
  <si>
    <t>NM_005397</t>
  </si>
  <si>
    <t>P181S</t>
  </si>
  <si>
    <t>NP_005388</t>
  </si>
  <si>
    <t>CNOT4</t>
  </si>
  <si>
    <t>NM_001190850</t>
  </si>
  <si>
    <t>V105I</t>
  </si>
  <si>
    <t>NP_001177779</t>
  </si>
  <si>
    <t>AKR1D1</t>
  </si>
  <si>
    <t>NM_005989</t>
  </si>
  <si>
    <t>P29L</t>
  </si>
  <si>
    <t>NP_005980</t>
  </si>
  <si>
    <t>NM_022740</t>
  </si>
  <si>
    <t>A323T</t>
  </si>
  <si>
    <t>NP_073577</t>
  </si>
  <si>
    <t>A572T</t>
  </si>
  <si>
    <t>NP_085150</t>
  </si>
  <si>
    <t>PRSS1</t>
  </si>
  <si>
    <t>NM_002769</t>
  </si>
  <si>
    <t>P226L</t>
  </si>
  <si>
    <t>NP_002760</t>
  </si>
  <si>
    <t>CASP2</t>
  </si>
  <si>
    <t>NM_032982</t>
  </si>
  <si>
    <t>A105T</t>
  </si>
  <si>
    <t>NP_116764</t>
  </si>
  <si>
    <t>KRBA1</t>
  </si>
  <si>
    <t>NM_032534</t>
  </si>
  <si>
    <t>W519*</t>
  </si>
  <si>
    <t>NP_115923</t>
  </si>
  <si>
    <t>E893K</t>
  </si>
  <si>
    <t>ISPD</t>
  </si>
  <si>
    <t>NM_001101426</t>
  </si>
  <si>
    <t>NP_001094896</t>
  </si>
  <si>
    <t>NM_001037283</t>
  </si>
  <si>
    <t>S617N</t>
  </si>
  <si>
    <t>NP_001032360.1</t>
  </si>
  <si>
    <t>G170D</t>
  </si>
  <si>
    <t>T726K</t>
  </si>
  <si>
    <t>NP_689957</t>
  </si>
  <si>
    <t>E1076K</t>
  </si>
  <si>
    <t>A35V</t>
  </si>
  <si>
    <t>T573M</t>
  </si>
  <si>
    <t>A3042T</t>
  </si>
  <si>
    <t>E4705K</t>
  </si>
  <si>
    <t>A445T</t>
  </si>
  <si>
    <t>A1840T</t>
  </si>
  <si>
    <t>NP_060250</t>
  </si>
  <si>
    <t>CYP7B1</t>
  </si>
  <si>
    <t>NM_004820</t>
  </si>
  <si>
    <t>G443E</t>
  </si>
  <si>
    <t>NP_004811</t>
  </si>
  <si>
    <t>A110T</t>
  </si>
  <si>
    <t>NP_149096</t>
  </si>
  <si>
    <t>EYA1</t>
  </si>
  <si>
    <t>NM_172058</t>
  </si>
  <si>
    <t>G66D</t>
  </si>
  <si>
    <t>PASS,rs149289196</t>
  </si>
  <si>
    <t>NP_742055</t>
  </si>
  <si>
    <t>Q140*</t>
  </si>
  <si>
    <t>WWP1</t>
  </si>
  <si>
    <t>NM_007013</t>
  </si>
  <si>
    <t>G141R</t>
  </si>
  <si>
    <t>NP_008944</t>
  </si>
  <si>
    <t>NM_001198679</t>
  </si>
  <si>
    <t>P285S</t>
  </si>
  <si>
    <t>NP_001185608</t>
  </si>
  <si>
    <t>T282I</t>
  </si>
  <si>
    <t>PDP1</t>
  </si>
  <si>
    <t>NM_001161778</t>
  </si>
  <si>
    <t>NP_001155250</t>
  </si>
  <si>
    <t>NM_017697</t>
  </si>
  <si>
    <t>NP_060167.2</t>
  </si>
  <si>
    <t>P453L</t>
  </si>
  <si>
    <t>PLEKHF2</t>
  </si>
  <si>
    <t>NM_024613</t>
  </si>
  <si>
    <t>V157I</t>
  </si>
  <si>
    <t>NP_078889</t>
  </si>
  <si>
    <t>NM_002380</t>
  </si>
  <si>
    <t>S64N</t>
  </si>
  <si>
    <t>NP_002371</t>
  </si>
  <si>
    <t>NM_001145861</t>
  </si>
  <si>
    <t>G290R</t>
  </si>
  <si>
    <t>NP_001139333</t>
  </si>
  <si>
    <t>G319S</t>
  </si>
  <si>
    <t>GRHL2</t>
  </si>
  <si>
    <t>NM_024915</t>
  </si>
  <si>
    <t>L622F</t>
  </si>
  <si>
    <t>NP_079191</t>
  </si>
  <si>
    <t>NM_001172477</t>
  </si>
  <si>
    <t>A166T</t>
  </si>
  <si>
    <t>NP_001165948</t>
  </si>
  <si>
    <t>NM_001164615</t>
  </si>
  <si>
    <t>T595I</t>
  </si>
  <si>
    <t>NP_001158087</t>
  </si>
  <si>
    <t>S1404N</t>
  </si>
  <si>
    <t>A465V</t>
  </si>
  <si>
    <t>S908N</t>
  </si>
  <si>
    <t>A421T</t>
  </si>
  <si>
    <t>G844E</t>
  </si>
  <si>
    <t>C1563Y</t>
  </si>
  <si>
    <t>NP_803875</t>
  </si>
  <si>
    <t>V3301M</t>
  </si>
  <si>
    <t>A3550V</t>
  </si>
  <si>
    <t>V2896M</t>
  </si>
  <si>
    <t>P2472S</t>
  </si>
  <si>
    <t>G1999A</t>
  </si>
  <si>
    <t>A1373V</t>
  </si>
  <si>
    <t>NM_052886</t>
  </si>
  <si>
    <t>A75T</t>
  </si>
  <si>
    <t>NP_443118</t>
  </si>
  <si>
    <t>ENPP2</t>
  </si>
  <si>
    <t>NM_006209</t>
  </si>
  <si>
    <t>L733F</t>
  </si>
  <si>
    <t>NP_006200</t>
  </si>
  <si>
    <t>FAM83A</t>
  </si>
  <si>
    <t>NM_032899</t>
  </si>
  <si>
    <t>C154Y</t>
  </si>
  <si>
    <t>NP_116288</t>
  </si>
  <si>
    <t>NM_018482</t>
  </si>
  <si>
    <t>G848R</t>
  </si>
  <si>
    <t>NP_060952</t>
  </si>
  <si>
    <t>P1043L</t>
  </si>
  <si>
    <t>DENND3</t>
  </si>
  <si>
    <t>NM_014957</t>
  </si>
  <si>
    <t>G103D</t>
  </si>
  <si>
    <t>NP_055772</t>
  </si>
  <si>
    <t>NM_014789</t>
  </si>
  <si>
    <t>A215T</t>
  </si>
  <si>
    <t>NP_055604</t>
  </si>
  <si>
    <t>PSD3</t>
  </si>
  <si>
    <t>NM_015310</t>
  </si>
  <si>
    <t>P96L</t>
  </si>
  <si>
    <t>NP_056125</t>
  </si>
  <si>
    <t>G666D</t>
  </si>
  <si>
    <t>NP_060612</t>
  </si>
  <si>
    <t>MYOM2</t>
  </si>
  <si>
    <t>NM_003970</t>
  </si>
  <si>
    <t>P1176S</t>
  </si>
  <si>
    <t>NP_003961</t>
  </si>
  <si>
    <t>POLR3D</t>
  </si>
  <si>
    <t>NM_001722</t>
  </si>
  <si>
    <t>G92E</t>
  </si>
  <si>
    <t>NP_001713</t>
  </si>
  <si>
    <t>TNFRSF10B</t>
  </si>
  <si>
    <t>NM_003842</t>
  </si>
  <si>
    <t>G394E</t>
  </si>
  <si>
    <t>NP_003833</t>
  </si>
  <si>
    <t>NP_002309</t>
  </si>
  <si>
    <t>NEFM</t>
  </si>
  <si>
    <t>NM_005382</t>
  </si>
  <si>
    <t>G372D</t>
  </si>
  <si>
    <t>NP_005373</t>
  </si>
  <si>
    <t>EBF2</t>
  </si>
  <si>
    <t>NM_022659</t>
  </si>
  <si>
    <t>G20D</t>
  </si>
  <si>
    <t>NP_073150</t>
  </si>
  <si>
    <t>S2238N</t>
  </si>
  <si>
    <t>NP_150094</t>
  </si>
  <si>
    <t>PURG</t>
  </si>
  <si>
    <t>NM_013357</t>
  </si>
  <si>
    <t>R273K</t>
  </si>
  <si>
    <t>NP_037489</t>
  </si>
  <si>
    <t>A392T</t>
  </si>
  <si>
    <t>NP_543148</t>
  </si>
  <si>
    <t>L678F</t>
  </si>
  <si>
    <t>NM_001031836</t>
  </si>
  <si>
    <t>NP_001027006</t>
  </si>
  <si>
    <t>FGFR1</t>
  </si>
  <si>
    <t>NM_001174067</t>
  </si>
  <si>
    <t>P514L</t>
  </si>
  <si>
    <t>NP_001167538</t>
  </si>
  <si>
    <t>ADAM9</t>
  </si>
  <si>
    <t>NM_003816</t>
  </si>
  <si>
    <t>G148R</t>
  </si>
  <si>
    <t>NP_003807</t>
  </si>
  <si>
    <t>IDO1</t>
  </si>
  <si>
    <t>NM_002164</t>
  </si>
  <si>
    <t>P110L</t>
  </si>
  <si>
    <t>NP_002155</t>
  </si>
  <si>
    <t>R981K</t>
  </si>
  <si>
    <t>RLN1</t>
  </si>
  <si>
    <t>NM_006911</t>
  </si>
  <si>
    <t>P95S</t>
  </si>
  <si>
    <t>NP_008842</t>
  </si>
  <si>
    <t>TRPM6</t>
  </si>
  <si>
    <t>NM_001177310</t>
  </si>
  <si>
    <t>P999S</t>
  </si>
  <si>
    <t>NP_001170781</t>
  </si>
  <si>
    <t>P2672L</t>
  </si>
  <si>
    <t>NP_056040</t>
  </si>
  <si>
    <t>A376V</t>
  </si>
  <si>
    <t>A243V</t>
  </si>
  <si>
    <t>FAM75D1</t>
  </si>
  <si>
    <t>NM_001001670</t>
  </si>
  <si>
    <t>P214L</t>
  </si>
  <si>
    <t>NP_001001670</t>
  </si>
  <si>
    <t>G1398E</t>
  </si>
  <si>
    <t>NTRK2</t>
  </si>
  <si>
    <t>NM_006180</t>
  </si>
  <si>
    <t>NP_006171</t>
  </si>
  <si>
    <t>G301D</t>
  </si>
  <si>
    <t>NP_068770</t>
  </si>
  <si>
    <t>NM_004938</t>
  </si>
  <si>
    <t>G388S</t>
  </si>
  <si>
    <t>NP_004929</t>
  </si>
  <si>
    <t>A529T</t>
  </si>
  <si>
    <t>OR13C2</t>
  </si>
  <si>
    <t>NM_001004481</t>
  </si>
  <si>
    <t>C97Y</t>
  </si>
  <si>
    <t>NP_001004481</t>
  </si>
  <si>
    <t>ABCA1</t>
  </si>
  <si>
    <t>NM_005502</t>
  </si>
  <si>
    <t>G2074D</t>
  </si>
  <si>
    <t>NP_005493</t>
  </si>
  <si>
    <t>NM_019114</t>
  </si>
  <si>
    <t>NP_061987</t>
  </si>
  <si>
    <t>P1334L</t>
  </si>
  <si>
    <t>P417S</t>
  </si>
  <si>
    <t>NP_054729</t>
  </si>
  <si>
    <t>TLR4</t>
  </si>
  <si>
    <t>NM_138554</t>
  </si>
  <si>
    <t>R355K</t>
  </si>
  <si>
    <t>NP_612564</t>
  </si>
  <si>
    <t>FBXW2</t>
  </si>
  <si>
    <t>NM_012164</t>
  </si>
  <si>
    <t>W270*</t>
  </si>
  <si>
    <t>NP_036296</t>
  </si>
  <si>
    <t>G825E</t>
  </si>
  <si>
    <t>NP_008949</t>
  </si>
  <si>
    <t>RAB14</t>
  </si>
  <si>
    <t>NM_016322</t>
  </si>
  <si>
    <t>NP_057406</t>
  </si>
  <si>
    <t>OR1J2</t>
  </si>
  <si>
    <t>NM_054107</t>
  </si>
  <si>
    <t>P3L</t>
  </si>
  <si>
    <t>NP_473448</t>
  </si>
  <si>
    <t>RABGAP1</t>
  </si>
  <si>
    <t>NM_012197</t>
  </si>
  <si>
    <t>G679E</t>
  </si>
  <si>
    <t>NP_036329</t>
  </si>
  <si>
    <t>G63S</t>
  </si>
  <si>
    <t>ZBTB34</t>
  </si>
  <si>
    <t>NM_001099270</t>
  </si>
  <si>
    <t>G29E</t>
  </si>
  <si>
    <t>NP_001092740</t>
  </si>
  <si>
    <t>CERCAM</t>
  </si>
  <si>
    <t>NM_016174</t>
  </si>
  <si>
    <t>P186S</t>
  </si>
  <si>
    <t>NP_057258</t>
  </si>
  <si>
    <t>R786K</t>
  </si>
  <si>
    <t>NP_037450</t>
  </si>
  <si>
    <t>G1439R</t>
  </si>
  <si>
    <t>NM_001077365</t>
  </si>
  <si>
    <t>V116I</t>
  </si>
  <si>
    <t>NP_001070833</t>
  </si>
  <si>
    <t>MAN1B1</t>
  </si>
  <si>
    <t>NM_016219</t>
  </si>
  <si>
    <t>NP_057303</t>
  </si>
  <si>
    <t>ZDHHC21</t>
  </si>
  <si>
    <t>NM_178566</t>
  </si>
  <si>
    <t>NP_848661</t>
  </si>
  <si>
    <t>NM_017637</t>
  </si>
  <si>
    <t>V402I</t>
  </si>
  <si>
    <t>NP_060107</t>
  </si>
  <si>
    <t>NP_001035362</t>
  </si>
  <si>
    <t>P1373L</t>
  </si>
  <si>
    <t>C9orf131</t>
  </si>
  <si>
    <t>NM_203299</t>
  </si>
  <si>
    <t>P163S</t>
  </si>
  <si>
    <t>NP_976044</t>
  </si>
  <si>
    <t>CD72</t>
  </si>
  <si>
    <t>NM_001782</t>
  </si>
  <si>
    <t>A165T</t>
  </si>
  <si>
    <t>NP_001773.1</t>
  </si>
  <si>
    <t>RGP1</t>
  </si>
  <si>
    <t>NM_001080496</t>
  </si>
  <si>
    <t>D75N</t>
  </si>
  <si>
    <t>NP_001073965</t>
  </si>
  <si>
    <t>POLR1E</t>
  </si>
  <si>
    <t>NM_022490</t>
  </si>
  <si>
    <t>NP_071935</t>
  </si>
  <si>
    <t>E954K</t>
  </si>
  <si>
    <t>S1310N</t>
  </si>
  <si>
    <t>AK3</t>
  </si>
  <si>
    <t>NM_016282</t>
  </si>
  <si>
    <t>NP_057366</t>
  </si>
  <si>
    <t>P2574L</t>
  </si>
  <si>
    <t>T163I</t>
  </si>
  <si>
    <t>A19V</t>
  </si>
  <si>
    <t>NP_079079</t>
  </si>
  <si>
    <t>NM_001142763</t>
  </si>
  <si>
    <t>G1942E</t>
  </si>
  <si>
    <t>NP_001136235</t>
  </si>
  <si>
    <t>P838S</t>
  </si>
  <si>
    <t>NM_020987</t>
  </si>
  <si>
    <t>M472I</t>
  </si>
  <si>
    <t>NP_066267.2</t>
  </si>
  <si>
    <t>MYPN</t>
  </si>
  <si>
    <t>NM_032578</t>
  </si>
  <si>
    <t>P408S</t>
  </si>
  <si>
    <t>NP_115967</t>
  </si>
  <si>
    <t>HKDC1</t>
  </si>
  <si>
    <t>NM_025130</t>
  </si>
  <si>
    <t>NP_079406</t>
  </si>
  <si>
    <t>SYNPO2L</t>
  </si>
  <si>
    <t>NM_001114133</t>
  </si>
  <si>
    <t>P120L</t>
  </si>
  <si>
    <t>NP_001107605</t>
  </si>
  <si>
    <t>NM_001161352</t>
  </si>
  <si>
    <t>P1219S</t>
  </si>
  <si>
    <t>NP_001154824</t>
  </si>
  <si>
    <t>LIPM</t>
  </si>
  <si>
    <t>NM_001128215</t>
  </si>
  <si>
    <t>A289T</t>
  </si>
  <si>
    <t>NP_001121687</t>
  </si>
  <si>
    <t>TNKS2</t>
  </si>
  <si>
    <t>NM_025235</t>
  </si>
  <si>
    <t>R923K</t>
  </si>
  <si>
    <t>NP_079511</t>
  </si>
  <si>
    <t>NM_013451</t>
  </si>
  <si>
    <t>A1857V</t>
  </si>
  <si>
    <t>NP_038479</t>
  </si>
  <si>
    <t>ZNF518A</t>
  </si>
  <si>
    <t>NM_014803</t>
  </si>
  <si>
    <t>V576I</t>
  </si>
  <si>
    <t>NP_055618</t>
  </si>
  <si>
    <t>C10orf12</t>
  </si>
  <si>
    <t>NM_015652</t>
  </si>
  <si>
    <t>G468D</t>
  </si>
  <si>
    <t>NP_056467</t>
  </si>
  <si>
    <t>ARHGAP19</t>
  </si>
  <si>
    <t>NM_032900</t>
  </si>
  <si>
    <t>NP_116289</t>
  </si>
  <si>
    <t>CRTAC1</t>
  </si>
  <si>
    <t>NM_018058</t>
  </si>
  <si>
    <t>D299N</t>
  </si>
  <si>
    <t>NP_060528</t>
  </si>
  <si>
    <t>NM_021828</t>
  </si>
  <si>
    <t>A23V</t>
  </si>
  <si>
    <t>NP_068600</t>
  </si>
  <si>
    <t>W157*</t>
  </si>
  <si>
    <t>NP_060764</t>
  </si>
  <si>
    <t>NOLC1</t>
  </si>
  <si>
    <t>NM_004741</t>
  </si>
  <si>
    <t>A658T</t>
  </si>
  <si>
    <t>NP_004732</t>
  </si>
  <si>
    <t>ELOVL3</t>
  </si>
  <si>
    <t>NM_152310</t>
  </si>
  <si>
    <t>R58H</t>
  </si>
  <si>
    <t>NP_689523</t>
  </si>
  <si>
    <t>CNNM2</t>
  </si>
  <si>
    <t>NM_017649</t>
  </si>
  <si>
    <t>A501T</t>
  </si>
  <si>
    <t>NP_060119</t>
  </si>
  <si>
    <t>SORCS3</t>
  </si>
  <si>
    <t>NM_014978</t>
  </si>
  <si>
    <t>G762E</t>
  </si>
  <si>
    <t>NP_055793</t>
  </si>
  <si>
    <t>NM_004132</t>
  </si>
  <si>
    <t>C477Y</t>
  </si>
  <si>
    <t>NP_004123</t>
  </si>
  <si>
    <t>G695D</t>
  </si>
  <si>
    <t>NP_942090</t>
  </si>
  <si>
    <t>PNLIPRP3</t>
  </si>
  <si>
    <t>NM_001011709</t>
  </si>
  <si>
    <t>W47*</t>
  </si>
  <si>
    <t>NP_001011709</t>
  </si>
  <si>
    <t>PNLIPRP2</t>
  </si>
  <si>
    <t>NM_005396</t>
  </si>
  <si>
    <t>W105*</t>
  </si>
  <si>
    <t>NP_005387</t>
  </si>
  <si>
    <t>G389E</t>
  </si>
  <si>
    <t>NP_776152</t>
  </si>
  <si>
    <t>G1265S</t>
  </si>
  <si>
    <t>NP_996744</t>
  </si>
  <si>
    <t>A2787T</t>
  </si>
  <si>
    <t>BTBD16</t>
  </si>
  <si>
    <t>NM_144587</t>
  </si>
  <si>
    <t>R13H</t>
  </si>
  <si>
    <t>NP_653188</t>
  </si>
  <si>
    <t>NM_015892</t>
  </si>
  <si>
    <t>A94T</t>
  </si>
  <si>
    <t>NP_056976</t>
  </si>
  <si>
    <t>NM_000274</t>
  </si>
  <si>
    <t>G291R</t>
  </si>
  <si>
    <t>NP_000265</t>
  </si>
  <si>
    <t>NM_003474</t>
  </si>
  <si>
    <t>NP_003465</t>
  </si>
  <si>
    <t>TCERG1L</t>
  </si>
  <si>
    <t>NM_174937</t>
  </si>
  <si>
    <t>P211S</t>
  </si>
  <si>
    <t>NP_777597</t>
  </si>
  <si>
    <t>R142H</t>
  </si>
  <si>
    <t>PASS,rs45620332</t>
  </si>
  <si>
    <t>NP_055283</t>
  </si>
  <si>
    <t>H130Y</t>
  </si>
  <si>
    <t>NP_006384</t>
  </si>
  <si>
    <t>C10orf113</t>
  </si>
  <si>
    <t>NM_001010896</t>
  </si>
  <si>
    <t>G130R</t>
  </si>
  <si>
    <t>NP_001010896</t>
  </si>
  <si>
    <t>T582I</t>
  </si>
  <si>
    <t>P88S</t>
  </si>
  <si>
    <t>NP_699199</t>
  </si>
  <si>
    <t>ANKRD30A</t>
  </si>
  <si>
    <t>NM_052997</t>
  </si>
  <si>
    <t>A823V</t>
  </si>
  <si>
    <t>NP_443723.2</t>
  </si>
  <si>
    <t>RASGEF1A</t>
  </si>
  <si>
    <t>NM_145313</t>
  </si>
  <si>
    <t>NP_660356</t>
  </si>
  <si>
    <t>FXYD4</t>
  </si>
  <si>
    <t>NM_173160</t>
  </si>
  <si>
    <t>A49T</t>
  </si>
  <si>
    <t>NP_775183</t>
  </si>
  <si>
    <t>ZFAND4</t>
  </si>
  <si>
    <t>NM_001128324</t>
  </si>
  <si>
    <t>NP_001121796</t>
  </si>
  <si>
    <t>PPYR1</t>
  </si>
  <si>
    <t>NM_005972</t>
  </si>
  <si>
    <t>V56I</t>
  </si>
  <si>
    <t>NP_005963</t>
  </si>
  <si>
    <t>OR51Q1</t>
  </si>
  <si>
    <t>NM_001004757</t>
  </si>
  <si>
    <t>T53I</t>
  </si>
  <si>
    <t>NP_001004757</t>
  </si>
  <si>
    <t>OR8I2</t>
  </si>
  <si>
    <t>NM_001003750</t>
  </si>
  <si>
    <t>A202V</t>
  </si>
  <si>
    <t>PASS,rs144146416</t>
  </si>
  <si>
    <t>NP_001003750</t>
  </si>
  <si>
    <t>OR8H3</t>
  </si>
  <si>
    <t>NM_001005201</t>
  </si>
  <si>
    <t>V297M</t>
  </si>
  <si>
    <t>NP_001005201</t>
  </si>
  <si>
    <t>T92I</t>
  </si>
  <si>
    <t>OR8H1</t>
  </si>
  <si>
    <t>NM_001005199</t>
  </si>
  <si>
    <t>T145I</t>
  </si>
  <si>
    <t>NP_001005199</t>
  </si>
  <si>
    <t>OR5R1</t>
  </si>
  <si>
    <t>NM_001004744</t>
  </si>
  <si>
    <t>NP_001004744</t>
  </si>
  <si>
    <t>P180L</t>
  </si>
  <si>
    <t>OR52N4</t>
  </si>
  <si>
    <t>NM_001005175</t>
  </si>
  <si>
    <t>L164F</t>
  </si>
  <si>
    <t>NP_001005175</t>
  </si>
  <si>
    <t>OR1S2</t>
  </si>
  <si>
    <t>NM_001004459</t>
  </si>
  <si>
    <t>P196S</t>
  </si>
  <si>
    <t>NP_001004459</t>
  </si>
  <si>
    <t>OR1S1</t>
  </si>
  <si>
    <t>NM_001004458</t>
  </si>
  <si>
    <t>G56R</t>
  </si>
  <si>
    <t>NP_001004458</t>
  </si>
  <si>
    <t>BEST1</t>
  </si>
  <si>
    <t>NM_004183</t>
  </si>
  <si>
    <t>A456V</t>
  </si>
  <si>
    <t>NP_004174</t>
  </si>
  <si>
    <t>G5268R</t>
  </si>
  <si>
    <t>NP_001611</t>
  </si>
  <si>
    <t>G2557E</t>
  </si>
  <si>
    <t>MTA2</t>
  </si>
  <si>
    <t>NM_004739</t>
  </si>
  <si>
    <t>G555S</t>
  </si>
  <si>
    <t>NP_004730</t>
  </si>
  <si>
    <t>NM_012094</t>
  </si>
  <si>
    <t>G87S</t>
  </si>
  <si>
    <t>NP_036226</t>
  </si>
  <si>
    <t>NM_000613</t>
  </si>
  <si>
    <t>A146T</t>
  </si>
  <si>
    <t>NP_000604</t>
  </si>
  <si>
    <t>NM_033278</t>
  </si>
  <si>
    <t>G313D</t>
  </si>
  <si>
    <t>NP_150594</t>
  </si>
  <si>
    <t>NM_005609</t>
  </si>
  <si>
    <t>A273T</t>
  </si>
  <si>
    <t>NP_005600</t>
  </si>
  <si>
    <t>G566R</t>
  </si>
  <si>
    <t>DCHS1</t>
  </si>
  <si>
    <t>NM_003737</t>
  </si>
  <si>
    <t>V880M</t>
  </si>
  <si>
    <t>NP_003728</t>
  </si>
  <si>
    <t>P268S</t>
  </si>
  <si>
    <t>NP_001004490</t>
  </si>
  <si>
    <t>G275E</t>
  </si>
  <si>
    <t>PGM2L1</t>
  </si>
  <si>
    <t>NM_173582</t>
  </si>
  <si>
    <t>G114E</t>
  </si>
  <si>
    <t>NP_775853</t>
  </si>
  <si>
    <t>KCNE3</t>
  </si>
  <si>
    <t>NM_005472</t>
  </si>
  <si>
    <t>R32Q</t>
  </si>
  <si>
    <t>NP_005463</t>
  </si>
  <si>
    <t>RSF1</t>
  </si>
  <si>
    <t>NM_016578</t>
  </si>
  <si>
    <t>G401E</t>
  </si>
  <si>
    <t>NP_057662</t>
  </si>
  <si>
    <t>USP35</t>
  </si>
  <si>
    <t>NM_020798</t>
  </si>
  <si>
    <t>A458T</t>
  </si>
  <si>
    <t>NP_065849</t>
  </si>
  <si>
    <t>STK33</t>
  </si>
  <si>
    <t>NM_030906</t>
  </si>
  <si>
    <t>G495R</t>
  </si>
  <si>
    <t>NP_112168</t>
  </si>
  <si>
    <t>SYTL2</t>
  </si>
  <si>
    <t>NM_206927</t>
  </si>
  <si>
    <t>A253T</t>
  </si>
  <si>
    <t>NP_996810</t>
  </si>
  <si>
    <t>NM_001814</t>
  </si>
  <si>
    <t>W433*</t>
  </si>
  <si>
    <t>NP_001805</t>
  </si>
  <si>
    <t>NM_020974</t>
  </si>
  <si>
    <t>G343S</t>
  </si>
  <si>
    <t>NP_066025</t>
  </si>
  <si>
    <t>A94V</t>
  </si>
  <si>
    <t>S2446N</t>
  </si>
  <si>
    <t>NM_005591</t>
  </si>
  <si>
    <t>G291E</t>
  </si>
  <si>
    <t>NP_005582</t>
  </si>
  <si>
    <t>NM_182962</t>
  </si>
  <si>
    <t>G132R</t>
  </si>
  <si>
    <t>NP_892007</t>
  </si>
  <si>
    <t>V415I</t>
  </si>
  <si>
    <t>MMP12</t>
  </si>
  <si>
    <t>NM_002426</t>
  </si>
  <si>
    <t>G227S</t>
  </si>
  <si>
    <t>NP_002417</t>
  </si>
  <si>
    <t>G106R</t>
  </si>
  <si>
    <t>P1849L</t>
  </si>
  <si>
    <t>D145Y</t>
  </si>
  <si>
    <t>NP_689647</t>
  </si>
  <si>
    <t>P199L</t>
  </si>
  <si>
    <t>NP_059986</t>
  </si>
  <si>
    <t>FDX1</t>
  </si>
  <si>
    <t>NM_004109</t>
  </si>
  <si>
    <t>D132N</t>
  </si>
  <si>
    <t>NP_004100</t>
  </si>
  <si>
    <t>ARHGAP20</t>
  </si>
  <si>
    <t>NM_020809</t>
  </si>
  <si>
    <t>G608D</t>
  </si>
  <si>
    <t>NP_065860</t>
  </si>
  <si>
    <t>W176*</t>
  </si>
  <si>
    <t>NP_001243615</t>
  </si>
  <si>
    <t>HTR3B</t>
  </si>
  <si>
    <t>NM_006028</t>
  </si>
  <si>
    <t>W114*</t>
  </si>
  <si>
    <t>NP_006019</t>
  </si>
  <si>
    <t>NXPE1</t>
  </si>
  <si>
    <t>NM_152315</t>
  </si>
  <si>
    <t>P304L</t>
  </si>
  <si>
    <t>NP_689528</t>
  </si>
  <si>
    <t>NXPE4</t>
  </si>
  <si>
    <t>NM_001077639</t>
  </si>
  <si>
    <t>P250S</t>
  </si>
  <si>
    <t>NP_001071107</t>
  </si>
  <si>
    <t>CADM1</t>
  </si>
  <si>
    <t>NM_014333</t>
  </si>
  <si>
    <t>NP_055148</t>
  </si>
  <si>
    <t>BUD13</t>
  </si>
  <si>
    <t>NM_032725</t>
  </si>
  <si>
    <t>G234S</t>
  </si>
  <si>
    <t>NP_116114</t>
  </si>
  <si>
    <t>NM_207343</t>
  </si>
  <si>
    <t>NP_997226</t>
  </si>
  <si>
    <t>CD3G</t>
  </si>
  <si>
    <t>NM_000073</t>
  </si>
  <si>
    <t>G59E</t>
  </si>
  <si>
    <t>NP_000064.1</t>
  </si>
  <si>
    <t>PHLDB1</t>
  </si>
  <si>
    <t>NM_001144758</t>
  </si>
  <si>
    <t>P943L</t>
  </si>
  <si>
    <t>NP_001138230</t>
  </si>
  <si>
    <t>VPS11</t>
  </si>
  <si>
    <t>NM_021729</t>
  </si>
  <si>
    <t>C235Y</t>
  </si>
  <si>
    <t>NP_068375</t>
  </si>
  <si>
    <t>E385K</t>
  </si>
  <si>
    <t>PASS,COSM165450</t>
  </si>
  <si>
    <t>NP_060414</t>
  </si>
  <si>
    <t>E710K</t>
  </si>
  <si>
    <t>ARHGEF12</t>
  </si>
  <si>
    <t>NM_015313</t>
  </si>
  <si>
    <t>G146R</t>
  </si>
  <si>
    <t>NP_056128</t>
  </si>
  <si>
    <t>D1105A</t>
  </si>
  <si>
    <t>NP_003096</t>
  </si>
  <si>
    <t>UBASH3B</t>
  </si>
  <si>
    <t>NM_032873</t>
  </si>
  <si>
    <t>H634Y</t>
  </si>
  <si>
    <t>NP_116262</t>
  </si>
  <si>
    <t>CRTAM</t>
  </si>
  <si>
    <t>NM_019604</t>
  </si>
  <si>
    <t>P354S</t>
  </si>
  <si>
    <t>NP_062550</t>
  </si>
  <si>
    <t>TMEM225</t>
  </si>
  <si>
    <t>NM_001013743</t>
  </si>
  <si>
    <t>S48N</t>
  </si>
  <si>
    <t>NP_001013765</t>
  </si>
  <si>
    <t>OR8D4</t>
  </si>
  <si>
    <t>NM_001005197</t>
  </si>
  <si>
    <t>A263V</t>
  </si>
  <si>
    <t>NP_001005197</t>
  </si>
  <si>
    <t>R320C</t>
  </si>
  <si>
    <t>ARHGAP32</t>
  </si>
  <si>
    <t>NM_001142685</t>
  </si>
  <si>
    <t>NP_001136157</t>
  </si>
  <si>
    <t>FAR1</t>
  </si>
  <si>
    <t>NM_032228</t>
  </si>
  <si>
    <t>P171S</t>
  </si>
  <si>
    <t>NP_115604</t>
  </si>
  <si>
    <t>COPB1</t>
  </si>
  <si>
    <t>NM_001144062</t>
  </si>
  <si>
    <t>NP_001137534</t>
  </si>
  <si>
    <t>KRTAP5-4</t>
  </si>
  <si>
    <t>NM_001012709</t>
  </si>
  <si>
    <t>C50Y</t>
  </si>
  <si>
    <t>NP_001012727</t>
  </si>
  <si>
    <t>PIK3C2A</t>
  </si>
  <si>
    <t>NM_002645</t>
  </si>
  <si>
    <t>G351S</t>
  </si>
  <si>
    <t>NP_002636</t>
  </si>
  <si>
    <t>G145R</t>
  </si>
  <si>
    <t>P387S</t>
  </si>
  <si>
    <t>IGSF22</t>
  </si>
  <si>
    <t>NM_173588</t>
  </si>
  <si>
    <t>NP_775859</t>
  </si>
  <si>
    <t>A60T</t>
  </si>
  <si>
    <t>NP_671732</t>
  </si>
  <si>
    <t>NP_005960.1</t>
  </si>
  <si>
    <t>A440T</t>
  </si>
  <si>
    <t>NP_036307</t>
  </si>
  <si>
    <t>G1145S</t>
  </si>
  <si>
    <t>ALKBH3</t>
  </si>
  <si>
    <t>NM_139178</t>
  </si>
  <si>
    <t>A134T</t>
  </si>
  <si>
    <t>NP_631917</t>
  </si>
  <si>
    <t>R223C</t>
  </si>
  <si>
    <t>A9T</t>
  </si>
  <si>
    <t>ATG13</t>
  </si>
  <si>
    <t>NM_001205119</t>
  </si>
  <si>
    <t>G408R</t>
  </si>
  <si>
    <t>NP_001192048</t>
  </si>
  <si>
    <t>NM_003682</t>
  </si>
  <si>
    <t>W1123*</t>
  </si>
  <si>
    <t>NP_003673</t>
  </si>
  <si>
    <t>OR51F2</t>
  </si>
  <si>
    <t>NM_001004753</t>
  </si>
  <si>
    <t>S88F</t>
  </si>
  <si>
    <t>NP_001004753</t>
  </si>
  <si>
    <t>G262D</t>
  </si>
  <si>
    <t>A80V</t>
  </si>
  <si>
    <t>CCDC77</t>
  </si>
  <si>
    <t>NM_032358</t>
  </si>
  <si>
    <t>E209K</t>
  </si>
  <si>
    <t>NP_115734</t>
  </si>
  <si>
    <t>KRT83</t>
  </si>
  <si>
    <t>NM_002282</t>
  </si>
  <si>
    <t>PASS,rs145476924</t>
  </si>
  <si>
    <t>NP_002273</t>
  </si>
  <si>
    <t>KRT84</t>
  </si>
  <si>
    <t>NM_033045</t>
  </si>
  <si>
    <t>R466K</t>
  </si>
  <si>
    <t>NP_149034</t>
  </si>
  <si>
    <t>KRT71</t>
  </si>
  <si>
    <t>NM_033448</t>
  </si>
  <si>
    <t>A128T</t>
  </si>
  <si>
    <t>NP_258259</t>
  </si>
  <si>
    <t>KRT74</t>
  </si>
  <si>
    <t>NM_175053</t>
  </si>
  <si>
    <t>V146M</t>
  </si>
  <si>
    <t>NP_778223</t>
  </si>
  <si>
    <t>S235N</t>
  </si>
  <si>
    <t>HOXC10</t>
  </si>
  <si>
    <t>NM_017409</t>
  </si>
  <si>
    <t>S302N</t>
  </si>
  <si>
    <t>NP_059105</t>
  </si>
  <si>
    <t>OR6C4</t>
  </si>
  <si>
    <t>NM_001005494</t>
  </si>
  <si>
    <t>P51L</t>
  </si>
  <si>
    <t>NP_001005494</t>
  </si>
  <si>
    <t>G420S</t>
  </si>
  <si>
    <t>NP_002420</t>
  </si>
  <si>
    <t>DGKA</t>
  </si>
  <si>
    <t>NM_201554</t>
  </si>
  <si>
    <t>A183T</t>
  </si>
  <si>
    <t>NP_963848</t>
  </si>
  <si>
    <t>NM_173595</t>
  </si>
  <si>
    <t>S444N</t>
  </si>
  <si>
    <t>NP_775866</t>
  </si>
  <si>
    <t>A366T</t>
  </si>
  <si>
    <t>GPR182</t>
  </si>
  <si>
    <t>NM_007264</t>
  </si>
  <si>
    <t>P400L</t>
  </si>
  <si>
    <t>NP_009195</t>
  </si>
  <si>
    <t>STAC3</t>
  </si>
  <si>
    <t>NM_145064</t>
  </si>
  <si>
    <t>D198N</t>
  </si>
  <si>
    <t>NP_659501</t>
  </si>
  <si>
    <t>A1721T</t>
  </si>
  <si>
    <t>P286L</t>
  </si>
  <si>
    <t>GRIP1</t>
  </si>
  <si>
    <t>NM_021150</t>
  </si>
  <si>
    <t>S398I</t>
  </si>
  <si>
    <t>NP_066973</t>
  </si>
  <si>
    <t>CHD4</t>
  </si>
  <si>
    <t>NM_001273</t>
  </si>
  <si>
    <t>G549V</t>
  </si>
  <si>
    <t>NP_001264</t>
  </si>
  <si>
    <t>ING4</t>
  </si>
  <si>
    <t>NM_001127582</t>
  </si>
  <si>
    <t>A158T</t>
  </si>
  <si>
    <t>NP_001121054</t>
  </si>
  <si>
    <t>G266R</t>
  </si>
  <si>
    <t>NP_116124</t>
  </si>
  <si>
    <t>P734S</t>
  </si>
  <si>
    <t>CD163L1</t>
  </si>
  <si>
    <t>NM_174941</t>
  </si>
  <si>
    <t>A1195V</t>
  </si>
  <si>
    <t>NP_777601.2</t>
  </si>
  <si>
    <t>A403V</t>
  </si>
  <si>
    <t>R175K</t>
  </si>
  <si>
    <t>L12F</t>
  </si>
  <si>
    <t>A1609T</t>
  </si>
  <si>
    <t>C3AR1</t>
  </si>
  <si>
    <t>NM_004054</t>
  </si>
  <si>
    <t>A288V</t>
  </si>
  <si>
    <t>NP_004045</t>
  </si>
  <si>
    <t>D495N</t>
  </si>
  <si>
    <t>POC1B</t>
  </si>
  <si>
    <t>NM_172240</t>
  </si>
  <si>
    <t>F194L</t>
  </si>
  <si>
    <t>NP_758440</t>
  </si>
  <si>
    <t>GALNT4</t>
  </si>
  <si>
    <t>NM_003774</t>
  </si>
  <si>
    <t>E411*</t>
  </si>
  <si>
    <t>NP_003765</t>
  </si>
  <si>
    <t>W334*</t>
  </si>
  <si>
    <t>CLEC1B</t>
  </si>
  <si>
    <t>NM_016509</t>
  </si>
  <si>
    <t>G52R</t>
  </si>
  <si>
    <t>NP_057593</t>
  </si>
  <si>
    <t>L818R</t>
  </si>
  <si>
    <t>NM_001254718</t>
  </si>
  <si>
    <t>G606E</t>
  </si>
  <si>
    <t>NP_001241647</t>
  </si>
  <si>
    <t>R44*</t>
  </si>
  <si>
    <t>NP_060034</t>
  </si>
  <si>
    <t>G179R</t>
  </si>
  <si>
    <t>NM_183415</t>
  </si>
  <si>
    <t>R23K</t>
  </si>
  <si>
    <t>NP_904324</t>
  </si>
  <si>
    <t>NM_170665</t>
  </si>
  <si>
    <t>A76T</t>
  </si>
  <si>
    <t>NP_733765</t>
  </si>
  <si>
    <t>NM_016238</t>
  </si>
  <si>
    <t>A297T</t>
  </si>
  <si>
    <t>NP_057322</t>
  </si>
  <si>
    <t>L100F</t>
  </si>
  <si>
    <t>NP_689804</t>
  </si>
  <si>
    <t>A388T</t>
  </si>
  <si>
    <t>NP_006178</t>
  </si>
  <si>
    <t>C293Y</t>
  </si>
  <si>
    <t>NM_015335</t>
  </si>
  <si>
    <t>NP_056150</t>
  </si>
  <si>
    <t>NOS1</t>
  </si>
  <si>
    <t>NM_001204218</t>
  </si>
  <si>
    <t>NP_001191147</t>
  </si>
  <si>
    <t>COQ5</t>
  </si>
  <si>
    <t>NM_032314</t>
  </si>
  <si>
    <t>V309M</t>
  </si>
  <si>
    <t>NP_115690</t>
  </si>
  <si>
    <t>RNF10</t>
  </si>
  <si>
    <t>NM_014868</t>
  </si>
  <si>
    <t>D438N</t>
  </si>
  <si>
    <t>NP_055683</t>
  </si>
  <si>
    <t>LRRC43</t>
  </si>
  <si>
    <t>NM_001098519</t>
  </si>
  <si>
    <t>P210S</t>
  </si>
  <si>
    <t>NP_001091989</t>
  </si>
  <si>
    <t>HCAR1</t>
  </si>
  <si>
    <t>NM_032554</t>
  </si>
  <si>
    <t>R206K</t>
  </si>
  <si>
    <t>NP_115943</t>
  </si>
  <si>
    <t>NM_006312</t>
  </si>
  <si>
    <t>E562K</t>
  </si>
  <si>
    <t>NP_006303</t>
  </si>
  <si>
    <t>R95K</t>
  </si>
  <si>
    <t>NP_006134</t>
  </si>
  <si>
    <t>SLC15A4</t>
  </si>
  <si>
    <t>NM_145648</t>
  </si>
  <si>
    <t>A236T</t>
  </si>
  <si>
    <t>NP_663623</t>
  </si>
  <si>
    <t>E111K</t>
  </si>
  <si>
    <t>NP_009128</t>
  </si>
  <si>
    <t>L297F</t>
  </si>
  <si>
    <t>GOLGA3</t>
  </si>
  <si>
    <t>NM_005895</t>
  </si>
  <si>
    <t>A781T</t>
  </si>
  <si>
    <t>NP_005886</t>
  </si>
  <si>
    <t>ZNF26</t>
  </si>
  <si>
    <t>XM_003119217</t>
  </si>
  <si>
    <t>G353E</t>
  </si>
  <si>
    <t>XP_003119265</t>
  </si>
  <si>
    <t>G681S</t>
  </si>
  <si>
    <t>NM_019844</t>
  </si>
  <si>
    <t>W470*</t>
  </si>
  <si>
    <t>NP_062818</t>
  </si>
  <si>
    <t>SOX5</t>
  </si>
  <si>
    <t>NM_006940</t>
  </si>
  <si>
    <t>V748I</t>
  </si>
  <si>
    <t>NP_008871</t>
  </si>
  <si>
    <t>NM_018272</t>
  </si>
  <si>
    <t>A189T</t>
  </si>
  <si>
    <t>NP_060742</t>
  </si>
  <si>
    <t>NM_001193451</t>
  </si>
  <si>
    <t>P202L</t>
  </si>
  <si>
    <t>NP_001180380</t>
  </si>
  <si>
    <t>XM_002343151</t>
  </si>
  <si>
    <t>G557S</t>
  </si>
  <si>
    <t>XP_002343192</t>
  </si>
  <si>
    <t>NM_001714</t>
  </si>
  <si>
    <t>G841S</t>
  </si>
  <si>
    <t>NP_001705</t>
  </si>
  <si>
    <t>NM_001843</t>
  </si>
  <si>
    <t>P692S</t>
  </si>
  <si>
    <t>NP_001834</t>
  </si>
  <si>
    <t>ADAMTS20</t>
  </si>
  <si>
    <t>NM_025003</t>
  </si>
  <si>
    <t>A1700V</t>
  </si>
  <si>
    <t>NP_079279</t>
  </si>
  <si>
    <t>G1153D</t>
  </si>
  <si>
    <t>RAD51AP1</t>
  </si>
  <si>
    <t>NM_006479</t>
  </si>
  <si>
    <t>R316H</t>
  </si>
  <si>
    <t>NP_006470</t>
  </si>
  <si>
    <t>COL2A1</t>
  </si>
  <si>
    <t>NM_001844</t>
  </si>
  <si>
    <t>A194V</t>
  </si>
  <si>
    <t>NP_001835</t>
  </si>
  <si>
    <t>OR10AD1</t>
  </si>
  <si>
    <t>NM_001004134</t>
  </si>
  <si>
    <t>V93F</t>
  </si>
  <si>
    <t>NP_001004134</t>
  </si>
  <si>
    <t>ANP32D</t>
  </si>
  <si>
    <t>NM_012404</t>
  </si>
  <si>
    <t>S96N</t>
  </si>
  <si>
    <t>NP_036536</t>
  </si>
  <si>
    <t>S100N</t>
  </si>
  <si>
    <t>NP_689532.1</t>
  </si>
  <si>
    <t>A119T</t>
  </si>
  <si>
    <t>NP_001005203</t>
  </si>
  <si>
    <t>P320S</t>
  </si>
  <si>
    <t>DDX23</t>
  </si>
  <si>
    <t>NM_004818</t>
  </si>
  <si>
    <t>R327K</t>
  </si>
  <si>
    <t>NP_004809</t>
  </si>
  <si>
    <t>E155K</t>
  </si>
  <si>
    <t>NP_116093</t>
  </si>
  <si>
    <t>ALG11</t>
  </si>
  <si>
    <t>NM_001004127</t>
  </si>
  <si>
    <t>G194R</t>
  </si>
  <si>
    <t>NP_001004127</t>
  </si>
  <si>
    <t>OLFM4</t>
  </si>
  <si>
    <t>NM_006418</t>
  </si>
  <si>
    <t>NP_006409</t>
  </si>
  <si>
    <t>DIAPH3</t>
  </si>
  <si>
    <t>NM_001042517</t>
  </si>
  <si>
    <t>R1148K</t>
  </si>
  <si>
    <t>NP_001035982</t>
  </si>
  <si>
    <t>KLHL1</t>
  </si>
  <si>
    <t>NM_020866</t>
  </si>
  <si>
    <t>V570M</t>
  </si>
  <si>
    <t>NP_065917</t>
  </si>
  <si>
    <t>UCHL3</t>
  </si>
  <si>
    <t>NM_006002</t>
  </si>
  <si>
    <t>M37I</t>
  </si>
  <si>
    <t>NP_005993</t>
  </si>
  <si>
    <t>LMO7</t>
  </si>
  <si>
    <t>NM_005358</t>
  </si>
  <si>
    <t>NP_005349</t>
  </si>
  <si>
    <t>NM_001257995</t>
  </si>
  <si>
    <t>G60S</t>
  </si>
  <si>
    <t>NP_001244924</t>
  </si>
  <si>
    <t>NM_005845</t>
  </si>
  <si>
    <t>G343D</t>
  </si>
  <si>
    <t>NP_005836</t>
  </si>
  <si>
    <t>DZIP1</t>
  </si>
  <si>
    <t>NM_198968</t>
  </si>
  <si>
    <t>NP_945319</t>
  </si>
  <si>
    <t>NM_002271</t>
  </si>
  <si>
    <t>G404D</t>
  </si>
  <si>
    <t>NP_002262</t>
  </si>
  <si>
    <t>DOCK9</t>
  </si>
  <si>
    <t>NM_015296</t>
  </si>
  <si>
    <t>A888T</t>
  </si>
  <si>
    <t>NP_056111</t>
  </si>
  <si>
    <t>G861S</t>
  </si>
  <si>
    <t>ITGBL1</t>
  </si>
  <si>
    <t>NM_004791</t>
  </si>
  <si>
    <t>S411N</t>
  </si>
  <si>
    <t>NP_004782</t>
  </si>
  <si>
    <t>G231R</t>
  </si>
  <si>
    <t>P916L</t>
  </si>
  <si>
    <t>GJB6</t>
  </si>
  <si>
    <t>NM_001110221</t>
  </si>
  <si>
    <t>NP_001103691</t>
  </si>
  <si>
    <t>NM_001676</t>
  </si>
  <si>
    <t>G114R</t>
  </si>
  <si>
    <t>NP_001667</t>
  </si>
  <si>
    <t>FLT1</t>
  </si>
  <si>
    <t>NM_002019</t>
  </si>
  <si>
    <t>P143L</t>
  </si>
  <si>
    <t>NP_002010</t>
  </si>
  <si>
    <t>G917S</t>
  </si>
  <si>
    <t>N4BP2L2</t>
  </si>
  <si>
    <t>NM_033111</t>
  </si>
  <si>
    <t>NP_149102.3</t>
  </si>
  <si>
    <t>NM_015032</t>
  </si>
  <si>
    <t>G721R</t>
  </si>
  <si>
    <t>NP_055847</t>
  </si>
  <si>
    <t>G311S</t>
  </si>
  <si>
    <t>R62H</t>
  </si>
  <si>
    <t>NP_005575</t>
  </si>
  <si>
    <t>TRPC4</t>
  </si>
  <si>
    <t>NM_003306</t>
  </si>
  <si>
    <t>A204V</t>
  </si>
  <si>
    <t>NP_003297</t>
  </si>
  <si>
    <t>E3033K</t>
  </si>
  <si>
    <t>P3059L</t>
  </si>
  <si>
    <t>PROSER1</t>
  </si>
  <si>
    <t>NM_025138</t>
  </si>
  <si>
    <t>A760T</t>
  </si>
  <si>
    <t>NP_079414</t>
  </si>
  <si>
    <t>V628M</t>
  </si>
  <si>
    <t>ATL1</t>
  </si>
  <si>
    <t>NM_001127713</t>
  </si>
  <si>
    <t>P448S</t>
  </si>
  <si>
    <t>NP_001121185</t>
  </si>
  <si>
    <t>KTN1</t>
  </si>
  <si>
    <t>NM_001079521</t>
  </si>
  <si>
    <t>R1061K</t>
  </si>
  <si>
    <t>NP_001072989</t>
  </si>
  <si>
    <t>C14orf37</t>
  </si>
  <si>
    <t>NM_001001872</t>
  </si>
  <si>
    <t>G356D</t>
  </si>
  <si>
    <t>NP_001001872</t>
  </si>
  <si>
    <t>C14orf39</t>
  </si>
  <si>
    <t>NM_174978</t>
  </si>
  <si>
    <t>G370E</t>
  </si>
  <si>
    <t>NP_777638</t>
  </si>
  <si>
    <t>NM_001024858</t>
  </si>
  <si>
    <t>D1486N</t>
  </si>
  <si>
    <t>NP_001020029</t>
  </si>
  <si>
    <t>ACTN1</t>
  </si>
  <si>
    <t>NM_001130004</t>
  </si>
  <si>
    <t>NP_001123476</t>
  </si>
  <si>
    <t>DCAF5</t>
  </si>
  <si>
    <t>NM_003861</t>
  </si>
  <si>
    <t>NP_003852</t>
  </si>
  <si>
    <t>SLC8A3</t>
  </si>
  <si>
    <t>NM_183002</t>
  </si>
  <si>
    <t>G272R</t>
  </si>
  <si>
    <t>NP_892114</t>
  </si>
  <si>
    <t>C136Y</t>
  </si>
  <si>
    <t>LIN52</t>
  </si>
  <si>
    <t>NM_001024674</t>
  </si>
  <si>
    <t>NP_001019845</t>
  </si>
  <si>
    <t>YLPM1</t>
  </si>
  <si>
    <t>NM_019589</t>
  </si>
  <si>
    <t>G1174R</t>
  </si>
  <si>
    <t>NP_062535.2</t>
  </si>
  <si>
    <t>A499V</t>
  </si>
  <si>
    <t>TTC8</t>
  </si>
  <si>
    <t>NM_144596</t>
  </si>
  <si>
    <t>NP_653197</t>
  </si>
  <si>
    <t>KCNK13</t>
  </si>
  <si>
    <t>NM_022054</t>
  </si>
  <si>
    <t>L165F</t>
  </si>
  <si>
    <t>NP_071337</t>
  </si>
  <si>
    <t>A220V</t>
  </si>
  <si>
    <t>NP_079108</t>
  </si>
  <si>
    <t>DDX24</t>
  </si>
  <si>
    <t>NM_020414</t>
  </si>
  <si>
    <t>E294K</t>
  </si>
  <si>
    <t>NP_065147</t>
  </si>
  <si>
    <t>SERPINA9</t>
  </si>
  <si>
    <t>NM_175739</t>
  </si>
  <si>
    <t>A217V</t>
  </si>
  <si>
    <t>NP_783866</t>
  </si>
  <si>
    <t>WDR25</t>
  </si>
  <si>
    <t>NM_024515</t>
  </si>
  <si>
    <t>G214S</t>
  </si>
  <si>
    <t>NP_078791</t>
  </si>
  <si>
    <t>G1140S</t>
  </si>
  <si>
    <t>NP_006026</t>
  </si>
  <si>
    <t>TDRD9</t>
  </si>
  <si>
    <t>NM_153046</t>
  </si>
  <si>
    <t>A375V</t>
  </si>
  <si>
    <t>NP_694591</t>
  </si>
  <si>
    <t>P998S</t>
  </si>
  <si>
    <t>G2710D</t>
  </si>
  <si>
    <t>IGHV3-43</t>
  </si>
  <si>
    <t>XM_003403666</t>
  </si>
  <si>
    <t>V29I</t>
  </si>
  <si>
    <t>XP_003403714</t>
  </si>
  <si>
    <t>S7F</t>
  </si>
  <si>
    <t>OR4K5</t>
  </si>
  <si>
    <t>NM_001005483</t>
  </si>
  <si>
    <t>G110E</t>
  </si>
  <si>
    <t>NP_001005483</t>
  </si>
  <si>
    <t>RNASE11</t>
  </si>
  <si>
    <t>NM_145250</t>
  </si>
  <si>
    <t>P86L</t>
  </si>
  <si>
    <t>NP_660293</t>
  </si>
  <si>
    <t>G367E</t>
  </si>
  <si>
    <t>NM_006032</t>
  </si>
  <si>
    <t>R102*</t>
  </si>
  <si>
    <t>NP_006023.1</t>
  </si>
  <si>
    <t>T1349M</t>
  </si>
  <si>
    <t>NP_079357</t>
  </si>
  <si>
    <t>NM_001030055</t>
  </si>
  <si>
    <t>W386*</t>
  </si>
  <si>
    <t>NP_001025226</t>
  </si>
  <si>
    <t>G710D</t>
  </si>
  <si>
    <t>NM_001113498</t>
  </si>
  <si>
    <t>W752*</t>
  </si>
  <si>
    <t>NP_001106970</t>
  </si>
  <si>
    <t>G292D</t>
  </si>
  <si>
    <t>NP_060142</t>
  </si>
  <si>
    <t>C42Y</t>
  </si>
  <si>
    <t>NP_116191</t>
  </si>
  <si>
    <t>NM_007347</t>
  </si>
  <si>
    <t>G775R</t>
  </si>
  <si>
    <t>NP_031373</t>
  </si>
  <si>
    <t>MYO5C</t>
  </si>
  <si>
    <t>NM_018728</t>
  </si>
  <si>
    <t>S1065N</t>
  </si>
  <si>
    <t>NP_061198</t>
  </si>
  <si>
    <t>P162L</t>
  </si>
  <si>
    <t>CCPG1</t>
  </si>
  <si>
    <t>NM_001204450</t>
  </si>
  <si>
    <t>NP_001191379</t>
  </si>
  <si>
    <t>R362K</t>
  </si>
  <si>
    <t>NP_940682</t>
  </si>
  <si>
    <t>GCNT3</t>
  </si>
  <si>
    <t>NM_004751</t>
  </si>
  <si>
    <t>P219L</t>
  </si>
  <si>
    <t>NP_004742</t>
  </si>
  <si>
    <t>C298Y</t>
  </si>
  <si>
    <t>GLCE</t>
  </si>
  <si>
    <t>NM_015554</t>
  </si>
  <si>
    <t>A534T</t>
  </si>
  <si>
    <t>NP_056369</t>
  </si>
  <si>
    <t>ADPGK</t>
  </si>
  <si>
    <t>NM_031284</t>
  </si>
  <si>
    <t>NP_112574</t>
  </si>
  <si>
    <t>NM_015477</t>
  </si>
  <si>
    <t>S860N</t>
  </si>
  <si>
    <t>NP_056292</t>
  </si>
  <si>
    <t>SNUPN</t>
  </si>
  <si>
    <t>NM_001042588</t>
  </si>
  <si>
    <t>R192Q</t>
  </si>
  <si>
    <t>NP_001036053</t>
  </si>
  <si>
    <t>NM_172217</t>
  </si>
  <si>
    <t>A130T</t>
  </si>
  <si>
    <t>NP_757366</t>
  </si>
  <si>
    <t>STARD5</t>
  </si>
  <si>
    <t>NM_181900</t>
  </si>
  <si>
    <t>K169E</t>
  </si>
  <si>
    <t>NP_871629</t>
  </si>
  <si>
    <t>IDH2</t>
  </si>
  <si>
    <t>NM_002168</t>
  </si>
  <si>
    <t>W63*</t>
  </si>
  <si>
    <t>NP_002159</t>
  </si>
  <si>
    <t>NM_018671</t>
  </si>
  <si>
    <t>A256T</t>
  </si>
  <si>
    <t>NP_061141</t>
  </si>
  <si>
    <t>A712T</t>
  </si>
  <si>
    <t>P17L</t>
  </si>
  <si>
    <t>A149T</t>
  </si>
  <si>
    <t>NP_001181950</t>
  </si>
  <si>
    <t>NIPA1</t>
  </si>
  <si>
    <t>NM_144599</t>
  </si>
  <si>
    <t>G122S</t>
  </si>
  <si>
    <t>NP_653200</t>
  </si>
  <si>
    <t>P686S</t>
  </si>
  <si>
    <t>XP_002343363</t>
  </si>
  <si>
    <t>NM_005503</t>
  </si>
  <si>
    <t>P733L</t>
  </si>
  <si>
    <t>NP_005494</t>
  </si>
  <si>
    <t>NP_705841</t>
  </si>
  <si>
    <t>G2568R</t>
  </si>
  <si>
    <t>GANC</t>
  </si>
  <si>
    <t>NM_198141</t>
  </si>
  <si>
    <t>NP_937784</t>
  </si>
  <si>
    <t>A1393V</t>
  </si>
  <si>
    <t>V543M</t>
  </si>
  <si>
    <t>NP_054799</t>
  </si>
  <si>
    <t>SLC30A4</t>
  </si>
  <si>
    <t>NM_013309</t>
  </si>
  <si>
    <t>A57T</t>
  </si>
  <si>
    <t>NP_037441</t>
  </si>
  <si>
    <t>SECISBP2L</t>
  </si>
  <si>
    <t>NM_001193489</t>
  </si>
  <si>
    <t>G793R</t>
  </si>
  <si>
    <t>NP_001180418</t>
  </si>
  <si>
    <t>A761T</t>
  </si>
  <si>
    <t>SALL1</t>
  </si>
  <si>
    <t>NM_002968</t>
  </si>
  <si>
    <t>S836N</t>
  </si>
  <si>
    <t>NP_002959</t>
  </si>
  <si>
    <t>G835D</t>
  </si>
  <si>
    <t>C57Y</t>
  </si>
  <si>
    <t>NP_005943</t>
  </si>
  <si>
    <t>HERPUD1</t>
  </si>
  <si>
    <t>NM_014685</t>
  </si>
  <si>
    <t>R313K</t>
  </si>
  <si>
    <t>NP_055500</t>
  </si>
  <si>
    <t>CCDC135</t>
  </si>
  <si>
    <t>NM_032269</t>
  </si>
  <si>
    <t>P165S</t>
  </si>
  <si>
    <t>NP_115645</t>
  </si>
  <si>
    <t>NM_016284</t>
  </si>
  <si>
    <t>S1249N</t>
  </si>
  <si>
    <t>NP_057368</t>
  </si>
  <si>
    <t>W525*</t>
  </si>
  <si>
    <t>CDH5</t>
  </si>
  <si>
    <t>NM_001795</t>
  </si>
  <si>
    <t>A447V</t>
  </si>
  <si>
    <t>NP_001786</t>
  </si>
  <si>
    <t>CMTM3</t>
  </si>
  <si>
    <t>NM_144601</t>
  </si>
  <si>
    <t>L82F</t>
  </si>
  <si>
    <t>NP_653202</t>
  </si>
  <si>
    <t>NM_004062</t>
  </si>
  <si>
    <t>P341S</t>
  </si>
  <si>
    <t>NP_004053</t>
  </si>
  <si>
    <t>P298S</t>
  </si>
  <si>
    <t>NP_001094385</t>
  </si>
  <si>
    <t>G519E</t>
  </si>
  <si>
    <t>P467L</t>
  </si>
  <si>
    <t>C3392Y</t>
  </si>
  <si>
    <t>NP_116210</t>
  </si>
  <si>
    <t>H694Y</t>
  </si>
  <si>
    <t>NP_055835</t>
  </si>
  <si>
    <t>PMFBP1</t>
  </si>
  <si>
    <t>NM_031293</t>
  </si>
  <si>
    <t>E71K</t>
  </si>
  <si>
    <t>NP_112583</t>
  </si>
  <si>
    <t>CTRB2</t>
  </si>
  <si>
    <t>NM_001025200</t>
  </si>
  <si>
    <t>A247T</t>
  </si>
  <si>
    <t>NP_001020371</t>
  </si>
  <si>
    <t>A538T</t>
  </si>
  <si>
    <t>NP_055755</t>
  </si>
  <si>
    <t>P1027L</t>
  </si>
  <si>
    <t>A387V</t>
  </si>
  <si>
    <t>GAN</t>
  </si>
  <si>
    <t>NM_022041</t>
  </si>
  <si>
    <t>NP_071324</t>
  </si>
  <si>
    <t>SDR42E1</t>
  </si>
  <si>
    <t>NM_145168</t>
  </si>
  <si>
    <t>G274D</t>
  </si>
  <si>
    <t>NP_660151</t>
  </si>
  <si>
    <t>FOXF1</t>
  </si>
  <si>
    <t>NM_001451</t>
  </si>
  <si>
    <t>A150T</t>
  </si>
  <si>
    <t>NP_001442</t>
  </si>
  <si>
    <t>T285I</t>
  </si>
  <si>
    <t>NP_065706</t>
  </si>
  <si>
    <t>NM_001127214</t>
  </si>
  <si>
    <t>G379R</t>
  </si>
  <si>
    <t>NP_001120686</t>
  </si>
  <si>
    <t>NM_022450</t>
  </si>
  <si>
    <t>A295T</t>
  </si>
  <si>
    <t>NP_071895</t>
  </si>
  <si>
    <t>NUBP1</t>
  </si>
  <si>
    <t>NM_002484</t>
  </si>
  <si>
    <t>G64S</t>
  </si>
  <si>
    <t>NP_002475</t>
  </si>
  <si>
    <t>ERCC4</t>
  </si>
  <si>
    <t>NM_005236</t>
  </si>
  <si>
    <t>A833T</t>
  </si>
  <si>
    <t>NP_005227</t>
  </si>
  <si>
    <t>NDE1</t>
  </si>
  <si>
    <t>NM_017668</t>
  </si>
  <si>
    <t>S9N</t>
  </si>
  <si>
    <t>NP_060138</t>
  </si>
  <si>
    <t>NM_001040114</t>
  </si>
  <si>
    <t>A1568V</t>
  </si>
  <si>
    <t>NP_001035203</t>
  </si>
  <si>
    <t>SMG1</t>
  </si>
  <si>
    <t>NM_015092</t>
  </si>
  <si>
    <t>S2763N</t>
  </si>
  <si>
    <t>NP_055907</t>
  </si>
  <si>
    <t>G2384S</t>
  </si>
  <si>
    <t>TMC7</t>
  </si>
  <si>
    <t>NM_024847</t>
  </si>
  <si>
    <t>V189I</t>
  </si>
  <si>
    <t>NP_079123</t>
  </si>
  <si>
    <t>S569N</t>
  </si>
  <si>
    <t>NP_064710</t>
  </si>
  <si>
    <t>S906N</t>
  </si>
  <si>
    <t>NP_775886.3</t>
  </si>
  <si>
    <t>NM_002738</t>
  </si>
  <si>
    <t>P588S</t>
  </si>
  <si>
    <t>NP_002729</t>
  </si>
  <si>
    <t>TNRC6A</t>
  </si>
  <si>
    <t>NM_014494</t>
  </si>
  <si>
    <t>E1142K</t>
  </si>
  <si>
    <t>NP_055309</t>
  </si>
  <si>
    <t>GTF3C1</t>
  </si>
  <si>
    <t>NM_001520</t>
  </si>
  <si>
    <t>V663M</t>
  </si>
  <si>
    <t>NP_001511</t>
  </si>
  <si>
    <t>Q191*</t>
  </si>
  <si>
    <t>ZNF267</t>
  </si>
  <si>
    <t>NM_003414</t>
  </si>
  <si>
    <t>W352*</t>
  </si>
  <si>
    <t>NP_003405</t>
  </si>
  <si>
    <t>W1502*</t>
  </si>
  <si>
    <t>PASS,COSM88753</t>
  </si>
  <si>
    <t>NM_144605</t>
  </si>
  <si>
    <t>V258M</t>
  </si>
  <si>
    <t>NP_653206</t>
  </si>
  <si>
    <t>NM_032583</t>
  </si>
  <si>
    <t>W1248*</t>
  </si>
  <si>
    <t>NP_115972</t>
  </si>
  <si>
    <t>N4BP1</t>
  </si>
  <si>
    <t>NM_153029</t>
  </si>
  <si>
    <t>R285K</t>
  </si>
  <si>
    <t>NP_694574</t>
  </si>
  <si>
    <t>Q276*</t>
  </si>
  <si>
    <t>A446T</t>
  </si>
  <si>
    <t>NP_005073</t>
  </si>
  <si>
    <t>S226N</t>
  </si>
  <si>
    <t>NP_004636</t>
  </si>
  <si>
    <t>RPS6KB1</t>
  </si>
  <si>
    <t>NM_003161</t>
  </si>
  <si>
    <t>V150I</t>
  </si>
  <si>
    <t>NP_003152</t>
  </si>
  <si>
    <t>R393K</t>
  </si>
  <si>
    <t>NP_071353</t>
  </si>
  <si>
    <t>A1654V</t>
  </si>
  <si>
    <t>G664R</t>
  </si>
  <si>
    <t>R123K</t>
  </si>
  <si>
    <t>HELZ</t>
  </si>
  <si>
    <t>NM_014877</t>
  </si>
  <si>
    <t>A905T</t>
  </si>
  <si>
    <t>NP_055692</t>
  </si>
  <si>
    <t>SLC16A6</t>
  </si>
  <si>
    <t>NM_004694</t>
  </si>
  <si>
    <t>A310V</t>
  </si>
  <si>
    <t>NP_004685</t>
  </si>
  <si>
    <t>A167T</t>
  </si>
  <si>
    <t>FBXO39</t>
  </si>
  <si>
    <t>NM_153230</t>
  </si>
  <si>
    <t>E76K</t>
  </si>
  <si>
    <t>NP_694962</t>
  </si>
  <si>
    <t>NM_172232</t>
  </si>
  <si>
    <t>G618S</t>
  </si>
  <si>
    <t>NP_758424</t>
  </si>
  <si>
    <t>R429K</t>
  </si>
  <si>
    <t>ALOX12</t>
  </si>
  <si>
    <t>NM_000697</t>
  </si>
  <si>
    <t>L341F</t>
  </si>
  <si>
    <t>NP_000688</t>
  </si>
  <si>
    <t>OTOP2</t>
  </si>
  <si>
    <t>NM_178160</t>
  </si>
  <si>
    <t>NP_835454</t>
  </si>
  <si>
    <t>C17orf74</t>
  </si>
  <si>
    <t>NM_175734</t>
  </si>
  <si>
    <t>R200H</t>
  </si>
  <si>
    <t>NP_783861</t>
  </si>
  <si>
    <t>EXOC7</t>
  </si>
  <si>
    <t>NM_001145299</t>
  </si>
  <si>
    <t>G293D</t>
  </si>
  <si>
    <t>NP_001138771</t>
  </si>
  <si>
    <t>L490F</t>
  </si>
  <si>
    <t>NP_065928</t>
  </si>
  <si>
    <t>TNRC6C</t>
  </si>
  <si>
    <t>NM_001142640</t>
  </si>
  <si>
    <t>G877D</t>
  </si>
  <si>
    <t>NP_001136112</t>
  </si>
  <si>
    <t>A2013V</t>
  </si>
  <si>
    <t>P475S</t>
  </si>
  <si>
    <t>P3119L</t>
  </si>
  <si>
    <t>P3930L</t>
  </si>
  <si>
    <t>NM_024110</t>
  </si>
  <si>
    <t>R421K</t>
  </si>
  <si>
    <t>NP_077015</t>
  </si>
  <si>
    <t>P676S</t>
  </si>
  <si>
    <t>A1200V</t>
  </si>
  <si>
    <t>MYH4</t>
  </si>
  <si>
    <t>NM_017533</t>
  </si>
  <si>
    <t>R1424K</t>
  </si>
  <si>
    <t>NP_060003</t>
  </si>
  <si>
    <t>V102M</t>
  </si>
  <si>
    <t>NP_001093582</t>
  </si>
  <si>
    <t>XM_003403468</t>
  </si>
  <si>
    <t>W92*</t>
  </si>
  <si>
    <t>XP_003403516</t>
  </si>
  <si>
    <t>CCDC144A</t>
  </si>
  <si>
    <t>NM_014695</t>
  </si>
  <si>
    <t>C258Y</t>
  </si>
  <si>
    <t>NP_055510</t>
  </si>
  <si>
    <t>SMG6</t>
  </si>
  <si>
    <t>NM_017575</t>
  </si>
  <si>
    <t>G546S</t>
  </si>
  <si>
    <t>NP_060045</t>
  </si>
  <si>
    <t>E470K</t>
  </si>
  <si>
    <t>NP_076991</t>
  </si>
  <si>
    <t>NOS2</t>
  </si>
  <si>
    <t>NM_000625</t>
  </si>
  <si>
    <t>Q97*</t>
  </si>
  <si>
    <t>NP_000616</t>
  </si>
  <si>
    <t>G49R</t>
  </si>
  <si>
    <t>NP_008854</t>
  </si>
  <si>
    <t>CORO6</t>
  </si>
  <si>
    <t>NM_032854</t>
  </si>
  <si>
    <t>G68R</t>
  </si>
  <si>
    <t>NP_116243</t>
  </si>
  <si>
    <t>G135R</t>
  </si>
  <si>
    <t>NF1</t>
  </si>
  <si>
    <t>NM_001042492</t>
  </si>
  <si>
    <t>G1277D</t>
  </si>
  <si>
    <t>NP_001035957</t>
  </si>
  <si>
    <t>D1644N</t>
  </si>
  <si>
    <t>SLFN13</t>
  </si>
  <si>
    <t>NM_144682</t>
  </si>
  <si>
    <t>R126C</t>
  </si>
  <si>
    <t>NP_653283</t>
  </si>
  <si>
    <t>GAS2L2</t>
  </si>
  <si>
    <t>NM_139285</t>
  </si>
  <si>
    <t>V147M</t>
  </si>
  <si>
    <t>NP_644814</t>
  </si>
  <si>
    <t>ACACA</t>
  </si>
  <si>
    <t>NM_198834</t>
  </si>
  <si>
    <t>G1908S</t>
  </si>
  <si>
    <t>NP_942131</t>
  </si>
  <si>
    <t>ITGAE</t>
  </si>
  <si>
    <t>NM_002208</t>
  </si>
  <si>
    <t>G862E</t>
  </si>
  <si>
    <t>NP_002199</t>
  </si>
  <si>
    <t>S387N</t>
  </si>
  <si>
    <t>NP_055413.1</t>
  </si>
  <si>
    <t>P418S</t>
  </si>
  <si>
    <t>R1020T</t>
  </si>
  <si>
    <t>KRT10</t>
  </si>
  <si>
    <t>NM_000421</t>
  </si>
  <si>
    <t>P193L</t>
  </si>
  <si>
    <t>NP_000412</t>
  </si>
  <si>
    <t>KRT12</t>
  </si>
  <si>
    <t>NM_000223</t>
  </si>
  <si>
    <t>A88V</t>
  </si>
  <si>
    <t>NP_000214</t>
  </si>
  <si>
    <t>NM_153490</t>
  </si>
  <si>
    <t>NP_705694</t>
  </si>
  <si>
    <t>TTC25</t>
  </si>
  <si>
    <t>NM_031421</t>
  </si>
  <si>
    <t>G173R</t>
  </si>
  <si>
    <t>NP_113609</t>
  </si>
  <si>
    <t>C17orf104</t>
  </si>
  <si>
    <t>NM_001145080</t>
  </si>
  <si>
    <t>A767T</t>
  </si>
  <si>
    <t>NP_001138552</t>
  </si>
  <si>
    <t>GJC1</t>
  </si>
  <si>
    <t>NM_001080383</t>
  </si>
  <si>
    <t>G59S</t>
  </si>
  <si>
    <t>NP_001073852</t>
  </si>
  <si>
    <t>FMNL1</t>
  </si>
  <si>
    <t>NM_005892</t>
  </si>
  <si>
    <t>P688L</t>
  </si>
  <si>
    <t>NP_005883.2</t>
  </si>
  <si>
    <t>A1064T</t>
  </si>
  <si>
    <t>PLEKHM1</t>
  </si>
  <si>
    <t>NM_014798</t>
  </si>
  <si>
    <t>A28T</t>
  </si>
  <si>
    <t>NP_055613</t>
  </si>
  <si>
    <t>TTLL6</t>
  </si>
  <si>
    <t>NM_001130918</t>
  </si>
  <si>
    <t>P790S</t>
  </si>
  <si>
    <t>NP_001124390</t>
  </si>
  <si>
    <t>V35I</t>
  </si>
  <si>
    <t>V829M</t>
  </si>
  <si>
    <t>A808T</t>
  </si>
  <si>
    <t>TCF4</t>
  </si>
  <si>
    <t>NM_001243226</t>
  </si>
  <si>
    <t>S527F</t>
  </si>
  <si>
    <t>NP_001230155</t>
  </si>
  <si>
    <t>NM_015285</t>
  </si>
  <si>
    <t>A1352T</t>
  </si>
  <si>
    <t>NP_056100</t>
  </si>
  <si>
    <t>S316F</t>
  </si>
  <si>
    <t>PIGN</t>
  </si>
  <si>
    <t>NM_176787</t>
  </si>
  <si>
    <t>NP_789744</t>
  </si>
  <si>
    <t>G1235D</t>
  </si>
  <si>
    <t>ANKRD12</t>
  </si>
  <si>
    <t>NM_015208</t>
  </si>
  <si>
    <t>A1267T</t>
  </si>
  <si>
    <t>NP_056023</t>
  </si>
  <si>
    <t>G225E</t>
  </si>
  <si>
    <t>NP_003817</t>
  </si>
  <si>
    <t>CHMP1B</t>
  </si>
  <si>
    <t>NM_020412</t>
  </si>
  <si>
    <t>Q130R</t>
  </si>
  <si>
    <t>NP_065145</t>
  </si>
  <si>
    <t>MC5R</t>
  </si>
  <si>
    <t>NM_005913</t>
  </si>
  <si>
    <t>V289M</t>
  </si>
  <si>
    <t>NP_005904</t>
  </si>
  <si>
    <t>G148E</t>
  </si>
  <si>
    <t>G928R</t>
  </si>
  <si>
    <t>NP_056276</t>
  </si>
  <si>
    <t>L53F</t>
  </si>
  <si>
    <t>CDH2</t>
  </si>
  <si>
    <t>NM_001792</t>
  </si>
  <si>
    <t>G424D</t>
  </si>
  <si>
    <t>NP_001783</t>
  </si>
  <si>
    <t>W272*</t>
  </si>
  <si>
    <t>V262I</t>
  </si>
  <si>
    <t>A867T</t>
  </si>
  <si>
    <t>G1527R</t>
  </si>
  <si>
    <t>G678R</t>
  </si>
  <si>
    <t>G59R</t>
  </si>
  <si>
    <t>NP_065834</t>
  </si>
  <si>
    <t>HAUS1</t>
  </si>
  <si>
    <t>NM_138443</t>
  </si>
  <si>
    <t>D109N</t>
  </si>
  <si>
    <t>NP_612452</t>
  </si>
  <si>
    <t>G693R</t>
  </si>
  <si>
    <t>TCEB3B</t>
  </si>
  <si>
    <t>NM_016427</t>
  </si>
  <si>
    <t>A614V</t>
  </si>
  <si>
    <t>NP_057511</t>
  </si>
  <si>
    <t>SMAD7</t>
  </si>
  <si>
    <t>NM_005904</t>
  </si>
  <si>
    <t>G329S</t>
  </si>
  <si>
    <t>NP_005895</t>
  </si>
  <si>
    <t>SKA1</t>
  </si>
  <si>
    <t>NM_001039535</t>
  </si>
  <si>
    <t>NP_001034624</t>
  </si>
  <si>
    <t>G63E</t>
  </si>
  <si>
    <t>NP_112235</t>
  </si>
  <si>
    <t>P13L</t>
  </si>
  <si>
    <t>P46L</t>
  </si>
  <si>
    <t>NP_009078</t>
  </si>
  <si>
    <t>ZNF610</t>
  </si>
  <si>
    <t>NM_001161426</t>
  </si>
  <si>
    <t>P371S</t>
  </si>
  <si>
    <t>NP_001154898</t>
  </si>
  <si>
    <t>ZNF600</t>
  </si>
  <si>
    <t>NM_198457</t>
  </si>
  <si>
    <t>S504R</t>
  </si>
  <si>
    <t>NP_940859</t>
  </si>
  <si>
    <t>ZNF468</t>
  </si>
  <si>
    <t>NM_001008801</t>
  </si>
  <si>
    <t>R375K</t>
  </si>
  <si>
    <t>NP_001008801</t>
  </si>
  <si>
    <t>LILRA3</t>
  </si>
  <si>
    <t>XM_003403848</t>
  </si>
  <si>
    <t>PASS,rs148274351</t>
  </si>
  <si>
    <t>XP_003403896</t>
  </si>
  <si>
    <t>NP_036408</t>
  </si>
  <si>
    <t>KIR2DL3</t>
  </si>
  <si>
    <t>XM_003403408</t>
  </si>
  <si>
    <t>P327S</t>
  </si>
  <si>
    <t>XP_003403456</t>
  </si>
  <si>
    <t>L735F</t>
  </si>
  <si>
    <t>NP_604393</t>
  </si>
  <si>
    <t>ZNF667</t>
  </si>
  <si>
    <t>NM_022103</t>
  </si>
  <si>
    <t>S154N</t>
  </si>
  <si>
    <t>NP_071386</t>
  </si>
  <si>
    <t>ZNF470</t>
  </si>
  <si>
    <t>NM_001001668</t>
  </si>
  <si>
    <t>A405T</t>
  </si>
  <si>
    <t>NP_001001668</t>
  </si>
  <si>
    <t>R234Q</t>
  </si>
  <si>
    <t>NP_067039</t>
  </si>
  <si>
    <t>S287F</t>
  </si>
  <si>
    <t>NP_443114</t>
  </si>
  <si>
    <t>G511D</t>
  </si>
  <si>
    <t>NP_612356</t>
  </si>
  <si>
    <t>ZNF584</t>
  </si>
  <si>
    <t>NM_173548</t>
  </si>
  <si>
    <t>G350E</t>
  </si>
  <si>
    <t>NP_775819</t>
  </si>
  <si>
    <t>NM_001166111</t>
  </si>
  <si>
    <t>S265N</t>
  </si>
  <si>
    <t>NP_001159583</t>
  </si>
  <si>
    <t>OR2Z1</t>
  </si>
  <si>
    <t>NM_001004699</t>
  </si>
  <si>
    <t>D191N</t>
  </si>
  <si>
    <t>NP_001004699</t>
  </si>
  <si>
    <t>E11218K</t>
  </si>
  <si>
    <t>A10629T</t>
  </si>
  <si>
    <t>P10508L</t>
  </si>
  <si>
    <t>T9351I</t>
  </si>
  <si>
    <t>G8735D</t>
  </si>
  <si>
    <t>M4991I</t>
  </si>
  <si>
    <t>P283S</t>
  </si>
  <si>
    <t>OR7G3</t>
  </si>
  <si>
    <t>NM_001001958</t>
  </si>
  <si>
    <t>NP_001001958</t>
  </si>
  <si>
    <t>OR7D2</t>
  </si>
  <si>
    <t>NM_175883</t>
  </si>
  <si>
    <t>S64F</t>
  </si>
  <si>
    <t>NP_787079</t>
  </si>
  <si>
    <t>DNMT1</t>
  </si>
  <si>
    <t>NM_001130823</t>
  </si>
  <si>
    <t>G630R</t>
  </si>
  <si>
    <t>NP_001124295</t>
  </si>
  <si>
    <t>ABCA7</t>
  </si>
  <si>
    <t>NM_019112</t>
  </si>
  <si>
    <t>R1860Q</t>
  </si>
  <si>
    <t>NP_061985</t>
  </si>
  <si>
    <t>NM_001420</t>
  </si>
  <si>
    <t>P306L</t>
  </si>
  <si>
    <t>NP_001411</t>
  </si>
  <si>
    <t>NM_000159</t>
  </si>
  <si>
    <t>G156D</t>
  </si>
  <si>
    <t>PASS,CM064003</t>
  </si>
  <si>
    <t>NP_000150</t>
  </si>
  <si>
    <t>M393I</t>
  </si>
  <si>
    <t>OR7A5</t>
  </si>
  <si>
    <t>NM_017506</t>
  </si>
  <si>
    <t>T265I</t>
  </si>
  <si>
    <t>NP_059976</t>
  </si>
  <si>
    <t>NM_001005190</t>
  </si>
  <si>
    <t>P79S</t>
  </si>
  <si>
    <t>NP_001005190</t>
  </si>
  <si>
    <t>G152D</t>
  </si>
  <si>
    <t>NP_001004465</t>
  </si>
  <si>
    <t>MYO9B</t>
  </si>
  <si>
    <t>NM_001130065</t>
  </si>
  <si>
    <t>NP_001123537</t>
  </si>
  <si>
    <t>G544D</t>
  </si>
  <si>
    <t>L186F</t>
  </si>
  <si>
    <t>T339I</t>
  </si>
  <si>
    <t>NP_258429</t>
  </si>
  <si>
    <t>ZNF98</t>
  </si>
  <si>
    <t>NM_001098626</t>
  </si>
  <si>
    <t>H452Y</t>
  </si>
  <si>
    <t>NP_001092096</t>
  </si>
  <si>
    <t>ZNF254</t>
  </si>
  <si>
    <t>NM_203282</t>
  </si>
  <si>
    <t>G125S</t>
  </si>
  <si>
    <t>NP_975011</t>
  </si>
  <si>
    <t>M323I</t>
  </si>
  <si>
    <t>NP_001099040</t>
  </si>
  <si>
    <t>UBA2</t>
  </si>
  <si>
    <t>NM_005499</t>
  </si>
  <si>
    <t>NP_005490</t>
  </si>
  <si>
    <t>NM_032635</t>
  </si>
  <si>
    <t>G62D</t>
  </si>
  <si>
    <t>NP_116024</t>
  </si>
  <si>
    <t>COX6B1</t>
  </si>
  <si>
    <t>NM_001863</t>
  </si>
  <si>
    <t>A43T</t>
  </si>
  <si>
    <t>NP_001854</t>
  </si>
  <si>
    <t>NM_014727</t>
  </si>
  <si>
    <t>NP_055542</t>
  </si>
  <si>
    <t>R62K</t>
  </si>
  <si>
    <t>NP_065968</t>
  </si>
  <si>
    <t>ZNF568</t>
  </si>
  <si>
    <t>NM_198539</t>
  </si>
  <si>
    <t>NP_940941</t>
  </si>
  <si>
    <t>P2447S</t>
  </si>
  <si>
    <t>NP_114157</t>
  </si>
  <si>
    <t>G426E</t>
  </si>
  <si>
    <t>R55K</t>
  </si>
  <si>
    <t>NP_067008</t>
  </si>
  <si>
    <t>LGALS13</t>
  </si>
  <si>
    <t>NM_013268</t>
  </si>
  <si>
    <t>V126M</t>
  </si>
  <si>
    <t>NP_037400</t>
  </si>
  <si>
    <t>ZNF780B</t>
  </si>
  <si>
    <t>NM_001005851</t>
  </si>
  <si>
    <t>G759E</t>
  </si>
  <si>
    <t>NP_001005851</t>
  </si>
  <si>
    <t>L363F</t>
  </si>
  <si>
    <t>NM_001207025</t>
  </si>
  <si>
    <t>A268T</t>
  </si>
  <si>
    <t>NP_001193954</t>
  </si>
  <si>
    <t>CIC</t>
  </si>
  <si>
    <t>NM_015125</t>
  </si>
  <si>
    <t>G1482S</t>
  </si>
  <si>
    <t>NP_055940</t>
  </si>
  <si>
    <t>PSG8</t>
  </si>
  <si>
    <t>NM_182707</t>
  </si>
  <si>
    <t>P242L</t>
  </si>
  <si>
    <t>NP_874366</t>
  </si>
  <si>
    <t>G558R</t>
  </si>
  <si>
    <t>ZNF222</t>
  </si>
  <si>
    <t>NM_001129996</t>
  </si>
  <si>
    <t>S361N</t>
  </si>
  <si>
    <t>NP_001123468</t>
  </si>
  <si>
    <t>ZNF235</t>
  </si>
  <si>
    <t>NM_004234</t>
  </si>
  <si>
    <t>C629Y</t>
  </si>
  <si>
    <t>NP_004225</t>
  </si>
  <si>
    <t>ZNF229</t>
  </si>
  <si>
    <t>NM_014518</t>
  </si>
  <si>
    <t>D121N</t>
  </si>
  <si>
    <t>NP_055333</t>
  </si>
  <si>
    <t>NM_206900</t>
  </si>
  <si>
    <t>G210S</t>
  </si>
  <si>
    <t>NP_996783</t>
  </si>
  <si>
    <t>HIF3A</t>
  </si>
  <si>
    <t>NM_152795</t>
  </si>
  <si>
    <t>T464I</t>
  </si>
  <si>
    <t>NP_690008</t>
  </si>
  <si>
    <t>A331T</t>
  </si>
  <si>
    <t>A973T</t>
  </si>
  <si>
    <t>ZNF114</t>
  </si>
  <si>
    <t>NM_153608</t>
  </si>
  <si>
    <t>V34M</t>
  </si>
  <si>
    <t>NP_705836</t>
  </si>
  <si>
    <t>G34S</t>
  </si>
  <si>
    <t>NP_001073992</t>
  </si>
  <si>
    <t>BAX</t>
  </si>
  <si>
    <t>NM_004324</t>
  </si>
  <si>
    <t>NP_004315</t>
  </si>
  <si>
    <t>NP_003651.1</t>
  </si>
  <si>
    <t>NM_014962</t>
  </si>
  <si>
    <t>G512R</t>
  </si>
  <si>
    <t>PASS,COSM73870</t>
  </si>
  <si>
    <t>NP_055777</t>
  </si>
  <si>
    <t>A362T</t>
  </si>
  <si>
    <t>NM_032986</t>
  </si>
  <si>
    <t>G299R</t>
  </si>
  <si>
    <t>NP_116781</t>
  </si>
  <si>
    <t>C20orf26</t>
  </si>
  <si>
    <t>NM_015585</t>
  </si>
  <si>
    <t>A605V</t>
  </si>
  <si>
    <t>NP_056400</t>
  </si>
  <si>
    <t>NXT1</t>
  </si>
  <si>
    <t>NM_013248</t>
  </si>
  <si>
    <t>G54R</t>
  </si>
  <si>
    <t>NP_037380</t>
  </si>
  <si>
    <t>R237K</t>
  </si>
  <si>
    <t>NM_020531</t>
  </si>
  <si>
    <t>R343K</t>
  </si>
  <si>
    <t>NP_065392</t>
  </si>
  <si>
    <t>C20orf96</t>
  </si>
  <si>
    <t>NM_153269</t>
  </si>
  <si>
    <t>A318T</t>
  </si>
  <si>
    <t>NP_695001</t>
  </si>
  <si>
    <t>NM_080841</t>
  </si>
  <si>
    <t>V367M</t>
  </si>
  <si>
    <t>NP_543031</t>
  </si>
  <si>
    <t>ASXL1</t>
  </si>
  <si>
    <t>NM_015338</t>
  </si>
  <si>
    <t>G69E</t>
  </si>
  <si>
    <t>NP_056153</t>
  </si>
  <si>
    <t>NCOA6</t>
  </si>
  <si>
    <t>NM_014071</t>
  </si>
  <si>
    <t>G1643R</t>
  </si>
  <si>
    <t>NP_054790</t>
  </si>
  <si>
    <t>C20orf152</t>
  </si>
  <si>
    <t>NM_080834</t>
  </si>
  <si>
    <t>W356*</t>
  </si>
  <si>
    <t>NP_543024</t>
  </si>
  <si>
    <t>NM_080627</t>
  </si>
  <si>
    <t>V291M</t>
  </si>
  <si>
    <t>NP_542194</t>
  </si>
  <si>
    <t>A168V</t>
  </si>
  <si>
    <t>PPP1R16B</t>
  </si>
  <si>
    <t>NM_015568</t>
  </si>
  <si>
    <t>G442E</t>
  </si>
  <si>
    <t>NP_056383</t>
  </si>
  <si>
    <t>V220M</t>
  </si>
  <si>
    <t>EMILIN3</t>
  </si>
  <si>
    <t>NM_052846</t>
  </si>
  <si>
    <t>A566T</t>
  </si>
  <si>
    <t>NP_443078</t>
  </si>
  <si>
    <t>A671V</t>
  </si>
  <si>
    <t>SRSF6</t>
  </si>
  <si>
    <t>NM_006275</t>
  </si>
  <si>
    <t>E135K</t>
  </si>
  <si>
    <t>NP_006266</t>
  </si>
  <si>
    <t>YWHAB</t>
  </si>
  <si>
    <t>NM_003404</t>
  </si>
  <si>
    <t>NP_003395</t>
  </si>
  <si>
    <t>SEMG1</t>
  </si>
  <si>
    <t>NM_003007</t>
  </si>
  <si>
    <t>H108Y</t>
  </si>
  <si>
    <t>NP_002998.1</t>
  </si>
  <si>
    <t>NCOA3</t>
  </si>
  <si>
    <t>NM_181659</t>
  </si>
  <si>
    <t>A995T</t>
  </si>
  <si>
    <t>NP_858045</t>
  </si>
  <si>
    <t>G531E</t>
  </si>
  <si>
    <t>KCNB1</t>
  </si>
  <si>
    <t>NM_004975</t>
  </si>
  <si>
    <t>Q288*</t>
  </si>
  <si>
    <t>NP_004966</t>
  </si>
  <si>
    <t>NM_004776</t>
  </si>
  <si>
    <t>E281K</t>
  </si>
  <si>
    <t>NP_004767</t>
  </si>
  <si>
    <t>ADAMTS5</t>
  </si>
  <si>
    <t>NM_007038</t>
  </si>
  <si>
    <t>A776V</t>
  </si>
  <si>
    <t>NP_008969</t>
  </si>
  <si>
    <t>LTN1</t>
  </si>
  <si>
    <t>NM_015565</t>
  </si>
  <si>
    <t>G987E</t>
  </si>
  <si>
    <t>NP_056380</t>
  </si>
  <si>
    <t>KRTAP6-3</t>
  </si>
  <si>
    <t>NM_181605</t>
  </si>
  <si>
    <t>G23R</t>
  </si>
  <si>
    <t>NP_853636</t>
  </si>
  <si>
    <t>KRTAP20-1</t>
  </si>
  <si>
    <t>NM_181615</t>
  </si>
  <si>
    <t>S5N</t>
  </si>
  <si>
    <t>NP_853646</t>
  </si>
  <si>
    <t>SYNJ1</t>
  </si>
  <si>
    <t>NM_003895</t>
  </si>
  <si>
    <t>R1194K</t>
  </si>
  <si>
    <t>NP_003886</t>
  </si>
  <si>
    <t>GCFC1</t>
  </si>
  <si>
    <t>NM_016631</t>
  </si>
  <si>
    <t>G251S</t>
  </si>
  <si>
    <t>NP_057715</t>
  </si>
  <si>
    <t>NM_145858</t>
  </si>
  <si>
    <t>A122T</t>
  </si>
  <si>
    <t>NP_665857</t>
  </si>
  <si>
    <t>G693D</t>
  </si>
  <si>
    <t>ERG</t>
  </si>
  <si>
    <t>NM_182918</t>
  </si>
  <si>
    <t>NP_891548</t>
  </si>
  <si>
    <t>G1030E</t>
  </si>
  <si>
    <t>NP_001380</t>
  </si>
  <si>
    <t>BACE2</t>
  </si>
  <si>
    <t>NM_012105</t>
  </si>
  <si>
    <t>Q461*</t>
  </si>
  <si>
    <t>NP_036237</t>
  </si>
  <si>
    <t>KRTAP12-1</t>
  </si>
  <si>
    <t>NM_181686</t>
  </si>
  <si>
    <t>Y65*</t>
  </si>
  <si>
    <t>NP_859014</t>
  </si>
  <si>
    <t>POTEH</t>
  </si>
  <si>
    <t>NM_001136213</t>
  </si>
  <si>
    <t>G62S</t>
  </si>
  <si>
    <t>NP_001129685</t>
  </si>
  <si>
    <t>G827R</t>
  </si>
  <si>
    <t>NM_032204</t>
  </si>
  <si>
    <t>G716D</t>
  </si>
  <si>
    <t>NP_115580</t>
  </si>
  <si>
    <t>NM_021090</t>
  </si>
  <si>
    <t>H7Y</t>
  </si>
  <si>
    <t>NP_066576</t>
  </si>
  <si>
    <t>NM_003490</t>
  </si>
  <si>
    <t>G523S</t>
  </si>
  <si>
    <t>NP_003481</t>
  </si>
  <si>
    <t>HMGXB4</t>
  </si>
  <si>
    <t>NM_001003681</t>
  </si>
  <si>
    <t>G154R</t>
  </si>
  <si>
    <t>NP_001003681</t>
  </si>
  <si>
    <t>MFNG</t>
  </si>
  <si>
    <t>NM_002405</t>
  </si>
  <si>
    <t>V285I</t>
  </si>
  <si>
    <t>NP_002396</t>
  </si>
  <si>
    <t>UPK3A</t>
  </si>
  <si>
    <t>NM_006953</t>
  </si>
  <si>
    <t>R73K</t>
  </si>
  <si>
    <t>NP_008884</t>
  </si>
  <si>
    <t>G2649R</t>
  </si>
  <si>
    <t>A1174T</t>
  </si>
  <si>
    <t>G10E</t>
  </si>
  <si>
    <t>NP_001009616</t>
  </si>
  <si>
    <t>NM_001171192</t>
  </si>
  <si>
    <t>P504L</t>
  </si>
  <si>
    <t>NP_001164663</t>
  </si>
  <si>
    <t>W279*</t>
  </si>
  <si>
    <t>NP_619648</t>
  </si>
  <si>
    <t>NM_053281</t>
  </si>
  <si>
    <t>M335I</t>
  </si>
  <si>
    <t>NP_444511</t>
  </si>
  <si>
    <t>L492F</t>
  </si>
  <si>
    <t>NP_071335.1</t>
  </si>
  <si>
    <t>E138K</t>
  </si>
  <si>
    <t>NP_112563</t>
  </si>
  <si>
    <t>S516N</t>
  </si>
  <si>
    <t>E322K</t>
  </si>
  <si>
    <t>NM_022977</t>
  </si>
  <si>
    <t>G586E</t>
  </si>
  <si>
    <t>NP_075266</t>
  </si>
  <si>
    <t>G1178R</t>
  </si>
  <si>
    <t>NP_065820</t>
  </si>
  <si>
    <t>G1277R</t>
  </si>
  <si>
    <t>NM_078629</t>
  </si>
  <si>
    <t>P435S</t>
  </si>
  <si>
    <t>NP_523353</t>
  </si>
  <si>
    <t>G435D</t>
  </si>
  <si>
    <t>NP_065772</t>
  </si>
  <si>
    <t>NM_000276</t>
  </si>
  <si>
    <t>G421R</t>
  </si>
  <si>
    <t>NP_000267</t>
  </si>
  <si>
    <t>A527T</t>
  </si>
  <si>
    <t>NP_001439</t>
  </si>
  <si>
    <t>P996S</t>
  </si>
  <si>
    <t>NP_722576</t>
  </si>
  <si>
    <t>NM_014500</t>
  </si>
  <si>
    <t>G655R</t>
  </si>
  <si>
    <t>NP_055315</t>
  </si>
  <si>
    <t>NM_001167890</t>
  </si>
  <si>
    <t>G342R</t>
  </si>
  <si>
    <t>NP_001161362</t>
  </si>
  <si>
    <t>P431S</t>
  </si>
  <si>
    <t>NP_003404</t>
  </si>
  <si>
    <t>E198K</t>
  </si>
  <si>
    <t>NP_003819.1</t>
  </si>
  <si>
    <t>NM_001011548</t>
  </si>
  <si>
    <t>T209I</t>
  </si>
  <si>
    <t>NP_001011548</t>
  </si>
  <si>
    <t>NM_001198719</t>
  </si>
  <si>
    <t>NP_001185648</t>
  </si>
  <si>
    <t>S385N</t>
  </si>
  <si>
    <t>NP_001001671</t>
  </si>
  <si>
    <t>D873N</t>
  </si>
  <si>
    <t>NP_001013758</t>
  </si>
  <si>
    <t>NM_001123385</t>
  </si>
  <si>
    <t>D757N</t>
  </si>
  <si>
    <t>NP_001116857</t>
  </si>
  <si>
    <t>NM_003886</t>
  </si>
  <si>
    <t>H248Y</t>
  </si>
  <si>
    <t>NP_003877</t>
  </si>
  <si>
    <t>NM_004037</t>
  </si>
  <si>
    <t>PASS,COSM136156,COSM136155</t>
  </si>
  <si>
    <t>NP_004028</t>
  </si>
  <si>
    <t>CDGLIV0609A0138_T</t>
  </si>
  <si>
    <t>NM_205848</t>
  </si>
  <si>
    <t>K203M</t>
  </si>
  <si>
    <t>NP_995320.1</t>
  </si>
  <si>
    <t>RPTN</t>
  </si>
  <si>
    <t>NM_001122965</t>
  </si>
  <si>
    <t>R97W</t>
  </si>
  <si>
    <t>NP_001116437</t>
  </si>
  <si>
    <t>OR6N2</t>
  </si>
  <si>
    <t>NM_001005278</t>
  </si>
  <si>
    <t>K80*</t>
  </si>
  <si>
    <t>NP_001005278</t>
  </si>
  <si>
    <t>T116N</t>
  </si>
  <si>
    <t>R6115W</t>
  </si>
  <si>
    <t>PASS,rs142615706</t>
  </si>
  <si>
    <t>S7296Y</t>
  </si>
  <si>
    <t>M258K</t>
  </si>
  <si>
    <t>NP_001001957</t>
  </si>
  <si>
    <t>NM_144992</t>
  </si>
  <si>
    <t>C301Y</t>
  </si>
  <si>
    <t>NP_659429</t>
  </si>
  <si>
    <t>NM_201266</t>
  </si>
  <si>
    <t>C883S</t>
  </si>
  <si>
    <t>NP_957718</t>
  </si>
  <si>
    <t>NM_015040</t>
  </si>
  <si>
    <t>N518D</t>
  </si>
  <si>
    <t>NP_055855</t>
  </si>
  <si>
    <t>E520G</t>
  </si>
  <si>
    <t>GTF3C2</t>
  </si>
  <si>
    <t>NM_001035521</t>
  </si>
  <si>
    <t>I733K</t>
  </si>
  <si>
    <t>NP_001030598</t>
  </si>
  <si>
    <t>SYNPR</t>
  </si>
  <si>
    <t>NM_001130003</t>
  </si>
  <si>
    <t>F281I</t>
  </si>
  <si>
    <t>NP_001123475</t>
  </si>
  <si>
    <t>E133V</t>
  </si>
  <si>
    <t>NM_001023570</t>
  </si>
  <si>
    <t>R332*</t>
  </si>
  <si>
    <t>PASS,CM050645</t>
  </si>
  <si>
    <t>NP_001018864</t>
  </si>
  <si>
    <t>M59I</t>
  </si>
  <si>
    <t>NM_001160161</t>
  </si>
  <si>
    <t>Y339N</t>
  </si>
  <si>
    <t>NP_001153633</t>
  </si>
  <si>
    <t>S1631R</t>
  </si>
  <si>
    <t>NP_001398</t>
  </si>
  <si>
    <t>NM_001873</t>
  </si>
  <si>
    <t>S308C</t>
  </si>
  <si>
    <t>NP_001864</t>
  </si>
  <si>
    <t>T1231S</t>
  </si>
  <si>
    <t>NM_015173</t>
  </si>
  <si>
    <t>R624G</t>
  </si>
  <si>
    <t>NP_055988</t>
  </si>
  <si>
    <t>NP_055454</t>
  </si>
  <si>
    <t>LRRTM2</t>
  </si>
  <si>
    <t>NM_015564</t>
  </si>
  <si>
    <t>P489S</t>
  </si>
  <si>
    <t>NP_056379</t>
  </si>
  <si>
    <t>T249N</t>
  </si>
  <si>
    <t>NP_055026</t>
  </si>
  <si>
    <t>BTNL3</t>
  </si>
  <si>
    <t>NM_197975</t>
  </si>
  <si>
    <t>E453V</t>
  </si>
  <si>
    <t>NP_932079</t>
  </si>
  <si>
    <t>DST</t>
  </si>
  <si>
    <t>NM_015548</t>
  </si>
  <si>
    <t>E3746K</t>
  </si>
  <si>
    <t>NP_056363</t>
  </si>
  <si>
    <t>D201G</t>
  </si>
  <si>
    <t>NP_003560</t>
  </si>
  <si>
    <t>K5635E</t>
  </si>
  <si>
    <t>NM_001040000</t>
  </si>
  <si>
    <t>Q1137*</t>
  </si>
  <si>
    <t>NP_001035089</t>
  </si>
  <si>
    <t>HLA-DQA2</t>
  </si>
  <si>
    <t>NM_020056</t>
  </si>
  <si>
    <t>Q40L</t>
  </si>
  <si>
    <t>NP_064440.1</t>
  </si>
  <si>
    <t>K874M</t>
  </si>
  <si>
    <t>NP_056013</t>
  </si>
  <si>
    <t>E897V</t>
  </si>
  <si>
    <t>F374L</t>
  </si>
  <si>
    <t>NP_005286</t>
  </si>
  <si>
    <t>C23S</t>
  </si>
  <si>
    <t>L251Q</t>
  </si>
  <si>
    <t>CUL1</t>
  </si>
  <si>
    <t>NM_003592</t>
  </si>
  <si>
    <t>D483E</t>
  </si>
  <si>
    <t>NP_003583</t>
  </si>
  <si>
    <t>R380L</t>
  </si>
  <si>
    <t>PASS,rs78352960,rs138908625</t>
  </si>
  <si>
    <t>NM_014399</t>
  </si>
  <si>
    <t>S117N</t>
  </si>
  <si>
    <t>NP_055214</t>
  </si>
  <si>
    <t>Q688L</t>
  </si>
  <si>
    <t>NP_066939</t>
  </si>
  <si>
    <t>L41Q</t>
  </si>
  <si>
    <t>NP_066282</t>
  </si>
  <si>
    <t>NM_022917</t>
  </si>
  <si>
    <t>T125I</t>
  </si>
  <si>
    <t>NP_075068</t>
  </si>
  <si>
    <t>A41T</t>
  </si>
  <si>
    <t>N300Y</t>
  </si>
  <si>
    <t>TCN1</t>
  </si>
  <si>
    <t>NM_001062</t>
  </si>
  <si>
    <t>F17L</t>
  </si>
  <si>
    <t>NP_001053</t>
  </si>
  <si>
    <t>DNAJB13</t>
  </si>
  <si>
    <t>NM_153614</t>
  </si>
  <si>
    <t>D263G</t>
  </si>
  <si>
    <t>NP_705842</t>
  </si>
  <si>
    <t>Q553L</t>
  </si>
  <si>
    <t>Y171H</t>
  </si>
  <si>
    <t>PASS,rs148191859</t>
  </si>
  <si>
    <t>NM_001037305</t>
  </si>
  <si>
    <t>F198V</t>
  </si>
  <si>
    <t>NP_001032382</t>
  </si>
  <si>
    <t>D634V</t>
  </si>
  <si>
    <t>NP_002224</t>
  </si>
  <si>
    <t>OR51A2</t>
  </si>
  <si>
    <t>NM_001004748</t>
  </si>
  <si>
    <t>P227Q</t>
  </si>
  <si>
    <t>PASS,rs2442425</t>
  </si>
  <si>
    <t>NP_001004748</t>
  </si>
  <si>
    <t>NM_001143854</t>
  </si>
  <si>
    <t>W13R</t>
  </si>
  <si>
    <t>NP_001137326</t>
  </si>
  <si>
    <t>ENTPD5</t>
  </si>
  <si>
    <t>NM_001249</t>
  </si>
  <si>
    <t>A305V</t>
  </si>
  <si>
    <t>NP_001240</t>
  </si>
  <si>
    <t>A305T</t>
  </si>
  <si>
    <t>POTEM</t>
  </si>
  <si>
    <t>NM_001145442</t>
  </si>
  <si>
    <t>I320V</t>
  </si>
  <si>
    <t>NP_001138914</t>
  </si>
  <si>
    <t>I1173V</t>
  </si>
  <si>
    <t>MTHFS</t>
  </si>
  <si>
    <t>NM_006441</t>
  </si>
  <si>
    <t>E96A</t>
  </si>
  <si>
    <t>NP_006432</t>
  </si>
  <si>
    <t>A123P</t>
  </si>
  <si>
    <t>NP_001473</t>
  </si>
  <si>
    <t>M303K</t>
  </si>
  <si>
    <t>BRD7</t>
  </si>
  <si>
    <t>NM_001173984</t>
  </si>
  <si>
    <t>E129*</t>
  </si>
  <si>
    <t>NP_001167455</t>
  </si>
  <si>
    <t>W19S</t>
  </si>
  <si>
    <t>NP_000241</t>
  </si>
  <si>
    <t>W19R</t>
  </si>
  <si>
    <t>C17orf70</t>
  </si>
  <si>
    <t>NM_025161</t>
  </si>
  <si>
    <t>E634*</t>
  </si>
  <si>
    <t>NP_079437</t>
  </si>
  <si>
    <t>P140S</t>
  </si>
  <si>
    <t>TCAP</t>
  </si>
  <si>
    <t>NM_003673</t>
  </si>
  <si>
    <t>V59A</t>
  </si>
  <si>
    <t>NP_003664</t>
  </si>
  <si>
    <t>NM_005257</t>
  </si>
  <si>
    <t>N499S</t>
  </si>
  <si>
    <t>NP_005248</t>
  </si>
  <si>
    <t>NM_001031721</t>
  </si>
  <si>
    <t>K244M</t>
  </si>
  <si>
    <t>NP_001026891</t>
  </si>
  <si>
    <t>NM_021250</t>
  </si>
  <si>
    <t>F195L</t>
  </si>
  <si>
    <t>NP_067073</t>
  </si>
  <si>
    <t>Y1153F</t>
  </si>
  <si>
    <t>PASS,rs145519551</t>
  </si>
  <si>
    <t>H448L</t>
  </si>
  <si>
    <t>TFAP2C</t>
  </si>
  <si>
    <t>NM_003222</t>
  </si>
  <si>
    <t>P61H</t>
  </si>
  <si>
    <t>NP_003213</t>
  </si>
  <si>
    <t>K68M</t>
  </si>
  <si>
    <t>NPBWR2</t>
  </si>
  <si>
    <t>NM_005286</t>
  </si>
  <si>
    <t>R213H</t>
  </si>
  <si>
    <t>NP_005277</t>
  </si>
  <si>
    <t>M1166L</t>
  </si>
  <si>
    <t>NP_006411</t>
  </si>
  <si>
    <t>TIAM1</t>
  </si>
  <si>
    <t>NM_003253</t>
  </si>
  <si>
    <t>E608V</t>
  </si>
  <si>
    <t>NP_003244</t>
  </si>
  <si>
    <t>C22orf13</t>
  </si>
  <si>
    <t>NM_031444</t>
  </si>
  <si>
    <t>Y207C</t>
  </si>
  <si>
    <t>NP_113632</t>
  </si>
  <si>
    <t>T912N</t>
  </si>
  <si>
    <t>NM_001127</t>
  </si>
  <si>
    <t>K322R</t>
  </si>
  <si>
    <t>NP_001118</t>
  </si>
  <si>
    <t>NM_152267</t>
  </si>
  <si>
    <t>S16C</t>
  </si>
  <si>
    <t>NP_689480</t>
  </si>
  <si>
    <t>C1QTNF6</t>
  </si>
  <si>
    <t>NM_031910</t>
  </si>
  <si>
    <t>S156C</t>
  </si>
  <si>
    <t>NP_114116</t>
  </si>
  <si>
    <t>C509Y</t>
  </si>
  <si>
    <t>NP_065882</t>
  </si>
  <si>
    <t>NRK</t>
  </si>
  <si>
    <t>NM_198465</t>
  </si>
  <si>
    <t>P469A</t>
  </si>
  <si>
    <t>NP_940867</t>
  </si>
  <si>
    <t>NP_000631</t>
  </si>
  <si>
    <t>PCDH11Y</t>
  </si>
  <si>
    <t>NM_032973</t>
  </si>
  <si>
    <t>D419Y</t>
  </si>
  <si>
    <t>NP_116755</t>
  </si>
  <si>
    <t>F181FA</t>
  </si>
  <si>
    <t>TTGC</t>
  </si>
  <si>
    <t>NP_000468.1</t>
  </si>
  <si>
    <t>ttt/ttTGCt</t>
  </si>
  <si>
    <t>TGC</t>
  </si>
  <si>
    <t>IDUA</t>
  </si>
  <si>
    <t>NM_000203</t>
  </si>
  <si>
    <t>NP_000194</t>
  </si>
  <si>
    <t>KCTD9</t>
  </si>
  <si>
    <t>NM_017634</t>
  </si>
  <si>
    <t>NP_060104</t>
  </si>
  <si>
    <t>NM_001127700</t>
  </si>
  <si>
    <t>GAGAC</t>
  </si>
  <si>
    <t>NP_001121172</t>
  </si>
  <si>
    <t>AGAC</t>
  </si>
  <si>
    <t>TGCCATGATGG</t>
  </si>
  <si>
    <t>GCCATGATGG</t>
  </si>
  <si>
    <t>ZCCHC17</t>
  </si>
  <si>
    <t>NM_016505</t>
  </si>
  <si>
    <t>K231-</t>
  </si>
  <si>
    <t>AAAG</t>
  </si>
  <si>
    <t>NP_057589</t>
  </si>
  <si>
    <t>AAG/-</t>
  </si>
  <si>
    <t>AAG</t>
  </si>
  <si>
    <t>ALV381-383A</t>
  </si>
  <si>
    <t>AACCAAG</t>
  </si>
  <si>
    <t>gcCTTGGTt/gct</t>
  </si>
  <si>
    <t>ACCAAG</t>
  </si>
  <si>
    <t>ABHD1</t>
  </si>
  <si>
    <t>NM_032604</t>
  </si>
  <si>
    <t>CCA</t>
  </si>
  <si>
    <t>NP_115993</t>
  </si>
  <si>
    <t>F380-</t>
  </si>
  <si>
    <t>TGAA</t>
  </si>
  <si>
    <t>TTC/-</t>
  </si>
  <si>
    <t>KM465-466M</t>
  </si>
  <si>
    <t>ATCT</t>
  </si>
  <si>
    <t>aAGAtg/atg</t>
  </si>
  <si>
    <t>TCT</t>
  </si>
  <si>
    <t>TM2D2</t>
  </si>
  <si>
    <t>NM_078473</t>
  </si>
  <si>
    <t>F159-</t>
  </si>
  <si>
    <t>GGAA</t>
  </si>
  <si>
    <t>NP_510882</t>
  </si>
  <si>
    <t>ECHS1</t>
  </si>
  <si>
    <t>NM_004092</t>
  </si>
  <si>
    <t>VA237-238A</t>
  </si>
  <si>
    <t>GCTA</t>
  </si>
  <si>
    <t>NP_004083</t>
  </si>
  <si>
    <t>gTAGcg/gcg</t>
  </si>
  <si>
    <t>CTA</t>
  </si>
  <si>
    <t>OR4C12</t>
  </si>
  <si>
    <t>NM_001005270</t>
  </si>
  <si>
    <t>AG</t>
  </si>
  <si>
    <t>NP_001005270</t>
  </si>
  <si>
    <t>NPAT</t>
  </si>
  <si>
    <t>NM_002519</t>
  </si>
  <si>
    <t>NP_002510</t>
  </si>
  <si>
    <t>NM_006812</t>
  </si>
  <si>
    <t>ED417-418-</t>
  </si>
  <si>
    <t>GGAGGAT</t>
  </si>
  <si>
    <t>NP_006803</t>
  </si>
  <si>
    <t>GAGGAT/-</t>
  </si>
  <si>
    <t>GAGGAT</t>
  </si>
  <si>
    <t>DDX51</t>
  </si>
  <si>
    <t>NM_175066</t>
  </si>
  <si>
    <t>RM545-546M</t>
  </si>
  <si>
    <t>ATCC</t>
  </si>
  <si>
    <t>NP_778236</t>
  </si>
  <si>
    <t>aGGAtg/atg</t>
  </si>
  <si>
    <t>TCC</t>
  </si>
  <si>
    <t>HDAC7</t>
  </si>
  <si>
    <t>NM_015401</t>
  </si>
  <si>
    <t>EV958-959V</t>
  </si>
  <si>
    <t>ACTT</t>
  </si>
  <si>
    <t>NP_056216</t>
  </si>
  <si>
    <t>gAAGtg/gtg</t>
  </si>
  <si>
    <t>CTT</t>
  </si>
  <si>
    <t>CAG</t>
  </si>
  <si>
    <t>KDM6B</t>
  </si>
  <si>
    <t>NM_001080424</t>
  </si>
  <si>
    <t>EK1295-1296E</t>
  </si>
  <si>
    <t>GAGA</t>
  </si>
  <si>
    <t>NP_001073893</t>
  </si>
  <si>
    <t>gAGAag/gag</t>
  </si>
  <si>
    <t>AGA</t>
  </si>
  <si>
    <t>NM_139276</t>
  </si>
  <si>
    <t>TGA</t>
  </si>
  <si>
    <t>NP_644805</t>
  </si>
  <si>
    <t>USP29</t>
  </si>
  <si>
    <t>NM_020903</t>
  </si>
  <si>
    <t>NP_065954</t>
  </si>
  <si>
    <t>ZNF345</t>
  </si>
  <si>
    <t>NM_001242472</t>
  </si>
  <si>
    <t>VS74-75A</t>
  </si>
  <si>
    <t>GTAT</t>
  </si>
  <si>
    <t>NP_001229401</t>
  </si>
  <si>
    <t>gTATca/gca</t>
  </si>
  <si>
    <t>XRN2</t>
  </si>
  <si>
    <t>NM_012255</t>
  </si>
  <si>
    <t>EG203-204E</t>
  </si>
  <si>
    <t>AAGG</t>
  </si>
  <si>
    <t>NP_036387</t>
  </si>
  <si>
    <t>gaAGGa/gaa</t>
  </si>
  <si>
    <t>AGG</t>
  </si>
  <si>
    <t>ZSWIM1</t>
  </si>
  <si>
    <t>NM_080603</t>
  </si>
  <si>
    <t>KE459-460K</t>
  </si>
  <si>
    <t>NP_542170</t>
  </si>
  <si>
    <t>aAGGag/aag</t>
  </si>
  <si>
    <t>MORC2</t>
  </si>
  <si>
    <t>NM_014941</t>
  </si>
  <si>
    <t>NP_055756</t>
  </si>
  <si>
    <t>PRSS12</t>
  </si>
  <si>
    <t>NM_003619</t>
  </si>
  <si>
    <t>NP_003610</t>
  </si>
  <si>
    <t>DNAH1</t>
  </si>
  <si>
    <t>NM_015512</t>
  </si>
  <si>
    <t>VSDL1805-1808-</t>
  </si>
  <si>
    <t>CGTGTCCGACCTG</t>
  </si>
  <si>
    <t>NP_056327</t>
  </si>
  <si>
    <t>GTGTCCGACCTG/-</t>
  </si>
  <si>
    <t>GTGTCCGACCTG</t>
  </si>
  <si>
    <t>NUDCD2</t>
  </si>
  <si>
    <t>NM_145266</t>
  </si>
  <si>
    <t>CTTTAGTGTAGTTT</t>
  </si>
  <si>
    <t>NP_660309</t>
  </si>
  <si>
    <t>TTTAGTGTAGTTT</t>
  </si>
  <si>
    <t>MTHFD1L</t>
  </si>
  <si>
    <t>NM_001242767</t>
  </si>
  <si>
    <t>NP_001229696.1</t>
  </si>
  <si>
    <t>PARP2</t>
  </si>
  <si>
    <t>NM_005484</t>
  </si>
  <si>
    <t>TC</t>
  </si>
  <si>
    <t>NP_005475</t>
  </si>
  <si>
    <t>CAATGTCAGCTTTCCCATTGAGA</t>
  </si>
  <si>
    <t>AATGTCAGCTTTCCCATTGAGA</t>
  </si>
  <si>
    <t>TMEM87A</t>
  </si>
  <si>
    <t>NM_015497</t>
  </si>
  <si>
    <t>NP_056312</t>
  </si>
  <si>
    <t>MEF2C</t>
  </si>
  <si>
    <t>NM_001193347</t>
  </si>
  <si>
    <t>NP_001180276</t>
  </si>
  <si>
    <t>D1091-</t>
  </si>
  <si>
    <t>TATC</t>
  </si>
  <si>
    <t>GAT/-</t>
  </si>
  <si>
    <t>ATC</t>
  </si>
  <si>
    <t>OR56A1</t>
  </si>
  <si>
    <t>NM_001001917</t>
  </si>
  <si>
    <t>GTT</t>
  </si>
  <si>
    <t>NP_001001917</t>
  </si>
  <si>
    <t>NM_001164279</t>
  </si>
  <si>
    <t>NP_001157751</t>
  </si>
  <si>
    <t>GT</t>
  </si>
  <si>
    <t>TATTGTACTGAA</t>
  </si>
  <si>
    <t>ATTGTACTGAA</t>
  </si>
  <si>
    <t>DMRTA1</t>
  </si>
  <si>
    <t>NM_022160</t>
  </si>
  <si>
    <t>NP_071443</t>
  </si>
  <si>
    <t>AACATCGACGCG</t>
  </si>
  <si>
    <t>ACATCGACGCG</t>
  </si>
  <si>
    <t>ARHGAP33</t>
  </si>
  <si>
    <t>NM_052948</t>
  </si>
  <si>
    <t>NP_443180</t>
  </si>
  <si>
    <t>NP_690000</t>
  </si>
  <si>
    <t>POU1F1</t>
  </si>
  <si>
    <t>NM_001122757</t>
  </si>
  <si>
    <t>TTGAC</t>
  </si>
  <si>
    <t>NP_001116229</t>
  </si>
  <si>
    <t>TGAC</t>
  </si>
  <si>
    <t>OR6C65</t>
  </si>
  <si>
    <t>NM_001005518</t>
  </si>
  <si>
    <t>NP_001005518</t>
  </si>
  <si>
    <t>ACT</t>
  </si>
  <si>
    <t>CT</t>
  </si>
  <si>
    <t>PABPC1L</t>
  </si>
  <si>
    <t>NM_001124756</t>
  </si>
  <si>
    <t>CGG</t>
  </si>
  <si>
    <t>NP_001118228.1</t>
  </si>
  <si>
    <t>CNKSR1</t>
  </si>
  <si>
    <t>NM_006314</t>
  </si>
  <si>
    <t>NP_006305</t>
  </si>
  <si>
    <t>THRAP3</t>
  </si>
  <si>
    <t>NM_005119</t>
  </si>
  <si>
    <t>NP_005110</t>
  </si>
  <si>
    <t>NM_000158</t>
  </si>
  <si>
    <t>NP_000149</t>
  </si>
  <si>
    <t>CADM2</t>
  </si>
  <si>
    <t>NM_001167674</t>
  </si>
  <si>
    <t>NP_001161146</t>
  </si>
  <si>
    <t>NM_012180</t>
  </si>
  <si>
    <t>EG17-18G</t>
  </si>
  <si>
    <t>CCTT</t>
  </si>
  <si>
    <t>NP_036312</t>
  </si>
  <si>
    <t>gAAGgc/ggc</t>
  </si>
  <si>
    <t>WDR19</t>
  </si>
  <si>
    <t>NM_025132</t>
  </si>
  <si>
    <t>NP_079408.3</t>
  </si>
  <si>
    <t>NM_175737</t>
  </si>
  <si>
    <t>CTAAA</t>
  </si>
  <si>
    <t>NP_783864</t>
  </si>
  <si>
    <t>TAAA</t>
  </si>
  <si>
    <t>TICAM2</t>
  </si>
  <si>
    <t>NM_001164468</t>
  </si>
  <si>
    <t>NP_001157940</t>
  </si>
  <si>
    <t>C11orf93</t>
  </si>
  <si>
    <t>NM_001136105</t>
  </si>
  <si>
    <t>NP_001129577</t>
  </si>
  <si>
    <t>FAM96A</t>
  </si>
  <si>
    <t>NM_032231</t>
  </si>
  <si>
    <t>NP_115607</t>
  </si>
  <si>
    <t>NM_004489</t>
  </si>
  <si>
    <t>NP_004480</t>
  </si>
  <si>
    <t>NBPF10</t>
  </si>
  <si>
    <t>NM_001039703</t>
  </si>
  <si>
    <t>ED1417-1418-</t>
  </si>
  <si>
    <t>AGAAGAC</t>
  </si>
  <si>
    <t>NP_001034792</t>
  </si>
  <si>
    <t>GAAGAC/-</t>
  </si>
  <si>
    <t>GAAGAC</t>
  </si>
  <si>
    <t>NM_205842</t>
  </si>
  <si>
    <t>NP_995314</t>
  </si>
  <si>
    <t>LATS1</t>
  </si>
  <si>
    <t>NM_004690</t>
  </si>
  <si>
    <t>SPVPPGA289-295S</t>
  </si>
  <si>
    <t>TGCCCCAGGTGGGACAGGA</t>
  </si>
  <si>
    <t>NP_004681</t>
  </si>
  <si>
    <t>tcTCCTGTCCCACCTGGGGCa/tc</t>
  </si>
  <si>
    <t>GCCCCAGGTGGGACAGGA</t>
  </si>
  <si>
    <t>MKRN1</t>
  </si>
  <si>
    <t>NM_013446</t>
  </si>
  <si>
    <t>NP_038474</t>
  </si>
  <si>
    <t>TRIM64C</t>
  </si>
  <si>
    <t>NM_001206631</t>
  </si>
  <si>
    <t>NP_001193560</t>
  </si>
  <si>
    <t>CACTT</t>
  </si>
  <si>
    <t>DIDO1</t>
  </si>
  <si>
    <t>NM_001193369</t>
  </si>
  <si>
    <t>TGCAAATTTTACAGTTGAGATCGAAGAGG</t>
  </si>
  <si>
    <t>NP_001180298</t>
  </si>
  <si>
    <t>GCAAATTTTACAGTTGAGATCGAAGAGG</t>
  </si>
  <si>
    <t>CD302</t>
  </si>
  <si>
    <t>NM_014880</t>
  </si>
  <si>
    <t>AAC</t>
  </si>
  <si>
    <t>NP_055695</t>
  </si>
  <si>
    <t>USP1</t>
  </si>
  <si>
    <t>NM_001017416</t>
  </si>
  <si>
    <t>NP_001017416</t>
  </si>
  <si>
    <t>NM_005141</t>
  </si>
  <si>
    <t>PASS,rs140191144</t>
  </si>
  <si>
    <t>NP_005132</t>
  </si>
  <si>
    <t>NP_001438</t>
  </si>
  <si>
    <t>ZNF292</t>
  </si>
  <si>
    <t>NM_015021</t>
  </si>
  <si>
    <t>NP_055836</t>
  </si>
  <si>
    <t>NM_001308</t>
  </si>
  <si>
    <t>NP_001299</t>
  </si>
  <si>
    <t>NM_020954</t>
  </si>
  <si>
    <t>NP_066005</t>
  </si>
  <si>
    <t>K292RPE</t>
  </si>
  <si>
    <t>AGACCAG</t>
  </si>
  <si>
    <t>aag/aGACCAGag</t>
  </si>
  <si>
    <t>GACCAG</t>
  </si>
  <si>
    <t>ZNF674</t>
  </si>
  <si>
    <t>NM_001039891</t>
  </si>
  <si>
    <t>NP_001034980</t>
  </si>
  <si>
    <t>CACAA</t>
  </si>
  <si>
    <t>ACAA</t>
  </si>
  <si>
    <t>BIRC2</t>
  </si>
  <si>
    <t>NM_001166</t>
  </si>
  <si>
    <t>NP_001157</t>
  </si>
  <si>
    <t>C2orf63</t>
  </si>
  <si>
    <t>NM_152385</t>
  </si>
  <si>
    <t>GCA</t>
  </si>
  <si>
    <t>NP_689598</t>
  </si>
  <si>
    <t>NM_152672</t>
  </si>
  <si>
    <t>NP_689885</t>
  </si>
  <si>
    <t>GCTTT</t>
  </si>
  <si>
    <t>CTTT</t>
  </si>
  <si>
    <t>AATGTG</t>
  </si>
  <si>
    <t>ATGTG</t>
  </si>
  <si>
    <t>LATS2</t>
  </si>
  <si>
    <t>NM_014572</t>
  </si>
  <si>
    <t>SLL83-85-</t>
  </si>
  <si>
    <t>GCAACAAGGA</t>
  </si>
  <si>
    <t>NP_055387</t>
  </si>
  <si>
    <t>TCCTTGTTG/-</t>
  </si>
  <si>
    <t>CAACAAGGA</t>
  </si>
  <si>
    <t>NM_006447</t>
  </si>
  <si>
    <t>NP_006438</t>
  </si>
  <si>
    <t>PSG1</t>
  </si>
  <si>
    <t>NM_006905</t>
  </si>
  <si>
    <t>NP_008836</t>
  </si>
  <si>
    <t>SLCO2A1</t>
  </si>
  <si>
    <t>NM_005630</t>
  </si>
  <si>
    <t>PASS,rs146970901</t>
  </si>
  <si>
    <t>NP_005621</t>
  </si>
  <si>
    <t>OR51E2</t>
  </si>
  <si>
    <t>NM_030774</t>
  </si>
  <si>
    <t>NP_110401</t>
  </si>
  <si>
    <t>PCNX</t>
  </si>
  <si>
    <t>NM_014982</t>
  </si>
  <si>
    <t>NP_055797</t>
  </si>
  <si>
    <t>ZNF274</t>
  </si>
  <si>
    <t>NM_016324</t>
  </si>
  <si>
    <t>GGAGGTGGCTGGTCCCC</t>
  </si>
  <si>
    <t>NP_057408</t>
  </si>
  <si>
    <t>GAGGTGGCTGGTCCCC</t>
  </si>
  <si>
    <t>GACAACCACAGCTTCTGA</t>
  </si>
  <si>
    <t>ACAACCACAGCTTCTGA</t>
  </si>
  <si>
    <t>SLC44A3</t>
  </si>
  <si>
    <t>NM_001114106</t>
  </si>
  <si>
    <t>L250-</t>
  </si>
  <si>
    <t>TTTG</t>
  </si>
  <si>
    <t>NP_001107578</t>
  </si>
  <si>
    <t>TTG/-</t>
  </si>
  <si>
    <t>TTG</t>
  </si>
  <si>
    <t>PEAR1</t>
  </si>
  <si>
    <t>NM_001080471</t>
  </si>
  <si>
    <t>NP_001073940</t>
  </si>
  <si>
    <t>GAC</t>
  </si>
  <si>
    <t>GACATATGAAACCACTCTAGAGAA</t>
  </si>
  <si>
    <t>ACATATGAAACCACTCTAGAGAA</t>
  </si>
  <si>
    <t>RNASET2</t>
  </si>
  <si>
    <t>NM_003730</t>
  </si>
  <si>
    <t>NP_003721</t>
  </si>
  <si>
    <t>CEBPD</t>
  </si>
  <si>
    <t>NM_005195</t>
  </si>
  <si>
    <t>RRNQ214-217Q</t>
  </si>
  <si>
    <t>TGGTTGCGCC</t>
  </si>
  <si>
    <t>NP_005186</t>
  </si>
  <si>
    <t>cGGCGCAACCag/cag</t>
  </si>
  <si>
    <t>GGTTGCGCC</t>
  </si>
  <si>
    <t>IPO7</t>
  </si>
  <si>
    <t>NM_006391</t>
  </si>
  <si>
    <t>NP_006382</t>
  </si>
  <si>
    <t>MRGPRE</t>
  </si>
  <si>
    <t>NM_001039165</t>
  </si>
  <si>
    <t>NP_001034254</t>
  </si>
  <si>
    <t>QN2904-2905-</t>
  </si>
  <si>
    <t>CCAGAAT</t>
  </si>
  <si>
    <t>CAGAAT/-</t>
  </si>
  <si>
    <t>CAGAAT</t>
  </si>
  <si>
    <t>KRT40</t>
  </si>
  <si>
    <t>NM_182497</t>
  </si>
  <si>
    <t>NP_872303</t>
  </si>
  <si>
    <t>NM_153265</t>
  </si>
  <si>
    <t>NP_694997</t>
  </si>
  <si>
    <t>AGCAT</t>
  </si>
  <si>
    <t>GCAT</t>
  </si>
  <si>
    <t>BRWD3</t>
  </si>
  <si>
    <t>NM_153252</t>
  </si>
  <si>
    <t>RGRGGR1687-1692R</t>
  </si>
  <si>
    <t>CCTGCCTCCTCTTCCT</t>
  </si>
  <si>
    <t>NP_694984</t>
  </si>
  <si>
    <t>agAGGAAGAGGAGGCAGg/agg</t>
  </si>
  <si>
    <t>CTGCCTCCTCTTCCT</t>
  </si>
  <si>
    <t>CCTGAT</t>
  </si>
  <si>
    <t>CTGAT</t>
  </si>
  <si>
    <t>CTCTCA</t>
  </si>
  <si>
    <t>TCTCA</t>
  </si>
  <si>
    <t>TMEM132C</t>
  </si>
  <si>
    <t>NM_001136103</t>
  </si>
  <si>
    <t>NP_001129575</t>
  </si>
  <si>
    <t>USP31</t>
  </si>
  <si>
    <t>NM_020718</t>
  </si>
  <si>
    <t>TCTGGCGA</t>
  </si>
  <si>
    <t>NP_065769</t>
  </si>
  <si>
    <t>CTGGCGA</t>
  </si>
  <si>
    <t>ZNF688</t>
  </si>
  <si>
    <t>NM_001024683</t>
  </si>
  <si>
    <t>AGGGACCCCGC</t>
  </si>
  <si>
    <t>NP_001019854</t>
  </si>
  <si>
    <t>GGGACCCCGC</t>
  </si>
  <si>
    <t>ZNF714</t>
  </si>
  <si>
    <t>NM_182515</t>
  </si>
  <si>
    <t>NP_872321</t>
  </si>
  <si>
    <t>TTA</t>
  </si>
  <si>
    <t>NM_001162501</t>
  </si>
  <si>
    <t>NP_001155973</t>
  </si>
  <si>
    <t>CTTGAAGGCAGCGATGCCGA</t>
  </si>
  <si>
    <t>TTGAAGGCAGCGATGCCGA</t>
  </si>
  <si>
    <t>METTL23</t>
  </si>
  <si>
    <t>NM_001206984</t>
  </si>
  <si>
    <t>CTACAAATGGGA</t>
  </si>
  <si>
    <t>NP_001193913</t>
  </si>
  <si>
    <t>TACAAATGGGA</t>
  </si>
  <si>
    <t>KIAA0562</t>
  </si>
  <si>
    <t>PILRB</t>
  </si>
  <si>
    <t>ADAMTSL4</t>
  </si>
  <si>
    <t>ENSA</t>
  </si>
  <si>
    <t>SNORD62A</t>
  </si>
  <si>
    <t>NR1I3</t>
  </si>
  <si>
    <t>PIK3C2B</t>
  </si>
  <si>
    <t>LOC220980</t>
  </si>
  <si>
    <t>RRAD</t>
  </si>
  <si>
    <t>POLA2</t>
  </si>
  <si>
    <t>NRL</t>
  </si>
  <si>
    <t>LOC283314</t>
  </si>
  <si>
    <t>C1RL</t>
  </si>
  <si>
    <t>TMEM189</t>
  </si>
  <si>
    <t>HHIPL1</t>
  </si>
  <si>
    <t>LONP2</t>
  </si>
  <si>
    <t>WWOX</t>
  </si>
  <si>
    <t>NR1D1</t>
  </si>
  <si>
    <t>KIAA1012</t>
  </si>
  <si>
    <t>RPS5</t>
  </si>
  <si>
    <t>APOC1P1</t>
  </si>
  <si>
    <t>LOC654433</t>
  </si>
  <si>
    <t>AOX2P</t>
  </si>
  <si>
    <t>CCDC117</t>
  </si>
  <si>
    <t>SDC4</t>
  </si>
  <si>
    <t>HMOX1</t>
  </si>
  <si>
    <t>SCAP</t>
  </si>
  <si>
    <t>C3orf47</t>
  </si>
  <si>
    <t>CLDN11</t>
  </si>
  <si>
    <t>DCTPP1</t>
  </si>
  <si>
    <t>ELL2</t>
  </si>
  <si>
    <t>CDO1</t>
  </si>
  <si>
    <t>TUBB</t>
  </si>
  <si>
    <t>ARMC2</t>
  </si>
  <si>
    <t>SMOC2</t>
  </si>
  <si>
    <t>TRIM69</t>
  </si>
  <si>
    <t>LOC729156</t>
  </si>
  <si>
    <t>C8orf80</t>
  </si>
  <si>
    <t>C9orf68</t>
  </si>
  <si>
    <t>C9orf25</t>
  </si>
  <si>
    <t>GALT</t>
  </si>
  <si>
    <t>LOC100129066</t>
  </si>
  <si>
    <t>COL27A1</t>
  </si>
  <si>
    <t>MIR126</t>
  </si>
  <si>
    <t>ALG13</t>
  </si>
  <si>
    <t>SFRS14</t>
  </si>
  <si>
    <t>ZNF704</t>
  </si>
  <si>
    <t>MOBKL2B</t>
  </si>
  <si>
    <t>PLEKHA6</t>
  </si>
  <si>
    <t>CPLX4</t>
  </si>
  <si>
    <t>HGD</t>
  </si>
  <si>
    <t>RIMS2</t>
  </si>
  <si>
    <t>RFTN1</t>
  </si>
  <si>
    <t>FLAD1</t>
  </si>
  <si>
    <t>TRIM6</t>
  </si>
  <si>
    <t>SBF2</t>
  </si>
  <si>
    <t>RAB39</t>
  </si>
  <si>
    <t>METT5D1</t>
  </si>
  <si>
    <t>OR6Q1</t>
  </si>
  <si>
    <t>DDI1</t>
  </si>
  <si>
    <t>KIAA1543</t>
  </si>
  <si>
    <t>ERC1</t>
  </si>
  <si>
    <t>C14orf143</t>
  </si>
  <si>
    <t>RASL12</t>
  </si>
  <si>
    <t>LOC390595</t>
  </si>
  <si>
    <t>ATAD5</t>
  </si>
  <si>
    <t>ACCN1</t>
  </si>
  <si>
    <t>LASS6</t>
  </si>
  <si>
    <t>ACSL3</t>
  </si>
  <si>
    <t>LOC100128640</t>
  </si>
  <si>
    <t>LOC25845</t>
  </si>
  <si>
    <t>NKD2</t>
  </si>
  <si>
    <t>LYRM4</t>
  </si>
  <si>
    <t>ADAM5P</t>
  </si>
  <si>
    <t>TTPA</t>
  </si>
  <si>
    <t>C9orf82</t>
  </si>
  <si>
    <t>SMC5</t>
  </si>
  <si>
    <t>MIR548H3</t>
  </si>
  <si>
    <t>PCSK5</t>
  </si>
  <si>
    <t>FAM129B</t>
  </si>
  <si>
    <t>MUSK</t>
  </si>
  <si>
    <t>STS</t>
  </si>
  <si>
    <t>MRGPRF</t>
  </si>
  <si>
    <t>FGF4</t>
  </si>
  <si>
    <t>MYEOV</t>
  </si>
  <si>
    <t>CCND1</t>
  </si>
  <si>
    <t>CARS2</t>
  </si>
  <si>
    <t>DAOA</t>
  </si>
  <si>
    <t>IRS2</t>
  </si>
  <si>
    <t>ARGLU1</t>
  </si>
  <si>
    <t>LOC84740</t>
  </si>
  <si>
    <t>LOC728081</t>
  </si>
  <si>
    <t>A2BP1</t>
  </si>
  <si>
    <t>IL1RAPL1</t>
  </si>
  <si>
    <t>LUC7L</t>
  </si>
  <si>
    <t>ALPK2</t>
  </si>
  <si>
    <t>STRA8</t>
  </si>
  <si>
    <t>C8orf84</t>
  </si>
  <si>
    <t>Left.strand</t>
  </si>
  <si>
    <t>Right.chr</t>
  </si>
  <si>
    <t>Left.chr</t>
  </si>
  <si>
    <t>Left.begin</t>
  </si>
  <si>
    <t>Left.end</t>
  </si>
  <si>
    <t>Left.gene</t>
  </si>
  <si>
    <t>Right.begin</t>
  </si>
  <si>
    <t>Right.end</t>
  </si>
  <si>
    <t>Right.strand</t>
  </si>
  <si>
    <t>Right.gene</t>
  </si>
  <si>
    <t>Discordant.reads</t>
  </si>
  <si>
    <t>GUCY2GP</t>
  </si>
  <si>
    <t>EEF1G</t>
  </si>
  <si>
    <t>C14orf43</t>
  </si>
  <si>
    <t>DYNLRB1</t>
  </si>
  <si>
    <t>MAP1LC3A</t>
  </si>
  <si>
    <t>SEMA3F</t>
  </si>
  <si>
    <t>GNAT1</t>
  </si>
  <si>
    <t>CAMK2B</t>
  </si>
  <si>
    <t>SRRM3</t>
  </si>
  <si>
    <t>VTA1</t>
  </si>
  <si>
    <t>TMEM49</t>
  </si>
  <si>
    <t>DUSP12</t>
  </si>
  <si>
    <t>ATF6</t>
  </si>
  <si>
    <t>ORAOV1</t>
  </si>
  <si>
    <t>Allelic frequency</t>
  </si>
  <si>
    <r>
      <rPr>
        <b/>
        <sz val="12"/>
        <color theme="1"/>
        <rFont val="Calibri"/>
        <family val="2"/>
        <scheme val="minor"/>
      </rPr>
      <t xml:space="preserve">Table S1 </t>
    </r>
    <r>
      <rPr>
        <sz val="12"/>
        <color theme="1"/>
        <rFont val="Calibri"/>
        <family val="2"/>
        <scheme val="minor"/>
      </rPr>
      <t>: High confidence mutations in 12 HCC tumors from whole-genome sequencing. The somatic score is as obtained from the calldiff tool (cgatools v1.5). A threshold of -5 was used for the somatic score for selecting the mutations.</t>
    </r>
  </si>
  <si>
    <r>
      <rPr>
        <b/>
        <sz val="12"/>
        <color rgb="FF000000"/>
        <rFont val="Calibri"/>
        <scheme val="minor"/>
      </rPr>
      <t xml:space="preserve">Table S2 </t>
    </r>
    <r>
      <rPr>
        <sz val="12"/>
        <color rgb="FF000000"/>
        <rFont val="Calibri"/>
        <family val="2"/>
        <scheme val="minor"/>
      </rPr>
      <t>: High confidence mutations in 30 HCC samples from exome sequencing.</t>
    </r>
  </si>
  <si>
    <r>
      <rPr>
        <b/>
        <sz val="12"/>
        <color theme="1"/>
        <rFont val="Calibri"/>
        <family val="2"/>
        <scheme val="minor"/>
      </rPr>
      <t>Table S3</t>
    </r>
    <r>
      <rPr>
        <sz val="12"/>
        <color theme="1"/>
        <rFont val="Calibri"/>
        <family val="2"/>
        <scheme val="minor"/>
      </rPr>
      <t xml:space="preserve"> : Viral integrations identified from whole-genome sequencing of 8 HCC patients carrying HBV infection. Each row represents a cluster of reads identifying an integration event. The strand represents the orientation of alignment of the sequenced genome to the reference human or the HBV genome. Note that both the reads in a pair are sequenced from the same strand. The normalized read count represents the chimeric read count per 100Gb of mapped human bases.</t>
    </r>
  </si>
  <si>
    <r>
      <rPr>
        <b/>
        <sz val="12"/>
        <color theme="1"/>
        <rFont val="Calibri"/>
        <family val="2"/>
        <scheme val="minor"/>
      </rPr>
      <t>Table S4</t>
    </r>
    <r>
      <rPr>
        <sz val="12"/>
        <color theme="1"/>
        <rFont val="Calibri"/>
        <family val="2"/>
        <scheme val="minor"/>
      </rPr>
      <t xml:space="preserve"> : Human-Viral chimeric RNA sequences identified from RNA sequencing of 8 HCC patients carrying HBV infection. Each row represents a cluster of reads. The strand represents the orientation of alignment of the sequenced genome to the reference human or the HBV genome. Chimera with a read support of 2 or more are shown. Note that the reads in a pair are sequenced from opposite strands.</t>
    </r>
  </si>
  <si>
    <r>
      <rPr>
        <b/>
        <sz val="12"/>
        <color theme="1"/>
        <rFont val="Calibri"/>
        <family val="2"/>
        <scheme val="minor"/>
      </rPr>
      <t>Table S5</t>
    </r>
    <r>
      <rPr>
        <sz val="12"/>
        <color theme="1"/>
        <rFont val="Calibri"/>
        <family val="2"/>
        <scheme val="minor"/>
      </rPr>
      <t xml:space="preserve"> : Somatic structural variation breakpoints identified computationally from whole-genome sequencing of 12 HCC patients. Overlapping discordant reads were grouped into clusters. The "left" cluster was chosen as the one with the lower genomic coordinates and the right cluster had higher genomic coordinates. Genes intersecting these clusters are indicated. Clusters with more than 25 reads are shown. Note that reads in pair are sequenced from the same strand.</t>
    </r>
  </si>
  <si>
    <r>
      <t>Table S6</t>
    </r>
    <r>
      <rPr>
        <sz val="12"/>
        <color rgb="FF000000"/>
        <rFont val="Calibri"/>
        <family val="2"/>
        <scheme val="minor"/>
      </rPr>
      <t xml:space="preserve"> : Somatic fusion transcripts identified computationally from RNA sequencing and whole genome sequencing of 12 HCC patients. Only those transcripts that had evidence from structural variation calls from whole-genome sequencing are shown. The "left" cluster  of reads was chosen as the one with the lower genomic coordinates, and the right cluster has higher genomic coordinates. Note that reads in pair are sequenced from opposite strands.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</si>
</sst>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scheme val="minor"/>
    </font>
  </fonts>
  <fills count="2">
    <fill>
      <patternFill patternType="none"/>
    </fill>
    <fill>
      <patternFill patternType="gray125"/>
    </fill>
  </fills>
  <borders count="1">
    <border>
      <left/>
      <right/>
      <top/>
      <bottom/>
      <diagonal/>
    </border>
  </borders>
  <cellStyleXfs count="6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2">
    <xf numFmtId="0" fontId="0" fillId="0" borderId="0" xfId="0"/>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right" vertical="center" wrapText="1"/>
    </xf>
    <xf numFmtId="0" fontId="1" fillId="0" borderId="0" xfId="0" applyFont="1" applyAlignment="1">
      <alignment horizontal="center" vertical="center" wrapText="1"/>
    </xf>
    <xf numFmtId="0" fontId="0" fillId="0" borderId="0" xfId="0" applyAlignment="1">
      <alignment wrapText="1"/>
    </xf>
    <xf numFmtId="0" fontId="4" fillId="0" borderId="0" xfId="0" applyFont="1"/>
    <xf numFmtId="2" fontId="0" fillId="0" borderId="0" xfId="0" applyNumberFormat="1"/>
    <xf numFmtId="0" fontId="1" fillId="0" borderId="0" xfId="0" applyFont="1" applyAlignment="1">
      <alignment vertical="center"/>
    </xf>
    <xf numFmtId="0" fontId="1" fillId="0" borderId="0" xfId="0" applyFont="1" applyAlignment="1">
      <alignment vertical="center" wrapText="1"/>
    </xf>
    <xf numFmtId="0" fontId="0" fillId="0" borderId="0" xfId="0" applyAlignment="1">
      <alignment horizontal="left"/>
    </xf>
    <xf numFmtId="16" fontId="4" fillId="0" borderId="0" xfId="0" applyNumberFormat="1" applyFont="1"/>
    <xf numFmtId="0" fontId="5" fillId="0" borderId="0" xfId="0" applyFont="1" applyAlignment="1">
      <alignment horizontal="center"/>
    </xf>
    <xf numFmtId="0" fontId="0" fillId="0" borderId="0" xfId="0" applyAlignment="1">
      <alignment horizontal="center"/>
    </xf>
    <xf numFmtId="0" fontId="0" fillId="0" borderId="0" xfId="0" applyAlignment="1"/>
    <xf numFmtId="0" fontId="5"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left" wrapText="1"/>
    </xf>
    <xf numFmtId="0" fontId="4" fillId="0" borderId="0" xfId="0" applyFont="1" applyAlignment="1">
      <alignment horizontal="left"/>
    </xf>
    <xf numFmtId="0" fontId="5" fillId="0" borderId="0" xfId="0" applyFont="1" applyAlignment="1">
      <alignment horizontal="left" wrapText="1"/>
    </xf>
  </cellXfs>
  <cellStyles count="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3"/>
  <sheetViews>
    <sheetView zoomScale="120" zoomScaleNormal="120" zoomScalePageLayoutView="120" workbookViewId="0">
      <pane ySplit="3" topLeftCell="A4" activePane="bottomLeft" state="frozen"/>
      <selection pane="bottomLeft" sqref="A1:K1"/>
    </sheetView>
  </sheetViews>
  <sheetFormatPr baseColWidth="10" defaultRowHeight="15" x14ac:dyDescent="0"/>
  <cols>
    <col min="1" max="1" width="10.83203125" style="1"/>
    <col min="2" max="2" width="12.5" customWidth="1"/>
    <col min="3" max="3" width="19.1640625" customWidth="1"/>
    <col min="4" max="4" width="10.6640625" customWidth="1"/>
    <col min="5" max="5" width="42" customWidth="1"/>
    <col min="6" max="6" width="14.33203125" style="2" customWidth="1"/>
    <col min="7" max="7" width="12.33203125" style="2" customWidth="1"/>
    <col min="8" max="8" width="14.83203125" style="2" customWidth="1"/>
    <col min="9" max="9" width="12.33203125" customWidth="1"/>
    <col min="11" max="11" width="12.83203125" customWidth="1"/>
    <col min="17" max="17" width="13.1640625" customWidth="1"/>
  </cols>
  <sheetData>
    <row r="1" spans="1:17" ht="31" customHeight="1">
      <c r="A1" s="19" t="s">
        <v>14269</v>
      </c>
      <c r="B1" s="19"/>
      <c r="C1" s="19"/>
      <c r="D1" s="19"/>
      <c r="E1" s="19"/>
      <c r="F1" s="19"/>
      <c r="G1" s="19"/>
      <c r="H1" s="19"/>
      <c r="I1" s="19"/>
      <c r="J1" s="19"/>
      <c r="K1" s="19"/>
    </row>
    <row r="3" spans="1:17" ht="30">
      <c r="A3" s="6" t="s">
        <v>0</v>
      </c>
      <c r="B3" s="6" t="s">
        <v>1</v>
      </c>
      <c r="C3" s="6" t="s">
        <v>2</v>
      </c>
      <c r="D3" s="6" t="s">
        <v>4248</v>
      </c>
      <c r="E3" s="6" t="s">
        <v>3</v>
      </c>
      <c r="F3" s="6" t="s">
        <v>4</v>
      </c>
      <c r="G3" s="6" t="s">
        <v>5</v>
      </c>
      <c r="H3" s="6" t="s">
        <v>6</v>
      </c>
      <c r="I3" s="6" t="s">
        <v>7</v>
      </c>
      <c r="J3" s="6" t="s">
        <v>8</v>
      </c>
      <c r="K3" s="6" t="s">
        <v>9</v>
      </c>
      <c r="L3" s="6" t="s">
        <v>10</v>
      </c>
      <c r="M3" s="6" t="s">
        <v>11</v>
      </c>
      <c r="N3" s="6" t="s">
        <v>12</v>
      </c>
      <c r="O3" s="6" t="s">
        <v>13</v>
      </c>
      <c r="P3" s="6" t="s">
        <v>14</v>
      </c>
      <c r="Q3" s="6" t="s">
        <v>15</v>
      </c>
    </row>
    <row r="4" spans="1:17">
      <c r="A4" s="3" t="s">
        <v>16</v>
      </c>
      <c r="B4" s="4" t="s">
        <v>17</v>
      </c>
      <c r="C4" s="4" t="s">
        <v>18</v>
      </c>
      <c r="D4" s="4">
        <v>388662</v>
      </c>
      <c r="E4" s="4" t="s">
        <v>19</v>
      </c>
      <c r="F4" s="5">
        <v>1266</v>
      </c>
      <c r="G4" s="5">
        <v>805</v>
      </c>
      <c r="H4" s="5">
        <v>269</v>
      </c>
      <c r="I4" s="4" t="s">
        <v>20</v>
      </c>
      <c r="J4" s="4" t="s">
        <v>21</v>
      </c>
      <c r="K4" s="4" t="s">
        <v>22</v>
      </c>
      <c r="L4" s="4">
        <v>110719302</v>
      </c>
      <c r="M4" s="4">
        <v>110719302</v>
      </c>
      <c r="N4" s="4" t="s">
        <v>23</v>
      </c>
      <c r="O4" s="4" t="s">
        <v>24</v>
      </c>
      <c r="P4" s="4" t="s">
        <v>25</v>
      </c>
      <c r="Q4" s="4">
        <v>4</v>
      </c>
    </row>
    <row r="5" spans="1:17" ht="30">
      <c r="A5" s="3" t="s">
        <v>16</v>
      </c>
      <c r="B5" s="4" t="s">
        <v>26</v>
      </c>
      <c r="C5" s="4" t="str">
        <f ca="1">"NM_182499"&amp;IF(INFO("system")="mac",CHAR(13),CHAR(10))&amp;"NM_001098475"</f>
        <v>NM_182499_x000D_NM_001098475</v>
      </c>
      <c r="D5" s="4">
        <v>126668</v>
      </c>
      <c r="E5" s="4" t="s">
        <v>19</v>
      </c>
      <c r="F5" s="5">
        <v>1610</v>
      </c>
      <c r="G5" s="5">
        <v>772</v>
      </c>
      <c r="H5" s="5">
        <v>258</v>
      </c>
      <c r="I5" s="4" t="s">
        <v>27</v>
      </c>
      <c r="J5" s="4" t="s">
        <v>28</v>
      </c>
      <c r="K5" s="4" t="s">
        <v>22</v>
      </c>
      <c r="L5" s="4">
        <v>154516968</v>
      </c>
      <c r="M5" s="4">
        <v>154516968</v>
      </c>
      <c r="N5" s="4" t="s">
        <v>23</v>
      </c>
      <c r="O5" s="4" t="s">
        <v>24</v>
      </c>
      <c r="P5" s="4" t="s">
        <v>25</v>
      </c>
      <c r="Q5" s="4">
        <v>8</v>
      </c>
    </row>
    <row r="6" spans="1:17">
      <c r="A6" s="3" t="s">
        <v>16</v>
      </c>
      <c r="B6" s="4" t="s">
        <v>29</v>
      </c>
      <c r="C6" s="4" t="s">
        <v>30</v>
      </c>
      <c r="D6" s="4">
        <v>1401</v>
      </c>
      <c r="E6" s="4" t="s">
        <v>31</v>
      </c>
      <c r="F6" s="5" t="s">
        <v>32</v>
      </c>
      <c r="G6" s="5" t="s">
        <v>33</v>
      </c>
      <c r="H6" s="5" t="s">
        <v>34</v>
      </c>
      <c r="I6" s="4" t="s">
        <v>35</v>
      </c>
      <c r="J6" s="4" t="s">
        <v>35</v>
      </c>
      <c r="K6" s="4" t="s">
        <v>22</v>
      </c>
      <c r="L6" s="4">
        <v>159683370</v>
      </c>
      <c r="M6" s="4">
        <v>159683373</v>
      </c>
      <c r="N6" s="4" t="s">
        <v>36</v>
      </c>
      <c r="O6" s="4" t="s">
        <v>37</v>
      </c>
      <c r="P6" s="4"/>
      <c r="Q6" s="4">
        <v>3</v>
      </c>
    </row>
    <row r="7" spans="1:17" ht="30">
      <c r="A7" s="3" t="s">
        <v>16</v>
      </c>
      <c r="B7" s="4" t="s">
        <v>38</v>
      </c>
      <c r="C7" s="4" t="str">
        <f ca="1">"NM_001202423"&amp;IF(INFO("system")="mac",CHAR(13),CHAR(10))&amp;"NM_030934"</f>
        <v>NM_001202423_x000D_NM_030934</v>
      </c>
      <c r="D7" s="4">
        <v>81627</v>
      </c>
      <c r="E7" s="4" t="s">
        <v>19</v>
      </c>
      <c r="F7" s="5" t="str">
        <f ca="1">"1348"&amp;IF(INFO("system")="mac",CHAR(13),CHAR(10))&amp;"1740"</f>
        <v>1348_x000D_1740</v>
      </c>
      <c r="G7" s="5" t="str">
        <f ca="1">"1000"&amp;IF(INFO("system")="mac",CHAR(13),CHAR(10))&amp;"1468"</f>
        <v>1000_x000D_1468</v>
      </c>
      <c r="H7" s="5" t="str">
        <f ca="1">"334"&amp;IF(INFO("system")="mac",CHAR(13),CHAR(10))&amp;"490"</f>
        <v>334_x000D_490</v>
      </c>
      <c r="I7" s="4" t="s">
        <v>39</v>
      </c>
      <c r="J7" s="4" t="s">
        <v>40</v>
      </c>
      <c r="K7" s="4" t="s">
        <v>22</v>
      </c>
      <c r="L7" s="4">
        <v>185106783</v>
      </c>
      <c r="M7" s="4">
        <v>185106783</v>
      </c>
      <c r="N7" s="4" t="s">
        <v>23</v>
      </c>
      <c r="O7" s="4" t="s">
        <v>25</v>
      </c>
      <c r="P7" s="4" t="s">
        <v>41</v>
      </c>
      <c r="Q7" s="4">
        <v>15</v>
      </c>
    </row>
    <row r="8" spans="1:17">
      <c r="A8" s="3" t="s">
        <v>16</v>
      </c>
      <c r="B8" s="4" t="s">
        <v>42</v>
      </c>
      <c r="C8" s="4" t="s">
        <v>43</v>
      </c>
      <c r="D8" s="4">
        <v>9725</v>
      </c>
      <c r="E8" s="4" t="s">
        <v>19</v>
      </c>
      <c r="F8" s="5">
        <v>2961</v>
      </c>
      <c r="G8" s="5">
        <v>2339</v>
      </c>
      <c r="H8" s="5">
        <v>780</v>
      </c>
      <c r="I8" s="4" t="s">
        <v>44</v>
      </c>
      <c r="J8" s="4" t="s">
        <v>45</v>
      </c>
      <c r="K8" s="4" t="s">
        <v>22</v>
      </c>
      <c r="L8" s="4">
        <v>226034826</v>
      </c>
      <c r="M8" s="4">
        <v>226034826</v>
      </c>
      <c r="N8" s="4" t="s">
        <v>23</v>
      </c>
      <c r="O8" s="4" t="s">
        <v>25</v>
      </c>
      <c r="P8" s="4" t="s">
        <v>46</v>
      </c>
      <c r="Q8" s="4">
        <v>7</v>
      </c>
    </row>
    <row r="9" spans="1:17">
      <c r="A9" s="3" t="s">
        <v>16</v>
      </c>
      <c r="B9" s="4" t="s">
        <v>47</v>
      </c>
      <c r="C9" s="4" t="s">
        <v>48</v>
      </c>
      <c r="D9" s="4">
        <v>142</v>
      </c>
      <c r="E9" s="4" t="s">
        <v>19</v>
      </c>
      <c r="F9" s="5">
        <v>1592</v>
      </c>
      <c r="G9" s="5">
        <v>1421</v>
      </c>
      <c r="H9" s="5">
        <v>474</v>
      </c>
      <c r="I9" s="4" t="s">
        <v>49</v>
      </c>
      <c r="J9" s="4" t="s">
        <v>50</v>
      </c>
      <c r="K9" s="4" t="s">
        <v>22</v>
      </c>
      <c r="L9" s="4">
        <v>226567745</v>
      </c>
      <c r="M9" s="4">
        <v>226567745</v>
      </c>
      <c r="N9" s="4" t="s">
        <v>23</v>
      </c>
      <c r="O9" s="4" t="s">
        <v>25</v>
      </c>
      <c r="P9" s="4" t="s">
        <v>24</v>
      </c>
      <c r="Q9" s="4">
        <v>4</v>
      </c>
    </row>
    <row r="10" spans="1:17">
      <c r="A10" s="3" t="s">
        <v>16</v>
      </c>
      <c r="B10" s="4" t="s">
        <v>51</v>
      </c>
      <c r="C10" s="4" t="s">
        <v>52</v>
      </c>
      <c r="D10" s="4">
        <v>391189</v>
      </c>
      <c r="E10" s="4" t="s">
        <v>19</v>
      </c>
      <c r="F10" s="5">
        <v>556</v>
      </c>
      <c r="G10" s="5">
        <v>556</v>
      </c>
      <c r="H10" s="5">
        <v>186</v>
      </c>
      <c r="I10" s="4" t="s">
        <v>53</v>
      </c>
      <c r="J10" s="4" t="s">
        <v>54</v>
      </c>
      <c r="K10" s="4" t="s">
        <v>22</v>
      </c>
      <c r="L10" s="4">
        <v>248004643</v>
      </c>
      <c r="M10" s="4">
        <v>248004643</v>
      </c>
      <c r="N10" s="4" t="s">
        <v>23</v>
      </c>
      <c r="O10" s="4" t="s">
        <v>24</v>
      </c>
      <c r="P10" s="4" t="s">
        <v>41</v>
      </c>
      <c r="Q10" s="4">
        <v>17</v>
      </c>
    </row>
    <row r="11" spans="1:17">
      <c r="A11" s="3" t="s">
        <v>16</v>
      </c>
      <c r="B11" s="4" t="s">
        <v>55</v>
      </c>
      <c r="C11" s="4" t="s">
        <v>56</v>
      </c>
      <c r="D11" s="4">
        <v>127074</v>
      </c>
      <c r="E11" s="4" t="s">
        <v>19</v>
      </c>
      <c r="F11" s="5">
        <v>937</v>
      </c>
      <c r="G11" s="5">
        <v>937</v>
      </c>
      <c r="H11" s="5">
        <v>313</v>
      </c>
      <c r="I11" s="4" t="s">
        <v>57</v>
      </c>
      <c r="J11" s="4" t="s">
        <v>58</v>
      </c>
      <c r="K11" s="4" t="s">
        <v>22</v>
      </c>
      <c r="L11" s="4">
        <v>248525819</v>
      </c>
      <c r="M11" s="4">
        <v>248525819</v>
      </c>
      <c r="N11" s="4" t="s">
        <v>23</v>
      </c>
      <c r="O11" s="4" t="s">
        <v>46</v>
      </c>
      <c r="P11" s="4" t="s">
        <v>41</v>
      </c>
      <c r="Q11" s="4">
        <v>2</v>
      </c>
    </row>
    <row r="12" spans="1:17" ht="45">
      <c r="A12" s="3" t="s">
        <v>16</v>
      </c>
      <c r="B12" s="4" t="s">
        <v>59</v>
      </c>
      <c r="C12" s="4" t="str">
        <f ca="1">"NM_004153"&amp;IF(INFO("system")="mac",CHAR(13),CHAR(10))&amp;"NM_001190819"&amp;IF(INFO("system")="mac",CHAR(13),CHAR(10))&amp;"NM_001190818"</f>
        <v>NM_004153_x000D_NM_001190819_x000D_NM_001190818</v>
      </c>
      <c r="D12" s="4">
        <v>4998</v>
      </c>
      <c r="E12" s="4" t="s">
        <v>19</v>
      </c>
      <c r="F12" s="5" t="str">
        <f ca="1">"2309"&amp;IF(INFO("system")="mac",CHAR(13),CHAR(10))&amp;"2294"&amp;IF(INFO("system")="mac",CHAR(13),CHAR(10))&amp;"2306"</f>
        <v>2309_x000D_2294_x000D_2306</v>
      </c>
      <c r="G12" s="5" t="str">
        <f ca="1">"2078"&amp;IF(INFO("system")="mac",CHAR(13),CHAR(10))&amp;"2063"&amp;IF(INFO("system")="mac",CHAR(13),CHAR(10))&amp;"2078"</f>
        <v>2078_x000D_2063_x000D_2078</v>
      </c>
      <c r="H12" s="5" t="str">
        <f ca="1">"693"&amp;IF(INFO("system")="mac",CHAR(13),CHAR(10))&amp;"688"&amp;IF(INFO("system")="mac",CHAR(13),CHAR(10))&amp;"693"</f>
        <v>693_x000D_688_x000D_693</v>
      </c>
      <c r="I12" s="4" t="s">
        <v>60</v>
      </c>
      <c r="J12" s="4" t="s">
        <v>61</v>
      </c>
      <c r="K12" s="4" t="s">
        <v>22</v>
      </c>
      <c r="L12" s="4">
        <v>52847369</v>
      </c>
      <c r="M12" s="4">
        <v>52847369</v>
      </c>
      <c r="N12" s="4" t="s">
        <v>23</v>
      </c>
      <c r="O12" s="4" t="s">
        <v>46</v>
      </c>
      <c r="P12" s="4" t="s">
        <v>41</v>
      </c>
      <c r="Q12" s="4">
        <v>17</v>
      </c>
    </row>
    <row r="13" spans="1:17">
      <c r="A13" s="3" t="s">
        <v>16</v>
      </c>
      <c r="B13" s="4" t="s">
        <v>62</v>
      </c>
      <c r="C13" s="4" t="s">
        <v>63</v>
      </c>
      <c r="D13" s="4">
        <v>8863</v>
      </c>
      <c r="E13" s="4" t="s">
        <v>19</v>
      </c>
      <c r="F13" s="5">
        <v>2721</v>
      </c>
      <c r="G13" s="5">
        <v>2546</v>
      </c>
      <c r="H13" s="5">
        <v>849</v>
      </c>
      <c r="I13" s="4" t="s">
        <v>64</v>
      </c>
      <c r="J13" s="4" t="s">
        <v>65</v>
      </c>
      <c r="K13" s="4" t="s">
        <v>22</v>
      </c>
      <c r="L13" s="4">
        <v>7887559</v>
      </c>
      <c r="M13" s="4">
        <v>7887559</v>
      </c>
      <c r="N13" s="4" t="s">
        <v>23</v>
      </c>
      <c r="O13" s="4" t="s">
        <v>46</v>
      </c>
      <c r="P13" s="4" t="s">
        <v>25</v>
      </c>
      <c r="Q13" s="4">
        <v>15</v>
      </c>
    </row>
    <row r="14" spans="1:17">
      <c r="A14" s="3" t="s">
        <v>16</v>
      </c>
      <c r="B14" s="4" t="s">
        <v>66</v>
      </c>
      <c r="C14" s="4" t="s">
        <v>67</v>
      </c>
      <c r="D14" s="4">
        <v>22884</v>
      </c>
      <c r="E14" s="4" t="s">
        <v>68</v>
      </c>
      <c r="F14" s="5" t="s">
        <v>35</v>
      </c>
      <c r="G14" s="5" t="s">
        <v>35</v>
      </c>
      <c r="H14" s="5" t="s">
        <v>35</v>
      </c>
      <c r="I14" s="4" t="s">
        <v>35</v>
      </c>
      <c r="J14" s="4" t="s">
        <v>35</v>
      </c>
      <c r="K14" s="4" t="s">
        <v>69</v>
      </c>
      <c r="L14" s="4">
        <v>1139438</v>
      </c>
      <c r="M14" s="4">
        <v>1139438</v>
      </c>
      <c r="N14" s="4" t="s">
        <v>23</v>
      </c>
      <c r="O14" s="4" t="s">
        <v>41</v>
      </c>
      <c r="P14" s="4" t="s">
        <v>46</v>
      </c>
      <c r="Q14" s="4">
        <v>-5</v>
      </c>
    </row>
    <row r="15" spans="1:17">
      <c r="A15" s="3" t="s">
        <v>16</v>
      </c>
      <c r="B15" s="4" t="s">
        <v>70</v>
      </c>
      <c r="C15" s="4" t="s">
        <v>71</v>
      </c>
      <c r="D15" s="4">
        <v>259217</v>
      </c>
      <c r="E15" s="4" t="s">
        <v>19</v>
      </c>
      <c r="F15" s="5">
        <v>1355</v>
      </c>
      <c r="G15" s="5">
        <v>1250</v>
      </c>
      <c r="H15" s="5">
        <v>417</v>
      </c>
      <c r="I15" s="4" t="s">
        <v>72</v>
      </c>
      <c r="J15" s="4" t="s">
        <v>73</v>
      </c>
      <c r="K15" s="4" t="s">
        <v>69</v>
      </c>
      <c r="L15" s="4">
        <v>118439050</v>
      </c>
      <c r="M15" s="4">
        <v>118439050</v>
      </c>
      <c r="N15" s="4" t="s">
        <v>23</v>
      </c>
      <c r="O15" s="4" t="s">
        <v>46</v>
      </c>
      <c r="P15" s="4" t="s">
        <v>41</v>
      </c>
      <c r="Q15" s="4">
        <v>17</v>
      </c>
    </row>
    <row r="16" spans="1:17">
      <c r="A16" s="3" t="s">
        <v>16</v>
      </c>
      <c r="B16" s="4" t="s">
        <v>74</v>
      </c>
      <c r="C16" s="4" t="s">
        <v>75</v>
      </c>
      <c r="D16" s="4">
        <v>170384</v>
      </c>
      <c r="E16" s="4" t="s">
        <v>76</v>
      </c>
      <c r="F16" s="5">
        <v>567</v>
      </c>
      <c r="G16" s="5">
        <v>524</v>
      </c>
      <c r="H16" s="5">
        <v>175</v>
      </c>
      <c r="I16" s="4" t="s">
        <v>77</v>
      </c>
      <c r="J16" s="4" t="s">
        <v>78</v>
      </c>
      <c r="K16" s="4" t="s">
        <v>69</v>
      </c>
      <c r="L16" s="4">
        <v>75532615</v>
      </c>
      <c r="M16" s="4">
        <v>75532615</v>
      </c>
      <c r="N16" s="4" t="s">
        <v>23</v>
      </c>
      <c r="O16" s="4" t="s">
        <v>46</v>
      </c>
      <c r="P16" s="4" t="s">
        <v>25</v>
      </c>
      <c r="Q16" s="4">
        <v>13</v>
      </c>
    </row>
    <row r="17" spans="1:17">
      <c r="A17" s="3" t="s">
        <v>16</v>
      </c>
      <c r="B17" s="4" t="s">
        <v>79</v>
      </c>
      <c r="C17" s="4" t="s">
        <v>80</v>
      </c>
      <c r="D17" s="4">
        <v>57084</v>
      </c>
      <c r="E17" s="4" t="s">
        <v>19</v>
      </c>
      <c r="F17" s="5">
        <v>2085</v>
      </c>
      <c r="G17" s="5">
        <v>1672</v>
      </c>
      <c r="H17" s="5">
        <v>558</v>
      </c>
      <c r="I17" s="4" t="s">
        <v>81</v>
      </c>
      <c r="J17" s="4" t="s">
        <v>82</v>
      </c>
      <c r="K17" s="4" t="s">
        <v>83</v>
      </c>
      <c r="L17" s="4">
        <v>22399209</v>
      </c>
      <c r="M17" s="4">
        <v>22399209</v>
      </c>
      <c r="N17" s="4" t="s">
        <v>23</v>
      </c>
      <c r="O17" s="4" t="s">
        <v>41</v>
      </c>
      <c r="P17" s="4" t="s">
        <v>24</v>
      </c>
      <c r="Q17" s="4">
        <v>0</v>
      </c>
    </row>
    <row r="18" spans="1:17">
      <c r="A18" s="3" t="s">
        <v>16</v>
      </c>
      <c r="B18" s="4" t="s">
        <v>84</v>
      </c>
      <c r="C18" s="4" t="s">
        <v>85</v>
      </c>
      <c r="D18" s="4">
        <v>80789</v>
      </c>
      <c r="E18" s="4" t="s">
        <v>19</v>
      </c>
      <c r="F18" s="5">
        <v>2278</v>
      </c>
      <c r="G18" s="5">
        <v>2225</v>
      </c>
      <c r="H18" s="5">
        <v>742</v>
      </c>
      <c r="I18" s="4" t="s">
        <v>86</v>
      </c>
      <c r="J18" s="4" t="s">
        <v>87</v>
      </c>
      <c r="K18" s="4" t="s">
        <v>83</v>
      </c>
      <c r="L18" s="4">
        <v>62415327</v>
      </c>
      <c r="M18" s="4">
        <v>62415327</v>
      </c>
      <c r="N18" s="4" t="s">
        <v>23</v>
      </c>
      <c r="O18" s="4" t="s">
        <v>24</v>
      </c>
      <c r="P18" s="4" t="s">
        <v>46</v>
      </c>
      <c r="Q18" s="4">
        <v>15</v>
      </c>
    </row>
    <row r="19" spans="1:17">
      <c r="A19" s="3" t="s">
        <v>16</v>
      </c>
      <c r="B19" s="4" t="s">
        <v>88</v>
      </c>
      <c r="C19" s="4" t="s">
        <v>89</v>
      </c>
      <c r="D19" s="4">
        <v>89</v>
      </c>
      <c r="E19" s="4" t="s">
        <v>19</v>
      </c>
      <c r="F19" s="5">
        <v>1843</v>
      </c>
      <c r="G19" s="5">
        <v>1825</v>
      </c>
      <c r="H19" s="5">
        <v>609</v>
      </c>
      <c r="I19" s="4" t="s">
        <v>57</v>
      </c>
      <c r="J19" s="4" t="s">
        <v>58</v>
      </c>
      <c r="K19" s="4" t="s">
        <v>83</v>
      </c>
      <c r="L19" s="4">
        <v>66328191</v>
      </c>
      <c r="M19" s="4">
        <v>66328191</v>
      </c>
      <c r="N19" s="4" t="s">
        <v>23</v>
      </c>
      <c r="O19" s="4" t="s">
        <v>46</v>
      </c>
      <c r="P19" s="4" t="s">
        <v>41</v>
      </c>
      <c r="Q19" s="4">
        <v>-4</v>
      </c>
    </row>
    <row r="20" spans="1:17" ht="30">
      <c r="A20" s="3" t="s">
        <v>16</v>
      </c>
      <c r="B20" s="4" t="s">
        <v>90</v>
      </c>
      <c r="C20" s="4" t="str">
        <f ca="1">"NM_133266"&amp;IF(INFO("system")="mac",CHAR(13),CHAR(10))&amp;"NM_012309"</f>
        <v>NM_133266_x000D_NM_012309</v>
      </c>
      <c r="D20" s="4">
        <v>22941</v>
      </c>
      <c r="E20" s="4" t="s">
        <v>19</v>
      </c>
      <c r="F20" s="5" t="str">
        <f ca="1">"2047"&amp;IF(INFO("system")="mac",CHAR(13),CHAR(10))&amp;"3838"</f>
        <v>2047_x000D_3838</v>
      </c>
      <c r="G20" s="5" t="str">
        <f ca="1">"1996"&amp;IF(INFO("system")="mac",CHAR(13),CHAR(10))&amp;"3760"</f>
        <v>1996_x000D_3760</v>
      </c>
      <c r="H20" s="5" t="str">
        <f ca="1">"666"&amp;IF(INFO("system")="mac",CHAR(13),CHAR(10))&amp;"1254"</f>
        <v>666_x000D_1254</v>
      </c>
      <c r="I20" s="4" t="s">
        <v>91</v>
      </c>
      <c r="J20" s="4" t="s">
        <v>92</v>
      </c>
      <c r="K20" s="4" t="s">
        <v>83</v>
      </c>
      <c r="L20" s="4">
        <v>70332638</v>
      </c>
      <c r="M20" s="4">
        <v>70332638</v>
      </c>
      <c r="N20" s="4" t="s">
        <v>23</v>
      </c>
      <c r="O20" s="4" t="s">
        <v>24</v>
      </c>
      <c r="P20" s="4" t="s">
        <v>25</v>
      </c>
      <c r="Q20" s="4">
        <v>7</v>
      </c>
    </row>
    <row r="21" spans="1:17">
      <c r="A21" s="3" t="s">
        <v>16</v>
      </c>
      <c r="B21" s="4" t="s">
        <v>93</v>
      </c>
      <c r="C21" s="4" t="s">
        <v>94</v>
      </c>
      <c r="D21" s="4">
        <v>51585</v>
      </c>
      <c r="E21" s="4" t="s">
        <v>19</v>
      </c>
      <c r="F21" s="5">
        <v>1325</v>
      </c>
      <c r="G21" s="5">
        <v>980</v>
      </c>
      <c r="H21" s="5">
        <v>327</v>
      </c>
      <c r="I21" s="4" t="s">
        <v>95</v>
      </c>
      <c r="J21" s="4" t="s">
        <v>96</v>
      </c>
      <c r="K21" s="4" t="s">
        <v>83</v>
      </c>
      <c r="L21" s="4">
        <v>82876919</v>
      </c>
      <c r="M21" s="4">
        <v>82876919</v>
      </c>
      <c r="N21" s="4" t="s">
        <v>23</v>
      </c>
      <c r="O21" s="4" t="s">
        <v>46</v>
      </c>
      <c r="P21" s="4" t="s">
        <v>41</v>
      </c>
      <c r="Q21" s="4">
        <v>8</v>
      </c>
    </row>
    <row r="22" spans="1:17" ht="60">
      <c r="A22" s="3" t="s">
        <v>16</v>
      </c>
      <c r="B22" s="4" t="s">
        <v>97</v>
      </c>
      <c r="C22" s="4" t="str">
        <f ca="1">"NM_001142700"&amp;IF(INFO("system")="mac",CHAR(13),CHAR(10))&amp;"NM_001364"&amp;IF(INFO("system")="mac",CHAR(13),CHAR(10))&amp;"NM_001142699"&amp;IF(INFO("system")="mac",CHAR(13),CHAR(10))&amp;"NM_001206769"</f>
        <v>NM_001142700_x000D_NM_001364_x000D_NM_001142699_x000D_NM_001206769</v>
      </c>
      <c r="D22" s="4">
        <v>1740</v>
      </c>
      <c r="E22" s="4" t="s">
        <v>19</v>
      </c>
      <c r="F22" s="5" t="str">
        <f ca="1">"251"&amp;IF(INFO("system")="mac",CHAR(13),CHAR(10))&amp;"682"&amp;IF(INFO("system")="mac",CHAR(13),CHAR(10))&amp;"1006"&amp;IF(INFO("system")="mac",CHAR(13),CHAR(10))&amp;"690"</f>
        <v>251_x000D_682_x000D_1006_x000D_690</v>
      </c>
      <c r="G22" s="5" t="str">
        <f ca="1">"226"&amp;IF(INFO("system")="mac",CHAR(13),CHAR(10))&amp;"379"&amp;IF(INFO("system")="mac",CHAR(13),CHAR(10))&amp;"694"&amp;IF(INFO("system")="mac",CHAR(13),CHAR(10))&amp;"496"</f>
        <v>226_x000D_379_x000D_694_x000D_496</v>
      </c>
      <c r="H22" s="5" t="str">
        <f ca="1">"76"&amp;IF(INFO("system")="mac",CHAR(13),CHAR(10))&amp;"127"&amp;IF(INFO("system")="mac",CHAR(13),CHAR(10))&amp;"232"&amp;IF(INFO("system")="mac",CHAR(13),CHAR(10))&amp;"166"</f>
        <v>76_x000D_127_x000D_232_x000D_166</v>
      </c>
      <c r="I22" s="4" t="s">
        <v>98</v>
      </c>
      <c r="J22" s="4" t="s">
        <v>99</v>
      </c>
      <c r="K22" s="4" t="s">
        <v>83</v>
      </c>
      <c r="L22" s="4">
        <v>83810021</v>
      </c>
      <c r="M22" s="4">
        <v>83810021</v>
      </c>
      <c r="N22" s="4" t="s">
        <v>23</v>
      </c>
      <c r="O22" s="4" t="s">
        <v>41</v>
      </c>
      <c r="P22" s="4" t="s">
        <v>46</v>
      </c>
      <c r="Q22" s="4">
        <v>8</v>
      </c>
    </row>
    <row r="23" spans="1:17">
      <c r="A23" s="3" t="s">
        <v>16</v>
      </c>
      <c r="B23" s="4" t="s">
        <v>100</v>
      </c>
      <c r="C23" s="4" t="s">
        <v>101</v>
      </c>
      <c r="D23" s="4">
        <v>29915</v>
      </c>
      <c r="E23" s="4" t="s">
        <v>76</v>
      </c>
      <c r="F23" s="5">
        <v>836</v>
      </c>
      <c r="G23" s="5">
        <v>733</v>
      </c>
      <c r="H23" s="5">
        <v>245</v>
      </c>
      <c r="I23" s="4" t="s">
        <v>102</v>
      </c>
      <c r="J23" s="4" t="s">
        <v>103</v>
      </c>
      <c r="K23" s="4" t="s">
        <v>104</v>
      </c>
      <c r="L23" s="4">
        <v>104474574</v>
      </c>
      <c r="M23" s="4">
        <v>104474574</v>
      </c>
      <c r="N23" s="4" t="s">
        <v>23</v>
      </c>
      <c r="O23" s="4" t="s">
        <v>46</v>
      </c>
      <c r="P23" s="4" t="s">
        <v>41</v>
      </c>
      <c r="Q23" s="4">
        <v>14</v>
      </c>
    </row>
    <row r="24" spans="1:17">
      <c r="A24" s="3" t="s">
        <v>16</v>
      </c>
      <c r="B24" s="4" t="s">
        <v>105</v>
      </c>
      <c r="C24" s="4" t="s">
        <v>106</v>
      </c>
      <c r="D24" s="4">
        <v>6927</v>
      </c>
      <c r="E24" s="4" t="s">
        <v>31</v>
      </c>
      <c r="F24" s="5" t="s">
        <v>107</v>
      </c>
      <c r="G24" s="5" t="s">
        <v>108</v>
      </c>
      <c r="H24" s="5" t="s">
        <v>109</v>
      </c>
      <c r="I24" s="4" t="s">
        <v>35</v>
      </c>
      <c r="J24" s="4" t="s">
        <v>35</v>
      </c>
      <c r="K24" s="4" t="s">
        <v>104</v>
      </c>
      <c r="L24" s="4">
        <v>121432118</v>
      </c>
      <c r="M24" s="4">
        <v>121432117</v>
      </c>
      <c r="N24" s="4" t="s">
        <v>110</v>
      </c>
      <c r="O24" s="4"/>
      <c r="P24" s="4" t="s">
        <v>46</v>
      </c>
      <c r="Q24" s="4">
        <v>-4</v>
      </c>
    </row>
    <row r="25" spans="1:17" ht="30">
      <c r="A25" s="3" t="s">
        <v>16</v>
      </c>
      <c r="B25" s="4" t="s">
        <v>111</v>
      </c>
      <c r="C25" s="4" t="s">
        <v>112</v>
      </c>
      <c r="D25" s="4">
        <v>4891</v>
      </c>
      <c r="E25" s="4" t="s">
        <v>113</v>
      </c>
      <c r="F25" s="5" t="s">
        <v>35</v>
      </c>
      <c r="G25" s="5" t="s">
        <v>35</v>
      </c>
      <c r="H25" s="5" t="s">
        <v>35</v>
      </c>
      <c r="I25" s="4" t="s">
        <v>35</v>
      </c>
      <c r="J25" s="4" t="s">
        <v>35</v>
      </c>
      <c r="K25" s="4" t="s">
        <v>104</v>
      </c>
      <c r="L25" s="4">
        <v>51373847</v>
      </c>
      <c r="M25" s="4">
        <v>51373847</v>
      </c>
      <c r="N25" s="4" t="s">
        <v>23</v>
      </c>
      <c r="O25" s="4" t="s">
        <v>25</v>
      </c>
      <c r="P25" s="4" t="s">
        <v>24</v>
      </c>
      <c r="Q25" s="4">
        <v>1</v>
      </c>
    </row>
    <row r="26" spans="1:17" ht="60">
      <c r="A26" s="3" t="s">
        <v>16</v>
      </c>
      <c r="B26" s="4" t="s">
        <v>114</v>
      </c>
      <c r="C26" s="4" t="str">
        <f ca="1">"NM_001017957"&amp;IF(INFO("system")="mac",CHAR(13),CHAR(10))&amp;"NM_001017956"&amp;IF(INFO("system")="mac",CHAR(13),CHAR(10))&amp;"NM_006812"&amp;IF(INFO("system")="mac",CHAR(13),CHAR(10))&amp;"NM_001017958"</f>
        <v>NM_001017957_x000D_NM_001017956_x000D_NM_006812_x000D_NM_001017958</v>
      </c>
      <c r="D26" s="4">
        <v>10956</v>
      </c>
      <c r="E26" s="4" t="s">
        <v>68</v>
      </c>
      <c r="F26" s="5" t="s">
        <v>35</v>
      </c>
      <c r="G26" s="5" t="s">
        <v>35</v>
      </c>
      <c r="H26" s="5" t="s">
        <v>35</v>
      </c>
      <c r="I26" s="4" t="s">
        <v>35</v>
      </c>
      <c r="J26" s="4" t="s">
        <v>35</v>
      </c>
      <c r="K26" s="4" t="s">
        <v>104</v>
      </c>
      <c r="L26" s="4">
        <v>58089561</v>
      </c>
      <c r="M26" s="4">
        <v>58089561</v>
      </c>
      <c r="N26" s="4" t="s">
        <v>23</v>
      </c>
      <c r="O26" s="4" t="s">
        <v>25</v>
      </c>
      <c r="P26" s="4" t="s">
        <v>24</v>
      </c>
      <c r="Q26" s="4">
        <v>9</v>
      </c>
    </row>
    <row r="27" spans="1:17" ht="30">
      <c r="A27" s="3" t="s">
        <v>16</v>
      </c>
      <c r="B27" s="4" t="s">
        <v>115</v>
      </c>
      <c r="C27" s="4" t="str">
        <f ca="1">"NM_001040108"&amp;IF(INFO("system")="mac",CHAR(13),CHAR(10))&amp;"NM_014381"</f>
        <v>NM_001040108_x000D_NM_014381</v>
      </c>
      <c r="D27" s="4">
        <v>27030</v>
      </c>
      <c r="E27" s="4" t="s">
        <v>19</v>
      </c>
      <c r="F27" s="5">
        <v>2786</v>
      </c>
      <c r="G27" s="5">
        <v>2570</v>
      </c>
      <c r="H27" s="5">
        <v>857</v>
      </c>
      <c r="I27" s="4" t="s">
        <v>116</v>
      </c>
      <c r="J27" s="4" t="s">
        <v>117</v>
      </c>
      <c r="K27" s="4" t="s">
        <v>118</v>
      </c>
      <c r="L27" s="4">
        <v>75513789</v>
      </c>
      <c r="M27" s="4">
        <v>75513789</v>
      </c>
      <c r="N27" s="4" t="s">
        <v>23</v>
      </c>
      <c r="O27" s="4" t="s">
        <v>24</v>
      </c>
      <c r="P27" s="4" t="s">
        <v>25</v>
      </c>
      <c r="Q27" s="4">
        <v>13</v>
      </c>
    </row>
    <row r="28" spans="1:17" ht="30">
      <c r="A28" s="3" t="s">
        <v>16</v>
      </c>
      <c r="B28" s="4" t="s">
        <v>119</v>
      </c>
      <c r="C28" s="4" t="str">
        <f ca="1">"NM_012428"&amp;IF(INFO("system")="mac",CHAR(13),CHAR(10))&amp;"NM_001161363"</f>
        <v>NM_012428_x000D_NM_001161363</v>
      </c>
      <c r="D28" s="4">
        <v>27020</v>
      </c>
      <c r="E28" s="4" t="str">
        <f ca="1">"SPLICE_SITE,INTRONIC"&amp;IF(INFO("system")="mac",CHAR(13),CHAR(10))&amp;"NMD_TRANSCRIPT,SPLICE_SITE,INTRONIC"</f>
        <v>SPLICE_SITE,INTRONIC_x000D_NMD_TRANSCRIPT,SPLICE_SITE,INTRONIC</v>
      </c>
      <c r="F28" s="5" t="s">
        <v>35</v>
      </c>
      <c r="G28" s="5" t="s">
        <v>35</v>
      </c>
      <c r="H28" s="5" t="s">
        <v>35</v>
      </c>
      <c r="I28" s="4" t="s">
        <v>35</v>
      </c>
      <c r="J28" s="4" t="s">
        <v>35</v>
      </c>
      <c r="K28" s="4" t="s">
        <v>120</v>
      </c>
      <c r="L28" s="4">
        <v>73889355</v>
      </c>
      <c r="M28" s="4">
        <v>73889355</v>
      </c>
      <c r="N28" s="4" t="s">
        <v>23</v>
      </c>
      <c r="O28" s="4" t="s">
        <v>24</v>
      </c>
      <c r="P28" s="4" t="s">
        <v>46</v>
      </c>
      <c r="Q28" s="4">
        <v>6</v>
      </c>
    </row>
    <row r="29" spans="1:17">
      <c r="A29" s="3" t="s">
        <v>16</v>
      </c>
      <c r="B29" s="4" t="s">
        <v>121</v>
      </c>
      <c r="C29" s="4" t="s">
        <v>122</v>
      </c>
      <c r="D29" s="4">
        <v>641</v>
      </c>
      <c r="E29" s="4" t="s">
        <v>19</v>
      </c>
      <c r="F29" s="5">
        <v>2132</v>
      </c>
      <c r="G29" s="5">
        <v>2035</v>
      </c>
      <c r="H29" s="5">
        <v>679</v>
      </c>
      <c r="I29" s="4" t="s">
        <v>123</v>
      </c>
      <c r="J29" s="4" t="s">
        <v>124</v>
      </c>
      <c r="K29" s="4" t="s">
        <v>120</v>
      </c>
      <c r="L29" s="4">
        <v>91306348</v>
      </c>
      <c r="M29" s="4">
        <v>91306348</v>
      </c>
      <c r="N29" s="4" t="s">
        <v>23</v>
      </c>
      <c r="O29" s="4" t="s">
        <v>24</v>
      </c>
      <c r="P29" s="4" t="s">
        <v>41</v>
      </c>
      <c r="Q29" s="4">
        <v>8</v>
      </c>
    </row>
    <row r="30" spans="1:17">
      <c r="A30" s="3" t="s">
        <v>16</v>
      </c>
      <c r="B30" s="4" t="s">
        <v>125</v>
      </c>
      <c r="C30" s="4" t="s">
        <v>126</v>
      </c>
      <c r="D30" s="4">
        <v>84627</v>
      </c>
      <c r="E30" s="4" t="s">
        <v>19</v>
      </c>
      <c r="F30" s="5">
        <v>10960</v>
      </c>
      <c r="G30" s="5">
        <v>10960</v>
      </c>
      <c r="H30" s="5">
        <v>3654</v>
      </c>
      <c r="I30" s="4" t="s">
        <v>127</v>
      </c>
      <c r="J30" s="4" t="s">
        <v>128</v>
      </c>
      <c r="K30" s="4" t="s">
        <v>129</v>
      </c>
      <c r="L30" s="4">
        <v>88504922</v>
      </c>
      <c r="M30" s="4">
        <v>88504922</v>
      </c>
      <c r="N30" s="4" t="s">
        <v>23</v>
      </c>
      <c r="O30" s="4" t="s">
        <v>24</v>
      </c>
      <c r="P30" s="4" t="s">
        <v>46</v>
      </c>
      <c r="Q30" s="4">
        <v>6</v>
      </c>
    </row>
    <row r="31" spans="1:17" ht="45">
      <c r="A31" s="3" t="s">
        <v>16</v>
      </c>
      <c r="B31" s="4" t="s">
        <v>130</v>
      </c>
      <c r="C31" s="4" t="str">
        <f ca="1">"NM_000546"&amp;IF(INFO("system")="mac",CHAR(13),CHAR(10))&amp;"NM_001126112"&amp;IF(INFO("system")="mac",CHAR(13),CHAR(10))&amp;"NM_001126115"</f>
        <v>NM_000546_x000D_NM_001126112_x000D_NM_001126115</v>
      </c>
      <c r="D31" s="4">
        <v>7157</v>
      </c>
      <c r="E31" s="4" t="s">
        <v>19</v>
      </c>
      <c r="F31" s="5" t="str">
        <f ca="1">"1197"&amp;IF(INFO("system")="mac",CHAR(13),CHAR(10))&amp;"1194"&amp;IF(INFO("system")="mac",CHAR(13),CHAR(10))&amp;"882"</f>
        <v>1197_x000D_1194_x000D_882</v>
      </c>
      <c r="G31" s="5" t="str">
        <f ca="1">"1000"&amp;IF(INFO("system")="mac",CHAR(13),CHAR(10))&amp;"1000"&amp;IF(INFO("system")="mac",CHAR(13),CHAR(10))&amp;"604"</f>
        <v>1000_x000D_1000_x000D_604</v>
      </c>
      <c r="H31" s="5" t="str">
        <f ca="1">"334"&amp;IF(INFO("system")="mac",CHAR(13),CHAR(10))&amp;"334"&amp;IF(INFO("system")="mac",CHAR(13),CHAR(10))&amp;"202"</f>
        <v>334_x000D_334_x000D_202</v>
      </c>
      <c r="I31" s="4" t="s">
        <v>131</v>
      </c>
      <c r="J31" s="4" t="s">
        <v>132</v>
      </c>
      <c r="K31" s="4" t="s">
        <v>133</v>
      </c>
      <c r="L31" s="4">
        <v>7574027</v>
      </c>
      <c r="M31" s="4">
        <v>7574027</v>
      </c>
      <c r="N31" s="4" t="s">
        <v>23</v>
      </c>
      <c r="O31" s="4" t="s">
        <v>46</v>
      </c>
      <c r="P31" s="4" t="s">
        <v>25</v>
      </c>
      <c r="Q31" s="4">
        <v>8</v>
      </c>
    </row>
    <row r="32" spans="1:17" ht="30">
      <c r="A32" s="3" t="s">
        <v>16</v>
      </c>
      <c r="B32" s="4" t="s">
        <v>134</v>
      </c>
      <c r="C32" s="4" t="str">
        <f ca="1">"NM_001008239"&amp;IF(INFO("system")="mac",CHAR(13),CHAR(10))&amp;"NM_145055"</f>
        <v>NM_001008239_x000D_NM_145055</v>
      </c>
      <c r="D32" s="4">
        <v>147339</v>
      </c>
      <c r="E32" s="4" t="s">
        <v>68</v>
      </c>
      <c r="F32" s="5" t="s">
        <v>35</v>
      </c>
      <c r="G32" s="5" t="s">
        <v>35</v>
      </c>
      <c r="H32" s="5" t="s">
        <v>35</v>
      </c>
      <c r="I32" s="4" t="s">
        <v>35</v>
      </c>
      <c r="J32" s="4" t="s">
        <v>35</v>
      </c>
      <c r="K32" s="4" t="s">
        <v>135</v>
      </c>
      <c r="L32" s="4">
        <v>43833661</v>
      </c>
      <c r="M32" s="4">
        <v>43833661</v>
      </c>
      <c r="N32" s="4" t="s">
        <v>23</v>
      </c>
      <c r="O32" s="4" t="s">
        <v>25</v>
      </c>
      <c r="P32" s="4" t="s">
        <v>46</v>
      </c>
      <c r="Q32" s="4">
        <v>15</v>
      </c>
    </row>
    <row r="33" spans="1:17" ht="30">
      <c r="A33" s="3" t="s">
        <v>16</v>
      </c>
      <c r="B33" s="4" t="s">
        <v>136</v>
      </c>
      <c r="C33" s="4" t="str">
        <f ca="1">"NM_001136191"&amp;IF(INFO("system")="mac",CHAR(13),CHAR(10))&amp;"NM_015493"</f>
        <v>NM_001136191_x000D_NM_015493</v>
      </c>
      <c r="D33" s="4">
        <v>25959</v>
      </c>
      <c r="E33" s="4" t="s">
        <v>19</v>
      </c>
      <c r="F33" s="5" t="str">
        <f ca="1">"585"&amp;IF(INFO("system")="mac",CHAR(13),CHAR(10))&amp;"303"</f>
        <v>585_x000D_303</v>
      </c>
      <c r="G33" s="5">
        <v>224</v>
      </c>
      <c r="H33" s="5">
        <v>75</v>
      </c>
      <c r="I33" s="4" t="s">
        <v>137</v>
      </c>
      <c r="J33" s="4" t="s">
        <v>138</v>
      </c>
      <c r="K33" s="4" t="s">
        <v>139</v>
      </c>
      <c r="L33" s="4">
        <v>11304532</v>
      </c>
      <c r="M33" s="4">
        <v>11304532</v>
      </c>
      <c r="N33" s="4" t="s">
        <v>23</v>
      </c>
      <c r="O33" s="4" t="s">
        <v>46</v>
      </c>
      <c r="P33" s="4" t="s">
        <v>25</v>
      </c>
      <c r="Q33" s="4">
        <v>14</v>
      </c>
    </row>
    <row r="34" spans="1:17">
      <c r="A34" s="3" t="s">
        <v>16</v>
      </c>
      <c r="B34" s="4" t="s">
        <v>140</v>
      </c>
      <c r="C34" s="4" t="s">
        <v>141</v>
      </c>
      <c r="D34" s="4">
        <v>7639</v>
      </c>
      <c r="E34" s="4" t="s">
        <v>19</v>
      </c>
      <c r="F34" s="5">
        <v>918</v>
      </c>
      <c r="G34" s="5">
        <v>770</v>
      </c>
      <c r="H34" s="5">
        <v>257</v>
      </c>
      <c r="I34" s="4" t="s">
        <v>142</v>
      </c>
      <c r="J34" s="4" t="s">
        <v>143</v>
      </c>
      <c r="K34" s="4" t="s">
        <v>139</v>
      </c>
      <c r="L34" s="4">
        <v>21132090</v>
      </c>
      <c r="M34" s="4">
        <v>21132090</v>
      </c>
      <c r="N34" s="4" t="s">
        <v>23</v>
      </c>
      <c r="O34" s="4" t="s">
        <v>46</v>
      </c>
      <c r="P34" s="4" t="s">
        <v>25</v>
      </c>
      <c r="Q34" s="4">
        <v>1</v>
      </c>
    </row>
    <row r="35" spans="1:17">
      <c r="A35" s="3" t="s">
        <v>16</v>
      </c>
      <c r="B35" s="4" t="s">
        <v>144</v>
      </c>
      <c r="C35" s="4" t="s">
        <v>145</v>
      </c>
      <c r="D35" s="4">
        <v>113835</v>
      </c>
      <c r="E35" s="4" t="s">
        <v>19</v>
      </c>
      <c r="F35" s="5" t="s">
        <v>146</v>
      </c>
      <c r="G35" s="5" t="s">
        <v>147</v>
      </c>
      <c r="H35" s="5">
        <v>268</v>
      </c>
      <c r="I35" s="4" t="s">
        <v>137</v>
      </c>
      <c r="J35" s="4" t="s">
        <v>148</v>
      </c>
      <c r="K35" s="4" t="s">
        <v>139</v>
      </c>
      <c r="L35" s="4">
        <v>22271354</v>
      </c>
      <c r="M35" s="4">
        <v>22271355</v>
      </c>
      <c r="N35" s="4" t="s">
        <v>149</v>
      </c>
      <c r="O35" s="4" t="s">
        <v>150</v>
      </c>
      <c r="P35" s="4" t="s">
        <v>151</v>
      </c>
      <c r="Q35" s="4">
        <v>0</v>
      </c>
    </row>
    <row r="36" spans="1:17">
      <c r="A36" s="3" t="s">
        <v>16</v>
      </c>
      <c r="B36" s="4" t="s">
        <v>152</v>
      </c>
      <c r="C36" s="4" t="s">
        <v>153</v>
      </c>
      <c r="D36" s="4">
        <v>23094</v>
      </c>
      <c r="E36" s="4" t="s">
        <v>19</v>
      </c>
      <c r="F36" s="5">
        <v>3117</v>
      </c>
      <c r="G36" s="5">
        <v>2608</v>
      </c>
      <c r="H36" s="5">
        <v>870</v>
      </c>
      <c r="I36" s="4" t="s">
        <v>154</v>
      </c>
      <c r="J36" s="4" t="s">
        <v>155</v>
      </c>
      <c r="K36" s="4" t="s">
        <v>139</v>
      </c>
      <c r="L36" s="4">
        <v>38610262</v>
      </c>
      <c r="M36" s="4">
        <v>38610262</v>
      </c>
      <c r="N36" s="4" t="s">
        <v>23</v>
      </c>
      <c r="O36" s="4" t="s">
        <v>24</v>
      </c>
      <c r="P36" s="4" t="s">
        <v>25</v>
      </c>
      <c r="Q36" s="4">
        <v>2</v>
      </c>
    </row>
    <row r="37" spans="1:17" ht="75">
      <c r="A37" s="3" t="s">
        <v>16</v>
      </c>
      <c r="B37" s="4" t="s">
        <v>156</v>
      </c>
      <c r="C37" s="4" t="str">
        <f ca="1">"NM_016553"&amp;IF(INFO("system")="mac",CHAR(13),CHAR(10))&amp;"NM_001193357"&amp;IF(INFO("system")="mac",CHAR(13),CHAR(10))&amp;"NM_153719"&amp;IF(INFO("system")="mac",CHAR(13),CHAR(10))&amp;"NM_012346"&amp;IF(INFO("system")="mac",CHAR(13),CHAR(10))&amp;"NM_153718"</f>
        <v>NM_016553_x000D_NM_001193357_x000D_NM_153719_x000D_NM_012346_x000D_NM_153718</v>
      </c>
      <c r="D37" s="4">
        <v>23636</v>
      </c>
      <c r="E37" s="4" t="s">
        <v>19</v>
      </c>
      <c r="F37" s="5" t="str">
        <f ca="1">"1332"&amp;IF(INFO("system")="mac",CHAR(13),CHAR(10))&amp;"930"&amp;IF(INFO("system")="mac",CHAR(13),CHAR(10))&amp;"1165"&amp;IF(INFO("system")="mac",CHAR(13),CHAR(10))&amp;"971"&amp;IF(INFO("system")="mac",CHAR(13),CHAR(10))&amp;"1010"</f>
        <v>1332_x000D_930_x000D_1165_x000D_971_x000D_1010</v>
      </c>
      <c r="G37" s="5">
        <v>727</v>
      </c>
      <c r="H37" s="5">
        <v>243</v>
      </c>
      <c r="I37" s="4" t="s">
        <v>157</v>
      </c>
      <c r="J37" s="4" t="s">
        <v>158</v>
      </c>
      <c r="K37" s="4" t="s">
        <v>139</v>
      </c>
      <c r="L37" s="4">
        <v>50412338</v>
      </c>
      <c r="M37" s="4">
        <v>50412338</v>
      </c>
      <c r="N37" s="4" t="s">
        <v>23</v>
      </c>
      <c r="O37" s="4" t="s">
        <v>46</v>
      </c>
      <c r="P37" s="4" t="s">
        <v>24</v>
      </c>
      <c r="Q37" s="4">
        <v>0</v>
      </c>
    </row>
    <row r="38" spans="1:17">
      <c r="A38" s="3" t="s">
        <v>16</v>
      </c>
      <c r="B38" s="4" t="s">
        <v>159</v>
      </c>
      <c r="C38" s="4" t="s">
        <v>160</v>
      </c>
      <c r="D38" s="4">
        <v>147657</v>
      </c>
      <c r="E38" s="4" t="s">
        <v>19</v>
      </c>
      <c r="F38" s="5">
        <v>1541</v>
      </c>
      <c r="G38" s="5">
        <v>1471</v>
      </c>
      <c r="H38" s="5">
        <v>491</v>
      </c>
      <c r="I38" s="4" t="s">
        <v>161</v>
      </c>
      <c r="J38" s="4" t="s">
        <v>162</v>
      </c>
      <c r="K38" s="4" t="s">
        <v>139</v>
      </c>
      <c r="L38" s="4">
        <v>52825974</v>
      </c>
      <c r="M38" s="4">
        <v>52825974</v>
      </c>
      <c r="N38" s="4" t="s">
        <v>23</v>
      </c>
      <c r="O38" s="4" t="s">
        <v>24</v>
      </c>
      <c r="P38" s="4" t="s">
        <v>41</v>
      </c>
      <c r="Q38" s="4">
        <v>10</v>
      </c>
    </row>
    <row r="39" spans="1:17">
      <c r="A39" s="3" t="s">
        <v>16</v>
      </c>
      <c r="B39" s="4" t="s">
        <v>163</v>
      </c>
      <c r="C39" s="4" t="s">
        <v>164</v>
      </c>
      <c r="D39" s="4">
        <v>90233</v>
      </c>
      <c r="E39" s="4" t="s">
        <v>19</v>
      </c>
      <c r="F39" s="5">
        <v>728</v>
      </c>
      <c r="G39" s="5">
        <v>505</v>
      </c>
      <c r="H39" s="5">
        <v>169</v>
      </c>
      <c r="I39" s="4" t="s">
        <v>165</v>
      </c>
      <c r="J39" s="4" t="s">
        <v>166</v>
      </c>
      <c r="K39" s="4" t="s">
        <v>139</v>
      </c>
      <c r="L39" s="4">
        <v>58198196</v>
      </c>
      <c r="M39" s="4">
        <v>58198196</v>
      </c>
      <c r="N39" s="4" t="s">
        <v>23</v>
      </c>
      <c r="O39" s="4" t="s">
        <v>24</v>
      </c>
      <c r="P39" s="4" t="s">
        <v>25</v>
      </c>
      <c r="Q39" s="4">
        <v>3</v>
      </c>
    </row>
    <row r="40" spans="1:17">
      <c r="A40" s="3" t="s">
        <v>16</v>
      </c>
      <c r="B40" s="4" t="s">
        <v>167</v>
      </c>
      <c r="C40" s="4" t="s">
        <v>168</v>
      </c>
      <c r="D40" s="4">
        <v>2015</v>
      </c>
      <c r="E40" s="4" t="s">
        <v>31</v>
      </c>
      <c r="F40" s="5">
        <v>238</v>
      </c>
      <c r="G40" s="5">
        <v>200</v>
      </c>
      <c r="H40" s="5">
        <v>67</v>
      </c>
      <c r="I40" s="4" t="s">
        <v>35</v>
      </c>
      <c r="J40" s="4" t="s">
        <v>35</v>
      </c>
      <c r="K40" s="4" t="s">
        <v>139</v>
      </c>
      <c r="L40" s="4">
        <v>6896514</v>
      </c>
      <c r="M40" s="4">
        <v>6896514</v>
      </c>
      <c r="N40" s="4" t="s">
        <v>149</v>
      </c>
      <c r="O40" s="4" t="s">
        <v>24</v>
      </c>
      <c r="P40" s="4" t="s">
        <v>151</v>
      </c>
      <c r="Q40" s="4">
        <v>4</v>
      </c>
    </row>
    <row r="41" spans="1:17" ht="45">
      <c r="A41" s="3" t="s">
        <v>16</v>
      </c>
      <c r="B41" s="4" t="s">
        <v>169</v>
      </c>
      <c r="C41" s="4" t="str">
        <f ca="1">"NM_001822"&amp;IF(INFO("system")="mac",CHAR(13),CHAR(10))&amp;"NM_001206602"&amp;IF(INFO("system")="mac",CHAR(13),CHAR(10))&amp;"NM_001025201"</f>
        <v>NM_001822_x000D_NM_001206602_x000D_NM_001025201</v>
      </c>
      <c r="D41" s="4">
        <v>1123</v>
      </c>
      <c r="E41" s="4" t="s">
        <v>19</v>
      </c>
      <c r="F41" s="5" t="str">
        <f ca="1">"1134"&amp;IF(INFO("system")="mac",CHAR(13),CHAR(10))&amp;"905"&amp;IF(INFO("system")="mac",CHAR(13),CHAR(10))&amp;"1057"</f>
        <v>1134_x000D_905_x000D_1057</v>
      </c>
      <c r="G41" s="5" t="str">
        <f ca="1">"793"&amp;IF(INFO("system")="mac",CHAR(13),CHAR(10))&amp;"418"&amp;IF(INFO("system")="mac",CHAR(13),CHAR(10))&amp;"715"</f>
        <v>793_x000D_418_x000D_715</v>
      </c>
      <c r="H41" s="5" t="str">
        <f ca="1">"265"&amp;IF(INFO("system")="mac",CHAR(13),CHAR(10))&amp;"140"&amp;IF(INFO("system")="mac",CHAR(13),CHAR(10))&amp;"239"</f>
        <v>265_x000D_140_x000D_239</v>
      </c>
      <c r="I41" s="4" t="s">
        <v>170</v>
      </c>
      <c r="J41" s="4" t="s">
        <v>171</v>
      </c>
      <c r="K41" s="4" t="s">
        <v>172</v>
      </c>
      <c r="L41" s="4">
        <v>175677130</v>
      </c>
      <c r="M41" s="4">
        <v>175677130</v>
      </c>
      <c r="N41" s="4" t="s">
        <v>23</v>
      </c>
      <c r="O41" s="4" t="s">
        <v>46</v>
      </c>
      <c r="P41" s="4" t="s">
        <v>41</v>
      </c>
      <c r="Q41" s="4">
        <v>9</v>
      </c>
    </row>
    <row r="42" spans="1:17">
      <c r="A42" s="3" t="s">
        <v>16</v>
      </c>
      <c r="B42" s="4" t="s">
        <v>173</v>
      </c>
      <c r="C42" s="4" t="s">
        <v>174</v>
      </c>
      <c r="D42" s="4">
        <v>338</v>
      </c>
      <c r="E42" s="4" t="s">
        <v>19</v>
      </c>
      <c r="F42" s="5">
        <v>5965</v>
      </c>
      <c r="G42" s="5">
        <v>5837</v>
      </c>
      <c r="H42" s="5">
        <v>1946</v>
      </c>
      <c r="I42" s="4" t="s">
        <v>175</v>
      </c>
      <c r="J42" s="4" t="s">
        <v>176</v>
      </c>
      <c r="K42" s="4" t="s">
        <v>172</v>
      </c>
      <c r="L42" s="4">
        <v>21233903</v>
      </c>
      <c r="M42" s="4">
        <v>21233903</v>
      </c>
      <c r="N42" s="4" t="s">
        <v>23</v>
      </c>
      <c r="O42" s="4" t="s">
        <v>41</v>
      </c>
      <c r="P42" s="4" t="s">
        <v>46</v>
      </c>
      <c r="Q42" s="4">
        <v>9</v>
      </c>
    </row>
    <row r="43" spans="1:17">
      <c r="A43" s="3" t="s">
        <v>16</v>
      </c>
      <c r="B43" s="4" t="s">
        <v>177</v>
      </c>
      <c r="C43" s="4" t="s">
        <v>178</v>
      </c>
      <c r="D43" s="4">
        <v>57695</v>
      </c>
      <c r="E43" s="4" t="s">
        <v>76</v>
      </c>
      <c r="F43" s="5">
        <v>600</v>
      </c>
      <c r="G43" s="5">
        <v>187</v>
      </c>
      <c r="H43" s="5">
        <v>63</v>
      </c>
      <c r="I43" s="4" t="s">
        <v>102</v>
      </c>
      <c r="J43" s="4" t="s">
        <v>103</v>
      </c>
      <c r="K43" s="4" t="s">
        <v>172</v>
      </c>
      <c r="L43" s="4">
        <v>219418417</v>
      </c>
      <c r="M43" s="4">
        <v>219418417</v>
      </c>
      <c r="N43" s="4" t="s">
        <v>23</v>
      </c>
      <c r="O43" s="4" t="s">
        <v>24</v>
      </c>
      <c r="P43" s="4" t="s">
        <v>25</v>
      </c>
      <c r="Q43" s="4">
        <v>5</v>
      </c>
    </row>
    <row r="44" spans="1:17" ht="30">
      <c r="A44" s="3" t="s">
        <v>16</v>
      </c>
      <c r="B44" s="4" t="s">
        <v>179</v>
      </c>
      <c r="C44" s="4" t="str">
        <f ca="1">"NM_025133"&amp;IF(INFO("system")="mac",CHAR(13),CHAR(10))&amp;"NM_001190274"</f>
        <v>NM_025133_x000D_NM_001190274</v>
      </c>
      <c r="D44" s="4">
        <v>80204</v>
      </c>
      <c r="E44" s="4" t="s">
        <v>19</v>
      </c>
      <c r="F44" s="5" t="str">
        <f ca="1">"1840"&amp;IF(INFO("system")="mac",CHAR(13),CHAR(10))&amp;"2051"</f>
        <v>1840_x000D_2051</v>
      </c>
      <c r="G44" s="5" t="str">
        <f ca="1">"1726"&amp;IF(INFO("system")="mac",CHAR(13),CHAR(10))&amp;"1978"</f>
        <v>1726_x000D_1978</v>
      </c>
      <c r="H44" s="5" t="str">
        <f ca="1">"576"&amp;IF(INFO("system")="mac",CHAR(13),CHAR(10))&amp;"660"</f>
        <v>576_x000D_660</v>
      </c>
      <c r="I44" s="4" t="s">
        <v>180</v>
      </c>
      <c r="J44" s="4" t="s">
        <v>181</v>
      </c>
      <c r="K44" s="4" t="s">
        <v>172</v>
      </c>
      <c r="L44" s="4">
        <v>48045946</v>
      </c>
      <c r="M44" s="4">
        <v>48045946</v>
      </c>
      <c r="N44" s="4" t="s">
        <v>23</v>
      </c>
      <c r="O44" s="4" t="s">
        <v>41</v>
      </c>
      <c r="P44" s="4" t="s">
        <v>24</v>
      </c>
      <c r="Q44" s="4">
        <v>0</v>
      </c>
    </row>
    <row r="45" spans="1:17">
      <c r="A45" s="3" t="s">
        <v>16</v>
      </c>
      <c r="B45" s="4" t="s">
        <v>182</v>
      </c>
      <c r="C45" s="4" t="s">
        <v>183</v>
      </c>
      <c r="D45" s="4">
        <v>23233</v>
      </c>
      <c r="E45" s="4" t="s">
        <v>19</v>
      </c>
      <c r="F45" s="5">
        <v>2249</v>
      </c>
      <c r="G45" s="5">
        <v>2111</v>
      </c>
      <c r="H45" s="5">
        <v>704</v>
      </c>
      <c r="I45" s="4" t="s">
        <v>184</v>
      </c>
      <c r="J45" s="4" t="s">
        <v>185</v>
      </c>
      <c r="K45" s="4" t="s">
        <v>172</v>
      </c>
      <c r="L45" s="4">
        <v>72606869</v>
      </c>
      <c r="M45" s="4">
        <v>72606869</v>
      </c>
      <c r="N45" s="4" t="s">
        <v>23</v>
      </c>
      <c r="O45" s="4" t="s">
        <v>46</v>
      </c>
      <c r="P45" s="4" t="s">
        <v>25</v>
      </c>
      <c r="Q45" s="4">
        <v>-1</v>
      </c>
    </row>
    <row r="46" spans="1:17">
      <c r="A46" s="3" t="s">
        <v>16</v>
      </c>
      <c r="B46" s="4" t="s">
        <v>186</v>
      </c>
      <c r="C46" s="4" t="s">
        <v>187</v>
      </c>
      <c r="D46" s="4">
        <v>57186</v>
      </c>
      <c r="E46" s="4" t="s">
        <v>76</v>
      </c>
      <c r="F46" s="5">
        <v>4633</v>
      </c>
      <c r="G46" s="5">
        <v>4490</v>
      </c>
      <c r="H46" s="5">
        <v>1497</v>
      </c>
      <c r="I46" s="4" t="s">
        <v>77</v>
      </c>
      <c r="J46" s="4" t="s">
        <v>78</v>
      </c>
      <c r="K46" s="4" t="s">
        <v>188</v>
      </c>
      <c r="L46" s="4">
        <v>20493523</v>
      </c>
      <c r="M46" s="4">
        <v>20493523</v>
      </c>
      <c r="N46" s="4" t="s">
        <v>23</v>
      </c>
      <c r="O46" s="4" t="s">
        <v>24</v>
      </c>
      <c r="P46" s="4" t="s">
        <v>41</v>
      </c>
      <c r="Q46" s="4">
        <v>6</v>
      </c>
    </row>
    <row r="47" spans="1:17">
      <c r="A47" s="3" t="s">
        <v>16</v>
      </c>
      <c r="B47" s="4" t="s">
        <v>189</v>
      </c>
      <c r="C47" s="4" t="s">
        <v>190</v>
      </c>
      <c r="D47" s="4">
        <v>54020</v>
      </c>
      <c r="E47" s="4" t="s">
        <v>19</v>
      </c>
      <c r="F47" s="5">
        <v>931</v>
      </c>
      <c r="G47" s="5">
        <v>519</v>
      </c>
      <c r="H47" s="5">
        <v>173</v>
      </c>
      <c r="I47" s="4" t="s">
        <v>191</v>
      </c>
      <c r="J47" s="4" t="s">
        <v>192</v>
      </c>
      <c r="K47" s="4" t="s">
        <v>193</v>
      </c>
      <c r="L47" s="4">
        <v>43962546</v>
      </c>
      <c r="M47" s="4">
        <v>43962546</v>
      </c>
      <c r="N47" s="4" t="s">
        <v>23</v>
      </c>
      <c r="O47" s="4" t="s">
        <v>24</v>
      </c>
      <c r="P47" s="4" t="s">
        <v>46</v>
      </c>
      <c r="Q47" s="4">
        <v>-5</v>
      </c>
    </row>
    <row r="48" spans="1:17">
      <c r="A48" s="3" t="s">
        <v>16</v>
      </c>
      <c r="B48" s="4" t="s">
        <v>194</v>
      </c>
      <c r="C48" s="4" t="s">
        <v>195</v>
      </c>
      <c r="D48" s="4">
        <v>23765</v>
      </c>
      <c r="E48" s="4" t="s">
        <v>19</v>
      </c>
      <c r="F48" s="5">
        <v>1696</v>
      </c>
      <c r="G48" s="5">
        <v>1565</v>
      </c>
      <c r="H48" s="5">
        <v>522</v>
      </c>
      <c r="I48" s="4" t="s">
        <v>137</v>
      </c>
      <c r="J48" s="4" t="s">
        <v>196</v>
      </c>
      <c r="K48" s="4" t="s">
        <v>197</v>
      </c>
      <c r="L48" s="4">
        <v>17589674</v>
      </c>
      <c r="M48" s="4">
        <v>17589674</v>
      </c>
      <c r="N48" s="4" t="s">
        <v>23</v>
      </c>
      <c r="O48" s="4" t="s">
        <v>24</v>
      </c>
      <c r="P48" s="4" t="s">
        <v>41</v>
      </c>
      <c r="Q48" s="4">
        <v>-4</v>
      </c>
    </row>
    <row r="49" spans="1:17" ht="30">
      <c r="A49" s="3" t="s">
        <v>16</v>
      </c>
      <c r="B49" s="4" t="s">
        <v>198</v>
      </c>
      <c r="C49" s="4" t="str">
        <f ca="1">"NM_001167903"&amp;IF(INFO("system")="mac",CHAR(13),CHAR(10))&amp;"NM_022736"</f>
        <v>NM_001167903_x000D_NM_022736</v>
      </c>
      <c r="D49" s="4">
        <v>64747</v>
      </c>
      <c r="E49" s="4" t="s">
        <v>19</v>
      </c>
      <c r="F49" s="5" t="str">
        <f ca="1">"1365"&amp;IF(INFO("system")="mac",CHAR(13),CHAR(10))&amp;"1482"</f>
        <v>1365_x000D_1482</v>
      </c>
      <c r="G49" s="5" t="str">
        <f ca="1">"1285"&amp;IF(INFO("system")="mac",CHAR(13),CHAR(10))&amp;"1402"</f>
        <v>1285_x000D_1402</v>
      </c>
      <c r="H49" s="5" t="str">
        <f ca="1">"429"&amp;IF(INFO("system")="mac",CHAR(13),CHAR(10))&amp;"468"</f>
        <v>429_x000D_468</v>
      </c>
      <c r="I49" s="4" t="s">
        <v>199</v>
      </c>
      <c r="J49" s="4" t="s">
        <v>200</v>
      </c>
      <c r="K49" s="4" t="s">
        <v>201</v>
      </c>
      <c r="L49" s="4">
        <v>158541992</v>
      </c>
      <c r="M49" s="4">
        <v>158541992</v>
      </c>
      <c r="N49" s="4" t="s">
        <v>23</v>
      </c>
      <c r="O49" s="4" t="s">
        <v>41</v>
      </c>
      <c r="P49" s="4" t="s">
        <v>46</v>
      </c>
      <c r="Q49" s="4">
        <v>-5</v>
      </c>
    </row>
    <row r="50" spans="1:17">
      <c r="A50" s="3" t="s">
        <v>16</v>
      </c>
      <c r="B50" s="4" t="s">
        <v>202</v>
      </c>
      <c r="C50" s="4" t="s">
        <v>203</v>
      </c>
      <c r="D50" s="4">
        <v>344657</v>
      </c>
      <c r="E50" s="4" t="s">
        <v>19</v>
      </c>
      <c r="F50" s="5">
        <v>1037</v>
      </c>
      <c r="G50" s="5">
        <v>1037</v>
      </c>
      <c r="H50" s="5">
        <v>346</v>
      </c>
      <c r="I50" s="4" t="s">
        <v>204</v>
      </c>
      <c r="J50" s="4" t="s">
        <v>205</v>
      </c>
      <c r="K50" s="4" t="s">
        <v>201</v>
      </c>
      <c r="L50" s="4">
        <v>169546563</v>
      </c>
      <c r="M50" s="4">
        <v>169546563</v>
      </c>
      <c r="N50" s="4" t="s">
        <v>23</v>
      </c>
      <c r="O50" s="4" t="s">
        <v>24</v>
      </c>
      <c r="P50" s="4" t="s">
        <v>25</v>
      </c>
      <c r="Q50" s="4">
        <v>13</v>
      </c>
    </row>
    <row r="51" spans="1:17">
      <c r="A51" s="3" t="s">
        <v>16</v>
      </c>
      <c r="B51" s="4" t="s">
        <v>206</v>
      </c>
      <c r="C51" s="4" t="s">
        <v>207</v>
      </c>
      <c r="D51" s="4">
        <v>8975</v>
      </c>
      <c r="E51" s="4" t="s">
        <v>76</v>
      </c>
      <c r="F51" s="5">
        <v>276</v>
      </c>
      <c r="G51" s="5">
        <v>195</v>
      </c>
      <c r="H51" s="5">
        <v>65</v>
      </c>
      <c r="I51" s="4" t="s">
        <v>208</v>
      </c>
      <c r="J51" s="4" t="s">
        <v>209</v>
      </c>
      <c r="K51" s="4" t="s">
        <v>201</v>
      </c>
      <c r="L51" s="4">
        <v>179399692</v>
      </c>
      <c r="M51" s="4">
        <v>179399692</v>
      </c>
      <c r="N51" s="4" t="s">
        <v>23</v>
      </c>
      <c r="O51" s="4" t="s">
        <v>46</v>
      </c>
      <c r="P51" s="4" t="s">
        <v>25</v>
      </c>
      <c r="Q51" s="4">
        <v>5</v>
      </c>
    </row>
    <row r="52" spans="1:17">
      <c r="A52" s="3" t="s">
        <v>16</v>
      </c>
      <c r="B52" s="4" t="s">
        <v>210</v>
      </c>
      <c r="C52" s="4" t="s">
        <v>211</v>
      </c>
      <c r="D52" s="4">
        <v>57408</v>
      </c>
      <c r="E52" s="4" t="s">
        <v>19</v>
      </c>
      <c r="F52" s="5">
        <v>1046</v>
      </c>
      <c r="G52" s="5">
        <v>912</v>
      </c>
      <c r="H52" s="5">
        <v>304</v>
      </c>
      <c r="I52" s="4" t="s">
        <v>57</v>
      </c>
      <c r="J52" s="4" t="s">
        <v>212</v>
      </c>
      <c r="K52" s="4" t="s">
        <v>201</v>
      </c>
      <c r="L52" s="4">
        <v>54952612</v>
      </c>
      <c r="M52" s="4">
        <v>54952612</v>
      </c>
      <c r="N52" s="4" t="s">
        <v>23</v>
      </c>
      <c r="O52" s="4" t="s">
        <v>46</v>
      </c>
      <c r="P52" s="4" t="s">
        <v>25</v>
      </c>
      <c r="Q52" s="4">
        <v>5</v>
      </c>
    </row>
    <row r="53" spans="1:17">
      <c r="A53" s="3" t="s">
        <v>16</v>
      </c>
      <c r="B53" s="4" t="s">
        <v>213</v>
      </c>
      <c r="C53" s="4" t="s">
        <v>214</v>
      </c>
      <c r="D53" s="4">
        <v>285220</v>
      </c>
      <c r="E53" s="4" t="s">
        <v>19</v>
      </c>
      <c r="F53" s="5">
        <v>573</v>
      </c>
      <c r="G53" s="5">
        <v>530</v>
      </c>
      <c r="H53" s="5">
        <v>177</v>
      </c>
      <c r="I53" s="4" t="s">
        <v>215</v>
      </c>
      <c r="J53" s="4" t="s">
        <v>216</v>
      </c>
      <c r="K53" s="4" t="s">
        <v>201</v>
      </c>
      <c r="L53" s="4">
        <v>96706253</v>
      </c>
      <c r="M53" s="4">
        <v>96706253</v>
      </c>
      <c r="N53" s="4" t="s">
        <v>23</v>
      </c>
      <c r="O53" s="4" t="s">
        <v>25</v>
      </c>
      <c r="P53" s="4" t="s">
        <v>41</v>
      </c>
      <c r="Q53" s="4">
        <v>-4</v>
      </c>
    </row>
    <row r="54" spans="1:17" ht="30">
      <c r="A54" s="3" t="s">
        <v>16</v>
      </c>
      <c r="B54" s="4" t="s">
        <v>217</v>
      </c>
      <c r="C54" s="4" t="str">
        <f ca="1">"NM_001024921"&amp;IF(INFO("system")="mac",CHAR(13),CHAR(10))&amp;"NM_000661"</f>
        <v>NM_001024921_x000D_NM_000661</v>
      </c>
      <c r="D54" s="4">
        <v>6133</v>
      </c>
      <c r="E54" s="4" t="str">
        <f ca="1">"NON_SYNONYMOUS_CODING"&amp;IF(INFO("system")="mac",CHAR(13),CHAR(10))&amp;"NMD_TRANSCRIPT,NON_SYNONYMOUS_CODING"</f>
        <v>NON_SYNONYMOUS_CODING_x000D_NMD_TRANSCRIPT,NON_SYNONYMOUS_CODING</v>
      </c>
      <c r="F54" s="5" t="str">
        <f ca="1">"219"&amp;IF(INFO("system")="mac",CHAR(13),CHAR(10))&amp;"130"</f>
        <v>219_x000D_130</v>
      </c>
      <c r="G54" s="5">
        <v>71</v>
      </c>
      <c r="H54" s="5">
        <v>24</v>
      </c>
      <c r="I54" s="4" t="s">
        <v>218</v>
      </c>
      <c r="J54" s="4" t="s">
        <v>219</v>
      </c>
      <c r="K54" s="4" t="s">
        <v>220</v>
      </c>
      <c r="L54" s="4">
        <v>39459905</v>
      </c>
      <c r="M54" s="4">
        <v>39459905</v>
      </c>
      <c r="N54" s="4" t="s">
        <v>23</v>
      </c>
      <c r="O54" s="4" t="s">
        <v>24</v>
      </c>
      <c r="P54" s="4" t="s">
        <v>41</v>
      </c>
      <c r="Q54" s="4">
        <v>1</v>
      </c>
    </row>
    <row r="55" spans="1:17">
      <c r="A55" s="3" t="s">
        <v>16</v>
      </c>
      <c r="B55" s="4" t="s">
        <v>221</v>
      </c>
      <c r="C55" s="4" t="s">
        <v>222</v>
      </c>
      <c r="D55" s="4">
        <v>213</v>
      </c>
      <c r="E55" s="4" t="s">
        <v>68</v>
      </c>
      <c r="F55" s="5" t="s">
        <v>35</v>
      </c>
      <c r="G55" s="5" t="s">
        <v>35</v>
      </c>
      <c r="H55" s="5" t="s">
        <v>35</v>
      </c>
      <c r="I55" s="4" t="s">
        <v>35</v>
      </c>
      <c r="J55" s="4" t="s">
        <v>35</v>
      </c>
      <c r="K55" s="4" t="s">
        <v>220</v>
      </c>
      <c r="L55" s="4">
        <v>74282071</v>
      </c>
      <c r="M55" s="4">
        <v>74282071</v>
      </c>
      <c r="N55" s="4" t="s">
        <v>23</v>
      </c>
      <c r="O55" s="4" t="s">
        <v>24</v>
      </c>
      <c r="P55" s="4" t="s">
        <v>41</v>
      </c>
      <c r="Q55" s="4">
        <v>0</v>
      </c>
    </row>
    <row r="56" spans="1:17" ht="30">
      <c r="A56" s="3" t="s">
        <v>16</v>
      </c>
      <c r="B56" s="4" t="s">
        <v>223</v>
      </c>
      <c r="C56" s="4" t="str">
        <f ca="1">"NM_031861"&amp;IF(INFO("system")="mac",CHAR(13),CHAR(10))&amp;"NM_018902"</f>
        <v>NM_031861_x000D_NM_018902</v>
      </c>
      <c r="D56" s="4">
        <v>56138</v>
      </c>
      <c r="E56" s="4" t="s">
        <v>31</v>
      </c>
      <c r="F56" s="5" t="s">
        <v>224</v>
      </c>
      <c r="G56" s="5" t="s">
        <v>225</v>
      </c>
      <c r="H56" s="5">
        <v>359</v>
      </c>
      <c r="I56" s="4" t="s">
        <v>35</v>
      </c>
      <c r="J56" s="4" t="s">
        <v>35</v>
      </c>
      <c r="K56" s="4" t="s">
        <v>226</v>
      </c>
      <c r="L56" s="4">
        <v>140249764</v>
      </c>
      <c r="M56" s="4">
        <v>140249763</v>
      </c>
      <c r="N56" s="4" t="s">
        <v>110</v>
      </c>
      <c r="O56" s="4"/>
      <c r="P56" s="4" t="s">
        <v>227</v>
      </c>
      <c r="Q56" s="4">
        <v>-2</v>
      </c>
    </row>
    <row r="57" spans="1:17" ht="30">
      <c r="A57" s="3" t="s">
        <v>16</v>
      </c>
      <c r="B57" s="4" t="s">
        <v>228</v>
      </c>
      <c r="C57" s="4" t="str">
        <f ca="1">"NM_018925"&amp;IF(INFO("system")="mac",CHAR(13),CHAR(10))&amp;"NM_032099"</f>
        <v>NM_018925_x000D_NM_032099</v>
      </c>
      <c r="D57" s="4">
        <v>56101</v>
      </c>
      <c r="E57" s="4" t="s">
        <v>19</v>
      </c>
      <c r="F57" s="5">
        <v>1610</v>
      </c>
      <c r="G57" s="5">
        <v>1610</v>
      </c>
      <c r="H57" s="5">
        <v>537</v>
      </c>
      <c r="I57" s="4" t="s">
        <v>229</v>
      </c>
      <c r="J57" s="4" t="s">
        <v>230</v>
      </c>
      <c r="K57" s="4" t="s">
        <v>226</v>
      </c>
      <c r="L57" s="4">
        <v>140779304</v>
      </c>
      <c r="M57" s="4">
        <v>140779304</v>
      </c>
      <c r="N57" s="4" t="s">
        <v>23</v>
      </c>
      <c r="O57" s="4" t="s">
        <v>46</v>
      </c>
      <c r="P57" s="4" t="s">
        <v>41</v>
      </c>
      <c r="Q57" s="4">
        <v>-1</v>
      </c>
    </row>
    <row r="58" spans="1:17" ht="30">
      <c r="A58" s="3" t="s">
        <v>16</v>
      </c>
      <c r="B58" s="4" t="s">
        <v>231</v>
      </c>
      <c r="C58" s="4" t="str">
        <f ca="1">"NM_001079812"&amp;IF(INFO("system")="mac",CHAR(13),CHAR(10))&amp;"NM_005219"</f>
        <v>NM_001079812_x000D_NM_005219</v>
      </c>
      <c r="D58" s="4">
        <v>1729</v>
      </c>
      <c r="E58" s="4" t="s">
        <v>232</v>
      </c>
      <c r="F58" s="5" t="s">
        <v>35</v>
      </c>
      <c r="G58" s="5" t="s">
        <v>35</v>
      </c>
      <c r="H58" s="5" t="s">
        <v>35</v>
      </c>
      <c r="I58" s="4" t="s">
        <v>35</v>
      </c>
      <c r="J58" s="4" t="s">
        <v>35</v>
      </c>
      <c r="K58" s="4" t="s">
        <v>226</v>
      </c>
      <c r="L58" s="4">
        <v>140961948</v>
      </c>
      <c r="M58" s="4">
        <v>140961948</v>
      </c>
      <c r="N58" s="4" t="s">
        <v>23</v>
      </c>
      <c r="O58" s="4" t="s">
        <v>41</v>
      </c>
      <c r="P58" s="4" t="s">
        <v>46</v>
      </c>
      <c r="Q58" s="4">
        <v>14</v>
      </c>
    </row>
    <row r="59" spans="1:17">
      <c r="A59" s="3" t="s">
        <v>16</v>
      </c>
      <c r="B59" s="4" t="s">
        <v>233</v>
      </c>
      <c r="C59" s="4" t="s">
        <v>234</v>
      </c>
      <c r="D59" s="4">
        <v>9729</v>
      </c>
      <c r="E59" s="4" t="s">
        <v>19</v>
      </c>
      <c r="F59" s="5">
        <v>654</v>
      </c>
      <c r="G59" s="5">
        <v>318</v>
      </c>
      <c r="H59" s="5">
        <v>106</v>
      </c>
      <c r="I59" s="4" t="s">
        <v>235</v>
      </c>
      <c r="J59" s="4" t="s">
        <v>236</v>
      </c>
      <c r="K59" s="4" t="s">
        <v>237</v>
      </c>
      <c r="L59" s="4">
        <v>127771315</v>
      </c>
      <c r="M59" s="4">
        <v>127771315</v>
      </c>
      <c r="N59" s="4" t="s">
        <v>23</v>
      </c>
      <c r="O59" s="4" t="s">
        <v>41</v>
      </c>
      <c r="P59" s="4" t="s">
        <v>24</v>
      </c>
      <c r="Q59" s="4">
        <v>7</v>
      </c>
    </row>
    <row r="60" spans="1:17">
      <c r="A60" s="3" t="s">
        <v>16</v>
      </c>
      <c r="B60" s="4" t="s">
        <v>238</v>
      </c>
      <c r="C60" s="4" t="s">
        <v>239</v>
      </c>
      <c r="D60" s="4">
        <v>7718</v>
      </c>
      <c r="E60" s="4" t="s">
        <v>19</v>
      </c>
      <c r="F60" s="5">
        <v>2157</v>
      </c>
      <c r="G60" s="5">
        <v>1330</v>
      </c>
      <c r="H60" s="5">
        <v>444</v>
      </c>
      <c r="I60" s="4" t="s">
        <v>240</v>
      </c>
      <c r="J60" s="4" t="s">
        <v>241</v>
      </c>
      <c r="K60" s="4" t="s">
        <v>237</v>
      </c>
      <c r="L60" s="4">
        <v>28057120</v>
      </c>
      <c r="M60" s="4">
        <v>28057120</v>
      </c>
      <c r="N60" s="4" t="s">
        <v>23</v>
      </c>
      <c r="O60" s="4" t="s">
        <v>25</v>
      </c>
      <c r="P60" s="4" t="s">
        <v>46</v>
      </c>
      <c r="Q60" s="4">
        <v>16</v>
      </c>
    </row>
    <row r="61" spans="1:17">
      <c r="A61" s="3" t="s">
        <v>16</v>
      </c>
      <c r="B61" s="4" t="s">
        <v>242</v>
      </c>
      <c r="C61" s="4" t="s">
        <v>243</v>
      </c>
      <c r="D61" s="4">
        <v>3710</v>
      </c>
      <c r="E61" s="4" t="s">
        <v>19</v>
      </c>
      <c r="F61" s="5">
        <v>1968</v>
      </c>
      <c r="G61" s="5">
        <v>1744</v>
      </c>
      <c r="H61" s="5">
        <v>582</v>
      </c>
      <c r="I61" s="4" t="s">
        <v>53</v>
      </c>
      <c r="J61" s="4" t="s">
        <v>54</v>
      </c>
      <c r="K61" s="4" t="s">
        <v>237</v>
      </c>
      <c r="L61" s="4">
        <v>33635599</v>
      </c>
      <c r="M61" s="4">
        <v>33635599</v>
      </c>
      <c r="N61" s="4" t="s">
        <v>23</v>
      </c>
      <c r="O61" s="4" t="s">
        <v>46</v>
      </c>
      <c r="P61" s="4" t="s">
        <v>25</v>
      </c>
      <c r="Q61" s="4">
        <v>12</v>
      </c>
    </row>
    <row r="62" spans="1:17">
      <c r="A62" s="3" t="s">
        <v>16</v>
      </c>
      <c r="B62" s="4" t="s">
        <v>244</v>
      </c>
      <c r="C62" s="4" t="s">
        <v>245</v>
      </c>
      <c r="D62" s="4">
        <v>266727</v>
      </c>
      <c r="E62" s="4" t="s">
        <v>19</v>
      </c>
      <c r="F62" s="5">
        <v>3762</v>
      </c>
      <c r="G62" s="5">
        <v>2583</v>
      </c>
      <c r="H62" s="5">
        <v>861</v>
      </c>
      <c r="I62" s="4" t="s">
        <v>246</v>
      </c>
      <c r="J62" s="4" t="s">
        <v>247</v>
      </c>
      <c r="K62" s="4" t="s">
        <v>237</v>
      </c>
      <c r="L62" s="4">
        <v>37606397</v>
      </c>
      <c r="M62" s="4">
        <v>37606397</v>
      </c>
      <c r="N62" s="4" t="s">
        <v>23</v>
      </c>
      <c r="O62" s="4" t="s">
        <v>24</v>
      </c>
      <c r="P62" s="4" t="s">
        <v>41</v>
      </c>
      <c r="Q62" s="4">
        <v>15</v>
      </c>
    </row>
    <row r="63" spans="1:17">
      <c r="A63" s="3" t="s">
        <v>16</v>
      </c>
      <c r="B63" s="4" t="s">
        <v>248</v>
      </c>
      <c r="C63" s="4" t="s">
        <v>249</v>
      </c>
      <c r="D63" s="4">
        <v>83741</v>
      </c>
      <c r="E63" s="4" t="s">
        <v>19</v>
      </c>
      <c r="F63" s="5">
        <v>1067</v>
      </c>
      <c r="G63" s="5">
        <v>555</v>
      </c>
      <c r="H63" s="5">
        <v>185</v>
      </c>
      <c r="I63" s="4" t="s">
        <v>250</v>
      </c>
      <c r="J63" s="4" t="s">
        <v>251</v>
      </c>
      <c r="K63" s="4" t="s">
        <v>237</v>
      </c>
      <c r="L63" s="4">
        <v>50686820</v>
      </c>
      <c r="M63" s="4">
        <v>50686820</v>
      </c>
      <c r="N63" s="4" t="s">
        <v>23</v>
      </c>
      <c r="O63" s="4" t="s">
        <v>24</v>
      </c>
      <c r="P63" s="4" t="s">
        <v>41</v>
      </c>
      <c r="Q63" s="4">
        <v>12</v>
      </c>
    </row>
    <row r="64" spans="1:17">
      <c r="A64" s="3" t="s">
        <v>16</v>
      </c>
      <c r="B64" s="4" t="s">
        <v>252</v>
      </c>
      <c r="C64" s="4" t="s">
        <v>253</v>
      </c>
      <c r="D64" s="4">
        <v>2162</v>
      </c>
      <c r="E64" s="4" t="s">
        <v>19</v>
      </c>
      <c r="F64" s="5">
        <v>1360</v>
      </c>
      <c r="G64" s="5">
        <v>1237</v>
      </c>
      <c r="H64" s="5">
        <v>413</v>
      </c>
      <c r="I64" s="4" t="s">
        <v>154</v>
      </c>
      <c r="J64" s="4" t="s">
        <v>155</v>
      </c>
      <c r="K64" s="4" t="s">
        <v>237</v>
      </c>
      <c r="L64" s="4">
        <v>6196098</v>
      </c>
      <c r="M64" s="4">
        <v>6196098</v>
      </c>
      <c r="N64" s="4" t="s">
        <v>23</v>
      </c>
      <c r="O64" s="4" t="s">
        <v>46</v>
      </c>
      <c r="P64" s="4" t="s">
        <v>41</v>
      </c>
      <c r="Q64" s="4">
        <v>14</v>
      </c>
    </row>
    <row r="65" spans="1:17">
      <c r="A65" s="3" t="s">
        <v>16</v>
      </c>
      <c r="B65" s="4" t="s">
        <v>254</v>
      </c>
      <c r="C65" s="4" t="s">
        <v>255</v>
      </c>
      <c r="D65" s="4">
        <v>2861</v>
      </c>
      <c r="E65" s="4" t="s">
        <v>19</v>
      </c>
      <c r="F65" s="5">
        <v>1552</v>
      </c>
      <c r="G65" s="5">
        <v>901</v>
      </c>
      <c r="H65" s="5">
        <v>301</v>
      </c>
      <c r="I65" s="4" t="s">
        <v>123</v>
      </c>
      <c r="J65" s="4" t="s">
        <v>256</v>
      </c>
      <c r="K65" s="4" t="s">
        <v>257</v>
      </c>
      <c r="L65" s="4">
        <v>124404130</v>
      </c>
      <c r="M65" s="4">
        <v>124404130</v>
      </c>
      <c r="N65" s="4" t="s">
        <v>23</v>
      </c>
      <c r="O65" s="4" t="s">
        <v>46</v>
      </c>
      <c r="P65" s="4" t="s">
        <v>25</v>
      </c>
      <c r="Q65" s="4">
        <v>1</v>
      </c>
    </row>
    <row r="66" spans="1:17">
      <c r="A66" s="3" t="s">
        <v>16</v>
      </c>
      <c r="B66" s="4" t="s">
        <v>258</v>
      </c>
      <c r="C66" s="4" t="s">
        <v>259</v>
      </c>
      <c r="D66" s="4">
        <v>349136</v>
      </c>
      <c r="E66" s="4" t="s">
        <v>19</v>
      </c>
      <c r="F66" s="5">
        <v>1276</v>
      </c>
      <c r="G66" s="5">
        <v>827</v>
      </c>
      <c r="H66" s="5">
        <v>276</v>
      </c>
      <c r="I66" s="4" t="s">
        <v>72</v>
      </c>
      <c r="J66" s="4" t="s">
        <v>73</v>
      </c>
      <c r="K66" s="4" t="s">
        <v>257</v>
      </c>
      <c r="L66" s="4">
        <v>151082209</v>
      </c>
      <c r="M66" s="4">
        <v>151082209</v>
      </c>
      <c r="N66" s="4" t="s">
        <v>23</v>
      </c>
      <c r="O66" s="4" t="s">
        <v>46</v>
      </c>
      <c r="P66" s="4" t="s">
        <v>41</v>
      </c>
      <c r="Q66" s="4">
        <v>3</v>
      </c>
    </row>
    <row r="67" spans="1:17">
      <c r="A67" s="3" t="s">
        <v>16</v>
      </c>
      <c r="B67" s="4" t="s">
        <v>260</v>
      </c>
      <c r="C67" s="4" t="s">
        <v>261</v>
      </c>
      <c r="D67" s="4">
        <v>346389</v>
      </c>
      <c r="E67" s="4" t="s">
        <v>76</v>
      </c>
      <c r="F67" s="5">
        <v>940</v>
      </c>
      <c r="G67" s="5">
        <v>631</v>
      </c>
      <c r="H67" s="5">
        <v>211</v>
      </c>
      <c r="I67" s="4" t="s">
        <v>262</v>
      </c>
      <c r="J67" s="4" t="s">
        <v>263</v>
      </c>
      <c r="K67" s="4" t="s">
        <v>257</v>
      </c>
      <c r="L67" s="4">
        <v>20199353</v>
      </c>
      <c r="M67" s="4">
        <v>20199353</v>
      </c>
      <c r="N67" s="4" t="s">
        <v>23</v>
      </c>
      <c r="O67" s="4" t="s">
        <v>46</v>
      </c>
      <c r="P67" s="4" t="s">
        <v>25</v>
      </c>
      <c r="Q67" s="4">
        <v>5</v>
      </c>
    </row>
    <row r="68" spans="1:17">
      <c r="A68" s="3" t="s">
        <v>16</v>
      </c>
      <c r="B68" s="4" t="s">
        <v>264</v>
      </c>
      <c r="C68" s="4" t="s">
        <v>265</v>
      </c>
      <c r="D68" s="4">
        <v>340273</v>
      </c>
      <c r="E68" s="4" t="s">
        <v>19</v>
      </c>
      <c r="F68" s="5">
        <v>1123</v>
      </c>
      <c r="G68" s="5">
        <v>886</v>
      </c>
      <c r="H68" s="5">
        <v>296</v>
      </c>
      <c r="I68" s="4" t="s">
        <v>199</v>
      </c>
      <c r="J68" s="4" t="s">
        <v>266</v>
      </c>
      <c r="K68" s="4" t="s">
        <v>257</v>
      </c>
      <c r="L68" s="4">
        <v>20685666</v>
      </c>
      <c r="M68" s="4">
        <v>20685666</v>
      </c>
      <c r="N68" s="4" t="s">
        <v>23</v>
      </c>
      <c r="O68" s="4" t="s">
        <v>41</v>
      </c>
      <c r="P68" s="4" t="s">
        <v>46</v>
      </c>
      <c r="Q68" s="4">
        <v>17</v>
      </c>
    </row>
    <row r="69" spans="1:17">
      <c r="A69" s="3" t="s">
        <v>16</v>
      </c>
      <c r="B69" s="4" t="s">
        <v>267</v>
      </c>
      <c r="C69" s="4" t="s">
        <v>268</v>
      </c>
      <c r="D69" s="4">
        <v>23242</v>
      </c>
      <c r="E69" s="4" t="s">
        <v>19</v>
      </c>
      <c r="F69" s="5">
        <v>1297</v>
      </c>
      <c r="G69" s="5">
        <v>1112</v>
      </c>
      <c r="H69" s="5">
        <v>371</v>
      </c>
      <c r="I69" s="4" t="s">
        <v>269</v>
      </c>
      <c r="J69" s="4" t="s">
        <v>270</v>
      </c>
      <c r="K69" s="4" t="s">
        <v>257</v>
      </c>
      <c r="L69" s="4">
        <v>51111374</v>
      </c>
      <c r="M69" s="4">
        <v>51111374</v>
      </c>
      <c r="N69" s="4" t="s">
        <v>23</v>
      </c>
      <c r="O69" s="4" t="s">
        <v>46</v>
      </c>
      <c r="P69" s="4" t="s">
        <v>25</v>
      </c>
      <c r="Q69" s="4">
        <v>13</v>
      </c>
    </row>
    <row r="70" spans="1:17">
      <c r="A70" s="3" t="s">
        <v>16</v>
      </c>
      <c r="B70" s="4" t="s">
        <v>271</v>
      </c>
      <c r="C70" s="4" t="s">
        <v>272</v>
      </c>
      <c r="D70" s="4">
        <v>155382</v>
      </c>
      <c r="E70" s="4" t="s">
        <v>19</v>
      </c>
      <c r="F70" s="5">
        <v>600</v>
      </c>
      <c r="G70" s="5">
        <v>485</v>
      </c>
      <c r="H70" s="5">
        <v>162</v>
      </c>
      <c r="I70" s="4" t="s">
        <v>60</v>
      </c>
      <c r="J70" s="4" t="s">
        <v>61</v>
      </c>
      <c r="K70" s="4" t="s">
        <v>257</v>
      </c>
      <c r="L70" s="4">
        <v>73085435</v>
      </c>
      <c r="M70" s="4">
        <v>73085435</v>
      </c>
      <c r="N70" s="4" t="s">
        <v>23</v>
      </c>
      <c r="O70" s="4" t="s">
        <v>24</v>
      </c>
      <c r="P70" s="4" t="s">
        <v>25</v>
      </c>
      <c r="Q70" s="4">
        <v>-3</v>
      </c>
    </row>
    <row r="71" spans="1:17" ht="30">
      <c r="A71" s="3" t="s">
        <v>16</v>
      </c>
      <c r="B71" s="4" t="s">
        <v>273</v>
      </c>
      <c r="C71" s="4" t="str">
        <f ca="1">"NM_033026"&amp;IF(INFO("system")="mac",CHAR(13),CHAR(10))&amp;"NM_014510"</f>
        <v>NM_033026_x000D_NM_014510</v>
      </c>
      <c r="D71" s="4">
        <v>27445</v>
      </c>
      <c r="E71" s="4" t="s">
        <v>76</v>
      </c>
      <c r="F71" s="5">
        <v>11735</v>
      </c>
      <c r="G71" s="5">
        <v>11446</v>
      </c>
      <c r="H71" s="5">
        <v>3816</v>
      </c>
      <c r="I71" s="4" t="s">
        <v>102</v>
      </c>
      <c r="J71" s="4" t="s">
        <v>274</v>
      </c>
      <c r="K71" s="4" t="s">
        <v>257</v>
      </c>
      <c r="L71" s="4">
        <v>82545856</v>
      </c>
      <c r="M71" s="4">
        <v>82545856</v>
      </c>
      <c r="N71" s="4" t="s">
        <v>23</v>
      </c>
      <c r="O71" s="4" t="s">
        <v>41</v>
      </c>
      <c r="P71" s="4" t="s">
        <v>25</v>
      </c>
      <c r="Q71" s="4">
        <v>-3</v>
      </c>
    </row>
    <row r="72" spans="1:17">
      <c r="A72" s="3" t="s">
        <v>16</v>
      </c>
      <c r="B72" s="4" t="s">
        <v>275</v>
      </c>
      <c r="C72" s="4" t="s">
        <v>276</v>
      </c>
      <c r="D72" s="4">
        <v>4856</v>
      </c>
      <c r="E72" s="4" t="s">
        <v>19</v>
      </c>
      <c r="F72" s="5">
        <v>486</v>
      </c>
      <c r="G72" s="5">
        <v>265</v>
      </c>
      <c r="H72" s="5">
        <v>89</v>
      </c>
      <c r="I72" s="4" t="s">
        <v>277</v>
      </c>
      <c r="J72" s="4" t="s">
        <v>278</v>
      </c>
      <c r="K72" s="4" t="s">
        <v>279</v>
      </c>
      <c r="L72" s="4">
        <v>120429164</v>
      </c>
      <c r="M72" s="4">
        <v>120429164</v>
      </c>
      <c r="N72" s="4" t="s">
        <v>23</v>
      </c>
      <c r="O72" s="4" t="s">
        <v>41</v>
      </c>
      <c r="P72" s="4" t="s">
        <v>25</v>
      </c>
      <c r="Q72" s="4">
        <v>0</v>
      </c>
    </row>
    <row r="73" spans="1:17">
      <c r="A73" s="3" t="s">
        <v>16</v>
      </c>
      <c r="B73" s="4" t="s">
        <v>280</v>
      </c>
      <c r="C73" s="4" t="s">
        <v>281</v>
      </c>
      <c r="D73" s="4">
        <v>203062</v>
      </c>
      <c r="E73" s="4" t="s">
        <v>19</v>
      </c>
      <c r="F73" s="5">
        <v>515</v>
      </c>
      <c r="G73" s="5">
        <v>397</v>
      </c>
      <c r="H73" s="5">
        <v>133</v>
      </c>
      <c r="I73" s="4" t="s">
        <v>282</v>
      </c>
      <c r="J73" s="4" t="s">
        <v>283</v>
      </c>
      <c r="K73" s="4" t="s">
        <v>279</v>
      </c>
      <c r="L73" s="4">
        <v>143425675</v>
      </c>
      <c r="M73" s="4">
        <v>143425675</v>
      </c>
      <c r="N73" s="4" t="s">
        <v>23</v>
      </c>
      <c r="O73" s="4" t="s">
        <v>41</v>
      </c>
      <c r="P73" s="4" t="s">
        <v>46</v>
      </c>
      <c r="Q73" s="4">
        <v>1</v>
      </c>
    </row>
    <row r="74" spans="1:17">
      <c r="A74" s="3" t="s">
        <v>16</v>
      </c>
      <c r="B74" s="4" t="s">
        <v>284</v>
      </c>
      <c r="C74" s="4" t="s">
        <v>285</v>
      </c>
      <c r="D74" s="4">
        <v>8793</v>
      </c>
      <c r="E74" s="4" t="s">
        <v>232</v>
      </c>
      <c r="F74" s="5" t="s">
        <v>35</v>
      </c>
      <c r="G74" s="5" t="s">
        <v>35</v>
      </c>
      <c r="H74" s="5" t="s">
        <v>35</v>
      </c>
      <c r="I74" s="4" t="s">
        <v>35</v>
      </c>
      <c r="J74" s="4" t="s">
        <v>35</v>
      </c>
      <c r="K74" s="4" t="s">
        <v>279</v>
      </c>
      <c r="L74" s="4">
        <v>23003442</v>
      </c>
      <c r="M74" s="4">
        <v>23003442</v>
      </c>
      <c r="N74" s="4" t="s">
        <v>23</v>
      </c>
      <c r="O74" s="4" t="s">
        <v>46</v>
      </c>
      <c r="P74" s="4" t="s">
        <v>41</v>
      </c>
      <c r="Q74" s="4">
        <v>-4</v>
      </c>
    </row>
    <row r="75" spans="1:17">
      <c r="A75" s="3" t="s">
        <v>16</v>
      </c>
      <c r="B75" s="4" t="s">
        <v>286</v>
      </c>
      <c r="C75" s="4" t="s">
        <v>287</v>
      </c>
      <c r="D75" s="4">
        <v>1142</v>
      </c>
      <c r="E75" s="4" t="s">
        <v>19</v>
      </c>
      <c r="F75" s="5">
        <v>773</v>
      </c>
      <c r="G75" s="5">
        <v>645</v>
      </c>
      <c r="H75" s="5">
        <v>215</v>
      </c>
      <c r="I75" s="4" t="s">
        <v>246</v>
      </c>
      <c r="J75" s="4" t="s">
        <v>247</v>
      </c>
      <c r="K75" s="4" t="s">
        <v>279</v>
      </c>
      <c r="L75" s="4">
        <v>42587095</v>
      </c>
      <c r="M75" s="4">
        <v>42587095</v>
      </c>
      <c r="N75" s="4" t="s">
        <v>23</v>
      </c>
      <c r="O75" s="4" t="s">
        <v>46</v>
      </c>
      <c r="P75" s="4" t="s">
        <v>25</v>
      </c>
      <c r="Q75" s="4">
        <v>12</v>
      </c>
    </row>
    <row r="76" spans="1:17" ht="30">
      <c r="A76" s="3" t="s">
        <v>16</v>
      </c>
      <c r="B76" s="4" t="s">
        <v>288</v>
      </c>
      <c r="C76" s="4" t="str">
        <f ca="1">"NM_015496"&amp;IF(INFO("system")="mac",CHAR(13),CHAR(10))&amp;"NM_183009"</f>
        <v>NM_015496_x000D_NM_183009</v>
      </c>
      <c r="D76" s="4">
        <v>25962</v>
      </c>
      <c r="E76" s="4" t="s">
        <v>19</v>
      </c>
      <c r="F76" s="5">
        <v>2335</v>
      </c>
      <c r="G76" s="5">
        <v>2264</v>
      </c>
      <c r="H76" s="5">
        <v>755</v>
      </c>
      <c r="I76" s="4" t="s">
        <v>289</v>
      </c>
      <c r="J76" s="4" t="s">
        <v>290</v>
      </c>
      <c r="K76" s="4" t="s">
        <v>279</v>
      </c>
      <c r="L76" s="4">
        <v>95531462</v>
      </c>
      <c r="M76" s="4">
        <v>95531462</v>
      </c>
      <c r="N76" s="4" t="s">
        <v>23</v>
      </c>
      <c r="O76" s="4" t="s">
        <v>41</v>
      </c>
      <c r="P76" s="4" t="s">
        <v>24</v>
      </c>
      <c r="Q76" s="4">
        <v>11</v>
      </c>
    </row>
    <row r="77" spans="1:17" ht="315">
      <c r="A77" s="3" t="s">
        <v>16</v>
      </c>
      <c r="B77" s="4" t="s">
        <v>291</v>
      </c>
      <c r="C77" s="4" t="str">
        <f ca="1">"NM_153439"&amp;IF(INFO("system")="mac",CHAR(13),CHAR(10))&amp;"NM_153433"&amp;IF(INFO("system")="mac",CHAR(13),CHAR(10))&amp;"NM_153435"&amp;IF(INFO("system")="mac",CHAR(13),CHAR(10))&amp;"NM_001242354"&amp;IF(INFO("system")="mac",CHAR(13),CHAR(10))&amp;"NM_153436"&amp;IF(INFO("system")="mac",CHAR(13),CHAR(10))&amp;"NM_002540"&amp;IF(INFO("system")="mac",CHAR(13),CHAR(10))&amp;"NM_153440"&amp;IF(INFO("system")="mac",CHAR(13),CHAR(10))&amp;"NM_001242352"&amp;IF(INFO("system")="mac",CHAR(13),CHAR(10))&amp;"NM_153437"&amp;IF(INFO("system")="mac",CHAR(13),CHAR(10))&amp;"NM_001242353"&amp;IF(INFO("system")="mac",CHAR(13),CHAR(10))&amp;"NM_153432"</f>
        <v>NM_153439_x000D_NM_153433_x000D_NM_153435_x000D_NM_001242354_x000D_NM_153436_x000D_NM_002540_x000D_NM_153440_x000D_NM_001242352_x000D_NM_153437_x000D_NM_001242353_x000D_NM_153432</v>
      </c>
      <c r="D77" s="4">
        <v>4957</v>
      </c>
      <c r="E77" s="4" t="str">
        <f ca="1">"SPLICE_SITE,INTRONIC"&amp;IF(INFO("system")="mac",CHAR(13),CHAR(10))&amp;"NON_SYNONYMOUS_CODING"&amp;IF(INFO("system")="mac",CHAR(13),CHAR(10))&amp;"NON_SYNONYMOUS_CODING"&amp;IF(INFO("system")="mac",CHAR(13),CHAR(10))&amp;"NON_SYNONYMOUS_CODING"&amp;IF(INFO("system")="mac",CHAR(13),CHAR(10))&amp;"NON_SYNONYMOUS_CODING"&amp;IF(INFO("system")="mac",CHAR(13),CHAR(10))&amp;"NON_SYNONYMOUS_CODING"&amp;IF(INFO("system")="mac",CHAR(13),CHAR(10))&amp;"NON_SYNONYMOUS_CODING"&amp;IF(INFO("system")="mac",CHAR(13),CHAR(10))&amp;"NON_SYNONYMOUS_CODING"&amp;IF(INFO("system")="mac",CHAR(13),CHAR(10))&amp;"NON_SYNONYMOUS_CODING"&amp;IF(INFO("system")="mac",CHAR(13),CHAR(10))&amp;"NON_SYNONYMOUS_CODING"&amp;IF(INFO("system")="mac",CHAR(13),CHAR(10))&amp;"NON_SYNONYMOUS_CODING"</f>
        <v>SPLICE_SITE,INTRONIC_x000D_NON_SYNONYMOUS_CODING_x000D_NON_SYNONYMOUS_CODING_x000D_NON_SYNONYMOUS_CODING_x000D_NON_SYNONYMOUS_CODING_x000D_NON_SYNONYMOUS_CODING_x000D_NON_SYNONYMOUS_CODING_x000D_NON_SYNONYMOUS_CODING_x000D_NON_SYNONYMOUS_CODING_x000D_NON_SYNONYMOUS_CODING_x000D_NON_SYNONYMOUS_CODING</v>
      </c>
      <c r="F77" s="5" t="str">
        <f ca="1">"-"&amp;IF(INFO("system")="mac",CHAR(13),CHAR(10))&amp;"2178-2186"&amp;IF(INFO("system")="mac",CHAR(13),CHAR(10))&amp;"2071-2079"&amp;IF(INFO("system")="mac",CHAR(13),CHAR(10))&amp;"1937-1945"&amp;IF(INFO("system")="mac",CHAR(13),CHAR(10))&amp;"1835-1843"&amp;IF(INFO("system")="mac",CHAR(13),CHAR(10))&amp;"2453-2461"&amp;IF(INFO("system")="mac",CHAR(13),CHAR(10))&amp;"1881-1889"&amp;IF(INFO("system")="mac",CHAR(13),CHAR(10))&amp;"2165-2173"&amp;IF(INFO("system")="mac",CHAR(13),CHAR(10))&amp;"2101-2109"&amp;IF(INFO("system")="mac",CHAR(13),CHAR(10))&amp;"2251-2259"&amp;IF(INFO("system")="mac",CHAR(13),CHAR(10))&amp;"2011-2019"</f>
        <v>-_x000D_2178-2186_x000D_2071-2079_x000D_1937-1945_x000D_1835-1843_x000D_2453-2461_x000D_1881-1889_x000D_2165-2173_x000D_2101-2109_x000D_2251-2259_x000D_2011-2019</v>
      </c>
      <c r="G77" s="5" t="str">
        <f ca="1">"-"&amp;IF(INFO("system")="mac",CHAR(13),CHAR(10))&amp;"1793-1801"&amp;IF(INFO("system")="mac",CHAR(13),CHAR(10))&amp;"1985-1993"&amp;IF(INFO("system")="mac",CHAR(13),CHAR(10))&amp;"1550-1558"&amp;IF(INFO("system")="mac",CHAR(13),CHAR(10))&amp;"1793-1801"&amp;IF(INFO("system")="mac",CHAR(13),CHAR(10))&amp;"1721-1729"&amp;IF(INFO("system")="mac",CHAR(13),CHAR(10))&amp;"1736-1744"&amp;IF(INFO("system")="mac",CHAR(13),CHAR(10))&amp;"1778-1786"&amp;IF(INFO("system")="mac",CHAR(13),CHAR(10))&amp;"1736-1744"&amp;IF(INFO("system")="mac",CHAR(13),CHAR(10))&amp;"1793-1801"&amp;IF(INFO("system")="mac",CHAR(13),CHAR(10))&amp;"1925-1933"</f>
        <v>-_x000D_1793-1801_x000D_1985-1993_x000D_1550-1558_x000D_1793-1801_x000D_1721-1729_x000D_1736-1744_x000D_1778-1786_x000D_1736-1744_x000D_1793-1801_x000D_1925-1933</v>
      </c>
      <c r="H77" s="5" t="str">
        <f ca="1">"-"&amp;IF(INFO("system")="mac",CHAR(13),CHAR(10))&amp;"598-601"&amp;IF(INFO("system")="mac",CHAR(13),CHAR(10))&amp;"662-665"&amp;IF(INFO("system")="mac",CHAR(13),CHAR(10))&amp;"517-520"&amp;IF(INFO("system")="mac",CHAR(13),CHAR(10))&amp;"598-601"&amp;IF(INFO("system")="mac",CHAR(13),CHAR(10))&amp;"574-577"&amp;IF(INFO("system")="mac",CHAR(13),CHAR(10))&amp;"579-582"&amp;IF(INFO("system")="mac",CHAR(13),CHAR(10))&amp;"593-596"&amp;IF(INFO("system")="mac",CHAR(13),CHAR(10))&amp;"579-582"&amp;IF(INFO("system")="mac",CHAR(13),CHAR(10))&amp;"598-601"&amp;IF(INFO("system")="mac",CHAR(13),CHAR(10))&amp;"642-645"</f>
        <v>-_x000D_598-601_x000D_662-665_x000D_517-520_x000D_598-601_x000D_574-577_x000D_579-582_x000D_593-596_x000D_579-582_x000D_598-601_x000D_642-645</v>
      </c>
      <c r="I77" s="4" t="str">
        <f ca="1">"-"&amp;IF(INFO("system")="mac",CHAR(13),CHAR(10))&amp;"QLPD/H"&amp;IF(INFO("system")="mac",CHAR(13),CHAR(10))&amp;"QLPD/H"&amp;IF(INFO("system")="mac",CHAR(13),CHAR(10))&amp;"QLPD/H"&amp;IF(INFO("system")="mac",CHAR(13),CHAR(10))&amp;"QLPD/H"&amp;IF(INFO("system")="mac",CHAR(13),CHAR(10))&amp;"QLPD/H"&amp;IF(INFO("system")="mac",CHAR(13),CHAR(10))&amp;"QLPD/H"&amp;IF(INFO("system")="mac",CHAR(13),CHAR(10))&amp;"QLPD/H"&amp;IF(INFO("system")="mac",CHAR(13),CHAR(10))&amp;"QLPD/H"&amp;IF(INFO("system")="mac",CHAR(13),CHAR(10))&amp;"QLPD/H"&amp;IF(INFO("system")="mac",CHAR(13),CHAR(10))&amp;"QLPD/H"</f>
        <v>-_x000D_QLPD/H_x000D_QLPD/H_x000D_QLPD/H_x000D_QLPD/H_x000D_QLPD/H_x000D_QLPD/H_x000D_QLPD/H_x000D_QLPD/H_x000D_QLPD/H_x000D_QLPD/H</v>
      </c>
      <c r="J77" s="4" t="str">
        <f ca="1">"-"&amp;IF(INFO("system")="mac",CHAR(13),CHAR(10))&amp;"cAGCTCCCTGac/cac"&amp;IF(INFO("system")="mac",CHAR(13),CHAR(10))&amp;"cAGCTCCCTGac/cac"&amp;IF(INFO("system")="mac",CHAR(13),CHAR(10))&amp;"cAGCTCCCTGac/cac"&amp;IF(INFO("system")="mac",CHAR(13),CHAR(10))&amp;"cAGCTCCCTGac/cac"&amp;IF(INFO("system")="mac",CHAR(13),CHAR(10))&amp;"cAGCTCCCTGac/cac"&amp;IF(INFO("system")="mac",CHAR(13),CHAR(10))&amp;"cAGCTCCCTGac/cac"&amp;IF(INFO("system")="mac",CHAR(13),CHAR(10))&amp;"cAGCTCCCTGac/cac"&amp;IF(INFO("system")="mac",CHAR(13),CHAR(10))&amp;"cAGCTCCCTGac/cac"&amp;IF(INFO("system")="mac",CHAR(13),CHAR(10))&amp;"cAGCTCCCTGac/cac"&amp;IF(INFO("system")="mac",CHAR(13),CHAR(10))&amp;"cAGCTCCCTGac/cac"</f>
        <v>-_x000D_cAGCTCCCTGac/cac_x000D_cAGCTCCCTGac/cac_x000D_cAGCTCCCTGac/cac_x000D_cAGCTCCCTGac/cac_x000D_cAGCTCCCTGac/cac_x000D_cAGCTCCCTGac/cac_x000D_cAGCTCCCTGac/cac_x000D_cAGCTCCCTGac/cac_x000D_cAGCTCCCTGac/cac_x000D_cAGCTCCCTGac/cac</v>
      </c>
      <c r="K77" s="4" t="s">
        <v>292</v>
      </c>
      <c r="L77" s="4">
        <v>131256829</v>
      </c>
      <c r="M77" s="4">
        <v>131256837</v>
      </c>
      <c r="N77" s="4" t="s">
        <v>36</v>
      </c>
      <c r="O77" s="4" t="s">
        <v>293</v>
      </c>
      <c r="P77" s="4"/>
      <c r="Q77" s="4">
        <v>-5</v>
      </c>
    </row>
    <row r="78" spans="1:17" ht="165">
      <c r="A78" s="3" t="s">
        <v>16</v>
      </c>
      <c r="B78" s="4" t="s">
        <v>291</v>
      </c>
      <c r="C78" s="4" t="str">
        <f ca="1">"NM_001242353"&amp;IF(INFO("system")="mac",CHAR(13),CHAR(10))&amp;"NM_153432"&amp;IF(INFO("system")="mac",CHAR(13),CHAR(10))&amp;"NM_153436"&amp;IF(INFO("system")="mac",CHAR(13),CHAR(10))&amp;"NM_153433"&amp;IF(INFO("system")="mac",CHAR(13),CHAR(10))&amp;"NM_153439"&amp;IF(INFO("system")="mac",CHAR(13),CHAR(10))&amp;"NM_153435"&amp;IF(INFO("system")="mac",CHAR(13),CHAR(10))&amp;"NM_002540"&amp;IF(INFO("system")="mac",CHAR(13),CHAR(10))&amp;"NM_001242352"&amp;IF(INFO("system")="mac",CHAR(13),CHAR(10))&amp;"NM_001242354"&amp;IF(INFO("system")="mac",CHAR(13),CHAR(10))&amp;"NM_153440"&amp;IF(INFO("system")="mac",CHAR(13),CHAR(10))&amp;"NM_153437"</f>
        <v>NM_001242353_x000D_NM_153432_x000D_NM_153436_x000D_NM_153433_x000D_NM_153439_x000D_NM_153435_x000D_NM_002540_x000D_NM_001242352_x000D_NM_001242354_x000D_NM_153440_x000D_NM_153437</v>
      </c>
      <c r="D78" s="4">
        <v>4957</v>
      </c>
      <c r="E78" s="4" t="s">
        <v>19</v>
      </c>
      <c r="F78" s="5" t="str">
        <f ca="1">"2266"&amp;IF(INFO("system")="mac",CHAR(13),CHAR(10))&amp;"2026"&amp;IF(INFO("system")="mac",CHAR(13),CHAR(10))&amp;"1850"&amp;IF(INFO("system")="mac",CHAR(13),CHAR(10))&amp;"2193"&amp;IF(INFO("system")="mac",CHAR(13),CHAR(10))&amp;"1882"&amp;IF(INFO("system")="mac",CHAR(13),CHAR(10))&amp;"2086"&amp;IF(INFO("system")="mac",CHAR(13),CHAR(10))&amp;"2468"&amp;IF(INFO("system")="mac",CHAR(13),CHAR(10))&amp;"2180"&amp;IF(INFO("system")="mac",CHAR(13),CHAR(10))&amp;"1952"&amp;IF(INFO("system")="mac",CHAR(13),CHAR(10))&amp;"1896"&amp;IF(INFO("system")="mac",CHAR(13),CHAR(10))&amp;"2116"</f>
        <v>2266_x000D_2026_x000D_1850_x000D_2193_x000D_1882_x000D_2086_x000D_2468_x000D_2180_x000D_1952_x000D_1896_x000D_2116</v>
      </c>
      <c r="G78" s="5" t="str">
        <f ca="1">"1808"&amp;IF(INFO("system")="mac",CHAR(13),CHAR(10))&amp;"1940"&amp;IF(INFO("system")="mac",CHAR(13),CHAR(10))&amp;"1808"&amp;IF(INFO("system")="mac",CHAR(13),CHAR(10))&amp;"1808"&amp;IF(INFO("system")="mac",CHAR(13),CHAR(10))&amp;"1796"&amp;IF(INFO("system")="mac",CHAR(13),CHAR(10))&amp;"2000"&amp;IF(INFO("system")="mac",CHAR(13),CHAR(10))&amp;"1736"&amp;IF(INFO("system")="mac",CHAR(13),CHAR(10))&amp;"1793"&amp;IF(INFO("system")="mac",CHAR(13),CHAR(10))&amp;"1565"&amp;IF(INFO("system")="mac",CHAR(13),CHAR(10))&amp;"1751"&amp;IF(INFO("system")="mac",CHAR(13),CHAR(10))&amp;"1751"</f>
        <v>1808_x000D_1940_x000D_1808_x000D_1808_x000D_1796_x000D_2000_x000D_1736_x000D_1793_x000D_1565_x000D_1751_x000D_1751</v>
      </c>
      <c r="H78" s="5" t="str">
        <f ca="1">"603"&amp;IF(INFO("system")="mac",CHAR(13),CHAR(10))&amp;"647"&amp;IF(INFO("system")="mac",CHAR(13),CHAR(10))&amp;"603"&amp;IF(INFO("system")="mac",CHAR(13),CHAR(10))&amp;"603"&amp;IF(INFO("system")="mac",CHAR(13),CHAR(10))&amp;"599"&amp;IF(INFO("system")="mac",CHAR(13),CHAR(10))&amp;"667"&amp;IF(INFO("system")="mac",CHAR(13),CHAR(10))&amp;"579"&amp;IF(INFO("system")="mac",CHAR(13),CHAR(10))&amp;"598"&amp;IF(INFO("system")="mac",CHAR(13),CHAR(10))&amp;"522"&amp;IF(INFO("system")="mac",CHAR(13),CHAR(10))&amp;"584"&amp;IF(INFO("system")="mac",CHAR(13),CHAR(10))&amp;"584"</f>
        <v>603_x000D_647_x000D_603_x000D_603_x000D_599_x000D_667_x000D_579_x000D_598_x000D_522_x000D_584_x000D_584</v>
      </c>
      <c r="I78" s="4" t="s">
        <v>294</v>
      </c>
      <c r="J78" s="4" t="s">
        <v>295</v>
      </c>
      <c r="K78" s="4" t="s">
        <v>292</v>
      </c>
      <c r="L78" s="4">
        <v>131256844</v>
      </c>
      <c r="M78" s="4">
        <v>131256844</v>
      </c>
      <c r="N78" s="4" t="s">
        <v>23</v>
      </c>
      <c r="O78" s="4" t="s">
        <v>41</v>
      </c>
      <c r="P78" s="4" t="s">
        <v>24</v>
      </c>
      <c r="Q78" s="4">
        <v>7</v>
      </c>
    </row>
    <row r="79" spans="1:17" ht="30">
      <c r="A79" s="3">
        <v>31656</v>
      </c>
      <c r="B79" s="4" t="s">
        <v>296</v>
      </c>
      <c r="C79" s="4" t="str">
        <f ca="1">"NM_030937"&amp;IF(INFO("system")="mac",CHAR(13),CHAR(10))&amp;"NM_001039577"</f>
        <v>NM_030937_x000D_NM_001039577</v>
      </c>
      <c r="D79" s="4">
        <v>81669</v>
      </c>
      <c r="E79" s="4" t="s">
        <v>19</v>
      </c>
      <c r="F79" s="5">
        <v>664</v>
      </c>
      <c r="G79" s="5">
        <v>632</v>
      </c>
      <c r="H79" s="5">
        <v>211</v>
      </c>
      <c r="I79" s="4" t="s">
        <v>72</v>
      </c>
      <c r="J79" s="4" t="s">
        <v>297</v>
      </c>
      <c r="K79" s="4" t="s">
        <v>22</v>
      </c>
      <c r="L79" s="4">
        <v>1328803</v>
      </c>
      <c r="M79" s="4">
        <v>1328803</v>
      </c>
      <c r="N79" s="4" t="s">
        <v>23</v>
      </c>
      <c r="O79" s="4" t="s">
        <v>46</v>
      </c>
      <c r="P79" s="4" t="s">
        <v>41</v>
      </c>
      <c r="Q79" s="4">
        <v>4</v>
      </c>
    </row>
    <row r="80" spans="1:17" ht="45">
      <c r="A80" s="3">
        <v>31656</v>
      </c>
      <c r="B80" s="4" t="s">
        <v>298</v>
      </c>
      <c r="C80" s="4" t="str">
        <f ca="1">"NM_001007792"&amp;IF(INFO("system")="mac",CHAR(13),CHAR(10))&amp;"NM_002529"&amp;IF(INFO("system")="mac",CHAR(13),CHAR(10))&amp;"NM_001012331"</f>
        <v>NM_001007792_x000D_NM_002529_x000D_NM_001012331</v>
      </c>
      <c r="D80" s="4">
        <v>4914</v>
      </c>
      <c r="E80" s="4" t="s">
        <v>19</v>
      </c>
      <c r="F80" s="5" t="str">
        <f ca="1">"948"&amp;IF(INFO("system")="mac",CHAR(13),CHAR(10))&amp;"1014"&amp;IF(INFO("system")="mac",CHAR(13),CHAR(10))&amp;"1014"</f>
        <v>948_x000D_1014_x000D_1014</v>
      </c>
      <c r="G80" s="5" t="str">
        <f ca="1">"868"&amp;IF(INFO("system")="mac",CHAR(13),CHAR(10))&amp;"958"&amp;IF(INFO("system")="mac",CHAR(13),CHAR(10))&amp;"958"</f>
        <v>868_x000D_958_x000D_958</v>
      </c>
      <c r="H80" s="5" t="str">
        <f ca="1">"290"&amp;IF(INFO("system")="mac",CHAR(13),CHAR(10))&amp;"320"&amp;IF(INFO("system")="mac",CHAR(13),CHAR(10))&amp;"320"</f>
        <v>290_x000D_320_x000D_320</v>
      </c>
      <c r="I80" s="4" t="s">
        <v>299</v>
      </c>
      <c r="J80" s="4" t="s">
        <v>300</v>
      </c>
      <c r="K80" s="4" t="s">
        <v>22</v>
      </c>
      <c r="L80" s="4">
        <v>156843532</v>
      </c>
      <c r="M80" s="4">
        <v>156843532</v>
      </c>
      <c r="N80" s="4" t="s">
        <v>23</v>
      </c>
      <c r="O80" s="4" t="s">
        <v>41</v>
      </c>
      <c r="P80" s="4" t="s">
        <v>46</v>
      </c>
      <c r="Q80" s="4">
        <v>-1</v>
      </c>
    </row>
    <row r="81" spans="1:17">
      <c r="A81" s="3">
        <v>31656</v>
      </c>
      <c r="B81" s="4" t="s">
        <v>301</v>
      </c>
      <c r="C81" s="4" t="s">
        <v>302</v>
      </c>
      <c r="D81" s="4">
        <v>23385</v>
      </c>
      <c r="E81" s="4" t="s">
        <v>19</v>
      </c>
      <c r="F81" s="5">
        <v>2161</v>
      </c>
      <c r="G81" s="5">
        <v>2037</v>
      </c>
      <c r="H81" s="5">
        <v>679</v>
      </c>
      <c r="I81" s="4" t="s">
        <v>303</v>
      </c>
      <c r="J81" s="4" t="s">
        <v>304</v>
      </c>
      <c r="K81" s="4" t="s">
        <v>22</v>
      </c>
      <c r="L81" s="4">
        <v>160327968</v>
      </c>
      <c r="M81" s="4">
        <v>160327968</v>
      </c>
      <c r="N81" s="4" t="s">
        <v>23</v>
      </c>
      <c r="O81" s="4" t="s">
        <v>46</v>
      </c>
      <c r="P81" s="4" t="s">
        <v>24</v>
      </c>
      <c r="Q81" s="4">
        <v>11</v>
      </c>
    </row>
    <row r="82" spans="1:17" ht="45">
      <c r="A82" s="3">
        <v>31656</v>
      </c>
      <c r="B82" s="4" t="s">
        <v>305</v>
      </c>
      <c r="C82" s="4" t="str">
        <f ca="1">"NM_014955"&amp;IF(INFO("system")="mac",CHAR(13),CHAR(10))&amp;"NM_015935"&amp;IF(INFO("system")="mac",CHAR(13),CHAR(10))&amp;"NM_001007239"</f>
        <v>NM_014955_x000D_NM_015935_x000D_NM_001007239</v>
      </c>
      <c r="D82" s="4">
        <v>51603</v>
      </c>
      <c r="E82" s="4" t="s">
        <v>19</v>
      </c>
      <c r="F82" s="5" t="str">
        <f ca="1">"1651"&amp;IF(INFO("system")="mac",CHAR(13),CHAR(10))&amp;"1976"&amp;IF(INFO("system")="mac",CHAR(13),CHAR(10))&amp;"1508"</f>
        <v>1651_x000D_1976_x000D_1508</v>
      </c>
      <c r="G82" s="5" t="str">
        <f ca="1">"1371"&amp;IF(INFO("system")="mac",CHAR(13),CHAR(10))&amp;"1629"&amp;IF(INFO("system")="mac",CHAR(13),CHAR(10))&amp;"1161"</f>
        <v>1371_x000D_1629_x000D_1161</v>
      </c>
      <c r="H82" s="5" t="str">
        <f ca="1">"457"&amp;IF(INFO("system")="mac",CHAR(13),CHAR(10))&amp;"543"&amp;IF(INFO("system")="mac",CHAR(13),CHAR(10))&amp;"387"</f>
        <v>457_x000D_543_x000D_387</v>
      </c>
      <c r="I82" s="4" t="s">
        <v>246</v>
      </c>
      <c r="J82" s="4" t="s">
        <v>247</v>
      </c>
      <c r="K82" s="4" t="s">
        <v>22</v>
      </c>
      <c r="L82" s="4">
        <v>171761311</v>
      </c>
      <c r="M82" s="4">
        <v>171761311</v>
      </c>
      <c r="N82" s="4" t="s">
        <v>23</v>
      </c>
      <c r="O82" s="4" t="s">
        <v>46</v>
      </c>
      <c r="P82" s="4" t="s">
        <v>25</v>
      </c>
      <c r="Q82" s="4">
        <v>10</v>
      </c>
    </row>
    <row r="83" spans="1:17">
      <c r="A83" s="3">
        <v>31656</v>
      </c>
      <c r="B83" s="4" t="s">
        <v>306</v>
      </c>
      <c r="C83" s="4" t="s">
        <v>307</v>
      </c>
      <c r="D83" s="4">
        <v>127707</v>
      </c>
      <c r="E83" s="4" t="s">
        <v>19</v>
      </c>
      <c r="F83" s="5">
        <v>2019</v>
      </c>
      <c r="G83" s="5">
        <v>1967</v>
      </c>
      <c r="H83" s="5">
        <v>656</v>
      </c>
      <c r="I83" s="4" t="s">
        <v>72</v>
      </c>
      <c r="J83" s="4" t="s">
        <v>73</v>
      </c>
      <c r="K83" s="4" t="s">
        <v>22</v>
      </c>
      <c r="L83" s="4">
        <v>18809442</v>
      </c>
      <c r="M83" s="4">
        <v>18809442</v>
      </c>
      <c r="N83" s="4" t="s">
        <v>23</v>
      </c>
      <c r="O83" s="4" t="s">
        <v>24</v>
      </c>
      <c r="P83" s="4" t="s">
        <v>25</v>
      </c>
      <c r="Q83" s="4">
        <v>15</v>
      </c>
    </row>
    <row r="84" spans="1:17" ht="30">
      <c r="A84" s="3">
        <v>31656</v>
      </c>
      <c r="B84" s="4" t="s">
        <v>308</v>
      </c>
      <c r="C84" s="4" t="str">
        <f ca="1">"NM_012090"&amp;IF(INFO("system")="mac",CHAR(13),CHAR(10))&amp;"NM_033044"</f>
        <v>NM_012090_x000D_NM_033044</v>
      </c>
      <c r="D84" s="4">
        <v>23499</v>
      </c>
      <c r="E84" s="4" t="s">
        <v>19</v>
      </c>
      <c r="F84" s="5" t="str">
        <f ca="1">"12092"&amp;IF(INFO("system")="mac",CHAR(13),CHAR(10))&amp;"13495"</f>
        <v>12092_x000D_13495</v>
      </c>
      <c r="G84" s="5" t="str">
        <f ca="1">"11858"&amp;IF(INFO("system")="mac",CHAR(13),CHAR(10))&amp;"13364"</f>
        <v>11858_x000D_13364</v>
      </c>
      <c r="H84" s="5" t="str">
        <f ca="1">"3953"&amp;IF(INFO("system")="mac",CHAR(13),CHAR(10))&amp;"4455"</f>
        <v>3953_x000D_4455</v>
      </c>
      <c r="I84" s="4" t="s">
        <v>116</v>
      </c>
      <c r="J84" s="4" t="s">
        <v>309</v>
      </c>
      <c r="K84" s="4" t="s">
        <v>22</v>
      </c>
      <c r="L84" s="4">
        <v>39903495</v>
      </c>
      <c r="M84" s="4">
        <v>39903495</v>
      </c>
      <c r="N84" s="4" t="s">
        <v>23</v>
      </c>
      <c r="O84" s="4" t="s">
        <v>46</v>
      </c>
      <c r="P84" s="4" t="s">
        <v>41</v>
      </c>
      <c r="Q84" s="4">
        <v>7</v>
      </c>
    </row>
    <row r="85" spans="1:17">
      <c r="A85" s="3">
        <v>31656</v>
      </c>
      <c r="B85" s="4" t="s">
        <v>310</v>
      </c>
      <c r="C85" s="4" t="s">
        <v>311</v>
      </c>
      <c r="D85" s="4">
        <v>8790</v>
      </c>
      <c r="E85" s="4" t="s">
        <v>19</v>
      </c>
      <c r="F85" s="5">
        <v>722</v>
      </c>
      <c r="G85" s="5">
        <v>655</v>
      </c>
      <c r="H85" s="5">
        <v>219</v>
      </c>
      <c r="I85" s="4" t="s">
        <v>312</v>
      </c>
      <c r="J85" s="4" t="s">
        <v>313</v>
      </c>
      <c r="K85" s="4" t="s">
        <v>22</v>
      </c>
      <c r="L85" s="4">
        <v>74670386</v>
      </c>
      <c r="M85" s="4">
        <v>74670386</v>
      </c>
      <c r="N85" s="4" t="s">
        <v>23</v>
      </c>
      <c r="O85" s="4" t="s">
        <v>46</v>
      </c>
      <c r="P85" s="4" t="s">
        <v>24</v>
      </c>
      <c r="Q85" s="4">
        <v>13</v>
      </c>
    </row>
    <row r="86" spans="1:17" ht="30">
      <c r="A86" s="3">
        <v>31656</v>
      </c>
      <c r="B86" s="4" t="s">
        <v>314</v>
      </c>
      <c r="C86" s="4" t="str">
        <f ca="1">"XM_291816"&amp;IF(INFO("system")="mac",CHAR(13),CHAR(10))&amp;"XM_001717531"</f>
        <v>XM_291816_x000D_XM_001717531</v>
      </c>
      <c r="D86" s="4">
        <v>340990</v>
      </c>
      <c r="E86" s="4" t="s">
        <v>19</v>
      </c>
      <c r="F86" s="5">
        <v>6855</v>
      </c>
      <c r="G86" s="5">
        <v>6855</v>
      </c>
      <c r="H86" s="5">
        <v>2285</v>
      </c>
      <c r="I86" s="4" t="s">
        <v>315</v>
      </c>
      <c r="J86" s="4" t="s">
        <v>316</v>
      </c>
      <c r="K86" s="4" t="s">
        <v>83</v>
      </c>
      <c r="L86" s="4">
        <v>17653355</v>
      </c>
      <c r="M86" s="4">
        <v>17653355</v>
      </c>
      <c r="N86" s="4" t="s">
        <v>23</v>
      </c>
      <c r="O86" s="4" t="s">
        <v>46</v>
      </c>
      <c r="P86" s="4" t="s">
        <v>25</v>
      </c>
      <c r="Q86" s="4">
        <v>14</v>
      </c>
    </row>
    <row r="87" spans="1:17">
      <c r="A87" s="3">
        <v>31656</v>
      </c>
      <c r="B87" s="4" t="s">
        <v>317</v>
      </c>
      <c r="C87" s="4" t="s">
        <v>318</v>
      </c>
      <c r="D87" s="4">
        <v>219438</v>
      </c>
      <c r="E87" s="4" t="s">
        <v>19</v>
      </c>
      <c r="F87" s="5">
        <v>400</v>
      </c>
      <c r="G87" s="5">
        <v>400</v>
      </c>
      <c r="H87" s="5">
        <v>134</v>
      </c>
      <c r="I87" s="4" t="s">
        <v>282</v>
      </c>
      <c r="J87" s="4" t="s">
        <v>319</v>
      </c>
      <c r="K87" s="4" t="s">
        <v>83</v>
      </c>
      <c r="L87" s="4">
        <v>55587505</v>
      </c>
      <c r="M87" s="4">
        <v>55587505</v>
      </c>
      <c r="N87" s="4" t="s">
        <v>23</v>
      </c>
      <c r="O87" s="4" t="s">
        <v>25</v>
      </c>
      <c r="P87" s="4" t="s">
        <v>24</v>
      </c>
      <c r="Q87" s="4">
        <v>-5</v>
      </c>
    </row>
    <row r="88" spans="1:17">
      <c r="A88" s="3">
        <v>31656</v>
      </c>
      <c r="B88" s="4" t="s">
        <v>320</v>
      </c>
      <c r="C88" s="4" t="s">
        <v>321</v>
      </c>
      <c r="D88" s="4">
        <v>79026</v>
      </c>
      <c r="E88" s="4" t="s">
        <v>19</v>
      </c>
      <c r="F88" s="5">
        <v>7732</v>
      </c>
      <c r="G88" s="5">
        <v>7432</v>
      </c>
      <c r="H88" s="5">
        <v>2478</v>
      </c>
      <c r="I88" s="4" t="s">
        <v>20</v>
      </c>
      <c r="J88" s="4" t="s">
        <v>322</v>
      </c>
      <c r="K88" s="4" t="s">
        <v>83</v>
      </c>
      <c r="L88" s="4">
        <v>62294457</v>
      </c>
      <c r="M88" s="4">
        <v>62294457</v>
      </c>
      <c r="N88" s="4" t="s">
        <v>23</v>
      </c>
      <c r="O88" s="4" t="s">
        <v>46</v>
      </c>
      <c r="P88" s="4" t="s">
        <v>41</v>
      </c>
      <c r="Q88" s="4">
        <v>3</v>
      </c>
    </row>
    <row r="89" spans="1:17" ht="60">
      <c r="A89" s="3">
        <v>31656</v>
      </c>
      <c r="B89" s="4" t="s">
        <v>323</v>
      </c>
      <c r="C89" s="4" t="str">
        <f ca="1">"NM_014361"&amp;IF(INFO("system")="mac",CHAR(13),CHAR(10))&amp;"NM_001243270"&amp;IF(INFO("system")="mac",CHAR(13),CHAR(10))&amp;"NM_175566"&amp;IF(INFO("system")="mac",CHAR(13),CHAR(10))&amp;"NM_001243271"</f>
        <v>NM_014361_x000D_NM_001243270_x000D_NM_175566_x000D_NM_001243271</v>
      </c>
      <c r="D89" s="4">
        <v>53942</v>
      </c>
      <c r="E89" s="4" t="s">
        <v>19</v>
      </c>
      <c r="F89" s="5" t="str">
        <f ca="1">"684"&amp;IF(INFO("system")="mac",CHAR(13),CHAR(10))&amp;"710"&amp;IF(INFO("system")="mac",CHAR(13),CHAR(10))&amp;"462"&amp;IF(INFO("system")="mac",CHAR(13),CHAR(10))&amp;"849"</f>
        <v>684_x000D_710_x000D_462_x000D_849</v>
      </c>
      <c r="G89" s="5" t="str">
        <f ca="1">"345"&amp;IF(INFO("system")="mac",CHAR(13),CHAR(10))&amp;"345"&amp;IF(INFO("system")="mac",CHAR(13),CHAR(10))&amp;"123"&amp;IF(INFO("system")="mac",CHAR(13),CHAR(10))&amp;"345"</f>
        <v>345_x000D_345_x000D_123_x000D_345</v>
      </c>
      <c r="H89" s="5" t="str">
        <f ca="1">"115"&amp;IF(INFO("system")="mac",CHAR(13),CHAR(10))&amp;"115"&amp;IF(INFO("system")="mac",CHAR(13),CHAR(10))&amp;"41"&amp;IF(INFO("system")="mac",CHAR(13),CHAR(10))&amp;"115"</f>
        <v>115_x000D_115_x000D_41_x000D_115</v>
      </c>
      <c r="I89" s="4" t="s">
        <v>246</v>
      </c>
      <c r="J89" s="4" t="s">
        <v>324</v>
      </c>
      <c r="K89" s="4" t="s">
        <v>83</v>
      </c>
      <c r="L89" s="4">
        <v>99715651</v>
      </c>
      <c r="M89" s="4">
        <v>99715651</v>
      </c>
      <c r="N89" s="4" t="s">
        <v>23</v>
      </c>
      <c r="O89" s="4" t="s">
        <v>41</v>
      </c>
      <c r="P89" s="4" t="s">
        <v>24</v>
      </c>
      <c r="Q89" s="4">
        <v>9</v>
      </c>
    </row>
    <row r="90" spans="1:17" ht="30">
      <c r="A90" s="3">
        <v>31656</v>
      </c>
      <c r="B90" s="4" t="s">
        <v>325</v>
      </c>
      <c r="C90" s="4" t="str">
        <f ca="1">"NM_001160708"&amp;IF(INFO("system")="mac",CHAR(13),CHAR(10))&amp;"NM_018082"</f>
        <v>NM_001160708_x000D_NM_018082</v>
      </c>
      <c r="D90" s="4">
        <v>55703</v>
      </c>
      <c r="E90" s="4" t="s">
        <v>19</v>
      </c>
      <c r="F90" s="5" t="str">
        <f ca="1">"2871"&amp;IF(INFO("system")="mac",CHAR(13),CHAR(10))&amp;"3024"</f>
        <v>2871_x000D_3024</v>
      </c>
      <c r="G90" s="5" t="str">
        <f ca="1">"2628"&amp;IF(INFO("system")="mac",CHAR(13),CHAR(10))&amp;"2802"</f>
        <v>2628_x000D_2802</v>
      </c>
      <c r="H90" s="5" t="str">
        <f ca="1">"876"&amp;IF(INFO("system")="mac",CHAR(13),CHAR(10))&amp;"934"</f>
        <v>876_x000D_934</v>
      </c>
      <c r="I90" s="4" t="s">
        <v>199</v>
      </c>
      <c r="J90" s="4" t="s">
        <v>326</v>
      </c>
      <c r="K90" s="4" t="s">
        <v>104</v>
      </c>
      <c r="L90" s="4">
        <v>106889921</v>
      </c>
      <c r="M90" s="4">
        <v>106889921</v>
      </c>
      <c r="N90" s="4" t="s">
        <v>23</v>
      </c>
      <c r="O90" s="4" t="s">
        <v>46</v>
      </c>
      <c r="P90" s="4" t="s">
        <v>25</v>
      </c>
      <c r="Q90" s="4">
        <v>0</v>
      </c>
    </row>
    <row r="91" spans="1:17">
      <c r="A91" s="3">
        <v>31656</v>
      </c>
      <c r="B91" s="4" t="s">
        <v>327</v>
      </c>
      <c r="C91" s="4" t="s">
        <v>328</v>
      </c>
      <c r="D91" s="4">
        <v>11211</v>
      </c>
      <c r="E91" s="4" t="s">
        <v>19</v>
      </c>
      <c r="F91" s="5">
        <v>687</v>
      </c>
      <c r="G91" s="5">
        <v>203</v>
      </c>
      <c r="H91" s="5">
        <v>68</v>
      </c>
      <c r="I91" s="4" t="s">
        <v>49</v>
      </c>
      <c r="J91" s="4" t="s">
        <v>329</v>
      </c>
      <c r="K91" s="4" t="s">
        <v>104</v>
      </c>
      <c r="L91" s="4">
        <v>130647690</v>
      </c>
      <c r="M91" s="4">
        <v>130647690</v>
      </c>
      <c r="N91" s="4" t="s">
        <v>23</v>
      </c>
      <c r="O91" s="4" t="s">
        <v>41</v>
      </c>
      <c r="P91" s="4" t="s">
        <v>46</v>
      </c>
      <c r="Q91" s="4">
        <v>5</v>
      </c>
    </row>
    <row r="92" spans="1:17">
      <c r="A92" s="3">
        <v>31656</v>
      </c>
      <c r="B92" s="4" t="s">
        <v>330</v>
      </c>
      <c r="C92" s="4" t="s">
        <v>331</v>
      </c>
      <c r="D92" s="4">
        <v>51729</v>
      </c>
      <c r="E92" s="4" t="s">
        <v>19</v>
      </c>
      <c r="F92" s="5">
        <v>1525</v>
      </c>
      <c r="G92" s="5">
        <v>1364</v>
      </c>
      <c r="H92" s="5">
        <v>455</v>
      </c>
      <c r="I92" s="4" t="s">
        <v>332</v>
      </c>
      <c r="J92" s="4" t="s">
        <v>333</v>
      </c>
      <c r="K92" s="4" t="s">
        <v>104</v>
      </c>
      <c r="L92" s="4">
        <v>14942013</v>
      </c>
      <c r="M92" s="4">
        <v>14942013</v>
      </c>
      <c r="N92" s="4" t="s">
        <v>23</v>
      </c>
      <c r="O92" s="4" t="s">
        <v>24</v>
      </c>
      <c r="P92" s="4" t="s">
        <v>25</v>
      </c>
      <c r="Q92" s="4">
        <v>-3</v>
      </c>
    </row>
    <row r="93" spans="1:17">
      <c r="A93" s="3">
        <v>31656</v>
      </c>
      <c r="B93" s="4" t="s">
        <v>334</v>
      </c>
      <c r="C93" s="4" t="s">
        <v>335</v>
      </c>
      <c r="D93" s="4">
        <v>5042</v>
      </c>
      <c r="E93" s="4" t="s">
        <v>31</v>
      </c>
      <c r="F93" s="5" t="s">
        <v>336</v>
      </c>
      <c r="G93" s="5" t="s">
        <v>337</v>
      </c>
      <c r="H93" s="5" t="s">
        <v>338</v>
      </c>
      <c r="I93" s="4" t="s">
        <v>35</v>
      </c>
      <c r="J93" s="4" t="s">
        <v>35</v>
      </c>
      <c r="K93" s="4" t="s">
        <v>339</v>
      </c>
      <c r="L93" s="4">
        <v>25671311</v>
      </c>
      <c r="M93" s="4">
        <v>25671315</v>
      </c>
      <c r="N93" s="4" t="s">
        <v>36</v>
      </c>
      <c r="O93" s="4" t="s">
        <v>340</v>
      </c>
      <c r="P93" s="4"/>
      <c r="Q93" s="4">
        <v>-1</v>
      </c>
    </row>
    <row r="94" spans="1:17">
      <c r="A94" s="3">
        <v>31656</v>
      </c>
      <c r="B94" s="4" t="s">
        <v>341</v>
      </c>
      <c r="C94" s="4" t="s">
        <v>342</v>
      </c>
      <c r="D94" s="4">
        <v>7051</v>
      </c>
      <c r="E94" s="4" t="s">
        <v>19</v>
      </c>
      <c r="F94" s="5">
        <v>1010</v>
      </c>
      <c r="G94" s="5">
        <v>886</v>
      </c>
      <c r="H94" s="5">
        <v>296</v>
      </c>
      <c r="I94" s="4" t="s">
        <v>27</v>
      </c>
      <c r="J94" s="4" t="s">
        <v>28</v>
      </c>
      <c r="K94" s="4" t="s">
        <v>118</v>
      </c>
      <c r="L94" s="4">
        <v>24729008</v>
      </c>
      <c r="M94" s="4">
        <v>24729008</v>
      </c>
      <c r="N94" s="4" t="s">
        <v>23</v>
      </c>
      <c r="O94" s="4" t="s">
        <v>46</v>
      </c>
      <c r="P94" s="4" t="s">
        <v>41</v>
      </c>
      <c r="Q94" s="4">
        <v>15</v>
      </c>
    </row>
    <row r="95" spans="1:17" ht="45">
      <c r="A95" s="3">
        <v>31656</v>
      </c>
      <c r="B95" s="4" t="s">
        <v>343</v>
      </c>
      <c r="C95" s="4" t="str">
        <f ca="1">"NM_004796"&amp;IF(INFO("system")="mac",CHAR(13),CHAR(10))&amp;"NM_001105250"&amp;IF(INFO("system")="mac",CHAR(13),CHAR(10))&amp;"NM_138970"</f>
        <v>NM_004796_x000D_NM_001105250_x000D_NM_138970</v>
      </c>
      <c r="D95" s="4">
        <v>9369</v>
      </c>
      <c r="E95" s="4" t="s">
        <v>19</v>
      </c>
      <c r="F95" s="5" t="str">
        <f ca="1">"3638"&amp;IF(INFO("system")="mac",CHAR(13),CHAR(10))&amp;"2322"&amp;IF(INFO("system")="mac",CHAR(13),CHAR(10))&amp;"2241"</f>
        <v>3638_x000D_2322_x000D_2241</v>
      </c>
      <c r="G95" s="5" t="str">
        <f ca="1">"3147"&amp;IF(INFO("system")="mac",CHAR(13),CHAR(10))&amp;"1341"&amp;IF(INFO("system")="mac",CHAR(13),CHAR(10))&amp;"1260"</f>
        <v>3147_x000D_1341_x000D_1260</v>
      </c>
      <c r="H95" s="5" t="str">
        <f ca="1">"1049"&amp;IF(INFO("system")="mac",CHAR(13),CHAR(10))&amp;"447"&amp;IF(INFO("system")="mac",CHAR(13),CHAR(10))&amp;"420"</f>
        <v>1049_x000D_447_x000D_420</v>
      </c>
      <c r="I95" s="4" t="s">
        <v>344</v>
      </c>
      <c r="J95" s="4" t="s">
        <v>345</v>
      </c>
      <c r="K95" s="4" t="s">
        <v>118</v>
      </c>
      <c r="L95" s="4">
        <v>80328268</v>
      </c>
      <c r="M95" s="4">
        <v>80328268</v>
      </c>
      <c r="N95" s="4" t="s">
        <v>23</v>
      </c>
      <c r="O95" s="4" t="s">
        <v>46</v>
      </c>
      <c r="P95" s="4" t="s">
        <v>24</v>
      </c>
      <c r="Q95" s="4">
        <v>2</v>
      </c>
    </row>
    <row r="96" spans="1:17" ht="45">
      <c r="A96" s="3">
        <v>31656</v>
      </c>
      <c r="B96" s="4" t="s">
        <v>346</v>
      </c>
      <c r="C96" s="4" t="str">
        <f ca="1">"NM_001105192"&amp;IF(INFO("system")="mac",CHAR(13),CHAR(10))&amp;"NM_020908"&amp;IF(INFO("system")="mac",CHAR(13),CHAR(10))&amp;"NM_005078"</f>
        <v>NM_001105192_x000D_NM_020908_x000D_NM_005078</v>
      </c>
      <c r="D96" s="4">
        <v>7090</v>
      </c>
      <c r="E96" s="4" t="s">
        <v>19</v>
      </c>
      <c r="F96" s="5" t="str">
        <f ca="1">"2223"&amp;IF(INFO("system")="mac",CHAR(13),CHAR(10))&amp;"2196"&amp;IF(INFO("system")="mac",CHAR(13),CHAR(10))&amp;"2232"</f>
        <v>2223_x000D_2196_x000D_2232</v>
      </c>
      <c r="G96" s="5" t="str">
        <f ca="1">"1104"&amp;IF(INFO("system")="mac",CHAR(13),CHAR(10))&amp;"1077"&amp;IF(INFO("system")="mac",CHAR(13),CHAR(10))&amp;"1113"</f>
        <v>1104_x000D_1077_x000D_1113</v>
      </c>
      <c r="H96" s="5" t="str">
        <f ca="1">"368"&amp;IF(INFO("system")="mac",CHAR(13),CHAR(10))&amp;"359"&amp;IF(INFO("system")="mac",CHAR(13),CHAR(10))&amp;"371"</f>
        <v>368_x000D_359_x000D_371</v>
      </c>
      <c r="I96" s="4" t="s">
        <v>199</v>
      </c>
      <c r="J96" s="4" t="s">
        <v>347</v>
      </c>
      <c r="K96" s="4" t="s">
        <v>120</v>
      </c>
      <c r="L96" s="4">
        <v>70349945</v>
      </c>
      <c r="M96" s="4">
        <v>70349945</v>
      </c>
      <c r="N96" s="4" t="s">
        <v>23</v>
      </c>
      <c r="O96" s="4" t="s">
        <v>24</v>
      </c>
      <c r="P96" s="4" t="s">
        <v>46</v>
      </c>
      <c r="Q96" s="4">
        <v>10</v>
      </c>
    </row>
    <row r="97" spans="1:17" ht="30">
      <c r="A97" s="3">
        <v>31656</v>
      </c>
      <c r="B97" s="4" t="s">
        <v>348</v>
      </c>
      <c r="C97" s="4" t="str">
        <f ca="1">"NM_021098"&amp;IF(INFO("system")="mac",CHAR(13),CHAR(10))&amp;"NM_001005407"</f>
        <v>NM_021098_x000D_NM_001005407</v>
      </c>
      <c r="D97" s="4">
        <v>8912</v>
      </c>
      <c r="E97" s="4" t="s">
        <v>19</v>
      </c>
      <c r="F97" s="5">
        <v>2422</v>
      </c>
      <c r="G97" s="5">
        <v>2174</v>
      </c>
      <c r="H97" s="5">
        <v>725</v>
      </c>
      <c r="I97" s="4" t="s">
        <v>72</v>
      </c>
      <c r="J97" s="4" t="s">
        <v>297</v>
      </c>
      <c r="K97" s="4" t="s">
        <v>129</v>
      </c>
      <c r="L97" s="4">
        <v>1254181</v>
      </c>
      <c r="M97" s="4">
        <v>1254181</v>
      </c>
      <c r="N97" s="4" t="s">
        <v>23</v>
      </c>
      <c r="O97" s="4" t="s">
        <v>24</v>
      </c>
      <c r="P97" s="4" t="s">
        <v>25</v>
      </c>
      <c r="Q97" s="4">
        <v>5</v>
      </c>
    </row>
    <row r="98" spans="1:17">
      <c r="A98" s="3">
        <v>31656</v>
      </c>
      <c r="B98" s="4" t="s">
        <v>349</v>
      </c>
      <c r="C98" s="4" t="s">
        <v>350</v>
      </c>
      <c r="D98" s="4">
        <v>23174</v>
      </c>
      <c r="E98" s="4" t="s">
        <v>19</v>
      </c>
      <c r="F98" s="5">
        <v>2033</v>
      </c>
      <c r="G98" s="5">
        <v>2006</v>
      </c>
      <c r="H98" s="5">
        <v>669</v>
      </c>
      <c r="I98" s="4" t="s">
        <v>351</v>
      </c>
      <c r="J98" s="4" t="s">
        <v>352</v>
      </c>
      <c r="K98" s="4" t="s">
        <v>129</v>
      </c>
      <c r="L98" s="4">
        <v>87445910</v>
      </c>
      <c r="M98" s="4">
        <v>87445910</v>
      </c>
      <c r="N98" s="4" t="s">
        <v>23</v>
      </c>
      <c r="O98" s="4" t="s">
        <v>25</v>
      </c>
      <c r="P98" s="4" t="s">
        <v>24</v>
      </c>
      <c r="Q98" s="4">
        <v>20</v>
      </c>
    </row>
    <row r="99" spans="1:17">
      <c r="A99" s="3">
        <v>31656</v>
      </c>
      <c r="B99" s="4" t="s">
        <v>353</v>
      </c>
      <c r="C99" s="4" t="s">
        <v>354</v>
      </c>
      <c r="D99" s="4">
        <v>124044</v>
      </c>
      <c r="E99" s="4" t="s">
        <v>19</v>
      </c>
      <c r="F99" s="5">
        <v>1180</v>
      </c>
      <c r="G99" s="5">
        <v>1093</v>
      </c>
      <c r="H99" s="5">
        <v>365</v>
      </c>
      <c r="I99" s="4" t="s">
        <v>154</v>
      </c>
      <c r="J99" s="4" t="s">
        <v>155</v>
      </c>
      <c r="K99" s="4" t="s">
        <v>129</v>
      </c>
      <c r="L99" s="4">
        <v>89763924</v>
      </c>
      <c r="M99" s="4">
        <v>89763924</v>
      </c>
      <c r="N99" s="4" t="s">
        <v>23</v>
      </c>
      <c r="O99" s="4" t="s">
        <v>46</v>
      </c>
      <c r="P99" s="4" t="s">
        <v>41</v>
      </c>
      <c r="Q99" s="4">
        <v>16</v>
      </c>
    </row>
    <row r="100" spans="1:17" ht="45">
      <c r="A100" s="3">
        <v>31656</v>
      </c>
      <c r="B100" s="4" t="s">
        <v>355</v>
      </c>
      <c r="C100" s="4" t="str">
        <f ca="1">"NM_001134407"&amp;IF(INFO("system")="mac",CHAR(13),CHAR(10))&amp;"NM_000833"&amp;IF(INFO("system")="mac",CHAR(13),CHAR(10))&amp;"NM_001134408"</f>
        <v>NM_001134407_x000D_NM_000833_x000D_NM_001134408</v>
      </c>
      <c r="D100" s="4">
        <v>2903</v>
      </c>
      <c r="E100" s="4" t="s">
        <v>19</v>
      </c>
      <c r="F100" s="5" t="str">
        <f ca="1">"3612"&amp;IF(INFO("system")="mac",CHAR(13),CHAR(10))&amp;"3374"&amp;IF(INFO("system")="mac",CHAR(13),CHAR(10))&amp;"3273"</f>
        <v>3612_x000D_3374_x000D_3273</v>
      </c>
      <c r="G100" s="5">
        <v>3064</v>
      </c>
      <c r="H100" s="5">
        <v>1022</v>
      </c>
      <c r="I100" s="4" t="s">
        <v>356</v>
      </c>
      <c r="J100" s="4" t="s">
        <v>357</v>
      </c>
      <c r="K100" s="4" t="s">
        <v>129</v>
      </c>
      <c r="L100" s="4">
        <v>9858337</v>
      </c>
      <c r="M100" s="4">
        <v>9858337</v>
      </c>
      <c r="N100" s="4" t="s">
        <v>23</v>
      </c>
      <c r="O100" s="4" t="s">
        <v>24</v>
      </c>
      <c r="P100" s="4" t="s">
        <v>46</v>
      </c>
      <c r="Q100" s="4">
        <v>15</v>
      </c>
    </row>
    <row r="101" spans="1:17">
      <c r="A101" s="3">
        <v>31656</v>
      </c>
      <c r="B101" s="4" t="s">
        <v>358</v>
      </c>
      <c r="C101" s="4" t="s">
        <v>359</v>
      </c>
      <c r="D101" s="4">
        <v>51168</v>
      </c>
      <c r="E101" s="4" t="s">
        <v>19</v>
      </c>
      <c r="F101" s="5">
        <v>4439</v>
      </c>
      <c r="G101" s="5">
        <v>4101</v>
      </c>
      <c r="H101" s="5">
        <v>1367</v>
      </c>
      <c r="I101" s="4" t="s">
        <v>360</v>
      </c>
      <c r="J101" s="4" t="s">
        <v>361</v>
      </c>
      <c r="K101" s="4" t="s">
        <v>133</v>
      </c>
      <c r="L101" s="4">
        <v>18034615</v>
      </c>
      <c r="M101" s="4">
        <v>18034615</v>
      </c>
      <c r="N101" s="4" t="s">
        <v>23</v>
      </c>
      <c r="O101" s="4" t="s">
        <v>46</v>
      </c>
      <c r="P101" s="4" t="s">
        <v>24</v>
      </c>
      <c r="Q101" s="4">
        <v>7</v>
      </c>
    </row>
    <row r="102" spans="1:17">
      <c r="A102" s="3">
        <v>31656</v>
      </c>
      <c r="B102" s="4" t="s">
        <v>362</v>
      </c>
      <c r="C102" s="4" t="s">
        <v>363</v>
      </c>
      <c r="D102" s="4">
        <v>8506</v>
      </c>
      <c r="E102" s="4" t="s">
        <v>19</v>
      </c>
      <c r="F102" s="5">
        <v>1649</v>
      </c>
      <c r="G102" s="5">
        <v>1433</v>
      </c>
      <c r="H102" s="5">
        <v>478</v>
      </c>
      <c r="I102" s="4" t="s">
        <v>95</v>
      </c>
      <c r="J102" s="4" t="s">
        <v>364</v>
      </c>
      <c r="K102" s="4" t="s">
        <v>133</v>
      </c>
      <c r="L102" s="4">
        <v>40840606</v>
      </c>
      <c r="M102" s="4">
        <v>40840606</v>
      </c>
      <c r="N102" s="4" t="s">
        <v>23</v>
      </c>
      <c r="O102" s="4" t="s">
        <v>46</v>
      </c>
      <c r="P102" s="4" t="s">
        <v>41</v>
      </c>
      <c r="Q102" s="4">
        <v>1</v>
      </c>
    </row>
    <row r="103" spans="1:17" ht="105">
      <c r="A103" s="3">
        <v>31656</v>
      </c>
      <c r="B103" s="4" t="s">
        <v>130</v>
      </c>
      <c r="C103" s="4" t="str">
        <f ca="1">"NM_001126117"&amp;IF(INFO("system")="mac",CHAR(13),CHAR(10))&amp;"NM_001126115"&amp;IF(INFO("system")="mac",CHAR(13),CHAR(10))&amp;"NM_000546"&amp;IF(INFO("system")="mac",CHAR(13),CHAR(10))&amp;"NM_001126112"&amp;IF(INFO("system")="mac",CHAR(13),CHAR(10))&amp;"NM_001126116"&amp;IF(INFO("system")="mac",CHAR(13),CHAR(10))&amp;"NM_001126114"&amp;IF(INFO("system")="mac",CHAR(13),CHAR(10))&amp;"NM_001126113"</f>
        <v>NM_001126117_x000D_NM_001126115_x000D_NM_000546_x000D_NM_001126112_x000D_NM_001126116_x000D_NM_001126114_x000D_NM_001126113</v>
      </c>
      <c r="D103" s="4">
        <v>7157</v>
      </c>
      <c r="E103" s="4" t="str">
        <f ca="1">"NMD_TRANSCRIPT,NON_SYNONYMOUS_CODING"&amp;IF(INFO("system")="mac",CHAR(13),CHAR(10))&amp;"NON_SYNONYMOUS_CODING"&amp;IF(INFO("system")="mac",CHAR(13),CHAR(10))&amp;"NON_SYNONYMOUS_CODING"&amp;IF(INFO("system")="mac",CHAR(13),CHAR(10))&amp;"NON_SYNONYMOUS_CODING"&amp;IF(INFO("system")="mac",CHAR(13),CHAR(10))&amp;"NMD_TRANSCRIPT,NON_SYNONYMOUS_CODING"&amp;IF(INFO("system")="mac",CHAR(13),CHAR(10))&amp;"NMD_TRANSCRIPT,NON_SYNONYMOUS_CODING"&amp;IF(INFO("system")="mac",CHAR(13),CHAR(10))&amp;"NMD_TRANSCRIPT,NON_SYNONYMOUS_CODING"</f>
        <v>NMD_TRANSCRIPT,NON_SYNONYMOUS_CODING_x000D_NON_SYNONYMOUS_CODING_x000D_NON_SYNONYMOUS_CODING_x000D_NON_SYNONYMOUS_CODING_x000D_NMD_TRANSCRIPT,NON_SYNONYMOUS_CODING_x000D_NMD_TRANSCRIPT,NON_SYNONYMOUS_CODING_x000D_NMD_TRANSCRIPT,NON_SYNONYMOUS_CODING</v>
      </c>
      <c r="F103" s="5" t="str">
        <f ca="1">"337"&amp;IF(INFO("system")="mac",CHAR(13),CHAR(10))&amp;"337"&amp;IF(INFO("system")="mac",CHAR(13),CHAR(10))&amp;"652"&amp;IF(INFO("system")="mac",CHAR(13),CHAR(10))&amp;"649"&amp;IF(INFO("system")="mac",CHAR(13),CHAR(10))&amp;"337"&amp;IF(INFO("system")="mac",CHAR(13),CHAR(10))&amp;"652"&amp;IF(INFO("system")="mac",CHAR(13),CHAR(10))&amp;"652"</f>
        <v>337_x000D_337_x000D_652_x000D_649_x000D_337_x000D_652_x000D_652</v>
      </c>
      <c r="G103" s="5" t="str">
        <f ca="1">"59"&amp;IF(INFO("system")="mac",CHAR(13),CHAR(10))&amp;"59"&amp;IF(INFO("system")="mac",CHAR(13),CHAR(10))&amp;"455"&amp;IF(INFO("system")="mac",CHAR(13),CHAR(10))&amp;"455"&amp;IF(INFO("system")="mac",CHAR(13),CHAR(10))&amp;"59"&amp;IF(INFO("system")="mac",CHAR(13),CHAR(10))&amp;"455"&amp;IF(INFO("system")="mac",CHAR(13),CHAR(10))&amp;"455"</f>
        <v>59_x000D_59_x000D_455_x000D_455_x000D_59_x000D_455_x000D_455</v>
      </c>
      <c r="H103" s="5" t="str">
        <f ca="1">"20"&amp;IF(INFO("system")="mac",CHAR(13),CHAR(10))&amp;"20"&amp;IF(INFO("system")="mac",CHAR(13),CHAR(10))&amp;"152"&amp;IF(INFO("system")="mac",CHAR(13),CHAR(10))&amp;"152"&amp;IF(INFO("system")="mac",CHAR(13),CHAR(10))&amp;"20"&amp;IF(INFO("system")="mac",CHAR(13),CHAR(10))&amp;"152"&amp;IF(INFO("system")="mac",CHAR(13),CHAR(10))&amp;"152"</f>
        <v>20_x000D_20_x000D_152_x000D_152_x000D_20_x000D_152_x000D_152</v>
      </c>
      <c r="I103" s="4" t="s">
        <v>332</v>
      </c>
      <c r="J103" s="4" t="s">
        <v>365</v>
      </c>
      <c r="K103" s="4" t="s">
        <v>133</v>
      </c>
      <c r="L103" s="4">
        <v>7578475</v>
      </c>
      <c r="M103" s="4">
        <v>7578475</v>
      </c>
      <c r="N103" s="4" t="s">
        <v>23</v>
      </c>
      <c r="O103" s="4" t="s">
        <v>24</v>
      </c>
      <c r="P103" s="4" t="s">
        <v>25</v>
      </c>
      <c r="Q103" s="4">
        <v>16</v>
      </c>
    </row>
    <row r="104" spans="1:17">
      <c r="A104" s="3">
        <v>31656</v>
      </c>
      <c r="B104" s="4" t="s">
        <v>366</v>
      </c>
      <c r="C104" s="4" t="s">
        <v>367</v>
      </c>
      <c r="D104" s="4">
        <v>23239</v>
      </c>
      <c r="E104" s="4" t="s">
        <v>19</v>
      </c>
      <c r="F104" s="5">
        <v>3222</v>
      </c>
      <c r="G104" s="5">
        <v>2977</v>
      </c>
      <c r="H104" s="5">
        <v>993</v>
      </c>
      <c r="I104" s="4" t="s">
        <v>154</v>
      </c>
      <c r="J104" s="4" t="s">
        <v>155</v>
      </c>
      <c r="K104" s="4" t="s">
        <v>135</v>
      </c>
      <c r="L104" s="4">
        <v>60608967</v>
      </c>
      <c r="M104" s="4">
        <v>60608967</v>
      </c>
      <c r="N104" s="4" t="s">
        <v>23</v>
      </c>
      <c r="O104" s="4" t="s">
        <v>24</v>
      </c>
      <c r="P104" s="4" t="s">
        <v>25</v>
      </c>
      <c r="Q104" s="4">
        <v>16</v>
      </c>
    </row>
    <row r="105" spans="1:17">
      <c r="A105" s="3">
        <v>31656</v>
      </c>
      <c r="B105" s="4" t="s">
        <v>368</v>
      </c>
      <c r="C105" s="4" t="s">
        <v>369</v>
      </c>
      <c r="D105" s="4">
        <v>6519</v>
      </c>
      <c r="E105" s="4" t="s">
        <v>76</v>
      </c>
      <c r="F105" s="5">
        <v>241</v>
      </c>
      <c r="G105" s="5">
        <v>163</v>
      </c>
      <c r="H105" s="5">
        <v>55</v>
      </c>
      <c r="I105" s="4" t="s">
        <v>370</v>
      </c>
      <c r="J105" s="4" t="s">
        <v>371</v>
      </c>
      <c r="K105" s="4" t="s">
        <v>172</v>
      </c>
      <c r="L105" s="4">
        <v>44502837</v>
      </c>
      <c r="M105" s="4">
        <v>44502837</v>
      </c>
      <c r="N105" s="4" t="s">
        <v>23</v>
      </c>
      <c r="O105" s="4" t="s">
        <v>46</v>
      </c>
      <c r="P105" s="4" t="s">
        <v>41</v>
      </c>
      <c r="Q105" s="4">
        <v>2</v>
      </c>
    </row>
    <row r="106" spans="1:17">
      <c r="A106" s="3">
        <v>31656</v>
      </c>
      <c r="B106" s="4" t="s">
        <v>372</v>
      </c>
      <c r="C106" s="4" t="s">
        <v>373</v>
      </c>
      <c r="D106" s="4">
        <v>23150</v>
      </c>
      <c r="E106" s="4" t="s">
        <v>19</v>
      </c>
      <c r="F106" s="5">
        <v>625</v>
      </c>
      <c r="G106" s="5">
        <v>335</v>
      </c>
      <c r="H106" s="5">
        <v>112</v>
      </c>
      <c r="I106" s="4" t="s">
        <v>374</v>
      </c>
      <c r="J106" s="4" t="s">
        <v>375</v>
      </c>
      <c r="K106" s="4" t="s">
        <v>201</v>
      </c>
      <c r="L106" s="4">
        <v>69351575</v>
      </c>
      <c r="M106" s="4">
        <v>69351575</v>
      </c>
      <c r="N106" s="4" t="s">
        <v>23</v>
      </c>
      <c r="O106" s="4" t="s">
        <v>41</v>
      </c>
      <c r="P106" s="4" t="s">
        <v>25</v>
      </c>
      <c r="Q106" s="4">
        <v>4</v>
      </c>
    </row>
    <row r="107" spans="1:17">
      <c r="A107" s="3">
        <v>31656</v>
      </c>
      <c r="B107" s="4" t="s">
        <v>376</v>
      </c>
      <c r="C107" s="4" t="s">
        <v>377</v>
      </c>
      <c r="D107" s="4">
        <v>64579</v>
      </c>
      <c r="E107" s="4" t="s">
        <v>19</v>
      </c>
      <c r="F107" s="5">
        <v>2483</v>
      </c>
      <c r="G107" s="5">
        <v>1804</v>
      </c>
      <c r="H107" s="5">
        <v>602</v>
      </c>
      <c r="I107" s="4" t="s">
        <v>378</v>
      </c>
      <c r="J107" s="4" t="s">
        <v>379</v>
      </c>
      <c r="K107" s="4" t="s">
        <v>220</v>
      </c>
      <c r="L107" s="4">
        <v>115773893</v>
      </c>
      <c r="M107" s="4">
        <v>115773893</v>
      </c>
      <c r="N107" s="4" t="s">
        <v>23</v>
      </c>
      <c r="O107" s="4" t="s">
        <v>24</v>
      </c>
      <c r="P107" s="4" t="s">
        <v>41</v>
      </c>
      <c r="Q107" s="4">
        <v>17</v>
      </c>
    </row>
    <row r="108" spans="1:17">
      <c r="A108" s="3">
        <v>31656</v>
      </c>
      <c r="B108" s="4" t="s">
        <v>380</v>
      </c>
      <c r="C108" s="4" t="s">
        <v>381</v>
      </c>
      <c r="D108" s="4">
        <v>253017</v>
      </c>
      <c r="E108" s="4" t="s">
        <v>19</v>
      </c>
      <c r="F108" s="5">
        <v>635</v>
      </c>
      <c r="G108" s="5">
        <v>526</v>
      </c>
      <c r="H108" s="5">
        <v>176</v>
      </c>
      <c r="I108" s="4" t="s">
        <v>356</v>
      </c>
      <c r="J108" s="4" t="s">
        <v>382</v>
      </c>
      <c r="K108" s="4" t="s">
        <v>220</v>
      </c>
      <c r="L108" s="4">
        <v>65180391</v>
      </c>
      <c r="M108" s="4">
        <v>65180391</v>
      </c>
      <c r="N108" s="4" t="s">
        <v>23</v>
      </c>
      <c r="O108" s="4" t="s">
        <v>41</v>
      </c>
      <c r="P108" s="4" t="s">
        <v>46</v>
      </c>
      <c r="Q108" s="4">
        <v>10</v>
      </c>
    </row>
    <row r="109" spans="1:17">
      <c r="A109" s="3">
        <v>31656</v>
      </c>
      <c r="B109" s="4" t="s">
        <v>383</v>
      </c>
      <c r="C109" s="4" t="s">
        <v>384</v>
      </c>
      <c r="D109" s="4">
        <v>79685</v>
      </c>
      <c r="E109" s="4" t="s">
        <v>19</v>
      </c>
      <c r="F109" s="5">
        <v>893</v>
      </c>
      <c r="G109" s="5">
        <v>245</v>
      </c>
      <c r="H109" s="5">
        <v>82</v>
      </c>
      <c r="I109" s="4" t="s">
        <v>385</v>
      </c>
      <c r="J109" s="4" t="s">
        <v>386</v>
      </c>
      <c r="K109" s="4" t="s">
        <v>226</v>
      </c>
      <c r="L109" s="4">
        <v>153830694</v>
      </c>
      <c r="M109" s="4">
        <v>153830694</v>
      </c>
      <c r="N109" s="4" t="s">
        <v>23</v>
      </c>
      <c r="O109" s="4" t="s">
        <v>25</v>
      </c>
      <c r="P109" s="4" t="s">
        <v>24</v>
      </c>
      <c r="Q109" s="4">
        <v>8</v>
      </c>
    </row>
    <row r="110" spans="1:17" ht="90">
      <c r="A110" s="3">
        <v>31656</v>
      </c>
      <c r="B110" s="4" t="s">
        <v>387</v>
      </c>
      <c r="C110" s="4" t="str">
        <f ca="1">"NM_001165899"&amp;IF(INFO("system")="mac",CHAR(13),CHAR(10))&amp;"NM_001197218"&amp;IF(INFO("system")="mac",CHAR(13),CHAR(10))&amp;"NM_006203"&amp;IF(INFO("system")="mac",CHAR(13),CHAR(10))&amp;"NM_001104631"&amp;IF(INFO("system")="mac",CHAR(13),CHAR(10))&amp;"NM_001197220"&amp;IF(INFO("system")="mac",CHAR(13),CHAR(10))&amp;"NM_001197219"</f>
        <v>NM_001165899_x000D_NM_001197218_x000D_NM_006203_x000D_NM_001104631_x000D_NM_001197220_x000D_NM_001197219</v>
      </c>
      <c r="D110" s="4">
        <v>5144</v>
      </c>
      <c r="E110" s="4" t="s">
        <v>31</v>
      </c>
      <c r="F110" s="5" t="str">
        <f ca="1">"779"&amp;IF(INFO("system")="mac",CHAR(13),CHAR(10))&amp;"627"&amp;IF(INFO("system")="mac",CHAR(13),CHAR(10))&amp;"431"&amp;IF(INFO("system")="mac",CHAR(13),CHAR(10))&amp;"888"&amp;IF(INFO("system")="mac",CHAR(13),CHAR(10))&amp;"1043"&amp;IF(INFO("system")="mac",CHAR(13),CHAR(10))&amp;"405"</f>
        <v>779_x000D_627_x000D_431_x000D_888_x000D_1043_x000D_405</v>
      </c>
      <c r="G110" s="5" t="str">
        <f ca="1">"533"&amp;IF(INFO("system")="mac",CHAR(13),CHAR(10))&amp;"524"&amp;IF(INFO("system")="mac",CHAR(13),CHAR(10))&amp;"308"&amp;IF(INFO("system")="mac",CHAR(13),CHAR(10))&amp;"716"&amp;IF(INFO("system")="mac",CHAR(13),CHAR(10))&amp;"326"&amp;IF(INFO("system")="mac",CHAR(13),CHAR(10))&amp;"350"</f>
        <v>533_x000D_524_x000D_308_x000D_716_x000D_326_x000D_350</v>
      </c>
      <c r="H110" s="5" t="str">
        <f ca="1">"178"&amp;IF(INFO("system")="mac",CHAR(13),CHAR(10))&amp;"175"&amp;IF(INFO("system")="mac",CHAR(13),CHAR(10))&amp;"103"&amp;IF(INFO("system")="mac",CHAR(13),CHAR(10))&amp;"239"&amp;IF(INFO("system")="mac",CHAR(13),CHAR(10))&amp;"109"&amp;IF(INFO("system")="mac",CHAR(13),CHAR(10))&amp;"117"</f>
        <v>178_x000D_175_x000D_103_x000D_239_x000D_109_x000D_117</v>
      </c>
      <c r="I110" s="4" t="s">
        <v>35</v>
      </c>
      <c r="J110" s="4" t="s">
        <v>35</v>
      </c>
      <c r="K110" s="4" t="s">
        <v>226</v>
      </c>
      <c r="L110" s="4">
        <v>58481057</v>
      </c>
      <c r="M110" s="4">
        <v>58481057</v>
      </c>
      <c r="N110" s="4" t="s">
        <v>36</v>
      </c>
      <c r="O110" s="4" t="s">
        <v>41</v>
      </c>
      <c r="P110" s="4"/>
      <c r="Q110" s="4">
        <v>4</v>
      </c>
    </row>
    <row r="111" spans="1:17" ht="30">
      <c r="A111" s="3">
        <v>31656</v>
      </c>
      <c r="B111" s="4" t="s">
        <v>388</v>
      </c>
      <c r="C111" s="4" t="str">
        <f ca="1">"NM_000426"&amp;IF(INFO("system")="mac",CHAR(13),CHAR(10))&amp;"NM_001079823"</f>
        <v>NM_000426_x000D_NM_001079823</v>
      </c>
      <c r="D111" s="4">
        <v>3908</v>
      </c>
      <c r="E111" s="4" t="s">
        <v>19</v>
      </c>
      <c r="F111" s="5">
        <v>5765</v>
      </c>
      <c r="G111" s="5">
        <v>5660</v>
      </c>
      <c r="H111" s="5">
        <v>1887</v>
      </c>
      <c r="I111" s="4" t="s">
        <v>229</v>
      </c>
      <c r="J111" s="4" t="s">
        <v>389</v>
      </c>
      <c r="K111" s="4" t="s">
        <v>237</v>
      </c>
      <c r="L111" s="4">
        <v>129723566</v>
      </c>
      <c r="M111" s="4">
        <v>129723566</v>
      </c>
      <c r="N111" s="4" t="s">
        <v>23</v>
      </c>
      <c r="O111" s="4" t="s">
        <v>46</v>
      </c>
      <c r="P111" s="4" t="s">
        <v>41</v>
      </c>
      <c r="Q111" s="4">
        <v>8</v>
      </c>
    </row>
    <row r="112" spans="1:17">
      <c r="A112" s="3">
        <v>31656</v>
      </c>
      <c r="B112" s="4" t="s">
        <v>390</v>
      </c>
      <c r="C112" s="4" t="s">
        <v>391</v>
      </c>
      <c r="D112" s="4">
        <v>6580</v>
      </c>
      <c r="E112" s="4" t="s">
        <v>392</v>
      </c>
      <c r="F112" s="5">
        <v>1493</v>
      </c>
      <c r="G112" s="5">
        <v>1388</v>
      </c>
      <c r="H112" s="5">
        <v>463</v>
      </c>
      <c r="I112" s="4" t="s">
        <v>393</v>
      </c>
      <c r="J112" s="4" t="s">
        <v>394</v>
      </c>
      <c r="K112" s="4" t="s">
        <v>237</v>
      </c>
      <c r="L112" s="4">
        <v>160575832</v>
      </c>
      <c r="M112" s="4">
        <v>160575832</v>
      </c>
      <c r="N112" s="4" t="s">
        <v>23</v>
      </c>
      <c r="O112" s="4" t="s">
        <v>25</v>
      </c>
      <c r="P112" s="4" t="s">
        <v>24</v>
      </c>
      <c r="Q112" s="4">
        <v>15</v>
      </c>
    </row>
    <row r="113" spans="1:17" ht="45">
      <c r="A113" s="3">
        <v>31656</v>
      </c>
      <c r="B113" s="4" t="s">
        <v>395</v>
      </c>
      <c r="C113" s="4" t="str">
        <f ca="1">"NM_001145717"&amp;IF(INFO("system")="mac",CHAR(13),CHAR(10))&amp;"NM_173676"&amp;IF(INFO("system")="mac",CHAR(13),CHAR(10))&amp;"NM_001145716"</f>
        <v>NM_001145717_x000D_NM_173676_x000D_NM_001145716</v>
      </c>
      <c r="D113" s="4">
        <v>285848</v>
      </c>
      <c r="E113" s="4" t="s">
        <v>19</v>
      </c>
      <c r="F113" s="5" t="str">
        <f ca="1">"413"&amp;IF(INFO("system")="mac",CHAR(13),CHAR(10))&amp;"302"&amp;IF(INFO("system")="mac",CHAR(13),CHAR(10))&amp;"267"</f>
        <v>413_x000D_302_x000D_267</v>
      </c>
      <c r="G113" s="5" t="str">
        <f ca="1">"413"&amp;IF(INFO("system")="mac",CHAR(13),CHAR(10))&amp;"128"&amp;IF(INFO("system")="mac",CHAR(13),CHAR(10))&amp;"128"</f>
        <v>413_x000D_128_x000D_128</v>
      </c>
      <c r="H113" s="5" t="str">
        <f ca="1">"138"&amp;IF(INFO("system")="mac",CHAR(13),CHAR(10))&amp;"43"&amp;IF(INFO("system")="mac",CHAR(13),CHAR(10))&amp;"43"</f>
        <v>138_x000D_43_x000D_43</v>
      </c>
      <c r="I113" s="4" t="s">
        <v>396</v>
      </c>
      <c r="J113" s="4" t="s">
        <v>397</v>
      </c>
      <c r="K113" s="4" t="s">
        <v>237</v>
      </c>
      <c r="L113" s="4">
        <v>36259304</v>
      </c>
      <c r="M113" s="4">
        <v>36259304</v>
      </c>
      <c r="N113" s="4" t="s">
        <v>23</v>
      </c>
      <c r="O113" s="4" t="s">
        <v>41</v>
      </c>
      <c r="P113" s="4" t="s">
        <v>25</v>
      </c>
      <c r="Q113" s="4">
        <v>14</v>
      </c>
    </row>
    <row r="114" spans="1:17" ht="30">
      <c r="A114" s="3">
        <v>31656</v>
      </c>
      <c r="B114" s="4" t="s">
        <v>398</v>
      </c>
      <c r="C114" s="4" t="str">
        <f ca="1">"NM_004370"&amp;IF(INFO("system")="mac",CHAR(13),CHAR(10))&amp;"NM_080645"</f>
        <v>NM_004370_x000D_NM_080645</v>
      </c>
      <c r="D114" s="4">
        <v>1303</v>
      </c>
      <c r="E114" s="4" t="s">
        <v>68</v>
      </c>
      <c r="F114" s="5" t="s">
        <v>35</v>
      </c>
      <c r="G114" s="5" t="s">
        <v>35</v>
      </c>
      <c r="H114" s="5" t="s">
        <v>35</v>
      </c>
      <c r="I114" s="4" t="s">
        <v>35</v>
      </c>
      <c r="J114" s="4" t="s">
        <v>35</v>
      </c>
      <c r="K114" s="4" t="s">
        <v>237</v>
      </c>
      <c r="L114" s="4">
        <v>75838142</v>
      </c>
      <c r="M114" s="4">
        <v>75838142</v>
      </c>
      <c r="N114" s="4" t="s">
        <v>23</v>
      </c>
      <c r="O114" s="4" t="s">
        <v>46</v>
      </c>
      <c r="P114" s="4" t="s">
        <v>25</v>
      </c>
      <c r="Q114" s="4">
        <v>-3</v>
      </c>
    </row>
    <row r="115" spans="1:17">
      <c r="A115" s="3">
        <v>31656</v>
      </c>
      <c r="B115" s="4" t="s">
        <v>399</v>
      </c>
      <c r="C115" s="4" t="s">
        <v>400</v>
      </c>
      <c r="D115" s="4">
        <v>1080</v>
      </c>
      <c r="E115" s="4" t="s">
        <v>19</v>
      </c>
      <c r="F115" s="5">
        <v>381</v>
      </c>
      <c r="G115" s="5">
        <v>249</v>
      </c>
      <c r="H115" s="5">
        <v>83</v>
      </c>
      <c r="I115" s="4" t="s">
        <v>199</v>
      </c>
      <c r="J115" s="4" t="s">
        <v>347</v>
      </c>
      <c r="K115" s="4" t="s">
        <v>257</v>
      </c>
      <c r="L115" s="4">
        <v>117149172</v>
      </c>
      <c r="M115" s="4">
        <v>117149172</v>
      </c>
      <c r="N115" s="4" t="s">
        <v>23</v>
      </c>
      <c r="O115" s="4" t="s">
        <v>46</v>
      </c>
      <c r="P115" s="4" t="s">
        <v>24</v>
      </c>
      <c r="Q115" s="4">
        <v>6</v>
      </c>
    </row>
    <row r="116" spans="1:17" ht="60">
      <c r="A116" s="3">
        <v>31656</v>
      </c>
      <c r="B116" s="4" t="s">
        <v>401</v>
      </c>
      <c r="C116" s="4" t="str">
        <f ca="1">"NM_001199635"&amp;IF(INFO("system")="mac",CHAR(13),CHAR(10))&amp;"NM_001199637"&amp;IF(INFO("system")="mac",CHAR(13),CHAR(10))&amp;"NM_001199636"&amp;IF(INFO("system")="mac",CHAR(13),CHAR(10))&amp;"NM_001118"</f>
        <v>NM_001199635_x000D_NM_001199637_x000D_NM_001199636_x000D_NM_001118</v>
      </c>
      <c r="D116" s="4">
        <v>117</v>
      </c>
      <c r="E116" s="4" t="s">
        <v>31</v>
      </c>
      <c r="F116" s="5" t="str">
        <f ca="1">"1150"&amp;IF(INFO("system")="mac",CHAR(13),CHAR(10))&amp;"1087"&amp;IF(INFO("system")="mac",CHAR(13),CHAR(10))&amp;"1150"&amp;IF(INFO("system")="mac",CHAR(13),CHAR(10))&amp;"1150"</f>
        <v>1150_x000D_1087_x000D_1150_x000D_1150</v>
      </c>
      <c r="G116" s="5" t="str">
        <f ca="1">"861"&amp;IF(INFO("system")="mac",CHAR(13),CHAR(10))&amp;"798"&amp;IF(INFO("system")="mac",CHAR(13),CHAR(10))&amp;"861"&amp;IF(INFO("system")="mac",CHAR(13),CHAR(10))&amp;"861"</f>
        <v>861_x000D_798_x000D_861_x000D_861</v>
      </c>
      <c r="H116" s="5" t="str">
        <f ca="1">"287"&amp;IF(INFO("system")="mac",CHAR(13),CHAR(10))&amp;"266"&amp;IF(INFO("system")="mac",CHAR(13),CHAR(10))&amp;"287"&amp;IF(INFO("system")="mac",CHAR(13),CHAR(10))&amp;"287"</f>
        <v>287_x000D_266_x000D_287_x000D_287</v>
      </c>
      <c r="I116" s="4" t="s">
        <v>35</v>
      </c>
      <c r="J116" s="4" t="s">
        <v>35</v>
      </c>
      <c r="K116" s="4" t="s">
        <v>257</v>
      </c>
      <c r="L116" s="4">
        <v>31126594</v>
      </c>
      <c r="M116" s="4">
        <v>31126594</v>
      </c>
      <c r="N116" s="4" t="s">
        <v>36</v>
      </c>
      <c r="O116" s="4" t="s">
        <v>24</v>
      </c>
      <c r="P116" s="4"/>
      <c r="Q116" s="4">
        <v>4</v>
      </c>
    </row>
    <row r="117" spans="1:17">
      <c r="A117" s="3">
        <v>31656</v>
      </c>
      <c r="B117" s="4" t="s">
        <v>402</v>
      </c>
      <c r="C117" s="4" t="s">
        <v>403</v>
      </c>
      <c r="D117" s="4">
        <v>168667</v>
      </c>
      <c r="E117" s="4" t="s">
        <v>19</v>
      </c>
      <c r="F117" s="5">
        <v>1462</v>
      </c>
      <c r="G117" s="5">
        <v>1348</v>
      </c>
      <c r="H117" s="5">
        <v>450</v>
      </c>
      <c r="I117" s="4" t="s">
        <v>404</v>
      </c>
      <c r="J117" s="4" t="s">
        <v>405</v>
      </c>
      <c r="K117" s="4" t="s">
        <v>257</v>
      </c>
      <c r="L117" s="4">
        <v>34118738</v>
      </c>
      <c r="M117" s="4">
        <v>34118738</v>
      </c>
      <c r="N117" s="4" t="s">
        <v>23</v>
      </c>
      <c r="O117" s="4" t="s">
        <v>46</v>
      </c>
      <c r="P117" s="4" t="s">
        <v>25</v>
      </c>
      <c r="Q117" s="4">
        <v>10</v>
      </c>
    </row>
    <row r="118" spans="1:17">
      <c r="A118" s="3">
        <v>31656</v>
      </c>
      <c r="B118" s="4" t="s">
        <v>406</v>
      </c>
      <c r="C118" s="4" t="s">
        <v>407</v>
      </c>
      <c r="D118" s="4">
        <v>9883</v>
      </c>
      <c r="E118" s="4" t="s">
        <v>19</v>
      </c>
      <c r="F118" s="5">
        <v>2611</v>
      </c>
      <c r="G118" s="5">
        <v>1634</v>
      </c>
      <c r="H118" s="5">
        <v>545</v>
      </c>
      <c r="I118" s="4" t="s">
        <v>408</v>
      </c>
      <c r="J118" s="4" t="s">
        <v>409</v>
      </c>
      <c r="K118" s="4" t="s">
        <v>257</v>
      </c>
      <c r="L118" s="4">
        <v>72412961</v>
      </c>
      <c r="M118" s="4">
        <v>72412961</v>
      </c>
      <c r="N118" s="4" t="s">
        <v>23</v>
      </c>
      <c r="O118" s="4" t="s">
        <v>24</v>
      </c>
      <c r="P118" s="4" t="s">
        <v>46</v>
      </c>
      <c r="Q118" s="4">
        <v>2</v>
      </c>
    </row>
    <row r="119" spans="1:17">
      <c r="A119" s="3">
        <v>31656</v>
      </c>
      <c r="B119" s="4" t="s">
        <v>410</v>
      </c>
      <c r="C119" s="4" t="s">
        <v>411</v>
      </c>
      <c r="D119" s="4">
        <v>55529</v>
      </c>
      <c r="E119" s="4" t="s">
        <v>19</v>
      </c>
      <c r="F119" s="5">
        <v>402</v>
      </c>
      <c r="G119" s="5">
        <v>176</v>
      </c>
      <c r="H119" s="5">
        <v>59</v>
      </c>
      <c r="I119" s="4" t="s">
        <v>72</v>
      </c>
      <c r="J119" s="4" t="s">
        <v>297</v>
      </c>
      <c r="K119" s="4" t="s">
        <v>279</v>
      </c>
      <c r="L119" s="4">
        <v>92033563</v>
      </c>
      <c r="M119" s="4">
        <v>92033563</v>
      </c>
      <c r="N119" s="4" t="s">
        <v>23</v>
      </c>
      <c r="O119" s="4" t="s">
        <v>46</v>
      </c>
      <c r="P119" s="4" t="s">
        <v>41</v>
      </c>
      <c r="Q119" s="4">
        <v>10</v>
      </c>
    </row>
    <row r="120" spans="1:17">
      <c r="A120" s="3">
        <v>31656</v>
      </c>
      <c r="B120" s="4" t="s">
        <v>412</v>
      </c>
      <c r="C120" s="4" t="s">
        <v>413</v>
      </c>
      <c r="D120" s="4">
        <v>1289</v>
      </c>
      <c r="E120" s="4" t="s">
        <v>392</v>
      </c>
      <c r="F120" s="5">
        <v>3278</v>
      </c>
      <c r="G120" s="5">
        <v>2896</v>
      </c>
      <c r="H120" s="5">
        <v>966</v>
      </c>
      <c r="I120" s="4" t="s">
        <v>414</v>
      </c>
      <c r="J120" s="4" t="s">
        <v>415</v>
      </c>
      <c r="K120" s="4" t="s">
        <v>292</v>
      </c>
      <c r="L120" s="4">
        <v>137688745</v>
      </c>
      <c r="M120" s="4">
        <v>137688745</v>
      </c>
      <c r="N120" s="4" t="s">
        <v>23</v>
      </c>
      <c r="O120" s="4" t="s">
        <v>46</v>
      </c>
      <c r="P120" s="4" t="s">
        <v>41</v>
      </c>
      <c r="Q120" s="4">
        <v>8</v>
      </c>
    </row>
    <row r="121" spans="1:17" ht="30">
      <c r="A121" s="3">
        <v>31656</v>
      </c>
      <c r="B121" s="4" t="s">
        <v>416</v>
      </c>
      <c r="C121" s="4" t="str">
        <f ca="1">"NM_152423"&amp;IF(INFO("system")="mac",CHAR(13),CHAR(10))&amp;"NM_001171020"</f>
        <v>NM_152423_x000D_NM_001171020</v>
      </c>
      <c r="D121" s="4">
        <v>139221</v>
      </c>
      <c r="E121" s="4" t="s">
        <v>19</v>
      </c>
      <c r="F121" s="5" t="str">
        <f ca="1">"2770"&amp;IF(INFO("system")="mac",CHAR(13),CHAR(10))&amp;"2634"</f>
        <v>2770_x000D_2634</v>
      </c>
      <c r="G121" s="5">
        <v>1985</v>
      </c>
      <c r="H121" s="5">
        <v>662</v>
      </c>
      <c r="I121" s="4" t="s">
        <v>229</v>
      </c>
      <c r="J121" s="4" t="s">
        <v>417</v>
      </c>
      <c r="K121" s="4" t="s">
        <v>418</v>
      </c>
      <c r="L121" s="4">
        <v>105451410</v>
      </c>
      <c r="M121" s="4">
        <v>105451410</v>
      </c>
      <c r="N121" s="4" t="s">
        <v>23</v>
      </c>
      <c r="O121" s="4" t="s">
        <v>46</v>
      </c>
      <c r="P121" s="4" t="s">
        <v>41</v>
      </c>
      <c r="Q121" s="4">
        <v>1</v>
      </c>
    </row>
    <row r="122" spans="1:17">
      <c r="A122" s="3">
        <v>31656</v>
      </c>
      <c r="B122" s="4" t="s">
        <v>419</v>
      </c>
      <c r="C122" s="4" t="s">
        <v>420</v>
      </c>
      <c r="D122" s="4">
        <v>1260</v>
      </c>
      <c r="E122" s="4" t="s">
        <v>19</v>
      </c>
      <c r="F122" s="5">
        <v>2037</v>
      </c>
      <c r="G122" s="5">
        <v>1813</v>
      </c>
      <c r="H122" s="5">
        <v>605</v>
      </c>
      <c r="I122" s="4" t="s">
        <v>165</v>
      </c>
      <c r="J122" s="4" t="s">
        <v>166</v>
      </c>
      <c r="K122" s="4" t="s">
        <v>418</v>
      </c>
      <c r="L122" s="4">
        <v>150912788</v>
      </c>
      <c r="M122" s="4">
        <v>150912788</v>
      </c>
      <c r="N122" s="4" t="s">
        <v>23</v>
      </c>
      <c r="O122" s="4" t="s">
        <v>24</v>
      </c>
      <c r="P122" s="4" t="s">
        <v>25</v>
      </c>
      <c r="Q122" s="4">
        <v>6</v>
      </c>
    </row>
    <row r="123" spans="1:17">
      <c r="A123" s="3">
        <v>31656</v>
      </c>
      <c r="B123" s="4" t="s">
        <v>421</v>
      </c>
      <c r="C123" s="4" t="s">
        <v>422</v>
      </c>
      <c r="D123" s="4">
        <v>4983</v>
      </c>
      <c r="E123" s="4" t="s">
        <v>19</v>
      </c>
      <c r="F123" s="5">
        <v>2563</v>
      </c>
      <c r="G123" s="5">
        <v>2269</v>
      </c>
      <c r="H123" s="5">
        <v>757</v>
      </c>
      <c r="I123" s="4" t="s">
        <v>414</v>
      </c>
      <c r="J123" s="4" t="s">
        <v>423</v>
      </c>
      <c r="K123" s="4" t="s">
        <v>418</v>
      </c>
      <c r="L123" s="4">
        <v>67273542</v>
      </c>
      <c r="M123" s="4">
        <v>67273542</v>
      </c>
      <c r="N123" s="4" t="s">
        <v>23</v>
      </c>
      <c r="O123" s="4" t="s">
        <v>24</v>
      </c>
      <c r="P123" s="4" t="s">
        <v>25</v>
      </c>
      <c r="Q123" s="4">
        <v>6</v>
      </c>
    </row>
    <row r="124" spans="1:17" ht="45">
      <c r="A124" s="3" t="s">
        <v>424</v>
      </c>
      <c r="B124" s="4" t="s">
        <v>425</v>
      </c>
      <c r="C124" s="4" t="str">
        <f ca="1">"NM_001077394"&amp;IF(INFO("system")="mac",CHAR(13),CHAR(10))&amp;"NM_015958"&amp;IF(INFO("system")="mac",CHAR(13),CHAR(10))&amp;"NM_001077395"</f>
        <v>NM_001077394_x000D_NM_015958_x000D_NM_001077395</v>
      </c>
      <c r="D124" s="4">
        <v>51611</v>
      </c>
      <c r="E124" s="4" t="s">
        <v>19</v>
      </c>
      <c r="F124" s="5" t="str">
        <f ca="1">"932"&amp;IF(INFO("system")="mac",CHAR(13),CHAR(10))&amp;"914"&amp;IF(INFO("system")="mac",CHAR(13),CHAR(10))&amp;"911"</f>
        <v>932_x000D_914_x000D_911</v>
      </c>
      <c r="G124" s="5" t="str">
        <f ca="1">"767"&amp;IF(INFO("system")="mac",CHAR(13),CHAR(10))&amp;"767"&amp;IF(INFO("system")="mac",CHAR(13),CHAR(10))&amp;"764"</f>
        <v>767_x000D_767_x000D_764</v>
      </c>
      <c r="H124" s="5" t="str">
        <f ca="1">"256"&amp;IF(INFO("system")="mac",CHAR(13),CHAR(10))&amp;"256"&amp;IF(INFO("system")="mac",CHAR(13),CHAR(10))&amp;"255"</f>
        <v>256_x000D_256_x000D_255</v>
      </c>
      <c r="I124" s="4" t="s">
        <v>408</v>
      </c>
      <c r="J124" s="4" t="s">
        <v>426</v>
      </c>
      <c r="K124" s="4" t="s">
        <v>22</v>
      </c>
      <c r="L124" s="4">
        <v>101456055</v>
      </c>
      <c r="M124" s="4">
        <v>101456055</v>
      </c>
      <c r="N124" s="4" t="s">
        <v>23</v>
      </c>
      <c r="O124" s="4" t="s">
        <v>46</v>
      </c>
      <c r="P124" s="4" t="s">
        <v>24</v>
      </c>
      <c r="Q124" s="4">
        <v>6</v>
      </c>
    </row>
    <row r="125" spans="1:17">
      <c r="A125" s="3" t="s">
        <v>424</v>
      </c>
      <c r="B125" s="4" t="s">
        <v>427</v>
      </c>
      <c r="C125" s="4" t="s">
        <v>428</v>
      </c>
      <c r="D125" s="4">
        <v>9398</v>
      </c>
      <c r="E125" s="4" t="s">
        <v>19</v>
      </c>
      <c r="F125" s="5">
        <v>2829</v>
      </c>
      <c r="G125" s="5">
        <v>2771</v>
      </c>
      <c r="H125" s="5">
        <v>924</v>
      </c>
      <c r="I125" s="4" t="s">
        <v>351</v>
      </c>
      <c r="J125" s="4" t="s">
        <v>429</v>
      </c>
      <c r="K125" s="4" t="s">
        <v>22</v>
      </c>
      <c r="L125" s="4">
        <v>117568473</v>
      </c>
      <c r="M125" s="4">
        <v>117568473</v>
      </c>
      <c r="N125" s="4" t="s">
        <v>23</v>
      </c>
      <c r="O125" s="4" t="s">
        <v>41</v>
      </c>
      <c r="P125" s="4" t="s">
        <v>46</v>
      </c>
      <c r="Q125" s="4">
        <v>0</v>
      </c>
    </row>
    <row r="126" spans="1:17">
      <c r="A126" s="3" t="s">
        <v>424</v>
      </c>
      <c r="B126" s="4" t="s">
        <v>430</v>
      </c>
      <c r="C126" s="4" t="s">
        <v>431</v>
      </c>
      <c r="D126" s="4">
        <v>23271</v>
      </c>
      <c r="E126" s="4" t="s">
        <v>19</v>
      </c>
      <c r="F126" s="5">
        <v>2722</v>
      </c>
      <c r="G126" s="5">
        <v>2452</v>
      </c>
      <c r="H126" s="5">
        <v>818</v>
      </c>
      <c r="I126" s="4" t="s">
        <v>123</v>
      </c>
      <c r="J126" s="4" t="s">
        <v>124</v>
      </c>
      <c r="K126" s="4" t="s">
        <v>22</v>
      </c>
      <c r="L126" s="4">
        <v>200818349</v>
      </c>
      <c r="M126" s="4">
        <v>200818349</v>
      </c>
      <c r="N126" s="4" t="s">
        <v>23</v>
      </c>
      <c r="O126" s="4" t="s">
        <v>24</v>
      </c>
      <c r="P126" s="4" t="s">
        <v>41</v>
      </c>
      <c r="Q126" s="4">
        <v>4</v>
      </c>
    </row>
    <row r="127" spans="1:17">
      <c r="A127" s="3" t="s">
        <v>424</v>
      </c>
      <c r="B127" s="4" t="s">
        <v>432</v>
      </c>
      <c r="C127" s="4" t="s">
        <v>433</v>
      </c>
      <c r="D127" s="4">
        <v>55182</v>
      </c>
      <c r="E127" s="4" t="s">
        <v>19</v>
      </c>
      <c r="F127" s="5">
        <v>929</v>
      </c>
      <c r="G127" s="5">
        <v>569</v>
      </c>
      <c r="H127" s="5">
        <v>190</v>
      </c>
      <c r="I127" s="4" t="s">
        <v>434</v>
      </c>
      <c r="J127" s="4" t="s">
        <v>435</v>
      </c>
      <c r="K127" s="4" t="s">
        <v>22</v>
      </c>
      <c r="L127" s="4">
        <v>44878338</v>
      </c>
      <c r="M127" s="4">
        <v>44878338</v>
      </c>
      <c r="N127" s="4" t="s">
        <v>23</v>
      </c>
      <c r="O127" s="4" t="s">
        <v>46</v>
      </c>
      <c r="P127" s="4" t="s">
        <v>24</v>
      </c>
      <c r="Q127" s="4">
        <v>-2</v>
      </c>
    </row>
    <row r="128" spans="1:17" ht="30">
      <c r="A128" s="3" t="s">
        <v>424</v>
      </c>
      <c r="B128" s="4" t="s">
        <v>436</v>
      </c>
      <c r="C128" s="4" t="str">
        <f ca="1">"NM_025208"&amp;IF(INFO("system")="mac",CHAR(13),CHAR(10))&amp;"NM_033135"</f>
        <v>NM_025208_x000D_NM_033135</v>
      </c>
      <c r="D128" s="4">
        <v>80310</v>
      </c>
      <c r="E128" s="4" t="s">
        <v>19</v>
      </c>
      <c r="F128" s="5" t="str">
        <f ca="1">"1112"&amp;IF(INFO("system")="mac",CHAR(13),CHAR(10))&amp;"1094"</f>
        <v>1112_x000D_1094</v>
      </c>
      <c r="G128" s="5" t="str">
        <f ca="1">"740"&amp;IF(INFO("system")="mac",CHAR(13),CHAR(10))&amp;"722"</f>
        <v>740_x000D_722</v>
      </c>
      <c r="H128" s="5" t="str">
        <f ca="1">"247"&amp;IF(INFO("system")="mac",CHAR(13),CHAR(10))&amp;"241"</f>
        <v>247_x000D_241</v>
      </c>
      <c r="I128" s="4" t="s">
        <v>137</v>
      </c>
      <c r="J128" s="4" t="s">
        <v>437</v>
      </c>
      <c r="K128" s="4" t="s">
        <v>83</v>
      </c>
      <c r="L128" s="4">
        <v>103814212</v>
      </c>
      <c r="M128" s="4">
        <v>103814212</v>
      </c>
      <c r="N128" s="4" t="s">
        <v>23</v>
      </c>
      <c r="O128" s="4" t="s">
        <v>46</v>
      </c>
      <c r="P128" s="4" t="s">
        <v>25</v>
      </c>
      <c r="Q128" s="4">
        <v>6</v>
      </c>
    </row>
    <row r="129" spans="1:17" ht="30">
      <c r="A129" s="3" t="s">
        <v>424</v>
      </c>
      <c r="B129" s="4" t="s">
        <v>438</v>
      </c>
      <c r="C129" s="4" t="str">
        <f ca="1">"NM_000970"&amp;IF(INFO("system")="mac",CHAR(13),CHAR(10))&amp;"NM_001024662"</f>
        <v>NM_000970_x000D_NM_001024662</v>
      </c>
      <c r="D129" s="4">
        <v>6128</v>
      </c>
      <c r="E129" s="4" t="s">
        <v>19</v>
      </c>
      <c r="F129" s="5" t="str">
        <f ca="1">"475"&amp;IF(INFO("system")="mac",CHAR(13),CHAR(10))&amp;"651"</f>
        <v>475_x000D_651</v>
      </c>
      <c r="G129" s="5">
        <v>422</v>
      </c>
      <c r="H129" s="5">
        <v>141</v>
      </c>
      <c r="I129" s="4" t="s">
        <v>439</v>
      </c>
      <c r="J129" s="4" t="s">
        <v>440</v>
      </c>
      <c r="K129" s="4" t="s">
        <v>104</v>
      </c>
      <c r="L129" s="4">
        <v>112844609</v>
      </c>
      <c r="M129" s="4">
        <v>112844609</v>
      </c>
      <c r="N129" s="4" t="s">
        <v>23</v>
      </c>
      <c r="O129" s="4" t="s">
        <v>46</v>
      </c>
      <c r="P129" s="4" t="s">
        <v>24</v>
      </c>
      <c r="Q129" s="4">
        <v>-5</v>
      </c>
    </row>
    <row r="130" spans="1:17" ht="45">
      <c r="A130" s="3" t="s">
        <v>424</v>
      </c>
      <c r="B130" s="4" t="s">
        <v>441</v>
      </c>
      <c r="C130" s="4" t="str">
        <f ca="1">"NM_004658"&amp;IF(INFO("system")="mac",CHAR(13),CHAR(10))&amp;"NM_001193520"&amp;IF(INFO("system")="mac",CHAR(13),CHAR(10))&amp;"NM_001193521"</f>
        <v>NM_004658_x000D_NM_001193520_x000D_NM_001193521</v>
      </c>
      <c r="D130" s="4">
        <v>8437</v>
      </c>
      <c r="E130" s="4" t="s">
        <v>19</v>
      </c>
      <c r="F130" s="5" t="str">
        <f ca="1">"1311"&amp;IF(INFO("system")="mac",CHAR(13),CHAR(10))&amp;"1296"&amp;IF(INFO("system")="mac",CHAR(13),CHAR(10))&amp;"1287"</f>
        <v>1311_x000D_1296_x000D_1287</v>
      </c>
      <c r="G130" s="5">
        <v>995</v>
      </c>
      <c r="H130" s="5">
        <v>332</v>
      </c>
      <c r="I130" s="4" t="s">
        <v>442</v>
      </c>
      <c r="J130" s="4" t="s">
        <v>443</v>
      </c>
      <c r="K130" s="4" t="s">
        <v>104</v>
      </c>
      <c r="L130" s="4">
        <v>113553448</v>
      </c>
      <c r="M130" s="4">
        <v>113553448</v>
      </c>
      <c r="N130" s="4" t="s">
        <v>23</v>
      </c>
      <c r="O130" s="4" t="s">
        <v>24</v>
      </c>
      <c r="P130" s="4" t="s">
        <v>46</v>
      </c>
      <c r="Q130" s="4">
        <v>-1</v>
      </c>
    </row>
    <row r="131" spans="1:17">
      <c r="A131" s="3" t="s">
        <v>424</v>
      </c>
      <c r="B131" s="4" t="s">
        <v>444</v>
      </c>
      <c r="C131" s="4" t="s">
        <v>445</v>
      </c>
      <c r="D131" s="4">
        <v>121256</v>
      </c>
      <c r="E131" s="4" t="s">
        <v>19</v>
      </c>
      <c r="F131" s="5">
        <v>443</v>
      </c>
      <c r="G131" s="5">
        <v>115</v>
      </c>
      <c r="H131" s="5">
        <v>39</v>
      </c>
      <c r="I131" s="4" t="s">
        <v>356</v>
      </c>
      <c r="J131" s="4" t="s">
        <v>446</v>
      </c>
      <c r="K131" s="4" t="s">
        <v>104</v>
      </c>
      <c r="L131" s="4">
        <v>130185208</v>
      </c>
      <c r="M131" s="4">
        <v>130185208</v>
      </c>
      <c r="N131" s="4" t="s">
        <v>23</v>
      </c>
      <c r="O131" s="4" t="s">
        <v>41</v>
      </c>
      <c r="P131" s="4" t="s">
        <v>46</v>
      </c>
      <c r="Q131" s="4">
        <v>2</v>
      </c>
    </row>
    <row r="132" spans="1:17" ht="90">
      <c r="A132" s="3" t="s">
        <v>424</v>
      </c>
      <c r="B132" s="4" t="s">
        <v>447</v>
      </c>
      <c r="C132" s="4" t="str">
        <f ca="1">"NM_012226"&amp;IF(INFO("system")="mac",CHAR(13),CHAR(10))&amp;"NM_016318"&amp;IF(INFO("system")="mac",CHAR(13),CHAR(10))&amp;"NM_174872"&amp;IF(INFO("system")="mac",CHAR(13),CHAR(10))&amp;"NM_170682"&amp;IF(INFO("system")="mac",CHAR(13),CHAR(10))&amp;"NM_174873"&amp;IF(INFO("system")="mac",CHAR(13),CHAR(10))&amp;"NM_170683"</f>
        <v>NM_012226_x000D_NM_016318_x000D_NM_174872_x000D_NM_170682_x000D_NM_174873_x000D_NM_170683</v>
      </c>
      <c r="D132" s="4">
        <v>22953</v>
      </c>
      <c r="E132" s="4" t="s">
        <v>19</v>
      </c>
      <c r="F132" s="5" t="str">
        <f ca="1">"292"&amp;IF(INFO("system")="mac",CHAR(13),CHAR(10))&amp;"436"&amp;IF(INFO("system")="mac",CHAR(13),CHAR(10))&amp;"232"&amp;IF(INFO("system")="mac",CHAR(13),CHAR(10))&amp;"508"&amp;IF(INFO("system")="mac",CHAR(13),CHAR(10))&amp;"508"&amp;IF(INFO("system")="mac",CHAR(13),CHAR(10))&amp;"508"</f>
        <v>292_x000D_436_x000D_232_x000D_508_x000D_508_x000D_508</v>
      </c>
      <c r="G132" s="5" t="str">
        <f ca="1">"292"&amp;IF(INFO("system")="mac",CHAR(13),CHAR(10))&amp;"436"&amp;IF(INFO("system")="mac",CHAR(13),CHAR(10))&amp;"232"&amp;IF(INFO("system")="mac",CHAR(13),CHAR(10))&amp;"508"&amp;IF(INFO("system")="mac",CHAR(13),CHAR(10))&amp;"508"&amp;IF(INFO("system")="mac",CHAR(13),CHAR(10))&amp;"508"</f>
        <v>292_x000D_436_x000D_232_x000D_508_x000D_508_x000D_508</v>
      </c>
      <c r="H132" s="5" t="str">
        <f ca="1">"98"&amp;IF(INFO("system")="mac",CHAR(13),CHAR(10))&amp;"146"&amp;IF(INFO("system")="mac",CHAR(13),CHAR(10))&amp;"78"&amp;IF(INFO("system")="mac",CHAR(13),CHAR(10))&amp;"170"&amp;IF(INFO("system")="mac",CHAR(13),CHAR(10))&amp;"170"&amp;IF(INFO("system")="mac",CHAR(13),CHAR(10))&amp;"170"</f>
        <v>98_x000D_146_x000D_78_x000D_170_x000D_170_x000D_170</v>
      </c>
      <c r="I132" s="4" t="s">
        <v>448</v>
      </c>
      <c r="J132" s="4" t="s">
        <v>449</v>
      </c>
      <c r="K132" s="4" t="s">
        <v>104</v>
      </c>
      <c r="L132" s="4">
        <v>133196636</v>
      </c>
      <c r="M132" s="4">
        <v>133196636</v>
      </c>
      <c r="N132" s="4" t="s">
        <v>23</v>
      </c>
      <c r="O132" s="4" t="s">
        <v>41</v>
      </c>
      <c r="P132" s="4" t="s">
        <v>46</v>
      </c>
      <c r="Q132" s="4">
        <v>2</v>
      </c>
    </row>
    <row r="133" spans="1:17" ht="75">
      <c r="A133" s="3" t="s">
        <v>424</v>
      </c>
      <c r="B133" s="4" t="s">
        <v>450</v>
      </c>
      <c r="C133" s="4" t="str">
        <f ca="1">"NM_001251918"&amp;IF(INFO("system")="mac",CHAR(13),CHAR(10))&amp;"NM_015646"&amp;IF(INFO("system")="mac",CHAR(13),CHAR(10))&amp;"NM_001251921"&amp;IF(INFO("system")="mac",CHAR(13),CHAR(10))&amp;"NM_001251917"&amp;IF(INFO("system")="mac",CHAR(13),CHAR(10))&amp;"NM_001010942"</f>
        <v>NM_001251918_x000D_NM_015646_x000D_NM_001251921_x000D_NM_001251917_x000D_NM_001010942</v>
      </c>
      <c r="D133" s="4">
        <v>5908</v>
      </c>
      <c r="E133" s="4" t="str">
        <f ca="1">"NMD_TRANSCRIPT,SPLICE_SITE,INTRONIC"&amp;IF(INFO("system")="mac",CHAR(13),CHAR(10))&amp;"SPLICE_SITE,INTRONIC"&amp;IF(INFO("system")="mac",CHAR(13),CHAR(10))&amp;"NMD_TRANSCRIPT,SPLICE_SITE,INTRONIC"&amp;IF(INFO("system")="mac",CHAR(13),CHAR(10))&amp;"NMD_TRANSCRIPT,SPLICE_SITE,INTRONIC"&amp;IF(INFO("system")="mac",CHAR(13),CHAR(10))&amp;"NMD_TRANSCRIPT,SPLICE_SITE,INTRONIC"</f>
        <v>NMD_TRANSCRIPT,SPLICE_SITE,INTRONIC_x000D_SPLICE_SITE,INTRONIC_x000D_NMD_TRANSCRIPT,SPLICE_SITE,INTRONIC_x000D_NMD_TRANSCRIPT,SPLICE_SITE,INTRONIC_x000D_NMD_TRANSCRIPT,SPLICE_SITE,INTRONIC</v>
      </c>
      <c r="F133" s="5" t="s">
        <v>35</v>
      </c>
      <c r="G133" s="5" t="s">
        <v>35</v>
      </c>
      <c r="H133" s="5" t="s">
        <v>35</v>
      </c>
      <c r="I133" s="4" t="s">
        <v>35</v>
      </c>
      <c r="J133" s="4" t="s">
        <v>35</v>
      </c>
      <c r="K133" s="4" t="s">
        <v>104</v>
      </c>
      <c r="L133" s="4">
        <v>69048039</v>
      </c>
      <c r="M133" s="4">
        <v>69048039</v>
      </c>
      <c r="N133" s="4" t="s">
        <v>23</v>
      </c>
      <c r="O133" s="4" t="s">
        <v>41</v>
      </c>
      <c r="P133" s="4" t="s">
        <v>46</v>
      </c>
      <c r="Q133" s="4">
        <v>10</v>
      </c>
    </row>
    <row r="134" spans="1:17">
      <c r="A134" s="3" t="s">
        <v>424</v>
      </c>
      <c r="B134" s="4" t="s">
        <v>451</v>
      </c>
      <c r="C134" s="4" t="s">
        <v>452</v>
      </c>
      <c r="D134" s="4">
        <v>283310</v>
      </c>
      <c r="E134" s="4" t="s">
        <v>19</v>
      </c>
      <c r="F134" s="5">
        <v>6770</v>
      </c>
      <c r="G134" s="5">
        <v>6764</v>
      </c>
      <c r="H134" s="5">
        <v>2255</v>
      </c>
      <c r="I134" s="4" t="s">
        <v>453</v>
      </c>
      <c r="J134" s="4" t="s">
        <v>454</v>
      </c>
      <c r="K134" s="4" t="s">
        <v>104</v>
      </c>
      <c r="L134" s="4">
        <v>80770912</v>
      </c>
      <c r="M134" s="4">
        <v>80770912</v>
      </c>
      <c r="N134" s="4" t="s">
        <v>23</v>
      </c>
      <c r="O134" s="4" t="s">
        <v>25</v>
      </c>
      <c r="P134" s="4" t="s">
        <v>24</v>
      </c>
      <c r="Q134" s="4">
        <v>-1</v>
      </c>
    </row>
    <row r="135" spans="1:17" ht="30">
      <c r="A135" s="3" t="s">
        <v>424</v>
      </c>
      <c r="B135" s="4" t="s">
        <v>455</v>
      </c>
      <c r="C135" s="4" t="str">
        <f ca="1">"XM_003403661"&amp;IF(INFO("system")="mac",CHAR(13),CHAR(10))&amp;"XM_001133269"</f>
        <v>XM_003403661_x000D_XM_001133269</v>
      </c>
      <c r="D135" s="4">
        <v>730249</v>
      </c>
      <c r="E135" s="4" t="s">
        <v>19</v>
      </c>
      <c r="F135" s="5" t="str">
        <f ca="1">"713"&amp;IF(INFO("system")="mac",CHAR(13),CHAR(10))&amp;"878"</f>
        <v>713_x000D_878</v>
      </c>
      <c r="G135" s="5" t="str">
        <f ca="1">"713"&amp;IF(INFO("system")="mac",CHAR(13),CHAR(10))&amp;"878"</f>
        <v>713_x000D_878</v>
      </c>
      <c r="H135" s="5" t="str">
        <f ca="1">"238"&amp;IF(INFO("system")="mac",CHAR(13),CHAR(10))&amp;"293"</f>
        <v>238_x000D_293</v>
      </c>
      <c r="I135" s="4" t="s">
        <v>456</v>
      </c>
      <c r="J135" s="4" t="s">
        <v>457</v>
      </c>
      <c r="K135" s="4" t="s">
        <v>339</v>
      </c>
      <c r="L135" s="4">
        <v>77531222</v>
      </c>
      <c r="M135" s="4">
        <v>77531222</v>
      </c>
      <c r="N135" s="4" t="s">
        <v>23</v>
      </c>
      <c r="O135" s="4" t="s">
        <v>25</v>
      </c>
      <c r="P135" s="4" t="s">
        <v>41</v>
      </c>
      <c r="Q135" s="4">
        <v>5</v>
      </c>
    </row>
    <row r="136" spans="1:17">
      <c r="A136" s="3" t="s">
        <v>424</v>
      </c>
      <c r="B136" s="4" t="s">
        <v>458</v>
      </c>
      <c r="C136" s="4" t="s">
        <v>459</v>
      </c>
      <c r="D136" s="4">
        <v>57578</v>
      </c>
      <c r="E136" s="4" t="s">
        <v>19</v>
      </c>
      <c r="F136" s="5">
        <v>6372</v>
      </c>
      <c r="G136" s="5">
        <v>5717</v>
      </c>
      <c r="H136" s="5">
        <v>1906</v>
      </c>
      <c r="I136" s="4" t="s">
        <v>72</v>
      </c>
      <c r="J136" s="4" t="s">
        <v>73</v>
      </c>
      <c r="K136" s="4" t="s">
        <v>118</v>
      </c>
      <c r="L136" s="4">
        <v>94120135</v>
      </c>
      <c r="M136" s="4">
        <v>94120135</v>
      </c>
      <c r="N136" s="4" t="s">
        <v>23</v>
      </c>
      <c r="O136" s="4" t="s">
        <v>24</v>
      </c>
      <c r="P136" s="4" t="s">
        <v>25</v>
      </c>
      <c r="Q136" s="4">
        <v>2</v>
      </c>
    </row>
    <row r="137" spans="1:17">
      <c r="A137" s="3" t="s">
        <v>424</v>
      </c>
      <c r="B137" s="4" t="s">
        <v>460</v>
      </c>
      <c r="C137" s="4" t="s">
        <v>461</v>
      </c>
      <c r="D137" s="4">
        <v>283685</v>
      </c>
      <c r="E137" s="4" t="s">
        <v>19</v>
      </c>
      <c r="F137" s="5">
        <v>1018</v>
      </c>
      <c r="G137" s="5">
        <v>1018</v>
      </c>
      <c r="H137" s="5">
        <v>340</v>
      </c>
      <c r="I137" s="4" t="s">
        <v>462</v>
      </c>
      <c r="J137" s="4" t="s">
        <v>463</v>
      </c>
      <c r="K137" s="4" t="s">
        <v>120</v>
      </c>
      <c r="L137" s="4">
        <v>23686301</v>
      </c>
      <c r="M137" s="4">
        <v>23686301</v>
      </c>
      <c r="N137" s="4" t="s">
        <v>23</v>
      </c>
      <c r="O137" s="4" t="s">
        <v>46</v>
      </c>
      <c r="P137" s="4" t="s">
        <v>25</v>
      </c>
      <c r="Q137" s="4">
        <v>4</v>
      </c>
    </row>
    <row r="138" spans="1:17">
      <c r="A138" s="3" t="s">
        <v>424</v>
      </c>
      <c r="B138" s="4" t="s">
        <v>464</v>
      </c>
      <c r="C138" s="4" t="s">
        <v>465</v>
      </c>
      <c r="D138" s="4">
        <v>54849</v>
      </c>
      <c r="E138" s="4" t="s">
        <v>19</v>
      </c>
      <c r="F138" s="5">
        <v>296</v>
      </c>
      <c r="G138" s="5">
        <v>163</v>
      </c>
      <c r="H138" s="5">
        <v>55</v>
      </c>
      <c r="I138" s="4" t="s">
        <v>91</v>
      </c>
      <c r="J138" s="4" t="s">
        <v>92</v>
      </c>
      <c r="K138" s="4" t="s">
        <v>129</v>
      </c>
      <c r="L138" s="4">
        <v>90016036</v>
      </c>
      <c r="M138" s="4">
        <v>90016036</v>
      </c>
      <c r="N138" s="4" t="s">
        <v>23</v>
      </c>
      <c r="O138" s="4" t="s">
        <v>46</v>
      </c>
      <c r="P138" s="4" t="s">
        <v>41</v>
      </c>
      <c r="Q138" s="4">
        <v>1</v>
      </c>
    </row>
    <row r="139" spans="1:17">
      <c r="A139" s="3" t="s">
        <v>424</v>
      </c>
      <c r="B139" s="4" t="s">
        <v>466</v>
      </c>
      <c r="C139" s="4" t="s">
        <v>467</v>
      </c>
      <c r="D139" s="4">
        <v>124590</v>
      </c>
      <c r="E139" s="4" t="s">
        <v>19</v>
      </c>
      <c r="F139" s="5">
        <v>1328</v>
      </c>
      <c r="G139" s="5">
        <v>1145</v>
      </c>
      <c r="H139" s="5">
        <v>382</v>
      </c>
      <c r="I139" s="4" t="s">
        <v>468</v>
      </c>
      <c r="J139" s="4" t="s">
        <v>469</v>
      </c>
      <c r="K139" s="4" t="s">
        <v>133</v>
      </c>
      <c r="L139" s="4">
        <v>72915786</v>
      </c>
      <c r="M139" s="4">
        <v>72915786</v>
      </c>
      <c r="N139" s="4" t="s">
        <v>23</v>
      </c>
      <c r="O139" s="4" t="s">
        <v>41</v>
      </c>
      <c r="P139" s="4" t="s">
        <v>25</v>
      </c>
      <c r="Q139" s="4">
        <v>1</v>
      </c>
    </row>
    <row r="140" spans="1:17" ht="105">
      <c r="A140" s="3" t="s">
        <v>424</v>
      </c>
      <c r="B140" s="4" t="s">
        <v>130</v>
      </c>
      <c r="C140" s="4" t="str">
        <f ca="1">"NM_001126115"&amp;IF(INFO("system")="mac",CHAR(13),CHAR(10))&amp;"NM_001126114"&amp;IF(INFO("system")="mac",CHAR(13),CHAR(10))&amp;"NM_001126117"&amp;IF(INFO("system")="mac",CHAR(13),CHAR(10))&amp;"NM_001126112"&amp;IF(INFO("system")="mac",CHAR(13),CHAR(10))&amp;"NM_001126113"&amp;IF(INFO("system")="mac",CHAR(13),CHAR(10))&amp;"NM_001126116"&amp;IF(INFO("system")="mac",CHAR(13),CHAR(10))&amp;"NM_000546"</f>
        <v>NM_001126115_x000D_NM_001126114_x000D_NM_001126117_x000D_NM_001126112_x000D_NM_001126113_x000D_NM_001126116_x000D_NM_000546</v>
      </c>
      <c r="D140" s="4">
        <v>7157</v>
      </c>
      <c r="E140" s="4" t="str">
        <f ca="1">"STOP_GAINED"&amp;IF(INFO("system")="mac",CHAR(13),CHAR(10))&amp;"NMD_TRANSCRIPT,STOP_GAINED"&amp;IF(INFO("system")="mac",CHAR(13),CHAR(10))&amp;"NMD_TRANSCRIPT,STOP_GAINED"&amp;IF(INFO("system")="mac",CHAR(13),CHAR(10))&amp;"STOP_GAINED"&amp;IF(INFO("system")="mac",CHAR(13),CHAR(10))&amp;"NMD_TRANSCRIPT,STOP_GAINED"&amp;IF(INFO("system")="mac",CHAR(13),CHAR(10))&amp;"NMD_TRANSCRIPT,STOP_GAINED"&amp;IF(INFO("system")="mac",CHAR(13),CHAR(10))&amp;"STOP_GAINED"</f>
        <v>STOP_GAINED_x000D_NMD_TRANSCRIPT,STOP_GAINED_x000D_NMD_TRANSCRIPT,STOP_GAINED_x000D_STOP_GAINED_x000D_NMD_TRANSCRIPT,STOP_GAINED_x000D_NMD_TRANSCRIPT,STOP_GAINED_x000D_STOP_GAINED</v>
      </c>
      <c r="F140" s="5" t="str">
        <f ca="1">"319"&amp;IF(INFO("system")="mac",CHAR(13),CHAR(10))&amp;"634"&amp;IF(INFO("system")="mac",CHAR(13),CHAR(10))&amp;"319"&amp;IF(INFO("system")="mac",CHAR(13),CHAR(10))&amp;"631"&amp;IF(INFO("system")="mac",CHAR(13),CHAR(10))&amp;"634"&amp;IF(INFO("system")="mac",CHAR(13),CHAR(10))&amp;"319"&amp;IF(INFO("system")="mac",CHAR(13),CHAR(10))&amp;"634"</f>
        <v>319_x000D_634_x000D_319_x000D_631_x000D_634_x000D_319_x000D_634</v>
      </c>
      <c r="G140" s="5" t="str">
        <f ca="1">"41"&amp;IF(INFO("system")="mac",CHAR(13),CHAR(10))&amp;"437"&amp;IF(INFO("system")="mac",CHAR(13),CHAR(10))&amp;"41"&amp;IF(INFO("system")="mac",CHAR(13),CHAR(10))&amp;"437"&amp;IF(INFO("system")="mac",CHAR(13),CHAR(10))&amp;"437"&amp;IF(INFO("system")="mac",CHAR(13),CHAR(10))&amp;"41"&amp;IF(INFO("system")="mac",CHAR(13),CHAR(10))&amp;"437"</f>
        <v>41_x000D_437_x000D_41_x000D_437_x000D_437_x000D_41_x000D_437</v>
      </c>
      <c r="H140" s="5" t="str">
        <f ca="1">"14"&amp;IF(INFO("system")="mac",CHAR(13),CHAR(10))&amp;"146"&amp;IF(INFO("system")="mac",CHAR(13),CHAR(10))&amp;"14"&amp;IF(INFO("system")="mac",CHAR(13),CHAR(10))&amp;"146"&amp;IF(INFO("system")="mac",CHAR(13),CHAR(10))&amp;"146"&amp;IF(INFO("system")="mac",CHAR(13),CHAR(10))&amp;"14"&amp;IF(INFO("system")="mac",CHAR(13),CHAR(10))&amp;"146"</f>
        <v>14_x000D_146_x000D_14_x000D_146_x000D_146_x000D_14_x000D_146</v>
      </c>
      <c r="I140" s="4" t="s">
        <v>470</v>
      </c>
      <c r="J140" s="4" t="s">
        <v>471</v>
      </c>
      <c r="K140" s="4" t="s">
        <v>133</v>
      </c>
      <c r="L140" s="4">
        <v>7578493</v>
      </c>
      <c r="M140" s="4">
        <v>7578493</v>
      </c>
      <c r="N140" s="4" t="s">
        <v>23</v>
      </c>
      <c r="O140" s="4" t="s">
        <v>46</v>
      </c>
      <c r="P140" s="4" t="s">
        <v>41</v>
      </c>
      <c r="Q140" s="4">
        <v>17</v>
      </c>
    </row>
    <row r="141" spans="1:17">
      <c r="A141" s="3" t="s">
        <v>424</v>
      </c>
      <c r="B141" s="4" t="s">
        <v>472</v>
      </c>
      <c r="C141" s="4" t="s">
        <v>473</v>
      </c>
      <c r="D141" s="4">
        <v>63895</v>
      </c>
      <c r="E141" s="4" t="s">
        <v>19</v>
      </c>
      <c r="F141" s="5">
        <v>8318</v>
      </c>
      <c r="G141" s="5">
        <v>8144</v>
      </c>
      <c r="H141" s="5">
        <v>2715</v>
      </c>
      <c r="I141" s="4" t="s">
        <v>474</v>
      </c>
      <c r="J141" s="4" t="s">
        <v>475</v>
      </c>
      <c r="K141" s="4" t="s">
        <v>135</v>
      </c>
      <c r="L141" s="4">
        <v>10671639</v>
      </c>
      <c r="M141" s="4">
        <v>10671639</v>
      </c>
      <c r="N141" s="4" t="s">
        <v>23</v>
      </c>
      <c r="O141" s="4" t="s">
        <v>25</v>
      </c>
      <c r="P141" s="4" t="s">
        <v>46</v>
      </c>
      <c r="Q141" s="4">
        <v>6</v>
      </c>
    </row>
    <row r="142" spans="1:17">
      <c r="A142" s="3" t="s">
        <v>424</v>
      </c>
      <c r="B142" s="4" t="s">
        <v>476</v>
      </c>
      <c r="C142" s="4" t="s">
        <v>477</v>
      </c>
      <c r="D142" s="4">
        <v>28316</v>
      </c>
      <c r="E142" s="4" t="s">
        <v>19</v>
      </c>
      <c r="F142" s="5">
        <v>1250</v>
      </c>
      <c r="G142" s="5">
        <v>1238</v>
      </c>
      <c r="H142" s="5">
        <v>413</v>
      </c>
      <c r="I142" s="4" t="s">
        <v>442</v>
      </c>
      <c r="J142" s="4" t="s">
        <v>478</v>
      </c>
      <c r="K142" s="4" t="s">
        <v>135</v>
      </c>
      <c r="L142" s="4">
        <v>59195420</v>
      </c>
      <c r="M142" s="4">
        <v>59195420</v>
      </c>
      <c r="N142" s="4" t="s">
        <v>23</v>
      </c>
      <c r="O142" s="4" t="s">
        <v>46</v>
      </c>
      <c r="P142" s="4" t="s">
        <v>24</v>
      </c>
      <c r="Q142" s="4">
        <v>4</v>
      </c>
    </row>
    <row r="143" spans="1:17">
      <c r="A143" s="3" t="s">
        <v>424</v>
      </c>
      <c r="B143" s="4" t="s">
        <v>479</v>
      </c>
      <c r="C143" s="4" t="s">
        <v>480</v>
      </c>
      <c r="D143" s="4">
        <v>2057</v>
      </c>
      <c r="E143" s="4" t="s">
        <v>19</v>
      </c>
      <c r="F143" s="5">
        <v>430</v>
      </c>
      <c r="G143" s="5">
        <v>295</v>
      </c>
      <c r="H143" s="5">
        <v>99</v>
      </c>
      <c r="I143" s="4" t="s">
        <v>123</v>
      </c>
      <c r="J143" s="4" t="s">
        <v>481</v>
      </c>
      <c r="K143" s="4" t="s">
        <v>139</v>
      </c>
      <c r="L143" s="4">
        <v>11492738</v>
      </c>
      <c r="M143" s="4">
        <v>11492738</v>
      </c>
      <c r="N143" s="4" t="s">
        <v>23</v>
      </c>
      <c r="O143" s="4" t="s">
        <v>46</v>
      </c>
      <c r="P143" s="4" t="s">
        <v>25</v>
      </c>
      <c r="Q143" s="4">
        <v>-4</v>
      </c>
    </row>
    <row r="144" spans="1:17" ht="30">
      <c r="A144" s="3" t="s">
        <v>424</v>
      </c>
      <c r="B144" s="4" t="s">
        <v>482</v>
      </c>
      <c r="C144" s="4" t="str">
        <f ca="1">"NM_001098506"&amp;IF(INFO("system")="mac",CHAR(13),CHAR(10))&amp;"NM_033543"</f>
        <v>NM_001098506_x000D_NM_033543</v>
      </c>
      <c r="D144" s="4">
        <v>90273</v>
      </c>
      <c r="E144" s="4" t="s">
        <v>68</v>
      </c>
      <c r="F144" s="5" t="s">
        <v>35</v>
      </c>
      <c r="G144" s="5" t="s">
        <v>35</v>
      </c>
      <c r="H144" s="5" t="s">
        <v>35</v>
      </c>
      <c r="I144" s="4" t="s">
        <v>35</v>
      </c>
      <c r="J144" s="4" t="s">
        <v>35</v>
      </c>
      <c r="K144" s="4" t="s">
        <v>139</v>
      </c>
      <c r="L144" s="4">
        <v>42092192</v>
      </c>
      <c r="M144" s="4">
        <v>42092192</v>
      </c>
      <c r="N144" s="4" t="s">
        <v>23</v>
      </c>
      <c r="O144" s="4" t="s">
        <v>24</v>
      </c>
      <c r="P144" s="4" t="s">
        <v>25</v>
      </c>
      <c r="Q144" s="4">
        <v>3</v>
      </c>
    </row>
    <row r="145" spans="1:17" ht="30">
      <c r="A145" s="3" t="s">
        <v>424</v>
      </c>
      <c r="B145" s="4" t="s">
        <v>483</v>
      </c>
      <c r="C145" s="4" t="str">
        <f ca="1">"NM_001039877"&amp;IF(INFO("system")="mac",CHAR(13),CHAR(10))&amp;"NM_013403"</f>
        <v>NM_001039877_x000D_NM_013403</v>
      </c>
      <c r="D145" s="4">
        <v>29888</v>
      </c>
      <c r="E145" s="4" t="str">
        <f ca="1">"NON_SYNONYMOUS_CODING"&amp;IF(INFO("system")="mac",CHAR(13),CHAR(10))&amp;"NMD_TRANSCRIPT,NON_SYNONYMOUS_CODING"</f>
        <v>NON_SYNONYMOUS_CODING_x000D_NMD_TRANSCRIPT,NON_SYNONYMOUS_CODING</v>
      </c>
      <c r="F145" s="5" t="str">
        <f ca="1">"1255"&amp;IF(INFO("system")="mac",CHAR(13),CHAR(10))&amp;"1234"</f>
        <v>1255_x000D_1234</v>
      </c>
      <c r="G145" s="5" t="str">
        <f ca="1">"1222"&amp;IF(INFO("system")="mac",CHAR(13),CHAR(10))&amp;"1201"</f>
        <v>1222_x000D_1201</v>
      </c>
      <c r="H145" s="5" t="str">
        <f ca="1">"408"&amp;IF(INFO("system")="mac",CHAR(13),CHAR(10))&amp;"401"</f>
        <v>408_x000D_401</v>
      </c>
      <c r="I145" s="4" t="s">
        <v>484</v>
      </c>
      <c r="J145" s="4" t="s">
        <v>485</v>
      </c>
      <c r="K145" s="4" t="s">
        <v>139</v>
      </c>
      <c r="L145" s="4">
        <v>47230756</v>
      </c>
      <c r="M145" s="4">
        <v>47230756</v>
      </c>
      <c r="N145" s="4" t="s">
        <v>23</v>
      </c>
      <c r="O145" s="4" t="s">
        <v>46</v>
      </c>
      <c r="P145" s="4" t="s">
        <v>41</v>
      </c>
      <c r="Q145" s="4">
        <v>7</v>
      </c>
    </row>
    <row r="146" spans="1:17" ht="30">
      <c r="A146" s="3" t="s">
        <v>424</v>
      </c>
      <c r="B146" s="4" t="s">
        <v>486</v>
      </c>
      <c r="C146" s="4" t="str">
        <f ca="1">"NM_001143938"&amp;IF(INFO("system")="mac",CHAR(13),CHAR(10))&amp;"NM_001143939"</f>
        <v>NM_001143938_x000D_NM_001143939</v>
      </c>
      <c r="D146" s="4">
        <v>147658</v>
      </c>
      <c r="E146" s="4" t="s">
        <v>19</v>
      </c>
      <c r="F146" s="5" t="str">
        <f ca="1">"1211"&amp;IF(INFO("system")="mac",CHAR(13),CHAR(10))&amp;"1250"</f>
        <v>1211_x000D_1250</v>
      </c>
      <c r="G146" s="5" t="str">
        <f ca="1">"1150"&amp;IF(INFO("system")="mac",CHAR(13),CHAR(10))&amp;"1189"</f>
        <v>1150_x000D_1189</v>
      </c>
      <c r="H146" s="5" t="str">
        <f ca="1">"384"&amp;IF(INFO("system")="mac",CHAR(13),CHAR(10))&amp;"397"</f>
        <v>384_x000D_397</v>
      </c>
      <c r="I146" s="4" t="s">
        <v>277</v>
      </c>
      <c r="J146" s="4" t="s">
        <v>278</v>
      </c>
      <c r="K146" s="4" t="s">
        <v>139</v>
      </c>
      <c r="L146" s="4">
        <v>52941863</v>
      </c>
      <c r="M146" s="4">
        <v>52941863</v>
      </c>
      <c r="N146" s="4" t="s">
        <v>23</v>
      </c>
      <c r="O146" s="4" t="s">
        <v>41</v>
      </c>
      <c r="P146" s="4" t="s">
        <v>25</v>
      </c>
      <c r="Q146" s="4">
        <v>7</v>
      </c>
    </row>
    <row r="147" spans="1:17">
      <c r="A147" s="3" t="s">
        <v>424</v>
      </c>
      <c r="B147" s="4" t="s">
        <v>487</v>
      </c>
      <c r="C147" s="4" t="s">
        <v>488</v>
      </c>
      <c r="D147" s="4">
        <v>389015</v>
      </c>
      <c r="E147" s="4" t="s">
        <v>19</v>
      </c>
      <c r="F147" s="5">
        <v>1633</v>
      </c>
      <c r="G147" s="5">
        <v>1176</v>
      </c>
      <c r="H147" s="5">
        <v>392</v>
      </c>
      <c r="I147" s="4" t="s">
        <v>199</v>
      </c>
      <c r="J147" s="4" t="s">
        <v>326</v>
      </c>
      <c r="K147" s="4" t="s">
        <v>172</v>
      </c>
      <c r="L147" s="4">
        <v>103121908</v>
      </c>
      <c r="M147" s="4">
        <v>103121908</v>
      </c>
      <c r="N147" s="4" t="s">
        <v>23</v>
      </c>
      <c r="O147" s="4" t="s">
        <v>46</v>
      </c>
      <c r="P147" s="4" t="s">
        <v>25</v>
      </c>
      <c r="Q147" s="4">
        <v>6</v>
      </c>
    </row>
    <row r="148" spans="1:17" ht="75">
      <c r="A148" s="3" t="s">
        <v>424</v>
      </c>
      <c r="B148" s="4" t="s">
        <v>489</v>
      </c>
      <c r="C148" s="4" t="str">
        <f ca="1">"NM_020868"&amp;IF(INFO("system")="mac",CHAR(13),CHAR(10))&amp;"NM_001178036"&amp;IF(INFO("system")="mac",CHAR(13),CHAR(10))&amp;"NM_001178034"&amp;IF(INFO("system")="mac",CHAR(13),CHAR(10))&amp;"NM_001004360"&amp;IF(INFO("system")="mac",CHAR(13),CHAR(10))&amp;"NM_001178037"</f>
        <v>NM_020868_x000D_NM_001178036_x000D_NM_001178034_x000D_NM_001004360_x000D_NM_001178037</v>
      </c>
      <c r="D148" s="4">
        <v>57628</v>
      </c>
      <c r="E148" s="4" t="s">
        <v>19</v>
      </c>
      <c r="F148" s="5" t="str">
        <f ca="1">"2038"&amp;IF(INFO("system")="mac",CHAR(13),CHAR(10))&amp;"2091"&amp;IF(INFO("system")="mac",CHAR(13),CHAR(10))&amp;"1614"&amp;IF(INFO("system")="mac",CHAR(13),CHAR(10))&amp;"1687"&amp;IF(INFO("system")="mac",CHAR(13),CHAR(10))&amp;"1657"</f>
        <v>2038_x000D_2091_x000D_1614_x000D_1687_x000D_1657</v>
      </c>
      <c r="G148" s="5" t="str">
        <f ca="1">"1581"&amp;IF(INFO("system")="mac",CHAR(13),CHAR(10))&amp;"1431"&amp;IF(INFO("system")="mac",CHAR(13),CHAR(10))&amp;"1593"&amp;IF(INFO("system")="mac",CHAR(13),CHAR(10))&amp;"1560"&amp;IF(INFO("system")="mac",CHAR(13),CHAR(10))&amp;"1569"</f>
        <v>1581_x000D_1431_x000D_1593_x000D_1560_x000D_1569</v>
      </c>
      <c r="H148" s="5" t="str">
        <f ca="1">"527"&amp;IF(INFO("system")="mac",CHAR(13),CHAR(10))&amp;"477"&amp;IF(INFO("system")="mac",CHAR(13),CHAR(10))&amp;"531"&amp;IF(INFO("system")="mac",CHAR(13),CHAR(10))&amp;"520"&amp;IF(INFO("system")="mac",CHAR(13),CHAR(10))&amp;"523"</f>
        <v>527_x000D_477_x000D_531_x000D_520_x000D_523</v>
      </c>
      <c r="I148" s="4" t="s">
        <v>235</v>
      </c>
      <c r="J148" s="4" t="s">
        <v>490</v>
      </c>
      <c r="K148" s="4" t="s">
        <v>172</v>
      </c>
      <c r="L148" s="4">
        <v>116548706</v>
      </c>
      <c r="M148" s="4">
        <v>116548706</v>
      </c>
      <c r="N148" s="4" t="s">
        <v>23</v>
      </c>
      <c r="O148" s="4" t="s">
        <v>24</v>
      </c>
      <c r="P148" s="4" t="s">
        <v>41</v>
      </c>
      <c r="Q148" s="4">
        <v>8</v>
      </c>
    </row>
    <row r="149" spans="1:17">
      <c r="A149" s="3" t="s">
        <v>424</v>
      </c>
      <c r="B149" s="4" t="s">
        <v>491</v>
      </c>
      <c r="C149" s="4" t="s">
        <v>492</v>
      </c>
      <c r="D149" s="4">
        <v>65061</v>
      </c>
      <c r="E149" s="4" t="s">
        <v>19</v>
      </c>
      <c r="F149" s="5">
        <v>768</v>
      </c>
      <c r="G149" s="5">
        <v>665</v>
      </c>
      <c r="H149" s="5">
        <v>222</v>
      </c>
      <c r="I149" s="4" t="s">
        <v>493</v>
      </c>
      <c r="J149" s="4" t="s">
        <v>494</v>
      </c>
      <c r="K149" s="4" t="s">
        <v>172</v>
      </c>
      <c r="L149" s="4">
        <v>202700453</v>
      </c>
      <c r="M149" s="4">
        <v>202700453</v>
      </c>
      <c r="N149" s="4" t="s">
        <v>23</v>
      </c>
      <c r="O149" s="4" t="s">
        <v>24</v>
      </c>
      <c r="P149" s="4" t="s">
        <v>25</v>
      </c>
      <c r="Q149" s="4">
        <v>-3</v>
      </c>
    </row>
    <row r="150" spans="1:17">
      <c r="A150" s="3" t="s">
        <v>424</v>
      </c>
      <c r="B150" s="4" t="s">
        <v>495</v>
      </c>
      <c r="C150" s="4" t="s">
        <v>496</v>
      </c>
      <c r="D150" s="4">
        <v>7857</v>
      </c>
      <c r="E150" s="4" t="s">
        <v>19</v>
      </c>
      <c r="F150" s="5">
        <v>912</v>
      </c>
      <c r="G150" s="5">
        <v>683</v>
      </c>
      <c r="H150" s="5">
        <v>228</v>
      </c>
      <c r="I150" s="4" t="s">
        <v>289</v>
      </c>
      <c r="J150" s="4" t="s">
        <v>290</v>
      </c>
      <c r="K150" s="4" t="s">
        <v>172</v>
      </c>
      <c r="L150" s="4">
        <v>224463318</v>
      </c>
      <c r="M150" s="4">
        <v>224463318</v>
      </c>
      <c r="N150" s="4" t="s">
        <v>23</v>
      </c>
      <c r="O150" s="4" t="s">
        <v>41</v>
      </c>
      <c r="P150" s="4" t="s">
        <v>24</v>
      </c>
      <c r="Q150" s="4">
        <v>5</v>
      </c>
    </row>
    <row r="151" spans="1:17">
      <c r="A151" s="3" t="s">
        <v>424</v>
      </c>
      <c r="B151" s="4" t="s">
        <v>497</v>
      </c>
      <c r="C151" s="4" t="s">
        <v>498</v>
      </c>
      <c r="D151" s="4">
        <v>377007</v>
      </c>
      <c r="E151" s="4" t="s">
        <v>232</v>
      </c>
      <c r="F151" s="5" t="s">
        <v>35</v>
      </c>
      <c r="G151" s="5" t="s">
        <v>35</v>
      </c>
      <c r="H151" s="5" t="s">
        <v>35</v>
      </c>
      <c r="I151" s="4" t="s">
        <v>35</v>
      </c>
      <c r="J151" s="4" t="s">
        <v>35</v>
      </c>
      <c r="K151" s="4" t="s">
        <v>172</v>
      </c>
      <c r="L151" s="4">
        <v>239059447</v>
      </c>
      <c r="M151" s="4">
        <v>239059447</v>
      </c>
      <c r="N151" s="4" t="s">
        <v>23</v>
      </c>
      <c r="O151" s="4" t="s">
        <v>24</v>
      </c>
      <c r="P151" s="4" t="s">
        <v>25</v>
      </c>
      <c r="Q151" s="4">
        <v>3</v>
      </c>
    </row>
    <row r="152" spans="1:17">
      <c r="A152" s="3" t="s">
        <v>424</v>
      </c>
      <c r="B152" s="4" t="s">
        <v>499</v>
      </c>
      <c r="C152" s="4" t="s">
        <v>500</v>
      </c>
      <c r="D152" s="4">
        <v>8200</v>
      </c>
      <c r="E152" s="4" t="s">
        <v>19</v>
      </c>
      <c r="F152" s="5">
        <v>1737</v>
      </c>
      <c r="G152" s="5">
        <v>1418</v>
      </c>
      <c r="H152" s="5">
        <v>473</v>
      </c>
      <c r="I152" s="4" t="s">
        <v>332</v>
      </c>
      <c r="J152" s="4" t="s">
        <v>333</v>
      </c>
      <c r="K152" s="4" t="s">
        <v>188</v>
      </c>
      <c r="L152" s="4">
        <v>34021795</v>
      </c>
      <c r="M152" s="4">
        <v>34021795</v>
      </c>
      <c r="N152" s="4" t="s">
        <v>23</v>
      </c>
      <c r="O152" s="4" t="s">
        <v>24</v>
      </c>
      <c r="P152" s="4" t="s">
        <v>25</v>
      </c>
      <c r="Q152" s="4">
        <v>6</v>
      </c>
    </row>
    <row r="153" spans="1:17">
      <c r="A153" s="3" t="s">
        <v>424</v>
      </c>
      <c r="B153" s="4" t="s">
        <v>501</v>
      </c>
      <c r="C153" s="4" t="s">
        <v>502</v>
      </c>
      <c r="D153" s="4">
        <v>23051</v>
      </c>
      <c r="E153" s="4" t="s">
        <v>19</v>
      </c>
      <c r="F153" s="5">
        <v>3115</v>
      </c>
      <c r="G153" s="5">
        <v>2737</v>
      </c>
      <c r="H153" s="5">
        <v>913</v>
      </c>
      <c r="I153" s="4" t="s">
        <v>503</v>
      </c>
      <c r="J153" s="4" t="s">
        <v>504</v>
      </c>
      <c r="K153" s="4" t="s">
        <v>188</v>
      </c>
      <c r="L153" s="4">
        <v>39830820</v>
      </c>
      <c r="M153" s="4">
        <v>39830820</v>
      </c>
      <c r="N153" s="4" t="s">
        <v>23</v>
      </c>
      <c r="O153" s="4" t="s">
        <v>24</v>
      </c>
      <c r="P153" s="4" t="s">
        <v>25</v>
      </c>
      <c r="Q153" s="4">
        <v>8</v>
      </c>
    </row>
    <row r="154" spans="1:17" ht="30">
      <c r="A154" s="3" t="s">
        <v>424</v>
      </c>
      <c r="B154" s="4" t="s">
        <v>505</v>
      </c>
      <c r="C154" s="4" t="str">
        <f ca="1">"NM_145738"&amp;IF(INFO("system")="mac",CHAR(13),CHAR(10))&amp;"NM_145731"</f>
        <v>NM_145738_x000D_NM_145731</v>
      </c>
      <c r="D154" s="4">
        <v>9145</v>
      </c>
      <c r="E154" s="4" t="s">
        <v>19</v>
      </c>
      <c r="F154" s="5" t="str">
        <f ca="1">"587"&amp;IF(INFO("system")="mac",CHAR(13),CHAR(10))&amp;"621"</f>
        <v>587_x000D_621</v>
      </c>
      <c r="G154" s="5" t="str">
        <f ca="1">"562"&amp;IF(INFO("system")="mac",CHAR(13),CHAR(10))&amp;"559"</f>
        <v>562_x000D_559</v>
      </c>
      <c r="H154" s="5" t="str">
        <f ca="1">"188"&amp;IF(INFO("system")="mac",CHAR(13),CHAR(10))&amp;"187"</f>
        <v>188_x000D_187</v>
      </c>
      <c r="I154" s="4" t="s">
        <v>123</v>
      </c>
      <c r="J154" s="4" t="s">
        <v>256</v>
      </c>
      <c r="K154" s="4" t="s">
        <v>197</v>
      </c>
      <c r="L154" s="4">
        <v>39773678</v>
      </c>
      <c r="M154" s="4">
        <v>39773678</v>
      </c>
      <c r="N154" s="4" t="s">
        <v>23</v>
      </c>
      <c r="O154" s="4" t="s">
        <v>24</v>
      </c>
      <c r="P154" s="4" t="s">
        <v>41</v>
      </c>
      <c r="Q154" s="4">
        <v>6</v>
      </c>
    </row>
    <row r="155" spans="1:17" ht="30">
      <c r="A155" s="3" t="s">
        <v>424</v>
      </c>
      <c r="B155" s="4" t="s">
        <v>506</v>
      </c>
      <c r="C155" s="4" t="str">
        <f ca="1">"NM_001145398"&amp;IF(INFO("system")="mac",CHAR(13),CHAR(10))&amp;"NM_003216"</f>
        <v>NM_001145398_x000D_NM_003216</v>
      </c>
      <c r="D155" s="4">
        <v>7008</v>
      </c>
      <c r="E155" s="4" t="s">
        <v>19</v>
      </c>
      <c r="F155" s="5" t="str">
        <f ca="1">"355"&amp;IF(INFO("system")="mac",CHAR(13),CHAR(10))&amp;"386"</f>
        <v>355_x000D_386</v>
      </c>
      <c r="G155" s="5" t="str">
        <f ca="1">"210"&amp;IF(INFO("system")="mac",CHAR(13),CHAR(10))&amp;"300"</f>
        <v>210_x000D_300</v>
      </c>
      <c r="H155" s="5" t="str">
        <f ca="1">"70"&amp;IF(INFO("system")="mac",CHAR(13),CHAR(10))&amp;"100"</f>
        <v>70_x000D_100</v>
      </c>
      <c r="I155" s="4" t="s">
        <v>246</v>
      </c>
      <c r="J155" s="4" t="s">
        <v>507</v>
      </c>
      <c r="K155" s="4" t="s">
        <v>197</v>
      </c>
      <c r="L155" s="4">
        <v>41783497</v>
      </c>
      <c r="M155" s="4">
        <v>41783497</v>
      </c>
      <c r="N155" s="4" t="s">
        <v>23</v>
      </c>
      <c r="O155" s="4" t="s">
        <v>46</v>
      </c>
      <c r="P155" s="4" t="s">
        <v>24</v>
      </c>
      <c r="Q155" s="4">
        <v>6</v>
      </c>
    </row>
    <row r="156" spans="1:17">
      <c r="A156" s="3" t="s">
        <v>424</v>
      </c>
      <c r="B156" s="4" t="s">
        <v>508</v>
      </c>
      <c r="C156" s="4" t="s">
        <v>509</v>
      </c>
      <c r="D156" s="4">
        <v>23129</v>
      </c>
      <c r="E156" s="4" t="s">
        <v>19</v>
      </c>
      <c r="F156" s="5">
        <v>5616</v>
      </c>
      <c r="G156" s="5">
        <v>5516</v>
      </c>
      <c r="H156" s="5">
        <v>1839</v>
      </c>
      <c r="I156" s="4" t="s">
        <v>175</v>
      </c>
      <c r="J156" s="4" t="s">
        <v>176</v>
      </c>
      <c r="K156" s="4" t="s">
        <v>201</v>
      </c>
      <c r="L156" s="4">
        <v>129275996</v>
      </c>
      <c r="M156" s="4">
        <v>129275996</v>
      </c>
      <c r="N156" s="4" t="s">
        <v>23</v>
      </c>
      <c r="O156" s="4" t="s">
        <v>41</v>
      </c>
      <c r="P156" s="4" t="s">
        <v>46</v>
      </c>
      <c r="Q156" s="4">
        <v>2</v>
      </c>
    </row>
    <row r="157" spans="1:17" ht="30">
      <c r="A157" s="3" t="s">
        <v>424</v>
      </c>
      <c r="B157" s="4" t="s">
        <v>510</v>
      </c>
      <c r="C157" s="4" t="str">
        <f ca="1">"NM_178504"&amp;IF(INFO("system")="mac",CHAR(13),CHAR(10))&amp;"NM_198564"</f>
        <v>NM_178504_x000D_NM_198564</v>
      </c>
      <c r="D157" s="4">
        <v>201625</v>
      </c>
      <c r="E157" s="4" t="s">
        <v>19</v>
      </c>
      <c r="F157" s="5">
        <v>1016</v>
      </c>
      <c r="G157" s="5">
        <v>835</v>
      </c>
      <c r="H157" s="5">
        <v>279</v>
      </c>
      <c r="I157" s="4" t="s">
        <v>27</v>
      </c>
      <c r="J157" s="4" t="s">
        <v>511</v>
      </c>
      <c r="K157" s="4" t="s">
        <v>201</v>
      </c>
      <c r="L157" s="4">
        <v>57493432</v>
      </c>
      <c r="M157" s="4">
        <v>57493432</v>
      </c>
      <c r="N157" s="4" t="s">
        <v>23</v>
      </c>
      <c r="O157" s="4" t="s">
        <v>46</v>
      </c>
      <c r="P157" s="4" t="s">
        <v>24</v>
      </c>
      <c r="Q157" s="4">
        <v>-2</v>
      </c>
    </row>
    <row r="158" spans="1:17">
      <c r="A158" s="3" t="s">
        <v>424</v>
      </c>
      <c r="B158" s="4" t="s">
        <v>512</v>
      </c>
      <c r="C158" s="4" t="s">
        <v>513</v>
      </c>
      <c r="D158" s="4">
        <v>166647</v>
      </c>
      <c r="E158" s="4" t="s">
        <v>19</v>
      </c>
      <c r="F158" s="5">
        <v>2919</v>
      </c>
      <c r="G158" s="5">
        <v>2654</v>
      </c>
      <c r="H158" s="5">
        <v>885</v>
      </c>
      <c r="I158" s="4" t="s">
        <v>86</v>
      </c>
      <c r="J158" s="4" t="s">
        <v>514</v>
      </c>
      <c r="K158" s="4" t="s">
        <v>220</v>
      </c>
      <c r="L158" s="4">
        <v>22390780</v>
      </c>
      <c r="M158" s="4">
        <v>22390780</v>
      </c>
      <c r="N158" s="4" t="s">
        <v>23</v>
      </c>
      <c r="O158" s="4" t="s">
        <v>24</v>
      </c>
      <c r="P158" s="4" t="s">
        <v>46</v>
      </c>
      <c r="Q158" s="4">
        <v>16</v>
      </c>
    </row>
    <row r="159" spans="1:17">
      <c r="A159" s="3" t="s">
        <v>424</v>
      </c>
      <c r="B159" s="4" t="s">
        <v>515</v>
      </c>
      <c r="C159" s="4" t="s">
        <v>516</v>
      </c>
      <c r="D159" s="4">
        <v>54491</v>
      </c>
      <c r="E159" s="4" t="s">
        <v>232</v>
      </c>
      <c r="F159" s="5" t="s">
        <v>35</v>
      </c>
      <c r="G159" s="5" t="s">
        <v>35</v>
      </c>
      <c r="H159" s="5" t="s">
        <v>35</v>
      </c>
      <c r="I159" s="4" t="s">
        <v>35</v>
      </c>
      <c r="J159" s="4" t="s">
        <v>35</v>
      </c>
      <c r="K159" s="4" t="s">
        <v>226</v>
      </c>
      <c r="L159" s="4">
        <v>14602445</v>
      </c>
      <c r="M159" s="4">
        <v>14602445</v>
      </c>
      <c r="N159" s="4" t="s">
        <v>23</v>
      </c>
      <c r="O159" s="4" t="s">
        <v>41</v>
      </c>
      <c r="P159" s="4" t="s">
        <v>46</v>
      </c>
      <c r="Q159" s="4">
        <v>13</v>
      </c>
    </row>
    <row r="160" spans="1:17">
      <c r="A160" s="3" t="s">
        <v>424</v>
      </c>
      <c r="B160" s="4" t="s">
        <v>517</v>
      </c>
      <c r="C160" s="4" t="s">
        <v>518</v>
      </c>
      <c r="D160" s="4">
        <v>90249</v>
      </c>
      <c r="E160" s="4" t="s">
        <v>19</v>
      </c>
      <c r="F160" s="5">
        <v>220</v>
      </c>
      <c r="G160" s="5">
        <v>28</v>
      </c>
      <c r="H160" s="5">
        <v>10</v>
      </c>
      <c r="I160" s="4" t="s">
        <v>123</v>
      </c>
      <c r="J160" s="4" t="s">
        <v>519</v>
      </c>
      <c r="K160" s="4" t="s">
        <v>226</v>
      </c>
      <c r="L160" s="4">
        <v>176237779</v>
      </c>
      <c r="M160" s="4">
        <v>176237779</v>
      </c>
      <c r="N160" s="4" t="s">
        <v>23</v>
      </c>
      <c r="O160" s="4" t="s">
        <v>24</v>
      </c>
      <c r="P160" s="4" t="s">
        <v>41</v>
      </c>
      <c r="Q160" s="4">
        <v>5</v>
      </c>
    </row>
    <row r="161" spans="1:17">
      <c r="A161" s="3" t="s">
        <v>424</v>
      </c>
      <c r="B161" s="4" t="s">
        <v>520</v>
      </c>
      <c r="C161" s="4" t="s">
        <v>521</v>
      </c>
      <c r="D161" s="4">
        <v>79930</v>
      </c>
      <c r="E161" s="4" t="s">
        <v>19</v>
      </c>
      <c r="F161" s="5">
        <v>949</v>
      </c>
      <c r="G161" s="5">
        <v>944</v>
      </c>
      <c r="H161" s="5">
        <v>315</v>
      </c>
      <c r="I161" s="4" t="s">
        <v>332</v>
      </c>
      <c r="J161" s="4" t="s">
        <v>522</v>
      </c>
      <c r="K161" s="4" t="s">
        <v>226</v>
      </c>
      <c r="L161" s="4">
        <v>176931531</v>
      </c>
      <c r="M161" s="4">
        <v>176931531</v>
      </c>
      <c r="N161" s="4" t="s">
        <v>23</v>
      </c>
      <c r="O161" s="4" t="s">
        <v>24</v>
      </c>
      <c r="P161" s="4" t="s">
        <v>25</v>
      </c>
      <c r="Q161" s="4">
        <v>1</v>
      </c>
    </row>
    <row r="162" spans="1:17" ht="30">
      <c r="A162" s="3" t="s">
        <v>424</v>
      </c>
      <c r="B162" s="4" t="s">
        <v>523</v>
      </c>
      <c r="C162" s="4" t="str">
        <f ca="1">"NM_001198"&amp;IF(INFO("system")="mac",CHAR(13),CHAR(10))&amp;"NM_182907"</f>
        <v>NM_001198_x000D_NM_182907</v>
      </c>
      <c r="D162" s="4">
        <v>639</v>
      </c>
      <c r="E162" s="4" t="s">
        <v>19</v>
      </c>
      <c r="F162" s="5" t="str">
        <f ca="1">"1709"&amp;IF(INFO("system")="mac",CHAR(13),CHAR(10))&amp;"1219"</f>
        <v>1709_x000D_1219</v>
      </c>
      <c r="G162" s="5" t="str">
        <f ca="1">"1475"&amp;IF(INFO("system")="mac",CHAR(13),CHAR(10))&amp;"1073"</f>
        <v>1475_x000D_1073</v>
      </c>
      <c r="H162" s="5" t="str">
        <f ca="1">"492"&amp;IF(INFO("system")="mac",CHAR(13),CHAR(10))&amp;"358"</f>
        <v>492_x000D_358</v>
      </c>
      <c r="I162" s="4" t="s">
        <v>142</v>
      </c>
      <c r="J162" s="4" t="s">
        <v>143</v>
      </c>
      <c r="K162" s="4" t="s">
        <v>237</v>
      </c>
      <c r="L162" s="4">
        <v>106553510</v>
      </c>
      <c r="M162" s="4">
        <v>106553510</v>
      </c>
      <c r="N162" s="4" t="s">
        <v>23</v>
      </c>
      <c r="O162" s="4" t="s">
        <v>46</v>
      </c>
      <c r="P162" s="4" t="s">
        <v>25</v>
      </c>
      <c r="Q162" s="4">
        <v>1</v>
      </c>
    </row>
    <row r="163" spans="1:17" ht="30">
      <c r="A163" s="3" t="s">
        <v>424</v>
      </c>
      <c r="B163" s="4" t="s">
        <v>388</v>
      </c>
      <c r="C163" s="4" t="str">
        <f ca="1">"NM_000426"&amp;IF(INFO("system")="mac",CHAR(13),CHAR(10))&amp;"NM_001079823"</f>
        <v>NM_000426_x000D_NM_001079823</v>
      </c>
      <c r="D163" s="4">
        <v>3908</v>
      </c>
      <c r="E163" s="4" t="s">
        <v>19</v>
      </c>
      <c r="F163" s="5">
        <v>1181</v>
      </c>
      <c r="G163" s="5">
        <v>1076</v>
      </c>
      <c r="H163" s="5">
        <v>359</v>
      </c>
      <c r="I163" s="4" t="s">
        <v>524</v>
      </c>
      <c r="J163" s="4" t="s">
        <v>525</v>
      </c>
      <c r="K163" s="4" t="s">
        <v>237</v>
      </c>
      <c r="L163" s="4">
        <v>129475698</v>
      </c>
      <c r="M163" s="4">
        <v>129475698</v>
      </c>
      <c r="N163" s="4" t="s">
        <v>23</v>
      </c>
      <c r="O163" s="4" t="s">
        <v>41</v>
      </c>
      <c r="P163" s="4" t="s">
        <v>46</v>
      </c>
      <c r="Q163" s="4">
        <v>14</v>
      </c>
    </row>
    <row r="164" spans="1:17">
      <c r="A164" s="3" t="s">
        <v>424</v>
      </c>
      <c r="B164" s="4" t="s">
        <v>526</v>
      </c>
      <c r="C164" s="4" t="s">
        <v>527</v>
      </c>
      <c r="D164" s="4">
        <v>577</v>
      </c>
      <c r="E164" s="4" t="s">
        <v>19</v>
      </c>
      <c r="F164" s="5">
        <v>1394</v>
      </c>
      <c r="G164" s="5">
        <v>946</v>
      </c>
      <c r="H164" s="5">
        <v>316</v>
      </c>
      <c r="I164" s="4" t="s">
        <v>356</v>
      </c>
      <c r="J164" s="4" t="s">
        <v>382</v>
      </c>
      <c r="K164" s="4" t="s">
        <v>237</v>
      </c>
      <c r="L164" s="4">
        <v>69646488</v>
      </c>
      <c r="M164" s="4">
        <v>69646488</v>
      </c>
      <c r="N164" s="4" t="s">
        <v>23</v>
      </c>
      <c r="O164" s="4" t="s">
        <v>25</v>
      </c>
      <c r="P164" s="4" t="s">
        <v>24</v>
      </c>
      <c r="Q164" s="4">
        <v>2</v>
      </c>
    </row>
    <row r="165" spans="1:17" ht="30">
      <c r="A165" s="3" t="s">
        <v>424</v>
      </c>
      <c r="B165" s="4" t="s">
        <v>528</v>
      </c>
      <c r="C165" s="4" t="str">
        <f ca="1">"NM_001146"&amp;IF(INFO("system")="mac",CHAR(13),CHAR(10))&amp;"NM_001199859"</f>
        <v>NM_001146_x000D_NM_001199859</v>
      </c>
      <c r="D165" s="4">
        <v>284</v>
      </c>
      <c r="E165" s="4" t="s">
        <v>19</v>
      </c>
      <c r="F165" s="5" t="str">
        <f ca="1">"1736"&amp;IF(INFO("system")="mac",CHAR(13),CHAR(10))&amp;"1733"</f>
        <v>1736_x000D_1733</v>
      </c>
      <c r="G165" s="5" t="str">
        <f ca="1">"1268"&amp;IF(INFO("system")="mac",CHAR(13),CHAR(10))&amp;"1265"</f>
        <v>1268_x000D_1265</v>
      </c>
      <c r="H165" s="5" t="str">
        <f ca="1">"423"&amp;IF(INFO("system")="mac",CHAR(13),CHAR(10))&amp;"422"</f>
        <v>423_x000D_422</v>
      </c>
      <c r="I165" s="4" t="s">
        <v>529</v>
      </c>
      <c r="J165" s="4" t="s">
        <v>530</v>
      </c>
      <c r="K165" s="4" t="s">
        <v>279</v>
      </c>
      <c r="L165" s="4">
        <v>108276517</v>
      </c>
      <c r="M165" s="4">
        <v>108276517</v>
      </c>
      <c r="N165" s="4" t="s">
        <v>23</v>
      </c>
      <c r="O165" s="4" t="s">
        <v>24</v>
      </c>
      <c r="P165" s="4" t="s">
        <v>41</v>
      </c>
      <c r="Q165" s="4">
        <v>-5</v>
      </c>
    </row>
    <row r="166" spans="1:17" ht="30">
      <c r="A166" s="3" t="s">
        <v>424</v>
      </c>
      <c r="B166" s="4" t="s">
        <v>528</v>
      </c>
      <c r="C166" s="4" t="str">
        <f ca="1">"NM_001146"&amp;IF(INFO("system")="mac",CHAR(13),CHAR(10))&amp;"NM_001199859"</f>
        <v>NM_001146_x000D_NM_001199859</v>
      </c>
      <c r="D166" s="4">
        <v>284</v>
      </c>
      <c r="E166" s="4" t="s">
        <v>19</v>
      </c>
      <c r="F166" s="5" t="str">
        <f ca="1">"1733"&amp;IF(INFO("system")="mac",CHAR(13),CHAR(10))&amp;"1730"</f>
        <v>1733_x000D_1730</v>
      </c>
      <c r="G166" s="5" t="str">
        <f ca="1">"1265"&amp;IF(INFO("system")="mac",CHAR(13),CHAR(10))&amp;"1262"</f>
        <v>1265_x000D_1262</v>
      </c>
      <c r="H166" s="5" t="str">
        <f ca="1">"422"&amp;IF(INFO("system")="mac",CHAR(13),CHAR(10))&amp;"421"</f>
        <v>422_x000D_421</v>
      </c>
      <c r="I166" s="4" t="s">
        <v>408</v>
      </c>
      <c r="J166" s="4" t="s">
        <v>531</v>
      </c>
      <c r="K166" s="4" t="s">
        <v>279</v>
      </c>
      <c r="L166" s="4">
        <v>108276520</v>
      </c>
      <c r="M166" s="4">
        <v>108276520</v>
      </c>
      <c r="N166" s="4" t="s">
        <v>23</v>
      </c>
      <c r="O166" s="4" t="s">
        <v>46</v>
      </c>
      <c r="P166" s="4" t="s">
        <v>24</v>
      </c>
      <c r="Q166" s="4">
        <v>-3</v>
      </c>
    </row>
    <row r="167" spans="1:17" ht="45">
      <c r="A167" s="3" t="s">
        <v>424</v>
      </c>
      <c r="B167" s="4" t="s">
        <v>532</v>
      </c>
      <c r="C167" s="4" t="str">
        <f ca="1">"NM_198123"&amp;IF(INFO("system")="mac",CHAR(13),CHAR(10))&amp;"NM_052900"&amp;IF(INFO("system")="mac",CHAR(13),CHAR(10))&amp;"NM_198124"</f>
        <v>NM_198123_x000D_NM_052900_x000D_NM_198124</v>
      </c>
      <c r="D167" s="4">
        <v>114788</v>
      </c>
      <c r="E167" s="4" t="s">
        <v>19</v>
      </c>
      <c r="F167" s="5" t="str">
        <f ca="1">"2892"&amp;IF(INFO("system")="mac",CHAR(13),CHAR(10))&amp;"2580"&amp;IF(INFO("system")="mac",CHAR(13),CHAR(10))&amp;"2784"</f>
        <v>2892_x000D_2580_x000D_2784</v>
      </c>
      <c r="G167" s="5" t="str">
        <f ca="1">"2733"&amp;IF(INFO("system")="mac",CHAR(13),CHAR(10))&amp;"2421"&amp;IF(INFO("system")="mac",CHAR(13),CHAR(10))&amp;"2613"</f>
        <v>2733_x000D_2421_x000D_2613</v>
      </c>
      <c r="H167" s="5" t="str">
        <f ca="1">"911"&amp;IF(INFO("system")="mac",CHAR(13),CHAR(10))&amp;"807"&amp;IF(INFO("system")="mac",CHAR(13),CHAR(10))&amp;"871"</f>
        <v>911_x000D_807_x000D_871</v>
      </c>
      <c r="I167" s="4" t="s">
        <v>191</v>
      </c>
      <c r="J167" s="4" t="s">
        <v>192</v>
      </c>
      <c r="K167" s="4" t="s">
        <v>279</v>
      </c>
      <c r="L167" s="4">
        <v>113678589</v>
      </c>
      <c r="M167" s="4">
        <v>113678589</v>
      </c>
      <c r="N167" s="4" t="s">
        <v>23</v>
      </c>
      <c r="O167" s="4" t="s">
        <v>46</v>
      </c>
      <c r="P167" s="4" t="s">
        <v>24</v>
      </c>
      <c r="Q167" s="4">
        <v>5</v>
      </c>
    </row>
    <row r="168" spans="1:17">
      <c r="A168" s="3" t="s">
        <v>424</v>
      </c>
      <c r="B168" s="4" t="s">
        <v>533</v>
      </c>
      <c r="C168" s="4" t="s">
        <v>534</v>
      </c>
      <c r="D168" s="4">
        <v>138009</v>
      </c>
      <c r="E168" s="4" t="s">
        <v>19</v>
      </c>
      <c r="F168" s="5">
        <v>1133</v>
      </c>
      <c r="G168" s="5">
        <v>1036</v>
      </c>
      <c r="H168" s="5">
        <v>346</v>
      </c>
      <c r="I168" s="4" t="s">
        <v>535</v>
      </c>
      <c r="J168" s="4" t="s">
        <v>536</v>
      </c>
      <c r="K168" s="4" t="s">
        <v>279</v>
      </c>
      <c r="L168" s="4">
        <v>88885164</v>
      </c>
      <c r="M168" s="4">
        <v>88885164</v>
      </c>
      <c r="N168" s="4" t="s">
        <v>23</v>
      </c>
      <c r="O168" s="4" t="s">
        <v>46</v>
      </c>
      <c r="P168" s="4" t="s">
        <v>41</v>
      </c>
      <c r="Q168" s="4">
        <v>-2</v>
      </c>
    </row>
    <row r="169" spans="1:17">
      <c r="A169" s="3" t="s">
        <v>424</v>
      </c>
      <c r="B169" s="4" t="s">
        <v>537</v>
      </c>
      <c r="C169" s="4" t="s">
        <v>538</v>
      </c>
      <c r="D169" s="4">
        <v>286262</v>
      </c>
      <c r="E169" s="4" t="s">
        <v>19</v>
      </c>
      <c r="F169" s="5">
        <v>1610</v>
      </c>
      <c r="G169" s="5">
        <v>1610</v>
      </c>
      <c r="H169" s="5">
        <v>537</v>
      </c>
      <c r="I169" s="4" t="s">
        <v>539</v>
      </c>
      <c r="J169" s="4" t="s">
        <v>540</v>
      </c>
      <c r="K169" s="4" t="s">
        <v>292</v>
      </c>
      <c r="L169" s="4">
        <v>140093554</v>
      </c>
      <c r="M169" s="4">
        <v>140093554</v>
      </c>
      <c r="N169" s="4" t="s">
        <v>23</v>
      </c>
      <c r="O169" s="4" t="s">
        <v>25</v>
      </c>
      <c r="P169" s="4" t="s">
        <v>24</v>
      </c>
      <c r="Q169" s="4">
        <v>0</v>
      </c>
    </row>
    <row r="170" spans="1:17">
      <c r="A170" s="3">
        <v>31107</v>
      </c>
      <c r="B170" s="4" t="s">
        <v>541</v>
      </c>
      <c r="C170" s="4" t="s">
        <v>542</v>
      </c>
      <c r="D170" s="4">
        <v>261726</v>
      </c>
      <c r="E170" s="4" t="s">
        <v>19</v>
      </c>
      <c r="F170" s="5">
        <v>851</v>
      </c>
      <c r="G170" s="5">
        <v>706</v>
      </c>
      <c r="H170" s="5">
        <v>236</v>
      </c>
      <c r="I170" s="4" t="s">
        <v>543</v>
      </c>
      <c r="J170" s="4" t="s">
        <v>544</v>
      </c>
      <c r="K170" s="4" t="s">
        <v>22</v>
      </c>
      <c r="L170" s="4">
        <v>168169171</v>
      </c>
      <c r="M170" s="4">
        <v>168169171</v>
      </c>
      <c r="N170" s="4" t="s">
        <v>23</v>
      </c>
      <c r="O170" s="4" t="s">
        <v>25</v>
      </c>
      <c r="P170" s="4" t="s">
        <v>24</v>
      </c>
      <c r="Q170" s="4">
        <v>3</v>
      </c>
    </row>
    <row r="171" spans="1:17">
      <c r="A171" s="3">
        <v>31107</v>
      </c>
      <c r="B171" s="4" t="s">
        <v>545</v>
      </c>
      <c r="C171" s="4" t="s">
        <v>546</v>
      </c>
      <c r="D171" s="4">
        <v>84842</v>
      </c>
      <c r="E171" s="4" t="s">
        <v>19</v>
      </c>
      <c r="F171" s="5">
        <v>599</v>
      </c>
      <c r="G171" s="5">
        <v>323</v>
      </c>
      <c r="H171" s="5">
        <v>108</v>
      </c>
      <c r="I171" s="4" t="s">
        <v>72</v>
      </c>
      <c r="J171" s="4" t="s">
        <v>73</v>
      </c>
      <c r="K171" s="4" t="s">
        <v>22</v>
      </c>
      <c r="L171" s="4">
        <v>45793143</v>
      </c>
      <c r="M171" s="4">
        <v>45793143</v>
      </c>
      <c r="N171" s="4" t="s">
        <v>23</v>
      </c>
      <c r="O171" s="4" t="s">
        <v>24</v>
      </c>
      <c r="P171" s="4" t="s">
        <v>25</v>
      </c>
      <c r="Q171" s="4">
        <v>-2</v>
      </c>
    </row>
    <row r="172" spans="1:17">
      <c r="A172" s="3">
        <v>31107</v>
      </c>
      <c r="B172" s="4" t="s">
        <v>547</v>
      </c>
      <c r="C172" s="4" t="s">
        <v>548</v>
      </c>
      <c r="D172" s="4">
        <v>1244</v>
      </c>
      <c r="E172" s="4" t="s">
        <v>19</v>
      </c>
      <c r="F172" s="5">
        <v>1141</v>
      </c>
      <c r="G172" s="5">
        <v>1002</v>
      </c>
      <c r="H172" s="5">
        <v>334</v>
      </c>
      <c r="I172" s="4" t="s">
        <v>303</v>
      </c>
      <c r="J172" s="4" t="s">
        <v>304</v>
      </c>
      <c r="K172" s="4" t="s">
        <v>69</v>
      </c>
      <c r="L172" s="4">
        <v>101559098</v>
      </c>
      <c r="M172" s="4">
        <v>101559098</v>
      </c>
      <c r="N172" s="4" t="s">
        <v>23</v>
      </c>
      <c r="O172" s="4" t="s">
        <v>46</v>
      </c>
      <c r="P172" s="4" t="s">
        <v>24</v>
      </c>
      <c r="Q172" s="4">
        <v>15</v>
      </c>
    </row>
    <row r="173" spans="1:17" ht="30">
      <c r="A173" s="3">
        <v>31107</v>
      </c>
      <c r="B173" s="4" t="s">
        <v>549</v>
      </c>
      <c r="C173" s="4" t="str">
        <f ca="1">"NM_018518"&amp;IF(INFO("system")="mac",CHAR(13),CHAR(10))&amp;"NM_182751"</f>
        <v>NM_018518_x000D_NM_182751</v>
      </c>
      <c r="D173" s="4">
        <v>55388</v>
      </c>
      <c r="E173" s="4" t="s">
        <v>19</v>
      </c>
      <c r="F173" s="5">
        <v>247</v>
      </c>
      <c r="G173" s="5">
        <v>119</v>
      </c>
      <c r="H173" s="5">
        <v>40</v>
      </c>
      <c r="I173" s="4" t="s">
        <v>550</v>
      </c>
      <c r="J173" s="4" t="s">
        <v>551</v>
      </c>
      <c r="K173" s="4" t="s">
        <v>69</v>
      </c>
      <c r="L173" s="4">
        <v>13213033</v>
      </c>
      <c r="M173" s="4">
        <v>13213033</v>
      </c>
      <c r="N173" s="4" t="s">
        <v>23</v>
      </c>
      <c r="O173" s="4" t="s">
        <v>25</v>
      </c>
      <c r="P173" s="4" t="s">
        <v>24</v>
      </c>
      <c r="Q173" s="4">
        <v>-3</v>
      </c>
    </row>
    <row r="174" spans="1:17" ht="30">
      <c r="A174" s="3">
        <v>31107</v>
      </c>
      <c r="B174" s="4" t="s">
        <v>552</v>
      </c>
      <c r="C174" s="4" t="str">
        <f ca="1">"NM_030664"&amp;IF(INFO("system")="mac",CHAR(13),CHAR(10))&amp;"NM_001001484"</f>
        <v>NM_030664_x000D_NM_001001484</v>
      </c>
      <c r="D174" s="4">
        <v>9317</v>
      </c>
      <c r="E174" s="4" t="s">
        <v>392</v>
      </c>
      <c r="F174" s="5" t="str">
        <f ca="1">"906"&amp;IF(INFO("system")="mac",CHAR(13),CHAR(10))&amp;"961"</f>
        <v>906_x000D_961</v>
      </c>
      <c r="G174" s="5">
        <v>699</v>
      </c>
      <c r="H174" s="5">
        <v>233</v>
      </c>
      <c r="I174" s="4" t="s">
        <v>404</v>
      </c>
      <c r="J174" s="4" t="s">
        <v>553</v>
      </c>
      <c r="K174" s="4" t="s">
        <v>69</v>
      </c>
      <c r="L174" s="4">
        <v>16547019</v>
      </c>
      <c r="M174" s="4">
        <v>16547019</v>
      </c>
      <c r="N174" s="4" t="s">
        <v>23</v>
      </c>
      <c r="O174" s="4" t="s">
        <v>24</v>
      </c>
      <c r="P174" s="4" t="s">
        <v>41</v>
      </c>
      <c r="Q174" s="4">
        <v>7</v>
      </c>
    </row>
    <row r="175" spans="1:17" ht="180">
      <c r="A175" s="3">
        <v>31107</v>
      </c>
      <c r="B175" s="4" t="s">
        <v>554</v>
      </c>
      <c r="C175" s="4" t="str">
        <f ca="1">"NM_001142769"&amp;IF(INFO("system")="mac",CHAR(13),CHAR(10))&amp;"NM_001142764"&amp;IF(INFO("system")="mac",CHAR(13),CHAR(10))&amp;"NM_001142772"&amp;IF(INFO("system")="mac",CHAR(13),CHAR(10))&amp;"NM_001142766"&amp;IF(INFO("system")="mac",CHAR(13),CHAR(10))&amp;"NM_001142773"&amp;IF(INFO("system")="mac",CHAR(13),CHAR(10))&amp;"NM_001142771"&amp;IF(INFO("system")="mac",CHAR(13),CHAR(10))&amp;"NM_001142765"&amp;IF(INFO("system")="mac",CHAR(13),CHAR(10))&amp;"NM_001142770"&amp;IF(INFO("system")="mac",CHAR(13),CHAR(10))&amp;"NM_033056"&amp;IF(INFO("system")="mac",CHAR(13),CHAR(10))&amp;"NM_001142768"&amp;IF(INFO("system")="mac",CHAR(13),CHAR(10))&amp;"NM_001142767"&amp;IF(INFO("system")="mac",CHAR(13),CHAR(10))&amp;"NM_001142763"</f>
        <v>NM_001142769_x000D_NM_001142764_x000D_NM_001142772_x000D_NM_001142766_x000D_NM_001142773_x000D_NM_001142771_x000D_NM_001142765_x000D_NM_001142770_x000D_NM_033056_x000D_NM_001142768_x000D_NM_001142767_x000D_NM_001142763</v>
      </c>
      <c r="D175" s="4">
        <v>65217</v>
      </c>
      <c r="E175" s="4" t="s">
        <v>19</v>
      </c>
      <c r="F175" s="5" t="str">
        <f ca="1">"1337"&amp;IF(INFO("system")="mac",CHAR(13),CHAR(10))&amp;"1322"&amp;IF(INFO("system")="mac",CHAR(13),CHAR(10))&amp;"1322"&amp;IF(INFO("system")="mac",CHAR(13),CHAR(10))&amp;"1322"&amp;IF(INFO("system")="mac",CHAR(13),CHAR(10))&amp;"1256"&amp;IF(INFO("system")="mac",CHAR(13),CHAR(10))&amp;"1337"&amp;IF(INFO("system")="mac",CHAR(13),CHAR(10))&amp;"1322"&amp;IF(INFO("system")="mac",CHAR(13),CHAR(10))&amp;"1322"&amp;IF(INFO("system")="mac",CHAR(13),CHAR(10))&amp;"1322"&amp;IF(INFO("system")="mac",CHAR(13),CHAR(10))&amp;"1256"&amp;IF(INFO("system")="mac",CHAR(13),CHAR(10))&amp;"1211"&amp;IF(INFO("system")="mac",CHAR(13),CHAR(10))&amp;"1337"</f>
        <v>1337_x000D_1322_x000D_1322_x000D_1322_x000D_1256_x000D_1337_x000D_1322_x000D_1322_x000D_1322_x000D_1256_x000D_1211_x000D_1337</v>
      </c>
      <c r="G175" s="5" t="str">
        <f ca="1">"942"&amp;IF(INFO("system")="mac",CHAR(13),CHAR(10))&amp;"927"&amp;IF(INFO("system")="mac",CHAR(13),CHAR(10))&amp;"927"&amp;IF(INFO("system")="mac",CHAR(13),CHAR(10))&amp;"927"&amp;IF(INFO("system")="mac",CHAR(13),CHAR(10))&amp;"861"&amp;IF(INFO("system")="mac",CHAR(13),CHAR(10))&amp;"942"&amp;IF(INFO("system")="mac",CHAR(13),CHAR(10))&amp;"927"&amp;IF(INFO("system")="mac",CHAR(13),CHAR(10))&amp;"927"&amp;IF(INFO("system")="mac",CHAR(13),CHAR(10))&amp;"927"&amp;IF(INFO("system")="mac",CHAR(13),CHAR(10))&amp;"861"&amp;IF(INFO("system")="mac",CHAR(13),CHAR(10))&amp;"816"&amp;IF(INFO("system")="mac",CHAR(13),CHAR(10))&amp;"942"</f>
        <v>942_x000D_927_x000D_927_x000D_927_x000D_861_x000D_942_x000D_927_x000D_927_x000D_927_x000D_861_x000D_816_x000D_942</v>
      </c>
      <c r="H175" s="5" t="str">
        <f ca="1">"314"&amp;IF(INFO("system")="mac",CHAR(13),CHAR(10))&amp;"309"&amp;IF(INFO("system")="mac",CHAR(13),CHAR(10))&amp;"309"&amp;IF(INFO("system")="mac",CHAR(13),CHAR(10))&amp;"309"&amp;IF(INFO("system")="mac",CHAR(13),CHAR(10))&amp;"287"&amp;IF(INFO("system")="mac",CHAR(13),CHAR(10))&amp;"314"&amp;IF(INFO("system")="mac",CHAR(13),CHAR(10))&amp;"309"&amp;IF(INFO("system")="mac",CHAR(13),CHAR(10))&amp;"309"&amp;IF(INFO("system")="mac",CHAR(13),CHAR(10))&amp;"309"&amp;IF(INFO("system")="mac",CHAR(13),CHAR(10))&amp;"287"&amp;IF(INFO("system")="mac",CHAR(13),CHAR(10))&amp;"272"&amp;IF(INFO("system")="mac",CHAR(13),CHAR(10))&amp;"314"</f>
        <v>314_x000D_309_x000D_309_x000D_309_x000D_287_x000D_314_x000D_309_x000D_309_x000D_309_x000D_287_x000D_272_x000D_314</v>
      </c>
      <c r="I175" s="4" t="s">
        <v>250</v>
      </c>
      <c r="J175" s="4" t="s">
        <v>251</v>
      </c>
      <c r="K175" s="4" t="s">
        <v>69</v>
      </c>
      <c r="L175" s="4">
        <v>55996641</v>
      </c>
      <c r="M175" s="4">
        <v>55996641</v>
      </c>
      <c r="N175" s="4" t="s">
        <v>23</v>
      </c>
      <c r="O175" s="4" t="s">
        <v>46</v>
      </c>
      <c r="P175" s="4" t="s">
        <v>25</v>
      </c>
      <c r="Q175" s="4">
        <v>5</v>
      </c>
    </row>
    <row r="176" spans="1:17" ht="30">
      <c r="A176" s="3">
        <v>31107</v>
      </c>
      <c r="B176" s="4" t="s">
        <v>555</v>
      </c>
      <c r="C176" s="4" t="str">
        <f ca="1">"NM_002545"&amp;IF(INFO("system")="mac",CHAR(13),CHAR(10))&amp;"NM_001012393"</f>
        <v>NM_002545_x000D_NM_001012393</v>
      </c>
      <c r="D176" s="4">
        <v>4978</v>
      </c>
      <c r="E176" s="4" t="s">
        <v>19</v>
      </c>
      <c r="F176" s="5" t="str">
        <f ca="1">"880"&amp;IF(INFO("system")="mac",CHAR(13),CHAR(10))&amp;"993"</f>
        <v>880_x000D_993</v>
      </c>
      <c r="G176" s="5" t="str">
        <f ca="1">"830"&amp;IF(INFO("system")="mac",CHAR(13),CHAR(10))&amp;"809"</f>
        <v>830_x000D_809</v>
      </c>
      <c r="H176" s="5" t="str">
        <f ca="1">"277"&amp;IF(INFO("system")="mac",CHAR(13),CHAR(10))&amp;"270"</f>
        <v>277_x000D_270</v>
      </c>
      <c r="I176" s="4" t="s">
        <v>72</v>
      </c>
      <c r="J176" s="4" t="s">
        <v>73</v>
      </c>
      <c r="K176" s="4" t="s">
        <v>83</v>
      </c>
      <c r="L176" s="4">
        <v>132306087</v>
      </c>
      <c r="M176" s="4">
        <v>132306087</v>
      </c>
      <c r="N176" s="4" t="s">
        <v>23</v>
      </c>
      <c r="O176" s="4" t="s">
        <v>46</v>
      </c>
      <c r="P176" s="4" t="s">
        <v>41</v>
      </c>
      <c r="Q176" s="4">
        <v>5</v>
      </c>
    </row>
    <row r="177" spans="1:17" ht="30">
      <c r="A177" s="3">
        <v>31107</v>
      </c>
      <c r="B177" s="4" t="s">
        <v>556</v>
      </c>
      <c r="C177" s="4" t="str">
        <f ca="1">"NM_006074"&amp;IF(INFO("system")="mac",CHAR(13),CHAR(10))&amp;"NM_001199573"</f>
        <v>NM_006074_x000D_NM_001199573</v>
      </c>
      <c r="D177" s="4">
        <v>10346</v>
      </c>
      <c r="E177" s="4" t="s">
        <v>19</v>
      </c>
      <c r="F177" s="5" t="str">
        <f ca="1">"1019"&amp;IF(INFO("system")="mac",CHAR(13),CHAR(10))&amp;"1007"</f>
        <v>1019_x000D_1007</v>
      </c>
      <c r="G177" s="5" t="str">
        <f ca="1">"640"&amp;IF(INFO("system")="mac",CHAR(13),CHAR(10))&amp;"628"</f>
        <v>640_x000D_628</v>
      </c>
      <c r="H177" s="5" t="str">
        <f ca="1">"214"&amp;IF(INFO("system")="mac",CHAR(13),CHAR(10))&amp;"210"</f>
        <v>214_x000D_210</v>
      </c>
      <c r="I177" s="4" t="s">
        <v>484</v>
      </c>
      <c r="J177" s="4" t="s">
        <v>557</v>
      </c>
      <c r="K177" s="4" t="s">
        <v>83</v>
      </c>
      <c r="L177" s="4">
        <v>5719665</v>
      </c>
      <c r="M177" s="4">
        <v>5719665</v>
      </c>
      <c r="N177" s="4" t="s">
        <v>23</v>
      </c>
      <c r="O177" s="4" t="s">
        <v>24</v>
      </c>
      <c r="P177" s="4" t="s">
        <v>25</v>
      </c>
      <c r="Q177" s="4">
        <v>4</v>
      </c>
    </row>
    <row r="178" spans="1:17" ht="30">
      <c r="A178" s="3">
        <v>31107</v>
      </c>
      <c r="B178" s="4" t="s">
        <v>558</v>
      </c>
      <c r="C178" s="4" t="str">
        <f ca="1">"NM_145309"&amp;IF(INFO("system")="mac",CHAR(13),CHAR(10))&amp;"NM_001205138"</f>
        <v>NM_145309_x000D_NM_001205138</v>
      </c>
      <c r="D178" s="4">
        <v>220074</v>
      </c>
      <c r="E178" s="4" t="s">
        <v>19</v>
      </c>
      <c r="F178" s="5" t="str">
        <f ca="1">"1199"&amp;IF(INFO("system")="mac",CHAR(13),CHAR(10))&amp;"1062"</f>
        <v>1199_x000D_1062</v>
      </c>
      <c r="G178" s="5" t="str">
        <f ca="1">"505"&amp;IF(INFO("system")="mac",CHAR(13),CHAR(10))&amp;"451"</f>
        <v>505_x000D_451</v>
      </c>
      <c r="H178" s="5" t="str">
        <f ca="1">"169"&amp;IF(INFO("system")="mac",CHAR(13),CHAR(10))&amp;"151"</f>
        <v>169_x000D_151</v>
      </c>
      <c r="I178" s="4" t="s">
        <v>559</v>
      </c>
      <c r="J178" s="4" t="s">
        <v>560</v>
      </c>
      <c r="K178" s="4" t="s">
        <v>83</v>
      </c>
      <c r="L178" s="4">
        <v>71806492</v>
      </c>
      <c r="M178" s="4">
        <v>71806492</v>
      </c>
      <c r="N178" s="4" t="s">
        <v>23</v>
      </c>
      <c r="O178" s="4" t="s">
        <v>46</v>
      </c>
      <c r="P178" s="4" t="s">
        <v>41</v>
      </c>
      <c r="Q178" s="4">
        <v>10</v>
      </c>
    </row>
    <row r="179" spans="1:17">
      <c r="A179" s="3">
        <v>31107</v>
      </c>
      <c r="B179" s="4" t="s">
        <v>561</v>
      </c>
      <c r="C179" s="4" t="s">
        <v>562</v>
      </c>
      <c r="D179" s="4">
        <v>9866</v>
      </c>
      <c r="E179" s="4" t="s">
        <v>19</v>
      </c>
      <c r="F179" s="5">
        <v>1357</v>
      </c>
      <c r="G179" s="5">
        <v>1162</v>
      </c>
      <c r="H179" s="5">
        <v>388</v>
      </c>
      <c r="I179" s="4" t="s">
        <v>563</v>
      </c>
      <c r="J179" s="4" t="s">
        <v>564</v>
      </c>
      <c r="K179" s="4" t="s">
        <v>83</v>
      </c>
      <c r="L179" s="4">
        <v>8662325</v>
      </c>
      <c r="M179" s="4">
        <v>8662325</v>
      </c>
      <c r="N179" s="4" t="s">
        <v>23</v>
      </c>
      <c r="O179" s="4" t="s">
        <v>46</v>
      </c>
      <c r="P179" s="4" t="s">
        <v>24</v>
      </c>
      <c r="Q179" s="4">
        <v>0</v>
      </c>
    </row>
    <row r="180" spans="1:17" ht="30">
      <c r="A180" s="3">
        <v>31107</v>
      </c>
      <c r="B180" s="4" t="s">
        <v>565</v>
      </c>
      <c r="C180" s="4" t="str">
        <f ca="1">"NM_001099676"&amp;IF(INFO("system")="mac",CHAR(13),CHAR(10))&amp;"NM_001170633"</f>
        <v>NM_001099676_x000D_NM_001170633</v>
      </c>
      <c r="D180" s="4">
        <v>115749</v>
      </c>
      <c r="E180" s="4" t="s">
        <v>19</v>
      </c>
      <c r="F180" s="5" t="str">
        <f ca="1">"507"&amp;IF(INFO("system")="mac",CHAR(13),CHAR(10))&amp;"987"</f>
        <v>507_x000D_987</v>
      </c>
      <c r="G180" s="5" t="str">
        <f ca="1">"507"&amp;IF(INFO("system")="mac",CHAR(13),CHAR(10))&amp;"987"</f>
        <v>507_x000D_987</v>
      </c>
      <c r="H180" s="5" t="str">
        <f ca="1">"169"&amp;IF(INFO("system")="mac",CHAR(13),CHAR(10))&amp;"329"</f>
        <v>169_x000D_329</v>
      </c>
      <c r="I180" s="4" t="s">
        <v>235</v>
      </c>
      <c r="J180" s="4" t="s">
        <v>490</v>
      </c>
      <c r="K180" s="4" t="s">
        <v>104</v>
      </c>
      <c r="L180" s="4">
        <v>64697541</v>
      </c>
      <c r="M180" s="4">
        <v>64697541</v>
      </c>
      <c r="N180" s="4" t="s">
        <v>23</v>
      </c>
      <c r="O180" s="4" t="s">
        <v>46</v>
      </c>
      <c r="P180" s="4" t="s">
        <v>25</v>
      </c>
      <c r="Q180" s="4">
        <v>8</v>
      </c>
    </row>
    <row r="181" spans="1:17">
      <c r="A181" s="3">
        <v>31107</v>
      </c>
      <c r="B181" s="4" t="s">
        <v>334</v>
      </c>
      <c r="C181" s="4" t="s">
        <v>335</v>
      </c>
      <c r="D181" s="4">
        <v>5042</v>
      </c>
      <c r="E181" s="4" t="s">
        <v>31</v>
      </c>
      <c r="F181" s="5" t="s">
        <v>336</v>
      </c>
      <c r="G181" s="5" t="s">
        <v>337</v>
      </c>
      <c r="H181" s="5" t="s">
        <v>338</v>
      </c>
      <c r="I181" s="4" t="s">
        <v>35</v>
      </c>
      <c r="J181" s="4" t="s">
        <v>35</v>
      </c>
      <c r="K181" s="4" t="s">
        <v>339</v>
      </c>
      <c r="L181" s="4">
        <v>25671311</v>
      </c>
      <c r="M181" s="4">
        <v>25671315</v>
      </c>
      <c r="N181" s="4" t="s">
        <v>36</v>
      </c>
      <c r="O181" s="4" t="s">
        <v>340</v>
      </c>
      <c r="P181" s="4"/>
      <c r="Q181" s="4">
        <v>-1</v>
      </c>
    </row>
    <row r="182" spans="1:17" ht="30">
      <c r="A182" s="3">
        <v>31107</v>
      </c>
      <c r="B182" s="4" t="s">
        <v>566</v>
      </c>
      <c r="C182" s="4" t="str">
        <f ca="1">"NM_181050"&amp;IF(INFO("system")="mac",CHAR(13),CHAR(10))&amp;"NM_003502"</f>
        <v>NM_181050_x000D_NM_003502</v>
      </c>
      <c r="D182" s="4">
        <v>8312</v>
      </c>
      <c r="E182" s="4" t="s">
        <v>31</v>
      </c>
      <c r="F182" s="5" t="s">
        <v>567</v>
      </c>
      <c r="G182" s="5" t="s">
        <v>568</v>
      </c>
      <c r="H182" s="5" t="s">
        <v>569</v>
      </c>
      <c r="I182" s="4" t="s">
        <v>35</v>
      </c>
      <c r="J182" s="4" t="s">
        <v>35</v>
      </c>
      <c r="K182" s="4" t="s">
        <v>129</v>
      </c>
      <c r="L182" s="4">
        <v>396240</v>
      </c>
      <c r="M182" s="4">
        <v>396239</v>
      </c>
      <c r="N182" s="4" t="s">
        <v>110</v>
      </c>
      <c r="O182" s="4"/>
      <c r="P182" s="4" t="s">
        <v>25</v>
      </c>
      <c r="Q182" s="4">
        <v>-2</v>
      </c>
    </row>
    <row r="183" spans="1:17">
      <c r="A183" s="3">
        <v>31107</v>
      </c>
      <c r="B183" s="4" t="s">
        <v>570</v>
      </c>
      <c r="C183" s="4" t="s">
        <v>571</v>
      </c>
      <c r="D183" s="4">
        <v>181</v>
      </c>
      <c r="E183" s="4" t="s">
        <v>232</v>
      </c>
      <c r="F183" s="5" t="s">
        <v>35</v>
      </c>
      <c r="G183" s="5" t="s">
        <v>35</v>
      </c>
      <c r="H183" s="5" t="s">
        <v>35</v>
      </c>
      <c r="I183" s="4" t="s">
        <v>35</v>
      </c>
      <c r="J183" s="4" t="s">
        <v>35</v>
      </c>
      <c r="K183" s="4" t="s">
        <v>129</v>
      </c>
      <c r="L183" s="4">
        <v>67516728</v>
      </c>
      <c r="M183" s="4">
        <v>67516728</v>
      </c>
      <c r="N183" s="4" t="s">
        <v>23</v>
      </c>
      <c r="O183" s="4" t="s">
        <v>24</v>
      </c>
      <c r="P183" s="4" t="s">
        <v>46</v>
      </c>
      <c r="Q183" s="4">
        <v>8</v>
      </c>
    </row>
    <row r="184" spans="1:17">
      <c r="A184" s="3">
        <v>31107</v>
      </c>
      <c r="B184" s="4" t="s">
        <v>572</v>
      </c>
      <c r="C184" s="4" t="s">
        <v>573</v>
      </c>
      <c r="D184" s="4">
        <v>23035</v>
      </c>
      <c r="E184" s="4" t="s">
        <v>19</v>
      </c>
      <c r="F184" s="5">
        <v>3269</v>
      </c>
      <c r="G184" s="5">
        <v>3263</v>
      </c>
      <c r="H184" s="5">
        <v>1088</v>
      </c>
      <c r="I184" s="4" t="s">
        <v>453</v>
      </c>
      <c r="J184" s="4" t="s">
        <v>574</v>
      </c>
      <c r="K184" s="4" t="s">
        <v>129</v>
      </c>
      <c r="L184" s="4">
        <v>71683502</v>
      </c>
      <c r="M184" s="4">
        <v>71683502</v>
      </c>
      <c r="N184" s="4" t="s">
        <v>23</v>
      </c>
      <c r="O184" s="4" t="s">
        <v>41</v>
      </c>
      <c r="P184" s="4" t="s">
        <v>46</v>
      </c>
      <c r="Q184" s="4">
        <v>-2</v>
      </c>
    </row>
    <row r="185" spans="1:17">
      <c r="A185" s="3">
        <v>31107</v>
      </c>
      <c r="B185" s="4" t="s">
        <v>575</v>
      </c>
      <c r="C185" s="4" t="s">
        <v>576</v>
      </c>
      <c r="D185" s="4">
        <v>3674</v>
      </c>
      <c r="E185" s="4" t="s">
        <v>19</v>
      </c>
      <c r="F185" s="5">
        <v>1084</v>
      </c>
      <c r="G185" s="5">
        <v>1052</v>
      </c>
      <c r="H185" s="5">
        <v>351</v>
      </c>
      <c r="I185" s="4" t="s">
        <v>60</v>
      </c>
      <c r="J185" s="4" t="s">
        <v>577</v>
      </c>
      <c r="K185" s="4" t="s">
        <v>133</v>
      </c>
      <c r="L185" s="4">
        <v>42461019</v>
      </c>
      <c r="M185" s="4">
        <v>42461019</v>
      </c>
      <c r="N185" s="4" t="s">
        <v>23</v>
      </c>
      <c r="O185" s="4" t="s">
        <v>46</v>
      </c>
      <c r="P185" s="4" t="s">
        <v>41</v>
      </c>
      <c r="Q185" s="4">
        <v>5</v>
      </c>
    </row>
    <row r="186" spans="1:17">
      <c r="A186" s="3">
        <v>31107</v>
      </c>
      <c r="B186" s="4" t="s">
        <v>578</v>
      </c>
      <c r="C186" s="4" t="s">
        <v>579</v>
      </c>
      <c r="D186" s="4">
        <v>3211</v>
      </c>
      <c r="E186" s="4" t="s">
        <v>19</v>
      </c>
      <c r="F186" s="5">
        <v>138</v>
      </c>
      <c r="G186" s="5">
        <v>132</v>
      </c>
      <c r="H186" s="5">
        <v>44</v>
      </c>
      <c r="I186" s="4" t="s">
        <v>315</v>
      </c>
      <c r="J186" s="4" t="s">
        <v>316</v>
      </c>
      <c r="K186" s="4" t="s">
        <v>133</v>
      </c>
      <c r="L186" s="4">
        <v>46608135</v>
      </c>
      <c r="M186" s="4">
        <v>46608135</v>
      </c>
      <c r="N186" s="4" t="s">
        <v>23</v>
      </c>
      <c r="O186" s="4" t="s">
        <v>24</v>
      </c>
      <c r="P186" s="4" t="s">
        <v>41</v>
      </c>
      <c r="Q186" s="4">
        <v>7</v>
      </c>
    </row>
    <row r="187" spans="1:17" ht="60">
      <c r="A187" s="3">
        <v>31107</v>
      </c>
      <c r="B187" s="4" t="s">
        <v>580</v>
      </c>
      <c r="C187" s="4" t="str">
        <f ca="1">"NM_001163990"&amp;IF(INFO("system")="mac",CHAR(13),CHAR(10))&amp;"NM_001006638"&amp;IF(INFO("system")="mac",CHAR(13),CHAR(10))&amp;"NM_001163989"&amp;IF(INFO("system")="mac",CHAR(13),CHAR(10))&amp;"NM_175738"</f>
        <v>NM_001163990_x000D_NM_001006638_x000D_NM_001163989_x000D_NM_175738</v>
      </c>
      <c r="D187" s="4">
        <v>326624</v>
      </c>
      <c r="E187" s="4" t="s">
        <v>392</v>
      </c>
      <c r="F187" s="5" t="str">
        <f ca="1">"312"&amp;IF(INFO("system")="mac",CHAR(13),CHAR(10))&amp;"423"&amp;IF(INFO("system")="mac",CHAR(13),CHAR(10))&amp;"572"&amp;IF(INFO("system")="mac",CHAR(13),CHAR(10))&amp;"816"</f>
        <v>312_x000D_423_x000D_572_x000D_816</v>
      </c>
      <c r="G187" s="5" t="str">
        <f ca="1">"256"&amp;IF(INFO("system")="mac",CHAR(13),CHAR(10))&amp;"367"&amp;IF(INFO("system")="mac",CHAR(13),CHAR(10))&amp;"382"&amp;IF(INFO("system")="mac",CHAR(13),CHAR(10))&amp;"346"</f>
        <v>256_x000D_367_x000D_382_x000D_346</v>
      </c>
      <c r="H187" s="5" t="str">
        <f ca="1">"86"&amp;IF(INFO("system")="mac",CHAR(13),CHAR(10))&amp;"123"&amp;IF(INFO("system")="mac",CHAR(13),CHAR(10))&amp;"128"&amp;IF(INFO("system")="mac",CHAR(13),CHAR(10))&amp;"116"</f>
        <v>86_x000D_123_x000D_128_x000D_116</v>
      </c>
      <c r="I187" s="4" t="s">
        <v>581</v>
      </c>
      <c r="J187" s="4" t="s">
        <v>582</v>
      </c>
      <c r="K187" s="4" t="s">
        <v>133</v>
      </c>
      <c r="L187" s="4">
        <v>72740447</v>
      </c>
      <c r="M187" s="4">
        <v>72740447</v>
      </c>
      <c r="N187" s="4" t="s">
        <v>23</v>
      </c>
      <c r="O187" s="4" t="s">
        <v>24</v>
      </c>
      <c r="P187" s="4" t="s">
        <v>46</v>
      </c>
      <c r="Q187" s="4">
        <v>3</v>
      </c>
    </row>
    <row r="188" spans="1:17" ht="105">
      <c r="A188" s="3">
        <v>31107</v>
      </c>
      <c r="B188" s="4" t="s">
        <v>130</v>
      </c>
      <c r="C188" s="4" t="str">
        <f ca="1">"NM_001126115"&amp;IF(INFO("system")="mac",CHAR(13),CHAR(10))&amp;"NM_001126114"&amp;IF(INFO("system")="mac",CHAR(13),CHAR(10))&amp;"NM_001126117"&amp;IF(INFO("system")="mac",CHAR(13),CHAR(10))&amp;"NM_001126112"&amp;IF(INFO("system")="mac",CHAR(13),CHAR(10))&amp;"NM_001126113"&amp;IF(INFO("system")="mac",CHAR(13),CHAR(10))&amp;"NM_001126116"&amp;IF(INFO("system")="mac",CHAR(13),CHAR(10))&amp;"NM_000546"</f>
        <v>NM_001126115_x000D_NM_001126114_x000D_NM_001126117_x000D_NM_001126112_x000D_NM_001126113_x000D_NM_001126116_x000D_NM_000546</v>
      </c>
      <c r="D188" s="4">
        <v>7157</v>
      </c>
      <c r="E188" s="4" t="str">
        <f ca="1">"NON_SYNONYMOUS_CODING"&amp;IF(INFO("system")="mac",CHAR(13),CHAR(10))&amp;"NMD_TRANSCRIPT,NON_SYNONYMOUS_CODING"&amp;IF(INFO("system")="mac",CHAR(13),CHAR(10))&amp;"NMD_TRANSCRIPT,NON_SYNONYMOUS_CODING"&amp;IF(INFO("system")="mac",CHAR(13),CHAR(10))&amp;"NON_SYNONYMOUS_CODING"&amp;IF(INFO("system")="mac",CHAR(13),CHAR(10))&amp;"NMD_TRANSCRIPT,NON_SYNONYMOUS_CODING"&amp;IF(INFO("system")="mac",CHAR(13),CHAR(10))&amp;"NMD_TRANSCRIPT,NON_SYNONYMOUS_CODING"&amp;IF(INFO("system")="mac",CHAR(13),CHAR(10))&amp;"NON_SYNONYMOUS_CODING"</f>
        <v>NON_SYNONYMOUS_CODING_x000D_NMD_TRANSCRIPT,NON_SYNONYMOUS_CODING_x000D_NMD_TRANSCRIPT,NON_SYNONYMOUS_CODING_x000D_NON_SYNONYMOUS_CODING_x000D_NMD_TRANSCRIPT,NON_SYNONYMOUS_CODING_x000D_NMD_TRANSCRIPT,NON_SYNONYMOUS_CODING_x000D_NON_SYNONYMOUS_CODING</v>
      </c>
      <c r="F188" s="5" t="str">
        <f ca="1">"454-456"&amp;IF(INFO("system")="mac",CHAR(13),CHAR(10))&amp;"769-771"&amp;IF(INFO("system")="mac",CHAR(13),CHAR(10))&amp;"454-456"&amp;IF(INFO("system")="mac",CHAR(13),CHAR(10))&amp;"766-768"&amp;IF(INFO("system")="mac",CHAR(13),CHAR(10))&amp;"769-771"&amp;IF(INFO("system")="mac",CHAR(13),CHAR(10))&amp;"454-456"&amp;IF(INFO("system")="mac",CHAR(13),CHAR(10))&amp;"769-771"</f>
        <v>454-456_x000D_769-771_x000D_454-456_x000D_766-768_x000D_769-771_x000D_454-456_x000D_769-771</v>
      </c>
      <c r="G188" s="5" t="str">
        <f ca="1">"176-178"&amp;IF(INFO("system")="mac",CHAR(13),CHAR(10))&amp;"572-574"&amp;IF(INFO("system")="mac",CHAR(13),CHAR(10))&amp;"176-178"&amp;IF(INFO("system")="mac",CHAR(13),CHAR(10))&amp;"572-574"&amp;IF(INFO("system")="mac",CHAR(13),CHAR(10))&amp;"572-574"&amp;IF(INFO("system")="mac",CHAR(13),CHAR(10))&amp;"176-178"&amp;IF(INFO("system")="mac",CHAR(13),CHAR(10))&amp;"572-574"</f>
        <v>176-178_x000D_572-574_x000D_176-178_x000D_572-574_x000D_572-574_x000D_176-178_x000D_572-574</v>
      </c>
      <c r="H188" s="5" t="str">
        <f ca="1">"59-60"&amp;IF(INFO("system")="mac",CHAR(13),CHAR(10))&amp;"191-192"&amp;IF(INFO("system")="mac",CHAR(13),CHAR(10))&amp;"59-60"&amp;IF(INFO("system")="mac",CHAR(13),CHAR(10))&amp;"191-192"&amp;IF(INFO("system")="mac",CHAR(13),CHAR(10))&amp;"191-192"&amp;IF(INFO("system")="mac",CHAR(13),CHAR(10))&amp;"59-60"&amp;IF(INFO("system")="mac",CHAR(13),CHAR(10))&amp;"191-192"</f>
        <v>59-60_x000D_191-192_x000D_59-60_x000D_191-192_x000D_191-192_x000D_59-60_x000D_191-192</v>
      </c>
      <c r="I188" s="4" t="s">
        <v>583</v>
      </c>
      <c r="J188" s="4" t="s">
        <v>584</v>
      </c>
      <c r="K188" s="4" t="s">
        <v>133</v>
      </c>
      <c r="L188" s="4">
        <v>7578275</v>
      </c>
      <c r="M188" s="4">
        <v>7578277</v>
      </c>
      <c r="N188" s="4" t="s">
        <v>36</v>
      </c>
      <c r="O188" s="4" t="s">
        <v>585</v>
      </c>
      <c r="P188" s="4"/>
      <c r="Q188" s="4">
        <v>4</v>
      </c>
    </row>
    <row r="189" spans="1:17">
      <c r="A189" s="3">
        <v>31107</v>
      </c>
      <c r="B189" s="4" t="s">
        <v>586</v>
      </c>
      <c r="C189" s="4" t="s">
        <v>587</v>
      </c>
      <c r="D189" s="4">
        <v>54831</v>
      </c>
      <c r="E189" s="4" t="s">
        <v>19</v>
      </c>
      <c r="F189" s="5">
        <v>1513</v>
      </c>
      <c r="G189" s="5">
        <v>1513</v>
      </c>
      <c r="H189" s="5">
        <v>505</v>
      </c>
      <c r="I189" s="4" t="s">
        <v>563</v>
      </c>
      <c r="J189" s="4" t="s">
        <v>588</v>
      </c>
      <c r="K189" s="4" t="s">
        <v>139</v>
      </c>
      <c r="L189" s="4">
        <v>12868874</v>
      </c>
      <c r="M189" s="4">
        <v>12868874</v>
      </c>
      <c r="N189" s="4" t="s">
        <v>23</v>
      </c>
      <c r="O189" s="4" t="s">
        <v>24</v>
      </c>
      <c r="P189" s="4" t="s">
        <v>46</v>
      </c>
      <c r="Q189" s="4">
        <v>3</v>
      </c>
    </row>
    <row r="190" spans="1:17">
      <c r="A190" s="3">
        <v>31107</v>
      </c>
      <c r="B190" s="4" t="s">
        <v>589</v>
      </c>
      <c r="C190" s="4" t="s">
        <v>590</v>
      </c>
      <c r="D190" s="4">
        <v>338321</v>
      </c>
      <c r="E190" s="4" t="s">
        <v>19</v>
      </c>
      <c r="F190" s="5">
        <v>488</v>
      </c>
      <c r="G190" s="5">
        <v>460</v>
      </c>
      <c r="H190" s="5">
        <v>154</v>
      </c>
      <c r="I190" s="4" t="s">
        <v>484</v>
      </c>
      <c r="J190" s="4" t="s">
        <v>557</v>
      </c>
      <c r="K190" s="4" t="s">
        <v>139</v>
      </c>
      <c r="L190" s="4">
        <v>56244737</v>
      </c>
      <c r="M190" s="4">
        <v>56244737</v>
      </c>
      <c r="N190" s="4" t="s">
        <v>23</v>
      </c>
      <c r="O190" s="4" t="s">
        <v>46</v>
      </c>
      <c r="P190" s="4" t="s">
        <v>41</v>
      </c>
      <c r="Q190" s="4">
        <v>8</v>
      </c>
    </row>
    <row r="191" spans="1:17" ht="60">
      <c r="A191" s="3">
        <v>31107</v>
      </c>
      <c r="B191" s="4" t="s">
        <v>591</v>
      </c>
      <c r="C191" s="4" t="str">
        <f ca="1">"NM_001202435"&amp;IF(INFO("system")="mac",CHAR(13),CHAR(10))&amp;"NM_001165964"&amp;IF(INFO("system")="mac",CHAR(13),CHAR(10))&amp;"NM_006920"&amp;IF(INFO("system")="mac",CHAR(13),CHAR(10))&amp;"NM_001165963"</f>
        <v>NM_001202435_x000D_NM_001165964_x000D_NM_006920_x000D_NM_001165963</v>
      </c>
      <c r="D191" s="4">
        <v>6323</v>
      </c>
      <c r="E191" s="4" t="s">
        <v>68</v>
      </c>
      <c r="F191" s="5" t="s">
        <v>35</v>
      </c>
      <c r="G191" s="5" t="s">
        <v>35</v>
      </c>
      <c r="H191" s="5" t="s">
        <v>35</v>
      </c>
      <c r="I191" s="4" t="s">
        <v>35</v>
      </c>
      <c r="J191" s="4" t="s">
        <v>35</v>
      </c>
      <c r="K191" s="4" t="s">
        <v>172</v>
      </c>
      <c r="L191" s="4">
        <v>166911147</v>
      </c>
      <c r="M191" s="4">
        <v>166911147</v>
      </c>
      <c r="N191" s="4" t="s">
        <v>23</v>
      </c>
      <c r="O191" s="4" t="s">
        <v>46</v>
      </c>
      <c r="P191" s="4" t="s">
        <v>41</v>
      </c>
      <c r="Q191" s="4">
        <v>6</v>
      </c>
    </row>
    <row r="192" spans="1:17">
      <c r="A192" s="3">
        <v>31107</v>
      </c>
      <c r="B192" s="4" t="s">
        <v>592</v>
      </c>
      <c r="C192" s="4" t="s">
        <v>593</v>
      </c>
      <c r="D192" s="4">
        <v>117285</v>
      </c>
      <c r="E192" s="4" t="s">
        <v>19</v>
      </c>
      <c r="F192" s="5">
        <v>355</v>
      </c>
      <c r="G192" s="5">
        <v>322</v>
      </c>
      <c r="H192" s="5">
        <v>108</v>
      </c>
      <c r="I192" s="4" t="s">
        <v>581</v>
      </c>
      <c r="J192" s="4" t="s">
        <v>594</v>
      </c>
      <c r="K192" s="4" t="s">
        <v>188</v>
      </c>
      <c r="L192" s="4">
        <v>29960923</v>
      </c>
      <c r="M192" s="4">
        <v>29960923</v>
      </c>
      <c r="N192" s="4" t="s">
        <v>23</v>
      </c>
      <c r="O192" s="4" t="s">
        <v>24</v>
      </c>
      <c r="P192" s="4" t="s">
        <v>46</v>
      </c>
      <c r="Q192" s="4">
        <v>7</v>
      </c>
    </row>
    <row r="193" spans="1:17">
      <c r="A193" s="3">
        <v>31107</v>
      </c>
      <c r="B193" s="4" t="s">
        <v>595</v>
      </c>
      <c r="C193" s="4" t="s">
        <v>596</v>
      </c>
      <c r="D193" s="4">
        <v>140893</v>
      </c>
      <c r="E193" s="4" t="s">
        <v>19</v>
      </c>
      <c r="F193" s="5">
        <v>1857</v>
      </c>
      <c r="G193" s="5">
        <v>1660</v>
      </c>
      <c r="H193" s="5">
        <v>554</v>
      </c>
      <c r="I193" s="4" t="s">
        <v>597</v>
      </c>
      <c r="J193" s="4" t="s">
        <v>598</v>
      </c>
      <c r="K193" s="4" t="s">
        <v>188</v>
      </c>
      <c r="L193" s="4">
        <v>60988472</v>
      </c>
      <c r="M193" s="4">
        <v>60988472</v>
      </c>
      <c r="N193" s="4" t="s">
        <v>23</v>
      </c>
      <c r="O193" s="4" t="s">
        <v>24</v>
      </c>
      <c r="P193" s="4" t="s">
        <v>41</v>
      </c>
      <c r="Q193" s="4">
        <v>-4</v>
      </c>
    </row>
    <row r="194" spans="1:17" ht="30">
      <c r="A194" s="3">
        <v>31107</v>
      </c>
      <c r="B194" s="4" t="s">
        <v>599</v>
      </c>
      <c r="C194" s="4" t="str">
        <f ca="1">"NM_183357"&amp;IF(INFO("system")="mac",CHAR(13),CHAR(10))&amp;"NM_001199642"</f>
        <v>NM_183357_x000D_NM_001199642</v>
      </c>
      <c r="D194" s="4">
        <v>111</v>
      </c>
      <c r="E194" s="4" t="s">
        <v>19</v>
      </c>
      <c r="F194" s="5" t="str">
        <f ca="1">"3094"&amp;IF(INFO("system")="mac",CHAR(13),CHAR(10))&amp;"2119"</f>
        <v>3094_x000D_2119</v>
      </c>
      <c r="G194" s="5" t="str">
        <f ca="1">"3094"&amp;IF(INFO("system")="mac",CHAR(13),CHAR(10))&amp;"2044"</f>
        <v>3094_x000D_2044</v>
      </c>
      <c r="H194" s="5" t="str">
        <f ca="1">"1032"&amp;IF(INFO("system")="mac",CHAR(13),CHAR(10))&amp;"682"</f>
        <v>1032_x000D_682</v>
      </c>
      <c r="I194" s="4" t="s">
        <v>597</v>
      </c>
      <c r="J194" s="4" t="s">
        <v>598</v>
      </c>
      <c r="K194" s="4" t="s">
        <v>201</v>
      </c>
      <c r="L194" s="4">
        <v>123010193</v>
      </c>
      <c r="M194" s="4">
        <v>123010193</v>
      </c>
      <c r="N194" s="4" t="s">
        <v>23</v>
      </c>
      <c r="O194" s="4" t="s">
        <v>24</v>
      </c>
      <c r="P194" s="4" t="s">
        <v>41</v>
      </c>
      <c r="Q194" s="4">
        <v>2</v>
      </c>
    </row>
    <row r="195" spans="1:17" ht="45">
      <c r="A195" s="3">
        <v>31107</v>
      </c>
      <c r="B195" s="4" t="s">
        <v>600</v>
      </c>
      <c r="C195" s="4" t="str">
        <f ca="1">"NM_001142299"&amp;IF(INFO("system")="mac",CHAR(13),CHAR(10))&amp;"NM_001142298"&amp;IF(INFO("system")="mac",CHAR(13),CHAR(10))&amp;"NM_003900"</f>
        <v>NM_001142299_x000D_NM_001142298_x000D_NM_003900</v>
      </c>
      <c r="D195" s="4">
        <v>8878</v>
      </c>
      <c r="E195" s="4" t="s">
        <v>19</v>
      </c>
      <c r="F195" s="5" t="str">
        <f ca="1">"998"&amp;IF(INFO("system")="mac",CHAR(13),CHAR(10))&amp;"1081"&amp;IF(INFO("system")="mac",CHAR(13),CHAR(10))&amp;"1068"</f>
        <v>998_x000D_1081_x000D_1068</v>
      </c>
      <c r="G195" s="5" t="str">
        <f ca="1">"721"&amp;IF(INFO("system")="mac",CHAR(13),CHAR(10))&amp;"721"&amp;IF(INFO("system")="mac",CHAR(13),CHAR(10))&amp;"973"</f>
        <v>721_x000D_721_x000D_973</v>
      </c>
      <c r="H195" s="5" t="str">
        <f ca="1">"241"&amp;IF(INFO("system")="mac",CHAR(13),CHAR(10))&amp;"241"&amp;IF(INFO("system")="mac",CHAR(13),CHAR(10))&amp;"325"</f>
        <v>241_x000D_241_x000D_325</v>
      </c>
      <c r="I195" s="4" t="s">
        <v>601</v>
      </c>
      <c r="J195" s="4" t="s">
        <v>602</v>
      </c>
      <c r="K195" s="4" t="s">
        <v>226</v>
      </c>
      <c r="L195" s="4">
        <v>179260590</v>
      </c>
      <c r="M195" s="4">
        <v>179260590</v>
      </c>
      <c r="N195" s="4" t="s">
        <v>23</v>
      </c>
      <c r="O195" s="4" t="s">
        <v>46</v>
      </c>
      <c r="P195" s="4" t="s">
        <v>24</v>
      </c>
      <c r="Q195" s="4">
        <v>4</v>
      </c>
    </row>
    <row r="196" spans="1:17" ht="45">
      <c r="A196" s="3">
        <v>31107</v>
      </c>
      <c r="B196" s="4" t="s">
        <v>603</v>
      </c>
      <c r="C196" s="4" t="str">
        <f ca="1">"NM_001243093"&amp;IF(INFO("system")="mac",CHAR(13),CHAR(10))&amp;"NM_199335"&amp;IF(INFO("system")="mac",CHAR(13),CHAR(10))&amp;"NM_001465"</f>
        <v>NM_001243093_x000D_NM_199335_x000D_NM_001465</v>
      </c>
      <c r="D196" s="4">
        <v>2533</v>
      </c>
      <c r="E196" s="4" t="s">
        <v>19</v>
      </c>
      <c r="F196" s="5" t="str">
        <f ca="1">"972"&amp;IF(INFO("system")="mac",CHAR(13),CHAR(10))&amp;"1006"&amp;IF(INFO("system")="mac",CHAR(13),CHAR(10))&amp;"1006"</f>
        <v>972_x000D_1006_x000D_1006</v>
      </c>
      <c r="G196" s="5" t="str">
        <f ca="1">"886"&amp;IF(INFO("system")="mac",CHAR(13),CHAR(10))&amp;"856"&amp;IF(INFO("system")="mac",CHAR(13),CHAR(10))&amp;"856"</f>
        <v>886_x000D_856_x000D_856</v>
      </c>
      <c r="H196" s="5" t="str">
        <f ca="1">"296"&amp;IF(INFO("system")="mac",CHAR(13),CHAR(10))&amp;"286"&amp;IF(INFO("system")="mac",CHAR(13),CHAR(10))&amp;"286"</f>
        <v>296_x000D_286_x000D_286</v>
      </c>
      <c r="I196" s="4" t="s">
        <v>91</v>
      </c>
      <c r="J196" s="4" t="s">
        <v>604</v>
      </c>
      <c r="K196" s="4" t="s">
        <v>226</v>
      </c>
      <c r="L196" s="4">
        <v>39202207</v>
      </c>
      <c r="M196" s="4">
        <v>39202207</v>
      </c>
      <c r="N196" s="4" t="s">
        <v>23</v>
      </c>
      <c r="O196" s="4" t="s">
        <v>41</v>
      </c>
      <c r="P196" s="4" t="s">
        <v>25</v>
      </c>
      <c r="Q196" s="4">
        <v>0</v>
      </c>
    </row>
    <row r="197" spans="1:17">
      <c r="A197" s="3">
        <v>31107</v>
      </c>
      <c r="B197" s="4" t="s">
        <v>605</v>
      </c>
      <c r="C197" s="4" t="s">
        <v>606</v>
      </c>
      <c r="D197" s="4">
        <v>133558</v>
      </c>
      <c r="E197" s="4" t="s">
        <v>19</v>
      </c>
      <c r="F197" s="5">
        <v>3957</v>
      </c>
      <c r="G197" s="5">
        <v>3467</v>
      </c>
      <c r="H197" s="5">
        <v>1156</v>
      </c>
      <c r="I197" s="4" t="s">
        <v>64</v>
      </c>
      <c r="J197" s="4" t="s">
        <v>65</v>
      </c>
      <c r="K197" s="4" t="s">
        <v>226</v>
      </c>
      <c r="L197" s="4">
        <v>41008849</v>
      </c>
      <c r="M197" s="4">
        <v>41008849</v>
      </c>
      <c r="N197" s="4" t="s">
        <v>23</v>
      </c>
      <c r="O197" s="4" t="s">
        <v>24</v>
      </c>
      <c r="P197" s="4" t="s">
        <v>41</v>
      </c>
      <c r="Q197" s="4">
        <v>11</v>
      </c>
    </row>
    <row r="198" spans="1:17">
      <c r="A198" s="3">
        <v>31107</v>
      </c>
      <c r="B198" s="4" t="s">
        <v>607</v>
      </c>
      <c r="C198" s="4" t="s">
        <v>608</v>
      </c>
      <c r="D198" s="4">
        <v>285761</v>
      </c>
      <c r="E198" s="4" t="s">
        <v>76</v>
      </c>
      <c r="F198" s="5">
        <v>1018</v>
      </c>
      <c r="G198" s="5">
        <v>893</v>
      </c>
      <c r="H198" s="5">
        <v>298</v>
      </c>
      <c r="I198" s="4" t="s">
        <v>77</v>
      </c>
      <c r="J198" s="4" t="s">
        <v>609</v>
      </c>
      <c r="K198" s="4" t="s">
        <v>237</v>
      </c>
      <c r="L198" s="4">
        <v>117859915</v>
      </c>
      <c r="M198" s="4">
        <v>117859915</v>
      </c>
      <c r="N198" s="4" t="s">
        <v>23</v>
      </c>
      <c r="O198" s="4" t="s">
        <v>46</v>
      </c>
      <c r="P198" s="4" t="s">
        <v>25</v>
      </c>
      <c r="Q198" s="4">
        <v>18</v>
      </c>
    </row>
    <row r="199" spans="1:17" ht="30">
      <c r="A199" s="3">
        <v>31107</v>
      </c>
      <c r="B199" s="4" t="s">
        <v>610</v>
      </c>
      <c r="C199" s="4" t="str">
        <f ca="1">"NM_003381"&amp;IF(INFO("system")="mac",CHAR(13),CHAR(10))&amp;"NM_194435"</f>
        <v>NM_003381_x000D_NM_194435</v>
      </c>
      <c r="D199" s="4">
        <v>7432</v>
      </c>
      <c r="E199" s="4" t="str">
        <f ca="1">"NON_SYNONYMOUS_CODING"&amp;IF(INFO("system")="mac",CHAR(13),CHAR(10))&amp;"NMD_TRANSCRIPT,NON_SYNONYMOUS_CODING"</f>
        <v>NON_SYNONYMOUS_CODING_x000D_NMD_TRANSCRIPT,NON_SYNONYMOUS_CODING</v>
      </c>
      <c r="F199" s="5">
        <v>345</v>
      </c>
      <c r="G199" s="5">
        <v>173</v>
      </c>
      <c r="H199" s="5">
        <v>58</v>
      </c>
      <c r="I199" s="4" t="s">
        <v>351</v>
      </c>
      <c r="J199" s="4" t="s">
        <v>429</v>
      </c>
      <c r="K199" s="4" t="s">
        <v>237</v>
      </c>
      <c r="L199" s="4">
        <v>153075366</v>
      </c>
      <c r="M199" s="4">
        <v>153075366</v>
      </c>
      <c r="N199" s="4" t="s">
        <v>23</v>
      </c>
      <c r="O199" s="4" t="s">
        <v>41</v>
      </c>
      <c r="P199" s="4" t="s">
        <v>46</v>
      </c>
      <c r="Q199" s="4">
        <v>-1</v>
      </c>
    </row>
    <row r="200" spans="1:17">
      <c r="A200" s="3">
        <v>31107</v>
      </c>
      <c r="B200" s="4" t="s">
        <v>611</v>
      </c>
      <c r="C200" s="4" t="s">
        <v>612</v>
      </c>
      <c r="D200" s="4">
        <v>222662</v>
      </c>
      <c r="E200" s="4" t="s">
        <v>19</v>
      </c>
      <c r="F200" s="5">
        <v>456</v>
      </c>
      <c r="G200" s="5">
        <v>79</v>
      </c>
      <c r="H200" s="5">
        <v>27</v>
      </c>
      <c r="I200" s="4" t="s">
        <v>170</v>
      </c>
      <c r="J200" s="4" t="s">
        <v>171</v>
      </c>
      <c r="K200" s="4" t="s">
        <v>237</v>
      </c>
      <c r="L200" s="4">
        <v>35773526</v>
      </c>
      <c r="M200" s="4">
        <v>35773526</v>
      </c>
      <c r="N200" s="4" t="s">
        <v>23</v>
      </c>
      <c r="O200" s="4" t="s">
        <v>24</v>
      </c>
      <c r="P200" s="4" t="s">
        <v>25</v>
      </c>
      <c r="Q200" s="4">
        <v>6</v>
      </c>
    </row>
    <row r="201" spans="1:17" ht="30">
      <c r="A201" s="3">
        <v>31107</v>
      </c>
      <c r="B201" s="4" t="s">
        <v>613</v>
      </c>
      <c r="C201" s="4" t="str">
        <f ca="1">"NM_130797"&amp;IF(INFO("system")="mac",CHAR(13),CHAR(10))&amp;"NM_001936"</f>
        <v>NM_130797_x000D_NM_001936</v>
      </c>
      <c r="D201" s="4">
        <v>1804</v>
      </c>
      <c r="E201" s="4" t="s">
        <v>19</v>
      </c>
      <c r="F201" s="5">
        <v>1360</v>
      </c>
      <c r="G201" s="5">
        <v>1360</v>
      </c>
      <c r="H201" s="5">
        <v>454</v>
      </c>
      <c r="I201" s="4" t="s">
        <v>559</v>
      </c>
      <c r="J201" s="4" t="s">
        <v>614</v>
      </c>
      <c r="K201" s="4" t="s">
        <v>257</v>
      </c>
      <c r="L201" s="4">
        <v>154667719</v>
      </c>
      <c r="M201" s="4">
        <v>154667719</v>
      </c>
      <c r="N201" s="4" t="s">
        <v>23</v>
      </c>
      <c r="O201" s="4" t="s">
        <v>46</v>
      </c>
      <c r="P201" s="4" t="s">
        <v>41</v>
      </c>
      <c r="Q201" s="4">
        <v>5</v>
      </c>
    </row>
    <row r="202" spans="1:17">
      <c r="A202" s="3">
        <v>31107</v>
      </c>
      <c r="B202" s="4" t="s">
        <v>615</v>
      </c>
      <c r="C202" s="4" t="s">
        <v>616</v>
      </c>
      <c r="D202" s="4">
        <v>23333</v>
      </c>
      <c r="E202" s="4" t="s">
        <v>19</v>
      </c>
      <c r="F202" s="5">
        <v>2001</v>
      </c>
      <c r="G202" s="5">
        <v>1856</v>
      </c>
      <c r="H202" s="5">
        <v>619</v>
      </c>
      <c r="I202" s="4" t="s">
        <v>617</v>
      </c>
      <c r="J202" s="4" t="s">
        <v>618</v>
      </c>
      <c r="K202" s="4" t="s">
        <v>257</v>
      </c>
      <c r="L202" s="4">
        <v>34977621</v>
      </c>
      <c r="M202" s="4">
        <v>34977621</v>
      </c>
      <c r="N202" s="4" t="s">
        <v>23</v>
      </c>
      <c r="O202" s="4" t="s">
        <v>46</v>
      </c>
      <c r="P202" s="4" t="s">
        <v>41</v>
      </c>
      <c r="Q202" s="4">
        <v>-3</v>
      </c>
    </row>
    <row r="203" spans="1:17" ht="30">
      <c r="A203" s="3">
        <v>31107</v>
      </c>
      <c r="B203" s="4" t="s">
        <v>619</v>
      </c>
      <c r="C203" s="4" t="s">
        <v>620</v>
      </c>
      <c r="D203" s="4">
        <v>100289196</v>
      </c>
      <c r="E203" s="4" t="s">
        <v>19</v>
      </c>
      <c r="F203" s="5">
        <v>109</v>
      </c>
      <c r="G203" s="5">
        <v>109</v>
      </c>
      <c r="H203" s="5">
        <v>37</v>
      </c>
      <c r="I203" s="4" t="s">
        <v>484</v>
      </c>
      <c r="J203" s="4" t="s">
        <v>485</v>
      </c>
      <c r="K203" s="4" t="s">
        <v>257</v>
      </c>
      <c r="L203" s="4">
        <v>56671211</v>
      </c>
      <c r="M203" s="4">
        <v>56671211</v>
      </c>
      <c r="N203" s="4" t="s">
        <v>23</v>
      </c>
      <c r="O203" s="4" t="s">
        <v>24</v>
      </c>
      <c r="P203" s="4" t="s">
        <v>25</v>
      </c>
      <c r="Q203" s="4">
        <v>4</v>
      </c>
    </row>
    <row r="204" spans="1:17" ht="30">
      <c r="A204" s="3">
        <v>31107</v>
      </c>
      <c r="B204" s="4" t="s">
        <v>621</v>
      </c>
      <c r="C204" s="4" t="str">
        <f ca="1">"NM_001202855"&amp;IF(INFO("system")="mac",CHAR(13),CHAR(10))&amp;"NM_017460"</f>
        <v>NM_001202855_x000D_NM_017460</v>
      </c>
      <c r="D204" s="4">
        <v>1576</v>
      </c>
      <c r="E204" s="4" t="s">
        <v>19</v>
      </c>
      <c r="F204" s="5">
        <v>241</v>
      </c>
      <c r="G204" s="5">
        <v>134</v>
      </c>
      <c r="H204" s="5">
        <v>45</v>
      </c>
      <c r="I204" s="4" t="s">
        <v>142</v>
      </c>
      <c r="J204" s="4" t="s">
        <v>622</v>
      </c>
      <c r="K204" s="4" t="s">
        <v>257</v>
      </c>
      <c r="L204" s="4">
        <v>99377646</v>
      </c>
      <c r="M204" s="4">
        <v>99377646</v>
      </c>
      <c r="N204" s="4" t="s">
        <v>23</v>
      </c>
      <c r="O204" s="4" t="s">
        <v>24</v>
      </c>
      <c r="P204" s="4" t="s">
        <v>41</v>
      </c>
      <c r="Q204" s="4">
        <v>-4</v>
      </c>
    </row>
    <row r="205" spans="1:17">
      <c r="A205" s="3">
        <v>31107</v>
      </c>
      <c r="B205" s="4" t="s">
        <v>623</v>
      </c>
      <c r="C205" s="4" t="s">
        <v>624</v>
      </c>
      <c r="D205" s="4">
        <v>6873</v>
      </c>
      <c r="E205" s="4" t="s">
        <v>76</v>
      </c>
      <c r="F205" s="5">
        <v>1213</v>
      </c>
      <c r="G205" s="5">
        <v>943</v>
      </c>
      <c r="H205" s="5">
        <v>315</v>
      </c>
      <c r="I205" s="4" t="s">
        <v>262</v>
      </c>
      <c r="J205" s="4" t="s">
        <v>625</v>
      </c>
      <c r="K205" s="4" t="s">
        <v>279</v>
      </c>
      <c r="L205" s="4">
        <v>120809936</v>
      </c>
      <c r="M205" s="4">
        <v>120809936</v>
      </c>
      <c r="N205" s="4" t="s">
        <v>23</v>
      </c>
      <c r="O205" s="4" t="s">
        <v>46</v>
      </c>
      <c r="P205" s="4" t="s">
        <v>25</v>
      </c>
      <c r="Q205" s="4">
        <v>2</v>
      </c>
    </row>
    <row r="206" spans="1:17">
      <c r="A206" s="3">
        <v>31107</v>
      </c>
      <c r="B206" s="4" t="s">
        <v>626</v>
      </c>
      <c r="C206" s="4" t="s">
        <v>627</v>
      </c>
      <c r="D206" s="4">
        <v>10687</v>
      </c>
      <c r="E206" s="4" t="s">
        <v>19</v>
      </c>
      <c r="F206" s="5">
        <v>1390</v>
      </c>
      <c r="G206" s="5">
        <v>620</v>
      </c>
      <c r="H206" s="5">
        <v>207</v>
      </c>
      <c r="I206" s="4" t="s">
        <v>628</v>
      </c>
      <c r="J206" s="4" t="s">
        <v>629</v>
      </c>
      <c r="K206" s="4" t="s">
        <v>279</v>
      </c>
      <c r="L206" s="4">
        <v>26365652</v>
      </c>
      <c r="M206" s="4">
        <v>26365652</v>
      </c>
      <c r="N206" s="4" t="s">
        <v>23</v>
      </c>
      <c r="O206" s="4" t="s">
        <v>24</v>
      </c>
      <c r="P206" s="4" t="s">
        <v>41</v>
      </c>
      <c r="Q206" s="4">
        <v>8</v>
      </c>
    </row>
    <row r="207" spans="1:17" ht="30">
      <c r="A207" s="3">
        <v>31107</v>
      </c>
      <c r="B207" s="4" t="s">
        <v>630</v>
      </c>
      <c r="C207" s="4" t="str">
        <f ca="1">"NM_006803"&amp;IF(INFO("system")="mac",CHAR(13),CHAR(10))&amp;"NM_001134296"</f>
        <v>NM_006803_x000D_NM_001134296</v>
      </c>
      <c r="D207" s="4">
        <v>10947</v>
      </c>
      <c r="E207" s="4" t="s">
        <v>31</v>
      </c>
      <c r="F207" s="5" t="str">
        <f ca="1">"990-991"&amp;IF(INFO("system")="mac",CHAR(13),CHAR(10))&amp;"1049-1050"</f>
        <v>990-991_x000D_1049-1050</v>
      </c>
      <c r="G207" s="5" t="s">
        <v>631</v>
      </c>
      <c r="H207" s="5">
        <v>253</v>
      </c>
      <c r="I207" s="4" t="s">
        <v>35</v>
      </c>
      <c r="J207" s="4" t="s">
        <v>35</v>
      </c>
      <c r="K207" s="4" t="s">
        <v>279</v>
      </c>
      <c r="L207" s="4">
        <v>42023034</v>
      </c>
      <c r="M207" s="4">
        <v>42023033</v>
      </c>
      <c r="N207" s="4" t="s">
        <v>110</v>
      </c>
      <c r="O207" s="4"/>
      <c r="P207" s="4" t="s">
        <v>41</v>
      </c>
      <c r="Q207" s="4">
        <v>-2</v>
      </c>
    </row>
    <row r="208" spans="1:17" ht="30">
      <c r="A208" s="3">
        <v>3885</v>
      </c>
      <c r="B208" s="4" t="s">
        <v>632</v>
      </c>
      <c r="C208" s="4" t="str">
        <f ca="1">"NM_001130045"&amp;IF(INFO("system")="mac",CHAR(13),CHAR(10))&amp;"NM_153254"</f>
        <v>NM_001130045_x000D_NM_153254</v>
      </c>
      <c r="D208" s="4">
        <v>254173</v>
      </c>
      <c r="E208" s="4" t="s">
        <v>19</v>
      </c>
      <c r="F208" s="5" t="str">
        <f ca="1">"1333"&amp;IF(INFO("system")="mac",CHAR(13),CHAR(10))&amp;"1140"</f>
        <v>1333_x000D_1140</v>
      </c>
      <c r="G208" s="5" t="str">
        <f ca="1">"1182"&amp;IF(INFO("system")="mac",CHAR(13),CHAR(10))&amp;"963"</f>
        <v>1182_x000D_963</v>
      </c>
      <c r="H208" s="5" t="str">
        <f ca="1">"394"&amp;IF(INFO("system")="mac",CHAR(13),CHAR(10))&amp;"321"</f>
        <v>394_x000D_321</v>
      </c>
      <c r="I208" s="4" t="s">
        <v>199</v>
      </c>
      <c r="J208" s="4" t="s">
        <v>633</v>
      </c>
      <c r="K208" s="4" t="s">
        <v>22</v>
      </c>
      <c r="L208" s="4">
        <v>1119393</v>
      </c>
      <c r="M208" s="4">
        <v>1119393</v>
      </c>
      <c r="N208" s="4" t="s">
        <v>23</v>
      </c>
      <c r="O208" s="4" t="s">
        <v>41</v>
      </c>
      <c r="P208" s="4" t="s">
        <v>24</v>
      </c>
      <c r="Q208" s="4">
        <v>7</v>
      </c>
    </row>
    <row r="209" spans="1:17">
      <c r="A209" s="3">
        <v>3885</v>
      </c>
      <c r="B209" s="4" t="s">
        <v>634</v>
      </c>
      <c r="C209" s="4" t="s">
        <v>635</v>
      </c>
      <c r="D209" s="4">
        <v>26239</v>
      </c>
      <c r="E209" s="4" t="s">
        <v>19</v>
      </c>
      <c r="F209" s="5">
        <v>176</v>
      </c>
      <c r="G209" s="5">
        <v>122</v>
      </c>
      <c r="H209" s="5">
        <v>41</v>
      </c>
      <c r="I209" s="4" t="s">
        <v>636</v>
      </c>
      <c r="J209" s="4" t="s">
        <v>637</v>
      </c>
      <c r="K209" s="4" t="s">
        <v>22</v>
      </c>
      <c r="L209" s="4">
        <v>152659441</v>
      </c>
      <c r="M209" s="4">
        <v>152659441</v>
      </c>
      <c r="N209" s="4" t="s">
        <v>23</v>
      </c>
      <c r="O209" s="4" t="s">
        <v>46</v>
      </c>
      <c r="P209" s="4" t="s">
        <v>25</v>
      </c>
      <c r="Q209" s="4">
        <v>11</v>
      </c>
    </row>
    <row r="210" spans="1:17">
      <c r="A210" s="3">
        <v>3885</v>
      </c>
      <c r="B210" s="4" t="s">
        <v>638</v>
      </c>
      <c r="C210" s="4" t="s">
        <v>639</v>
      </c>
      <c r="D210" s="4">
        <v>83872</v>
      </c>
      <c r="E210" s="4" t="s">
        <v>232</v>
      </c>
      <c r="F210" s="5" t="s">
        <v>35</v>
      </c>
      <c r="G210" s="5" t="s">
        <v>35</v>
      </c>
      <c r="H210" s="5" t="s">
        <v>35</v>
      </c>
      <c r="I210" s="4" t="s">
        <v>35</v>
      </c>
      <c r="J210" s="4" t="s">
        <v>35</v>
      </c>
      <c r="K210" s="4" t="s">
        <v>22</v>
      </c>
      <c r="L210" s="4">
        <v>186045557</v>
      </c>
      <c r="M210" s="4">
        <v>186045557</v>
      </c>
      <c r="N210" s="4" t="s">
        <v>23</v>
      </c>
      <c r="O210" s="4" t="s">
        <v>41</v>
      </c>
      <c r="P210" s="4" t="s">
        <v>46</v>
      </c>
      <c r="Q210" s="4">
        <v>5</v>
      </c>
    </row>
    <row r="211" spans="1:17">
      <c r="A211" s="3">
        <v>3885</v>
      </c>
      <c r="B211" s="4" t="s">
        <v>640</v>
      </c>
      <c r="C211" s="4" t="s">
        <v>641</v>
      </c>
      <c r="D211" s="4">
        <v>127254</v>
      </c>
      <c r="E211" s="4" t="s">
        <v>19</v>
      </c>
      <c r="F211" s="5">
        <v>1916</v>
      </c>
      <c r="G211" s="5">
        <v>1697</v>
      </c>
      <c r="H211" s="5">
        <v>566</v>
      </c>
      <c r="I211" s="4" t="s">
        <v>636</v>
      </c>
      <c r="J211" s="4" t="s">
        <v>642</v>
      </c>
      <c r="K211" s="4" t="s">
        <v>22</v>
      </c>
      <c r="L211" s="4">
        <v>75065408</v>
      </c>
      <c r="M211" s="4">
        <v>75065408</v>
      </c>
      <c r="N211" s="4" t="s">
        <v>23</v>
      </c>
      <c r="O211" s="4" t="s">
        <v>24</v>
      </c>
      <c r="P211" s="4" t="s">
        <v>41</v>
      </c>
      <c r="Q211" s="4">
        <v>3</v>
      </c>
    </row>
    <row r="212" spans="1:17">
      <c r="A212" s="3">
        <v>3885</v>
      </c>
      <c r="B212" s="4" t="s">
        <v>643</v>
      </c>
      <c r="C212" s="4" t="s">
        <v>644</v>
      </c>
      <c r="D212" s="4">
        <v>8029</v>
      </c>
      <c r="E212" s="4" t="s">
        <v>19</v>
      </c>
      <c r="F212" s="5">
        <v>7074</v>
      </c>
      <c r="G212" s="5">
        <v>7022</v>
      </c>
      <c r="H212" s="5">
        <v>2341</v>
      </c>
      <c r="I212" s="4" t="s">
        <v>332</v>
      </c>
      <c r="J212" s="4" t="s">
        <v>522</v>
      </c>
      <c r="K212" s="4" t="s">
        <v>69</v>
      </c>
      <c r="L212" s="4">
        <v>16958008</v>
      </c>
      <c r="M212" s="4">
        <v>16958008</v>
      </c>
      <c r="N212" s="4" t="s">
        <v>23</v>
      </c>
      <c r="O212" s="4" t="s">
        <v>24</v>
      </c>
      <c r="P212" s="4" t="s">
        <v>25</v>
      </c>
      <c r="Q212" s="4">
        <v>2</v>
      </c>
    </row>
    <row r="213" spans="1:17">
      <c r="A213" s="3">
        <v>3885</v>
      </c>
      <c r="B213" s="4" t="s">
        <v>645</v>
      </c>
      <c r="C213" s="4" t="s">
        <v>646</v>
      </c>
      <c r="D213" s="4">
        <v>10529</v>
      </c>
      <c r="E213" s="4" t="s">
        <v>232</v>
      </c>
      <c r="F213" s="5" t="s">
        <v>35</v>
      </c>
      <c r="G213" s="5" t="s">
        <v>35</v>
      </c>
      <c r="H213" s="5" t="s">
        <v>35</v>
      </c>
      <c r="I213" s="4" t="s">
        <v>35</v>
      </c>
      <c r="J213" s="4" t="s">
        <v>35</v>
      </c>
      <c r="K213" s="4" t="s">
        <v>69</v>
      </c>
      <c r="L213" s="4">
        <v>21102979</v>
      </c>
      <c r="M213" s="4">
        <v>21102979</v>
      </c>
      <c r="N213" s="4" t="s">
        <v>23</v>
      </c>
      <c r="O213" s="4" t="s">
        <v>25</v>
      </c>
      <c r="P213" s="4" t="s">
        <v>41</v>
      </c>
      <c r="Q213" s="4">
        <v>8</v>
      </c>
    </row>
    <row r="214" spans="1:17" ht="45">
      <c r="A214" s="3">
        <v>3885</v>
      </c>
      <c r="B214" s="4" t="s">
        <v>647</v>
      </c>
      <c r="C214" s="4" t="str">
        <f ca="1">"NM_001204404"&amp;IF(INFO("system")="mac",CHAR(13),CHAR(10))&amp;"NM_020987"&amp;IF(INFO("system")="mac",CHAR(13),CHAR(10))&amp;"NM_001204403"</f>
        <v>NM_001204404_x000D_NM_020987_x000D_NM_001204403</v>
      </c>
      <c r="D214" s="4">
        <v>288</v>
      </c>
      <c r="E214" s="4" t="str">
        <f ca="1">"NMD_TRANSCRIPT,SPLICE_SITE,INTRONIC"&amp;IF(INFO("system")="mac",CHAR(13),CHAR(10))&amp;"SPLICE_SITE,INTRONIC"&amp;IF(INFO("system")="mac",CHAR(13),CHAR(10))&amp;"NMD_TRANSCRIPT,SPLICE_SITE,INTRONIC"</f>
        <v>NMD_TRANSCRIPT,SPLICE_SITE,INTRONIC_x000D_SPLICE_SITE,INTRONIC_x000D_NMD_TRANSCRIPT,SPLICE_SITE,INTRONIC</v>
      </c>
      <c r="F214" s="5" t="s">
        <v>35</v>
      </c>
      <c r="G214" s="5" t="s">
        <v>35</v>
      </c>
      <c r="H214" s="5" t="s">
        <v>35</v>
      </c>
      <c r="I214" s="4" t="s">
        <v>35</v>
      </c>
      <c r="J214" s="4" t="s">
        <v>35</v>
      </c>
      <c r="K214" s="4" t="s">
        <v>69</v>
      </c>
      <c r="L214" s="4">
        <v>61926416</v>
      </c>
      <c r="M214" s="4">
        <v>61926416</v>
      </c>
      <c r="N214" s="4" t="s">
        <v>23</v>
      </c>
      <c r="O214" s="4" t="s">
        <v>25</v>
      </c>
      <c r="P214" s="4" t="s">
        <v>24</v>
      </c>
      <c r="Q214" s="4">
        <v>9</v>
      </c>
    </row>
    <row r="215" spans="1:17">
      <c r="A215" s="3">
        <v>3885</v>
      </c>
      <c r="B215" s="4" t="s">
        <v>648</v>
      </c>
      <c r="C215" s="4" t="s">
        <v>649</v>
      </c>
      <c r="D215" s="4">
        <v>5146</v>
      </c>
      <c r="E215" s="4" t="s">
        <v>31</v>
      </c>
      <c r="F215" s="5" t="s">
        <v>650</v>
      </c>
      <c r="G215" s="5" t="s">
        <v>651</v>
      </c>
      <c r="H215" s="5" t="s">
        <v>652</v>
      </c>
      <c r="I215" s="4" t="s">
        <v>35</v>
      </c>
      <c r="J215" s="4" t="s">
        <v>35</v>
      </c>
      <c r="K215" s="4" t="s">
        <v>69</v>
      </c>
      <c r="L215" s="4">
        <v>95394530</v>
      </c>
      <c r="M215" s="4">
        <v>95394529</v>
      </c>
      <c r="N215" s="4" t="s">
        <v>110</v>
      </c>
      <c r="O215" s="4"/>
      <c r="P215" s="4" t="s">
        <v>227</v>
      </c>
      <c r="Q215" s="4">
        <v>-2</v>
      </c>
    </row>
    <row r="216" spans="1:17" ht="30">
      <c r="A216" s="3">
        <v>3885</v>
      </c>
      <c r="B216" s="4" t="s">
        <v>653</v>
      </c>
      <c r="C216" s="4" t="str">
        <f ca="1">"NM_018712"&amp;IF(INFO("system")="mac",CHAR(13),CHAR(10))&amp;"NM_001130037"</f>
        <v>NM_018712_x000D_NM_001130037</v>
      </c>
      <c r="D216" s="4">
        <v>55531</v>
      </c>
      <c r="E216" s="4" t="s">
        <v>19</v>
      </c>
      <c r="F216" s="5">
        <v>469</v>
      </c>
      <c r="G216" s="5">
        <v>65</v>
      </c>
      <c r="H216" s="5">
        <v>22</v>
      </c>
      <c r="I216" s="4" t="s">
        <v>72</v>
      </c>
      <c r="J216" s="4" t="s">
        <v>73</v>
      </c>
      <c r="K216" s="4" t="s">
        <v>83</v>
      </c>
      <c r="L216" s="4">
        <v>107501190</v>
      </c>
      <c r="M216" s="4">
        <v>107501190</v>
      </c>
      <c r="N216" s="4" t="s">
        <v>23</v>
      </c>
      <c r="O216" s="4" t="s">
        <v>24</v>
      </c>
      <c r="P216" s="4" t="s">
        <v>25</v>
      </c>
      <c r="Q216" s="4">
        <v>5</v>
      </c>
    </row>
    <row r="217" spans="1:17" ht="30">
      <c r="A217" s="3">
        <v>3885</v>
      </c>
      <c r="B217" s="4" t="s">
        <v>654</v>
      </c>
      <c r="C217" s="4" t="str">
        <f ca="1">"NM_201551"&amp;IF(INFO("system")="mac",CHAR(13),CHAR(10))&amp;"NM_006157"</f>
        <v>NM_201551_x000D_NM_006157</v>
      </c>
      <c r="D217" s="4">
        <v>4745</v>
      </c>
      <c r="E217" s="4" t="s">
        <v>76</v>
      </c>
      <c r="F217" s="5" t="str">
        <f ca="1">"2011"&amp;IF(INFO("system")="mac",CHAR(13),CHAR(10))&amp;"2152"</f>
        <v>2011_x000D_2152</v>
      </c>
      <c r="G217" s="5" t="str">
        <f ca="1">"1858"&amp;IF(INFO("system")="mac",CHAR(13),CHAR(10))&amp;"1999"</f>
        <v>1858_x000D_1999</v>
      </c>
      <c r="H217" s="5" t="str">
        <f ca="1">"620"&amp;IF(INFO("system")="mac",CHAR(13),CHAR(10))&amp;"667"</f>
        <v>620_x000D_667</v>
      </c>
      <c r="I217" s="4" t="s">
        <v>102</v>
      </c>
      <c r="J217" s="4" t="s">
        <v>103</v>
      </c>
      <c r="K217" s="4" t="s">
        <v>83</v>
      </c>
      <c r="L217" s="4">
        <v>21592328</v>
      </c>
      <c r="M217" s="4">
        <v>21592328</v>
      </c>
      <c r="N217" s="4" t="s">
        <v>23</v>
      </c>
      <c r="O217" s="4" t="s">
        <v>46</v>
      </c>
      <c r="P217" s="4" t="s">
        <v>41</v>
      </c>
      <c r="Q217" s="4">
        <v>-5</v>
      </c>
    </row>
    <row r="218" spans="1:17">
      <c r="A218" s="3">
        <v>3885</v>
      </c>
      <c r="B218" s="4" t="s">
        <v>655</v>
      </c>
      <c r="C218" s="4" t="s">
        <v>656</v>
      </c>
      <c r="D218" s="4">
        <v>90139</v>
      </c>
      <c r="E218" s="4" t="s">
        <v>232</v>
      </c>
      <c r="F218" s="5" t="s">
        <v>35</v>
      </c>
      <c r="G218" s="5" t="s">
        <v>35</v>
      </c>
      <c r="H218" s="5" t="s">
        <v>35</v>
      </c>
      <c r="I218" s="4" t="s">
        <v>35</v>
      </c>
      <c r="J218" s="4" t="s">
        <v>35</v>
      </c>
      <c r="K218" s="4" t="s">
        <v>83</v>
      </c>
      <c r="L218" s="4">
        <v>44927953</v>
      </c>
      <c r="M218" s="4">
        <v>44927953</v>
      </c>
      <c r="N218" s="4" t="s">
        <v>23</v>
      </c>
      <c r="O218" s="4" t="s">
        <v>41</v>
      </c>
      <c r="P218" s="4" t="s">
        <v>46</v>
      </c>
      <c r="Q218" s="4">
        <v>6</v>
      </c>
    </row>
    <row r="219" spans="1:17" ht="150">
      <c r="A219" s="3">
        <v>3885</v>
      </c>
      <c r="B219" s="4" t="s">
        <v>657</v>
      </c>
      <c r="C219" s="4" t="str">
        <f ca="1">"NM_130475"&amp;IF(INFO("system")="mac",CHAR(13),CHAR(10))&amp;"NM_130471"&amp;IF(INFO("system")="mac",CHAR(13),CHAR(10))&amp;"NM_001135943"&amp;IF(INFO("system")="mac",CHAR(13),CHAR(10))&amp;"NM_130470"&amp;IF(INFO("system")="mac",CHAR(13),CHAR(10))&amp;"NM_001135944"&amp;IF(INFO("system")="mac",CHAR(13),CHAR(10))&amp;"NM_130476"&amp;IF(INFO("system")="mac",CHAR(13),CHAR(10))&amp;"NM_130473"&amp;IF(INFO("system")="mac",CHAR(13),CHAR(10))&amp;"NM_130474"&amp;IF(INFO("system")="mac",CHAR(13),CHAR(10))&amp;"NM_130472"&amp;IF(INFO("system")="mac",CHAR(13),CHAR(10))&amp;"NM_003682"</f>
        <v>NM_130475_x000D_NM_130471_x000D_NM_001135943_x000D_NM_130470_x000D_NM_001135944_x000D_NM_130476_x000D_NM_130473_x000D_NM_130474_x000D_NM_130472_x000D_NM_003682</v>
      </c>
      <c r="D219" s="4">
        <v>8567</v>
      </c>
      <c r="E219" s="4" t="str">
        <f ca="1">"NMD_TRANSCRIPT,NON_SYNONYMOUS_CODING"&amp;IF(INFO("system")="mac",CHAR(13),CHAR(10))&amp;"NON_SYNONYMOUS_CODING"&amp;IF(INFO("system")="mac",CHAR(13),CHAR(10))&amp;"NON_SYNONYMOUS_CODING"&amp;IF(INFO("system")="mac",CHAR(13),CHAR(10))&amp;"NON_SYNONYMOUS_CODING"&amp;IF(INFO("system")="mac",CHAR(13),CHAR(10))&amp;"NON_SYNONYMOUS_CODING,SPLICE_SITE"&amp;IF(INFO("system")="mac",CHAR(13),CHAR(10))&amp;"NON_SYNONYMOUS_CODING"&amp;IF(INFO("system")="mac",CHAR(13),CHAR(10))&amp;"NON_SYNONYMOUS_CODING"&amp;IF(INFO("system")="mac",CHAR(13),CHAR(10))&amp;"NMD_TRANSCRIPT,NON_SYNONYMOUS_CODING"&amp;IF(INFO("system")="mac",CHAR(13),CHAR(10))&amp;"NON_SYNONYMOUS_CODING"&amp;IF(INFO("system")="mac",CHAR(13),CHAR(10))&amp;"NON_SYNONYMOUS_CODING"</f>
        <v>NMD_TRANSCRIPT,NON_SYNONYMOUS_CODING_x000D_NON_SYNONYMOUS_CODING_x000D_NON_SYNONYMOUS_CODING_x000D_NON_SYNONYMOUS_CODING_x000D_NON_SYNONYMOUS_CODING,SPLICE_SITE_x000D_NON_SYNONYMOUS_CODING_x000D_NON_SYNONYMOUS_CODING_x000D_NMD_TRANSCRIPT,NON_SYNONYMOUS_CODING_x000D_NON_SYNONYMOUS_CODING_x000D_NON_SYNONYMOUS_CODING</v>
      </c>
      <c r="F219" s="5" t="str">
        <f ca="1">"3802"&amp;IF(INFO("system")="mac",CHAR(13),CHAR(10))&amp;"3595"&amp;IF(INFO("system")="mac",CHAR(13),CHAR(10))&amp;"3559"&amp;IF(INFO("system")="mac",CHAR(13),CHAR(10))&amp;"3830"&amp;IF(INFO("system")="mac",CHAR(13),CHAR(10))&amp;"3535"&amp;IF(INFO("system")="mac",CHAR(13),CHAR(10))&amp;"3688"&amp;IF(INFO("system")="mac",CHAR(13),CHAR(10))&amp;"3724"&amp;IF(INFO("system")="mac",CHAR(13),CHAR(10))&amp;"3535"&amp;IF(INFO("system")="mac",CHAR(13),CHAR(10))&amp;"3535"&amp;IF(INFO("system")="mac",CHAR(13),CHAR(10))&amp;"3778"</f>
        <v>3802_x000D_3595_x000D_3559_x000D_3830_x000D_3535_x000D_3688_x000D_3724_x000D_3535_x000D_3535_x000D_3778</v>
      </c>
      <c r="G219" s="5" t="str">
        <f ca="1">"3587"&amp;IF(INFO("system")="mac",CHAR(13),CHAR(10))&amp;"3404"&amp;IF(INFO("system")="mac",CHAR(13),CHAR(10))&amp;"3344"&amp;IF(INFO("system")="mac",CHAR(13),CHAR(10))&amp;"3473"&amp;IF(INFO("system")="mac",CHAR(13),CHAR(10))&amp;"3344"&amp;IF(INFO("system")="mac",CHAR(13),CHAR(10))&amp;"3473"&amp;IF(INFO("system")="mac",CHAR(13),CHAR(10))&amp;"3533"&amp;IF(INFO("system")="mac",CHAR(13),CHAR(10))&amp;"3344"&amp;IF(INFO("system")="mac",CHAR(13),CHAR(10))&amp;"3344"&amp;IF(INFO("system")="mac",CHAR(13),CHAR(10))&amp;"3587"</f>
        <v>3587_x000D_3404_x000D_3344_x000D_3473_x000D_3344_x000D_3473_x000D_3533_x000D_3344_x000D_3344_x000D_3587</v>
      </c>
      <c r="H219" s="5" t="str">
        <f ca="1">"1196"&amp;IF(INFO("system")="mac",CHAR(13),CHAR(10))&amp;"1135"&amp;IF(INFO("system")="mac",CHAR(13),CHAR(10))&amp;"1115"&amp;IF(INFO("system")="mac",CHAR(13),CHAR(10))&amp;"1158"&amp;IF(INFO("system")="mac",CHAR(13),CHAR(10))&amp;"1115"&amp;IF(INFO("system")="mac",CHAR(13),CHAR(10))&amp;"1158"&amp;IF(INFO("system")="mac",CHAR(13),CHAR(10))&amp;"1178"&amp;IF(INFO("system")="mac",CHAR(13),CHAR(10))&amp;"1115"&amp;IF(INFO("system")="mac",CHAR(13),CHAR(10))&amp;"1115"&amp;IF(INFO("system")="mac",CHAR(13),CHAR(10))&amp;"1196"</f>
        <v>1196_x000D_1135_x000D_1115_x000D_1158_x000D_1115_x000D_1158_x000D_1178_x000D_1115_x000D_1115_x000D_1196</v>
      </c>
      <c r="I219" s="4" t="s">
        <v>453</v>
      </c>
      <c r="J219" s="4" t="s">
        <v>454</v>
      </c>
      <c r="K219" s="4" t="s">
        <v>83</v>
      </c>
      <c r="L219" s="4">
        <v>47317117</v>
      </c>
      <c r="M219" s="4">
        <v>47317117</v>
      </c>
      <c r="N219" s="4" t="s">
        <v>23</v>
      </c>
      <c r="O219" s="4" t="s">
        <v>25</v>
      </c>
      <c r="P219" s="4" t="s">
        <v>24</v>
      </c>
      <c r="Q219" s="4">
        <v>7</v>
      </c>
    </row>
    <row r="220" spans="1:17" ht="45">
      <c r="A220" s="3">
        <v>3885</v>
      </c>
      <c r="B220" s="4" t="s">
        <v>658</v>
      </c>
      <c r="C220" s="4" t="s">
        <v>659</v>
      </c>
      <c r="D220" s="4">
        <v>256148</v>
      </c>
      <c r="E220" s="4" t="s">
        <v>76</v>
      </c>
      <c r="F220" s="5" t="s">
        <v>660</v>
      </c>
      <c r="G220" s="5" t="s">
        <v>660</v>
      </c>
      <c r="H220" s="5" t="s">
        <v>661</v>
      </c>
      <c r="I220" s="4" t="s">
        <v>662</v>
      </c>
      <c r="J220" s="4" t="s">
        <v>663</v>
      </c>
      <c r="K220" s="4" t="s">
        <v>83</v>
      </c>
      <c r="L220" s="4">
        <v>48328164</v>
      </c>
      <c r="M220" s="4">
        <v>48328170</v>
      </c>
      <c r="N220" s="4" t="s">
        <v>149</v>
      </c>
      <c r="O220" s="4" t="s">
        <v>664</v>
      </c>
      <c r="P220" s="4" t="s">
        <v>665</v>
      </c>
      <c r="Q220" s="4">
        <v>-5</v>
      </c>
    </row>
    <row r="221" spans="1:17" ht="30">
      <c r="A221" s="3">
        <v>3885</v>
      </c>
      <c r="B221" s="4" t="s">
        <v>666</v>
      </c>
      <c r="C221" s="4" t="str">
        <f ca="1">"NM_001163817"&amp;IF(INFO("system")="mac",CHAR(13),CHAR(10))&amp;"NM_001360"</f>
        <v>NM_001163817_x000D_NM_001360</v>
      </c>
      <c r="D221" s="4">
        <v>1717</v>
      </c>
      <c r="E221" s="4" t="s">
        <v>19</v>
      </c>
      <c r="F221" s="5" t="str">
        <f ca="1">"1304"&amp;IF(INFO("system")="mac",CHAR(13),CHAR(10))&amp;"1327"</f>
        <v>1304_x000D_1327</v>
      </c>
      <c r="G221" s="5">
        <v>1054</v>
      </c>
      <c r="H221" s="5">
        <v>352</v>
      </c>
      <c r="I221" s="4" t="s">
        <v>356</v>
      </c>
      <c r="J221" s="4" t="s">
        <v>667</v>
      </c>
      <c r="K221" s="4" t="s">
        <v>83</v>
      </c>
      <c r="L221" s="4">
        <v>71146795</v>
      </c>
      <c r="M221" s="4">
        <v>71146795</v>
      </c>
      <c r="N221" s="4" t="s">
        <v>23</v>
      </c>
      <c r="O221" s="4" t="s">
        <v>24</v>
      </c>
      <c r="P221" s="4" t="s">
        <v>46</v>
      </c>
      <c r="Q221" s="4">
        <v>-4</v>
      </c>
    </row>
    <row r="222" spans="1:17" ht="60">
      <c r="A222" s="3">
        <v>3885</v>
      </c>
      <c r="B222" s="4" t="s">
        <v>668</v>
      </c>
      <c r="C222" s="4" t="str">
        <f ca="1">"NM_001143839"&amp;IF(INFO("system")="mac",CHAR(13),CHAR(10))&amp;"NM_001146209"&amp;IF(INFO("system")="mac",CHAR(13),CHAR(10))&amp;"NM_001243784"&amp;IF(INFO("system")="mac",CHAR(13),CHAR(10))&amp;"NM_002599"</f>
        <v>NM_001143839_x000D_NM_001146209_x000D_NM_001243784_x000D_NM_002599</v>
      </c>
      <c r="D222" s="4">
        <v>5138</v>
      </c>
      <c r="E222" s="4" t="s">
        <v>19</v>
      </c>
      <c r="F222" s="5" t="str">
        <f ca="1">"849"&amp;IF(INFO("system")="mac",CHAR(13),CHAR(10))&amp;"899"&amp;IF(INFO("system")="mac",CHAR(13),CHAR(10))&amp;"911"&amp;IF(INFO("system")="mac",CHAR(13),CHAR(10))&amp;"1029"</f>
        <v>849_x000D_899_x000D_911_x000D_1029</v>
      </c>
      <c r="G222" s="5" t="str">
        <f ca="1">"765"&amp;IF(INFO("system")="mac",CHAR(13),CHAR(10))&amp;"759"&amp;IF(INFO("system")="mac",CHAR(13),CHAR(10))&amp;"723"&amp;IF(INFO("system")="mac",CHAR(13),CHAR(10))&amp;"786"</f>
        <v>765_x000D_759_x000D_723_x000D_786</v>
      </c>
      <c r="H222" s="5" t="str">
        <f ca="1">"255"&amp;IF(INFO("system")="mac",CHAR(13),CHAR(10))&amp;"253"&amp;IF(INFO("system")="mac",CHAR(13),CHAR(10))&amp;"241"&amp;IF(INFO("system")="mac",CHAR(13),CHAR(10))&amp;"262"</f>
        <v>255_x000D_253_x000D_241_x000D_262</v>
      </c>
      <c r="I222" s="4" t="s">
        <v>669</v>
      </c>
      <c r="J222" s="4" t="s">
        <v>670</v>
      </c>
      <c r="K222" s="4" t="s">
        <v>83</v>
      </c>
      <c r="L222" s="4">
        <v>72300996</v>
      </c>
      <c r="M222" s="4">
        <v>72300996</v>
      </c>
      <c r="N222" s="4" t="s">
        <v>23</v>
      </c>
      <c r="O222" s="4" t="s">
        <v>24</v>
      </c>
      <c r="P222" s="4" t="s">
        <v>46</v>
      </c>
      <c r="Q222" s="4">
        <v>3</v>
      </c>
    </row>
    <row r="223" spans="1:17">
      <c r="A223" s="3">
        <v>3885</v>
      </c>
      <c r="B223" s="4" t="s">
        <v>671</v>
      </c>
      <c r="C223" s="4" t="s">
        <v>672</v>
      </c>
      <c r="D223" s="4">
        <v>23504</v>
      </c>
      <c r="E223" s="4" t="s">
        <v>19</v>
      </c>
      <c r="F223" s="5">
        <v>1038</v>
      </c>
      <c r="G223" s="5">
        <v>874</v>
      </c>
      <c r="H223" s="5">
        <v>292</v>
      </c>
      <c r="I223" s="4" t="s">
        <v>98</v>
      </c>
      <c r="J223" s="4" t="s">
        <v>673</v>
      </c>
      <c r="K223" s="4" t="s">
        <v>104</v>
      </c>
      <c r="L223" s="4">
        <v>130926972</v>
      </c>
      <c r="M223" s="4">
        <v>130926972</v>
      </c>
      <c r="N223" s="4" t="s">
        <v>23</v>
      </c>
      <c r="O223" s="4" t="s">
        <v>41</v>
      </c>
      <c r="P223" s="4" t="s">
        <v>46</v>
      </c>
      <c r="Q223" s="4">
        <v>1</v>
      </c>
    </row>
    <row r="224" spans="1:17">
      <c r="A224" s="3">
        <v>3885</v>
      </c>
      <c r="B224" s="4" t="s">
        <v>674</v>
      </c>
      <c r="C224" s="4" t="s">
        <v>675</v>
      </c>
      <c r="D224" s="4">
        <v>51071</v>
      </c>
      <c r="E224" s="4" t="s">
        <v>19</v>
      </c>
      <c r="F224" s="5">
        <v>465</v>
      </c>
      <c r="G224" s="5">
        <v>333</v>
      </c>
      <c r="H224" s="5">
        <v>111</v>
      </c>
      <c r="I224" s="4" t="s">
        <v>235</v>
      </c>
      <c r="J224" s="4" t="s">
        <v>236</v>
      </c>
      <c r="K224" s="4" t="s">
        <v>104</v>
      </c>
      <c r="L224" s="4">
        <v>16112818</v>
      </c>
      <c r="M224" s="4">
        <v>16112818</v>
      </c>
      <c r="N224" s="4" t="s">
        <v>23</v>
      </c>
      <c r="O224" s="4" t="s">
        <v>25</v>
      </c>
      <c r="P224" s="4" t="s">
        <v>46</v>
      </c>
      <c r="Q224" s="4">
        <v>-2</v>
      </c>
    </row>
    <row r="225" spans="1:17">
      <c r="A225" s="3">
        <v>3885</v>
      </c>
      <c r="B225" s="4" t="s">
        <v>676</v>
      </c>
      <c r="C225" s="4" t="s">
        <v>677</v>
      </c>
      <c r="D225" s="4">
        <v>121273</v>
      </c>
      <c r="E225" s="4" t="s">
        <v>392</v>
      </c>
      <c r="F225" s="5">
        <v>197</v>
      </c>
      <c r="G225" s="5">
        <v>66</v>
      </c>
      <c r="H225" s="5">
        <v>22</v>
      </c>
      <c r="I225" s="4" t="s">
        <v>315</v>
      </c>
      <c r="J225" s="4" t="s">
        <v>316</v>
      </c>
      <c r="K225" s="4" t="s">
        <v>104</v>
      </c>
      <c r="L225" s="4">
        <v>48879961</v>
      </c>
      <c r="M225" s="4">
        <v>48879961</v>
      </c>
      <c r="N225" s="4" t="s">
        <v>23</v>
      </c>
      <c r="O225" s="4" t="s">
        <v>46</v>
      </c>
      <c r="P225" s="4" t="s">
        <v>25</v>
      </c>
      <c r="Q225" s="4">
        <v>0</v>
      </c>
    </row>
    <row r="226" spans="1:17">
      <c r="A226" s="3">
        <v>3885</v>
      </c>
      <c r="B226" s="4" t="s">
        <v>678</v>
      </c>
      <c r="C226" s="4" t="s">
        <v>679</v>
      </c>
      <c r="D226" s="4">
        <v>196441</v>
      </c>
      <c r="E226" s="4" t="s">
        <v>19</v>
      </c>
      <c r="F226" s="5">
        <v>3967</v>
      </c>
      <c r="G226" s="5">
        <v>3608</v>
      </c>
      <c r="H226" s="5">
        <v>1203</v>
      </c>
      <c r="I226" s="4" t="s">
        <v>680</v>
      </c>
      <c r="J226" s="4" t="s">
        <v>681</v>
      </c>
      <c r="K226" s="4" t="s">
        <v>104</v>
      </c>
      <c r="L226" s="4">
        <v>72024496</v>
      </c>
      <c r="M226" s="4">
        <v>72024496</v>
      </c>
      <c r="N226" s="4" t="s">
        <v>23</v>
      </c>
      <c r="O226" s="4" t="s">
        <v>41</v>
      </c>
      <c r="P226" s="4" t="s">
        <v>46</v>
      </c>
      <c r="Q226" s="4">
        <v>14</v>
      </c>
    </row>
    <row r="227" spans="1:17">
      <c r="A227" s="3">
        <v>3885</v>
      </c>
      <c r="B227" s="4" t="s">
        <v>682</v>
      </c>
      <c r="C227" s="4" t="s">
        <v>683</v>
      </c>
      <c r="D227" s="4">
        <v>121278</v>
      </c>
      <c r="E227" s="4" t="s">
        <v>19</v>
      </c>
      <c r="F227" s="5">
        <v>1492</v>
      </c>
      <c r="G227" s="5">
        <v>1351</v>
      </c>
      <c r="H227" s="5">
        <v>451</v>
      </c>
      <c r="I227" s="4" t="s">
        <v>684</v>
      </c>
      <c r="J227" s="4" t="s">
        <v>685</v>
      </c>
      <c r="K227" s="4" t="s">
        <v>104</v>
      </c>
      <c r="L227" s="4">
        <v>72425353</v>
      </c>
      <c r="M227" s="4">
        <v>72425353</v>
      </c>
      <c r="N227" s="4" t="s">
        <v>23</v>
      </c>
      <c r="O227" s="4" t="s">
        <v>25</v>
      </c>
      <c r="P227" s="4" t="s">
        <v>41</v>
      </c>
      <c r="Q227" s="4">
        <v>5</v>
      </c>
    </row>
    <row r="228" spans="1:17">
      <c r="A228" s="3">
        <v>3885</v>
      </c>
      <c r="B228" s="4" t="s">
        <v>686</v>
      </c>
      <c r="C228" s="4" t="s">
        <v>687</v>
      </c>
      <c r="D228" s="4">
        <v>79758</v>
      </c>
      <c r="E228" s="4" t="s">
        <v>68</v>
      </c>
      <c r="F228" s="5" t="s">
        <v>35</v>
      </c>
      <c r="G228" s="5" t="s">
        <v>35</v>
      </c>
      <c r="H228" s="5" t="s">
        <v>35</v>
      </c>
      <c r="I228" s="4" t="s">
        <v>35</v>
      </c>
      <c r="J228" s="4" t="s">
        <v>35</v>
      </c>
      <c r="K228" s="4" t="s">
        <v>339</v>
      </c>
      <c r="L228" s="4">
        <v>52343431</v>
      </c>
      <c r="M228" s="4">
        <v>52343431</v>
      </c>
      <c r="N228" s="4" t="s">
        <v>23</v>
      </c>
      <c r="O228" s="4" t="s">
        <v>41</v>
      </c>
      <c r="P228" s="4" t="s">
        <v>25</v>
      </c>
      <c r="Q228" s="4">
        <v>5</v>
      </c>
    </row>
    <row r="229" spans="1:17">
      <c r="A229" s="3">
        <v>3885</v>
      </c>
      <c r="B229" s="4" t="s">
        <v>688</v>
      </c>
      <c r="C229" s="4" t="s">
        <v>689</v>
      </c>
      <c r="D229" s="4">
        <v>9578</v>
      </c>
      <c r="E229" s="4" t="s">
        <v>19</v>
      </c>
      <c r="F229" s="5">
        <v>3685</v>
      </c>
      <c r="G229" s="5">
        <v>3453</v>
      </c>
      <c r="H229" s="5">
        <v>1151</v>
      </c>
      <c r="I229" s="4" t="s">
        <v>246</v>
      </c>
      <c r="J229" s="4" t="s">
        <v>690</v>
      </c>
      <c r="K229" s="4" t="s">
        <v>118</v>
      </c>
      <c r="L229" s="4">
        <v>103414136</v>
      </c>
      <c r="M229" s="4">
        <v>103414136</v>
      </c>
      <c r="N229" s="4" t="s">
        <v>23</v>
      </c>
      <c r="O229" s="4" t="s">
        <v>25</v>
      </c>
      <c r="P229" s="4" t="s">
        <v>41</v>
      </c>
      <c r="Q229" s="4">
        <v>8</v>
      </c>
    </row>
    <row r="230" spans="1:17">
      <c r="A230" s="3">
        <v>3885</v>
      </c>
      <c r="B230" s="4" t="s">
        <v>691</v>
      </c>
      <c r="C230" s="4" t="s">
        <v>692</v>
      </c>
      <c r="D230" s="4">
        <v>113146</v>
      </c>
      <c r="E230" s="4" t="s">
        <v>19</v>
      </c>
      <c r="F230" s="5">
        <v>15878</v>
      </c>
      <c r="G230" s="5">
        <v>15758</v>
      </c>
      <c r="H230" s="5">
        <v>5253</v>
      </c>
      <c r="I230" s="4" t="s">
        <v>229</v>
      </c>
      <c r="J230" s="4" t="s">
        <v>417</v>
      </c>
      <c r="K230" s="4" t="s">
        <v>118</v>
      </c>
      <c r="L230" s="4">
        <v>105406030</v>
      </c>
      <c r="M230" s="4">
        <v>105406030</v>
      </c>
      <c r="N230" s="4" t="s">
        <v>23</v>
      </c>
      <c r="O230" s="4" t="s">
        <v>24</v>
      </c>
      <c r="P230" s="4" t="s">
        <v>25</v>
      </c>
      <c r="Q230" s="4">
        <v>5</v>
      </c>
    </row>
    <row r="231" spans="1:17">
      <c r="A231" s="3">
        <v>3885</v>
      </c>
      <c r="B231" s="4" t="s">
        <v>693</v>
      </c>
      <c r="C231" s="4" t="s">
        <v>694</v>
      </c>
      <c r="D231" s="4">
        <v>5330</v>
      </c>
      <c r="E231" s="4" t="s">
        <v>19</v>
      </c>
      <c r="F231" s="5">
        <v>1805</v>
      </c>
      <c r="G231" s="5">
        <v>1504</v>
      </c>
      <c r="H231" s="5">
        <v>502</v>
      </c>
      <c r="I231" s="4" t="s">
        <v>131</v>
      </c>
      <c r="J231" s="4" t="s">
        <v>132</v>
      </c>
      <c r="K231" s="4" t="s">
        <v>120</v>
      </c>
      <c r="L231" s="4">
        <v>40588818</v>
      </c>
      <c r="M231" s="4">
        <v>40588818</v>
      </c>
      <c r="N231" s="4" t="s">
        <v>23</v>
      </c>
      <c r="O231" s="4" t="s">
        <v>46</v>
      </c>
      <c r="P231" s="4" t="s">
        <v>25</v>
      </c>
      <c r="Q231" s="4">
        <v>-4</v>
      </c>
    </row>
    <row r="232" spans="1:17">
      <c r="A232" s="3">
        <v>3885</v>
      </c>
      <c r="B232" s="4" t="s">
        <v>695</v>
      </c>
      <c r="C232" s="4" t="s">
        <v>696</v>
      </c>
      <c r="D232" s="4">
        <v>8483</v>
      </c>
      <c r="E232" s="4" t="s">
        <v>232</v>
      </c>
      <c r="F232" s="5" t="s">
        <v>35</v>
      </c>
      <c r="G232" s="5" t="s">
        <v>35</v>
      </c>
      <c r="H232" s="5" t="s">
        <v>35</v>
      </c>
      <c r="I232" s="4" t="s">
        <v>35</v>
      </c>
      <c r="J232" s="4" t="s">
        <v>35</v>
      </c>
      <c r="K232" s="4" t="s">
        <v>120</v>
      </c>
      <c r="L232" s="4">
        <v>65495695</v>
      </c>
      <c r="M232" s="4">
        <v>65495695</v>
      </c>
      <c r="N232" s="4" t="s">
        <v>23</v>
      </c>
      <c r="O232" s="4" t="s">
        <v>46</v>
      </c>
      <c r="P232" s="4" t="s">
        <v>41</v>
      </c>
      <c r="Q232" s="4">
        <v>8</v>
      </c>
    </row>
    <row r="233" spans="1:17">
      <c r="A233" s="3">
        <v>3885</v>
      </c>
      <c r="B233" s="4" t="s">
        <v>697</v>
      </c>
      <c r="C233" s="4" t="s">
        <v>698</v>
      </c>
      <c r="D233" s="4">
        <v>57188</v>
      </c>
      <c r="E233" s="4" t="s">
        <v>19</v>
      </c>
      <c r="F233" s="5">
        <v>1369</v>
      </c>
      <c r="G233" s="5">
        <v>1145</v>
      </c>
      <c r="H233" s="5">
        <v>382</v>
      </c>
      <c r="I233" s="4" t="s">
        <v>175</v>
      </c>
      <c r="J233" s="4" t="s">
        <v>176</v>
      </c>
      <c r="K233" s="4" t="s">
        <v>120</v>
      </c>
      <c r="L233" s="4">
        <v>84558933</v>
      </c>
      <c r="M233" s="4">
        <v>84558933</v>
      </c>
      <c r="N233" s="4" t="s">
        <v>23</v>
      </c>
      <c r="O233" s="4" t="s">
        <v>25</v>
      </c>
      <c r="P233" s="4" t="s">
        <v>24</v>
      </c>
      <c r="Q233" s="4">
        <v>2</v>
      </c>
    </row>
    <row r="234" spans="1:17">
      <c r="A234" s="3">
        <v>3885</v>
      </c>
      <c r="B234" s="4" t="s">
        <v>699</v>
      </c>
      <c r="C234" s="4" t="s">
        <v>700</v>
      </c>
      <c r="D234" s="4">
        <v>29066</v>
      </c>
      <c r="E234" s="4" t="s">
        <v>19</v>
      </c>
      <c r="F234" s="5">
        <v>2243</v>
      </c>
      <c r="G234" s="5">
        <v>2074</v>
      </c>
      <c r="H234" s="5">
        <v>692</v>
      </c>
      <c r="I234" s="4" t="s">
        <v>123</v>
      </c>
      <c r="J234" s="4" t="s">
        <v>519</v>
      </c>
      <c r="K234" s="4" t="s">
        <v>129</v>
      </c>
      <c r="L234" s="4">
        <v>11856532</v>
      </c>
      <c r="M234" s="4">
        <v>11856532</v>
      </c>
      <c r="N234" s="4" t="s">
        <v>23</v>
      </c>
      <c r="O234" s="4" t="s">
        <v>46</v>
      </c>
      <c r="P234" s="4" t="s">
        <v>25</v>
      </c>
      <c r="Q234" s="4">
        <v>3</v>
      </c>
    </row>
    <row r="235" spans="1:17">
      <c r="A235" s="3">
        <v>3885</v>
      </c>
      <c r="B235" s="4" t="s">
        <v>701</v>
      </c>
      <c r="C235" s="4" t="s">
        <v>702</v>
      </c>
      <c r="D235" s="4">
        <v>197342</v>
      </c>
      <c r="E235" s="4" t="s">
        <v>76</v>
      </c>
      <c r="F235" s="5">
        <v>92</v>
      </c>
      <c r="G235" s="5">
        <v>92</v>
      </c>
      <c r="H235" s="5">
        <v>31</v>
      </c>
      <c r="I235" s="4" t="s">
        <v>470</v>
      </c>
      <c r="J235" s="4" t="s">
        <v>471</v>
      </c>
      <c r="K235" s="4" t="s">
        <v>129</v>
      </c>
      <c r="L235" s="4">
        <v>1823320</v>
      </c>
      <c r="M235" s="4">
        <v>1823320</v>
      </c>
      <c r="N235" s="4" t="s">
        <v>23</v>
      </c>
      <c r="O235" s="4" t="s">
        <v>24</v>
      </c>
      <c r="P235" s="4" t="s">
        <v>25</v>
      </c>
      <c r="Q235" s="4">
        <v>8</v>
      </c>
    </row>
    <row r="236" spans="1:17">
      <c r="A236" s="3">
        <v>3885</v>
      </c>
      <c r="B236" s="4" t="s">
        <v>703</v>
      </c>
      <c r="C236" s="4" t="s">
        <v>704</v>
      </c>
      <c r="D236" s="4">
        <v>10664</v>
      </c>
      <c r="E236" s="4" t="s">
        <v>31</v>
      </c>
      <c r="F236" s="5">
        <v>1307</v>
      </c>
      <c r="G236" s="5">
        <v>863</v>
      </c>
      <c r="H236" s="5">
        <v>288</v>
      </c>
      <c r="I236" s="4" t="s">
        <v>35</v>
      </c>
      <c r="J236" s="4" t="s">
        <v>35</v>
      </c>
      <c r="K236" s="4" t="s">
        <v>129</v>
      </c>
      <c r="L236" s="4">
        <v>67645935</v>
      </c>
      <c r="M236" s="4">
        <v>67645935</v>
      </c>
      <c r="N236" s="4" t="s">
        <v>36</v>
      </c>
      <c r="O236" s="4" t="s">
        <v>25</v>
      </c>
      <c r="P236" s="4"/>
      <c r="Q236" s="4">
        <v>1</v>
      </c>
    </row>
    <row r="237" spans="1:17">
      <c r="A237" s="3">
        <v>3885</v>
      </c>
      <c r="B237" s="4" t="s">
        <v>705</v>
      </c>
      <c r="C237" s="4" t="s">
        <v>706</v>
      </c>
      <c r="D237" s="4">
        <v>342372</v>
      </c>
      <c r="E237" s="4" t="s">
        <v>19</v>
      </c>
      <c r="F237" s="5">
        <v>332</v>
      </c>
      <c r="G237" s="5">
        <v>332</v>
      </c>
      <c r="H237" s="5">
        <v>111</v>
      </c>
      <c r="I237" s="4" t="s">
        <v>707</v>
      </c>
      <c r="J237" s="4" t="s">
        <v>708</v>
      </c>
      <c r="K237" s="4" t="s">
        <v>129</v>
      </c>
      <c r="L237" s="4">
        <v>72032257</v>
      </c>
      <c r="M237" s="4">
        <v>72032257</v>
      </c>
      <c r="N237" s="4" t="s">
        <v>23</v>
      </c>
      <c r="O237" s="4" t="s">
        <v>46</v>
      </c>
      <c r="P237" s="4" t="s">
        <v>41</v>
      </c>
      <c r="Q237" s="4">
        <v>11</v>
      </c>
    </row>
    <row r="238" spans="1:17" ht="30">
      <c r="A238" s="3">
        <v>3885</v>
      </c>
      <c r="B238" s="4" t="s">
        <v>709</v>
      </c>
      <c r="C238" s="4" t="str">
        <f ca="1">"NM_017534"&amp;IF(INFO("system")="mac",CHAR(13),CHAR(10))&amp;"NM_001100112"</f>
        <v>NM_017534_x000D_NM_001100112</v>
      </c>
      <c r="D238" s="4">
        <v>4620</v>
      </c>
      <c r="E238" s="4" t="s">
        <v>19</v>
      </c>
      <c r="F238" s="5">
        <v>1912</v>
      </c>
      <c r="G238" s="5">
        <v>1784</v>
      </c>
      <c r="H238" s="5">
        <v>595</v>
      </c>
      <c r="I238" s="4" t="s">
        <v>269</v>
      </c>
      <c r="J238" s="4" t="s">
        <v>710</v>
      </c>
      <c r="K238" s="4" t="s">
        <v>133</v>
      </c>
      <c r="L238" s="4">
        <v>10440663</v>
      </c>
      <c r="M238" s="4">
        <v>10440663</v>
      </c>
      <c r="N238" s="4" t="s">
        <v>23</v>
      </c>
      <c r="O238" s="4" t="s">
        <v>46</v>
      </c>
      <c r="P238" s="4" t="s">
        <v>25</v>
      </c>
      <c r="Q238" s="4">
        <v>3</v>
      </c>
    </row>
    <row r="239" spans="1:17">
      <c r="A239" s="3">
        <v>3885</v>
      </c>
      <c r="B239" s="4" t="s">
        <v>711</v>
      </c>
      <c r="C239" s="4" t="s">
        <v>712</v>
      </c>
      <c r="D239" s="4">
        <v>342618</v>
      </c>
      <c r="E239" s="4" t="s">
        <v>19</v>
      </c>
      <c r="F239" s="5">
        <v>697</v>
      </c>
      <c r="G239" s="5">
        <v>668</v>
      </c>
      <c r="H239" s="5">
        <v>223</v>
      </c>
      <c r="I239" s="4" t="s">
        <v>60</v>
      </c>
      <c r="J239" s="4" t="s">
        <v>61</v>
      </c>
      <c r="K239" s="4" t="s">
        <v>133</v>
      </c>
      <c r="L239" s="4">
        <v>33884414</v>
      </c>
      <c r="M239" s="4">
        <v>33884414</v>
      </c>
      <c r="N239" s="4" t="s">
        <v>23</v>
      </c>
      <c r="O239" s="4" t="s">
        <v>46</v>
      </c>
      <c r="P239" s="4" t="s">
        <v>41</v>
      </c>
      <c r="Q239" s="4">
        <v>3</v>
      </c>
    </row>
    <row r="240" spans="1:17">
      <c r="A240" s="3">
        <v>3885</v>
      </c>
      <c r="B240" s="4" t="s">
        <v>713</v>
      </c>
      <c r="C240" s="4" t="s">
        <v>714</v>
      </c>
      <c r="D240" s="4">
        <v>11056</v>
      </c>
      <c r="E240" s="4" t="s">
        <v>232</v>
      </c>
      <c r="F240" s="5" t="s">
        <v>35</v>
      </c>
      <c r="G240" s="5" t="s">
        <v>35</v>
      </c>
      <c r="H240" s="5" t="s">
        <v>35</v>
      </c>
      <c r="I240" s="4" t="s">
        <v>35</v>
      </c>
      <c r="J240" s="4" t="s">
        <v>35</v>
      </c>
      <c r="K240" s="4" t="s">
        <v>133</v>
      </c>
      <c r="L240" s="4">
        <v>35981169</v>
      </c>
      <c r="M240" s="4">
        <v>35981169</v>
      </c>
      <c r="N240" s="4" t="s">
        <v>23</v>
      </c>
      <c r="O240" s="4" t="s">
        <v>46</v>
      </c>
      <c r="P240" s="4" t="s">
        <v>41</v>
      </c>
      <c r="Q240" s="4">
        <v>6</v>
      </c>
    </row>
    <row r="241" spans="1:17" ht="30">
      <c r="A241" s="3">
        <v>3885</v>
      </c>
      <c r="B241" s="4" t="s">
        <v>715</v>
      </c>
      <c r="C241" s="4" t="str">
        <f ca="1">"NM_016016"&amp;IF(INFO("system")="mac",CHAR(13),CHAR(10))&amp;"NM_001143780"</f>
        <v>NM_016016_x000D_NM_001143780</v>
      </c>
      <c r="D241" s="4">
        <v>51629</v>
      </c>
      <c r="E241" s="4" t="s">
        <v>76</v>
      </c>
      <c r="F241" s="5" t="str">
        <f ca="1">"502"&amp;IF(INFO("system")="mac",CHAR(13),CHAR(10))&amp;"526"</f>
        <v>502_x000D_526</v>
      </c>
      <c r="G241" s="5" t="str">
        <f ca="1">"348"&amp;IF(INFO("system")="mac",CHAR(13),CHAR(10))&amp;"372"</f>
        <v>348_x000D_372</v>
      </c>
      <c r="H241" s="5" t="str">
        <f ca="1">"116"&amp;IF(INFO("system")="mac",CHAR(13),CHAR(10))&amp;"124"</f>
        <v>116_x000D_124</v>
      </c>
      <c r="I241" s="4" t="s">
        <v>470</v>
      </c>
      <c r="J241" s="4" t="s">
        <v>716</v>
      </c>
      <c r="K241" s="4" t="s">
        <v>133</v>
      </c>
      <c r="L241" s="4">
        <v>42399088</v>
      </c>
      <c r="M241" s="4">
        <v>42399088</v>
      </c>
      <c r="N241" s="4" t="s">
        <v>23</v>
      </c>
      <c r="O241" s="4" t="s">
        <v>46</v>
      </c>
      <c r="P241" s="4" t="s">
        <v>41</v>
      </c>
      <c r="Q241" s="4">
        <v>8</v>
      </c>
    </row>
    <row r="242" spans="1:17">
      <c r="A242" s="3">
        <v>3885</v>
      </c>
      <c r="B242" s="4" t="s">
        <v>717</v>
      </c>
      <c r="C242" s="4" t="s">
        <v>718</v>
      </c>
      <c r="D242" s="4">
        <v>125950</v>
      </c>
      <c r="E242" s="4" t="s">
        <v>19</v>
      </c>
      <c r="F242" s="5">
        <v>1177</v>
      </c>
      <c r="G242" s="5">
        <v>1097</v>
      </c>
      <c r="H242" s="5">
        <v>366</v>
      </c>
      <c r="I242" s="4" t="s">
        <v>332</v>
      </c>
      <c r="J242" s="4" t="s">
        <v>333</v>
      </c>
      <c r="K242" s="4" t="s">
        <v>139</v>
      </c>
      <c r="L242" s="4">
        <v>10433853</v>
      </c>
      <c r="M242" s="4">
        <v>10433853</v>
      </c>
      <c r="N242" s="4" t="s">
        <v>23</v>
      </c>
      <c r="O242" s="4" t="s">
        <v>24</v>
      </c>
      <c r="P242" s="4" t="s">
        <v>25</v>
      </c>
      <c r="Q242" s="4">
        <v>7</v>
      </c>
    </row>
    <row r="243" spans="1:17">
      <c r="A243" s="3">
        <v>3885</v>
      </c>
      <c r="B243" s="4" t="s">
        <v>719</v>
      </c>
      <c r="C243" s="4" t="s">
        <v>720</v>
      </c>
      <c r="D243" s="4">
        <v>4713</v>
      </c>
      <c r="E243" s="4" t="s">
        <v>19</v>
      </c>
      <c r="F243" s="5">
        <v>388</v>
      </c>
      <c r="G243" s="5">
        <v>311</v>
      </c>
      <c r="H243" s="5">
        <v>104</v>
      </c>
      <c r="I243" s="4" t="s">
        <v>60</v>
      </c>
      <c r="J243" s="4" t="s">
        <v>61</v>
      </c>
      <c r="K243" s="4" t="s">
        <v>139</v>
      </c>
      <c r="L243" s="4">
        <v>14677048</v>
      </c>
      <c r="M243" s="4">
        <v>14677048</v>
      </c>
      <c r="N243" s="4" t="s">
        <v>23</v>
      </c>
      <c r="O243" s="4" t="s">
        <v>46</v>
      </c>
      <c r="P243" s="4" t="s">
        <v>41</v>
      </c>
      <c r="Q243" s="4">
        <v>-3</v>
      </c>
    </row>
    <row r="244" spans="1:17">
      <c r="A244" s="3">
        <v>3885</v>
      </c>
      <c r="B244" s="4" t="s">
        <v>721</v>
      </c>
      <c r="C244" s="4" t="s">
        <v>722</v>
      </c>
      <c r="D244" s="4">
        <v>83889</v>
      </c>
      <c r="E244" s="4" t="s">
        <v>76</v>
      </c>
      <c r="F244" s="5">
        <v>5611</v>
      </c>
      <c r="G244" s="5">
        <v>5386</v>
      </c>
      <c r="H244" s="5">
        <v>1796</v>
      </c>
      <c r="I244" s="4" t="s">
        <v>262</v>
      </c>
      <c r="J244" s="4" t="s">
        <v>625</v>
      </c>
      <c r="K244" s="4" t="s">
        <v>139</v>
      </c>
      <c r="L244" s="4">
        <v>38378808</v>
      </c>
      <c r="M244" s="4">
        <v>38378808</v>
      </c>
      <c r="N244" s="4" t="s">
        <v>23</v>
      </c>
      <c r="O244" s="4" t="s">
        <v>46</v>
      </c>
      <c r="P244" s="4" t="s">
        <v>25</v>
      </c>
      <c r="Q244" s="4">
        <v>7</v>
      </c>
    </row>
    <row r="245" spans="1:17">
      <c r="A245" s="3">
        <v>3885</v>
      </c>
      <c r="B245" s="4" t="s">
        <v>723</v>
      </c>
      <c r="C245" s="4" t="s">
        <v>724</v>
      </c>
      <c r="D245" s="4">
        <v>23211</v>
      </c>
      <c r="E245" s="4" t="s">
        <v>19</v>
      </c>
      <c r="F245" s="5">
        <v>3348</v>
      </c>
      <c r="G245" s="5">
        <v>3310</v>
      </c>
      <c r="H245" s="5">
        <v>1104</v>
      </c>
      <c r="I245" s="4" t="s">
        <v>725</v>
      </c>
      <c r="J245" s="4" t="s">
        <v>726</v>
      </c>
      <c r="K245" s="4" t="s">
        <v>139</v>
      </c>
      <c r="L245" s="4">
        <v>47570215</v>
      </c>
      <c r="M245" s="4">
        <v>47570215</v>
      </c>
      <c r="N245" s="4" t="s">
        <v>23</v>
      </c>
      <c r="O245" s="4" t="s">
        <v>25</v>
      </c>
      <c r="P245" s="4" t="s">
        <v>41</v>
      </c>
      <c r="Q245" s="4">
        <v>15</v>
      </c>
    </row>
    <row r="246" spans="1:17">
      <c r="A246" s="3">
        <v>3885</v>
      </c>
      <c r="B246" s="4" t="s">
        <v>727</v>
      </c>
      <c r="C246" s="4" t="s">
        <v>728</v>
      </c>
      <c r="D246" s="4">
        <v>6625</v>
      </c>
      <c r="E246" s="4" t="s">
        <v>19</v>
      </c>
      <c r="F246" s="5">
        <v>1391</v>
      </c>
      <c r="G246" s="5">
        <v>952</v>
      </c>
      <c r="H246" s="5">
        <v>318</v>
      </c>
      <c r="I246" s="4" t="s">
        <v>563</v>
      </c>
      <c r="J246" s="4" t="s">
        <v>588</v>
      </c>
      <c r="K246" s="4" t="s">
        <v>139</v>
      </c>
      <c r="L246" s="4">
        <v>49611338</v>
      </c>
      <c r="M246" s="4">
        <v>49611338</v>
      </c>
      <c r="N246" s="4" t="s">
        <v>23</v>
      </c>
      <c r="O246" s="4" t="s">
        <v>24</v>
      </c>
      <c r="P246" s="4" t="s">
        <v>46</v>
      </c>
      <c r="Q246" s="4">
        <v>0</v>
      </c>
    </row>
    <row r="247" spans="1:17" ht="45">
      <c r="A247" s="3">
        <v>3885</v>
      </c>
      <c r="B247" s="4" t="s">
        <v>729</v>
      </c>
      <c r="C247" s="4" t="str">
        <f ca="1">"NM_001201461"&amp;IF(INFO("system")="mac",CHAR(13),CHAR(10))&amp;"NM_001005367"&amp;IF(INFO("system")="mac",CHAR(13),CHAR(10))&amp;"NM_020659"</f>
        <v>NM_001201461_x000D_NM_001005367_x000D_NM_020659</v>
      </c>
      <c r="D247" s="4">
        <v>57348</v>
      </c>
      <c r="E247" s="4" t="str">
        <f ca="1">"NMD_TRANSCRIPT,NON_SYNONYMOUS_CODING"&amp;IF(INFO("system")="mac",CHAR(13),CHAR(10))&amp;"NON_SYNONYMOUS_CODING"&amp;IF(INFO("system")="mac",CHAR(13),CHAR(10))&amp;"NMD_TRANSCRIPT,NON_SYNONYMOUS_CODING"</f>
        <v>NMD_TRANSCRIPT,NON_SYNONYMOUS_CODING_x000D_NON_SYNONYMOUS_CODING_x000D_NMD_TRANSCRIPT,NON_SYNONYMOUS_CODING</v>
      </c>
      <c r="F247" s="5">
        <v>507</v>
      </c>
      <c r="G247" s="5">
        <v>385</v>
      </c>
      <c r="H247" s="5">
        <v>129</v>
      </c>
      <c r="I247" s="4" t="s">
        <v>154</v>
      </c>
      <c r="J247" s="4" t="s">
        <v>155</v>
      </c>
      <c r="K247" s="4" t="s">
        <v>139</v>
      </c>
      <c r="L247" s="4">
        <v>54932530</v>
      </c>
      <c r="M247" s="4">
        <v>54932530</v>
      </c>
      <c r="N247" s="4" t="s">
        <v>23</v>
      </c>
      <c r="O247" s="4" t="s">
        <v>24</v>
      </c>
      <c r="P247" s="4" t="s">
        <v>25</v>
      </c>
      <c r="Q247" s="4">
        <v>6</v>
      </c>
    </row>
    <row r="248" spans="1:17">
      <c r="A248" s="3">
        <v>3885</v>
      </c>
      <c r="B248" s="4" t="s">
        <v>730</v>
      </c>
      <c r="C248" s="4" t="s">
        <v>731</v>
      </c>
      <c r="D248" s="4">
        <v>80731</v>
      </c>
      <c r="E248" s="4" t="s">
        <v>19</v>
      </c>
      <c r="F248" s="5">
        <v>659</v>
      </c>
      <c r="G248" s="5">
        <v>659</v>
      </c>
      <c r="H248" s="5">
        <v>220</v>
      </c>
      <c r="I248" s="4" t="s">
        <v>617</v>
      </c>
      <c r="J248" s="4" t="s">
        <v>732</v>
      </c>
      <c r="K248" s="4" t="s">
        <v>172</v>
      </c>
      <c r="L248" s="4">
        <v>137814602</v>
      </c>
      <c r="M248" s="4">
        <v>137814602</v>
      </c>
      <c r="N248" s="4" t="s">
        <v>23</v>
      </c>
      <c r="O248" s="4" t="s">
        <v>24</v>
      </c>
      <c r="P248" s="4" t="s">
        <v>25</v>
      </c>
      <c r="Q248" s="4">
        <v>7</v>
      </c>
    </row>
    <row r="249" spans="1:17">
      <c r="A249" s="3">
        <v>3885</v>
      </c>
      <c r="B249" s="4" t="s">
        <v>730</v>
      </c>
      <c r="C249" s="4" t="s">
        <v>731</v>
      </c>
      <c r="D249" s="4">
        <v>80731</v>
      </c>
      <c r="E249" s="4" t="s">
        <v>19</v>
      </c>
      <c r="F249" s="5">
        <v>4426</v>
      </c>
      <c r="G249" s="5">
        <v>4426</v>
      </c>
      <c r="H249" s="5">
        <v>1476</v>
      </c>
      <c r="I249" s="4" t="s">
        <v>199</v>
      </c>
      <c r="J249" s="4" t="s">
        <v>266</v>
      </c>
      <c r="K249" s="4" t="s">
        <v>172</v>
      </c>
      <c r="L249" s="4">
        <v>138421007</v>
      </c>
      <c r="M249" s="4">
        <v>138421007</v>
      </c>
      <c r="N249" s="4" t="s">
        <v>23</v>
      </c>
      <c r="O249" s="4" t="s">
        <v>41</v>
      </c>
      <c r="P249" s="4" t="s">
        <v>46</v>
      </c>
      <c r="Q249" s="4">
        <v>6</v>
      </c>
    </row>
    <row r="250" spans="1:17">
      <c r="A250" s="3">
        <v>3885</v>
      </c>
      <c r="B250" s="4" t="s">
        <v>733</v>
      </c>
      <c r="C250" s="4" t="s">
        <v>734</v>
      </c>
      <c r="D250" s="4">
        <v>90134</v>
      </c>
      <c r="E250" s="4" t="s">
        <v>19</v>
      </c>
      <c r="F250" s="5">
        <v>2982</v>
      </c>
      <c r="G250" s="5">
        <v>2753</v>
      </c>
      <c r="H250" s="5">
        <v>918</v>
      </c>
      <c r="I250" s="4" t="s">
        <v>735</v>
      </c>
      <c r="J250" s="4" t="s">
        <v>736</v>
      </c>
      <c r="K250" s="4" t="s">
        <v>172</v>
      </c>
      <c r="L250" s="4">
        <v>163241407</v>
      </c>
      <c r="M250" s="4">
        <v>163241407</v>
      </c>
      <c r="N250" s="4" t="s">
        <v>23</v>
      </c>
      <c r="O250" s="4" t="s">
        <v>46</v>
      </c>
      <c r="P250" s="4" t="s">
        <v>41</v>
      </c>
      <c r="Q250" s="4">
        <v>5</v>
      </c>
    </row>
    <row r="251" spans="1:17" ht="60">
      <c r="A251" s="3">
        <v>3885</v>
      </c>
      <c r="B251" s="4" t="s">
        <v>737</v>
      </c>
      <c r="C251" s="4" t="str">
        <f ca="1">"NM_133378"&amp;IF(INFO("system")="mac",CHAR(13),CHAR(10))&amp;"NM_133432"&amp;IF(INFO("system")="mac",CHAR(13),CHAR(10))&amp;"NM_133437"&amp;IF(INFO("system")="mac",CHAR(13),CHAR(10))&amp;"NM_003319"</f>
        <v>NM_133378_x000D_NM_133432_x000D_NM_133437_x000D_NM_003319</v>
      </c>
      <c r="D251" s="4">
        <v>7273</v>
      </c>
      <c r="E251" s="4" t="s">
        <v>232</v>
      </c>
      <c r="F251" s="5" t="s">
        <v>35</v>
      </c>
      <c r="G251" s="5" t="s">
        <v>35</v>
      </c>
      <c r="H251" s="5" t="s">
        <v>35</v>
      </c>
      <c r="I251" s="4" t="s">
        <v>35</v>
      </c>
      <c r="J251" s="4" t="s">
        <v>35</v>
      </c>
      <c r="K251" s="4" t="s">
        <v>172</v>
      </c>
      <c r="L251" s="4">
        <v>179418633</v>
      </c>
      <c r="M251" s="4">
        <v>179418633</v>
      </c>
      <c r="N251" s="4" t="s">
        <v>23</v>
      </c>
      <c r="O251" s="4" t="s">
        <v>24</v>
      </c>
      <c r="P251" s="4" t="s">
        <v>46</v>
      </c>
      <c r="Q251" s="4">
        <v>-5</v>
      </c>
    </row>
    <row r="252" spans="1:17">
      <c r="A252" s="3">
        <v>3885</v>
      </c>
      <c r="B252" s="4" t="s">
        <v>738</v>
      </c>
      <c r="C252" s="4" t="s">
        <v>739</v>
      </c>
      <c r="D252" s="4">
        <v>255101</v>
      </c>
      <c r="E252" s="4" t="s">
        <v>19</v>
      </c>
      <c r="F252" s="5">
        <v>2264</v>
      </c>
      <c r="G252" s="5">
        <v>2180</v>
      </c>
      <c r="H252" s="5">
        <v>727</v>
      </c>
      <c r="I252" s="4" t="s">
        <v>740</v>
      </c>
      <c r="J252" s="4" t="s">
        <v>741</v>
      </c>
      <c r="K252" s="4" t="s">
        <v>172</v>
      </c>
      <c r="L252" s="4">
        <v>219892403</v>
      </c>
      <c r="M252" s="4">
        <v>219892403</v>
      </c>
      <c r="N252" s="4" t="s">
        <v>23</v>
      </c>
      <c r="O252" s="4" t="s">
        <v>24</v>
      </c>
      <c r="P252" s="4" t="s">
        <v>25</v>
      </c>
      <c r="Q252" s="4">
        <v>1</v>
      </c>
    </row>
    <row r="253" spans="1:17">
      <c r="A253" s="3">
        <v>3885</v>
      </c>
      <c r="B253" s="4" t="s">
        <v>742</v>
      </c>
      <c r="C253" s="4" t="s">
        <v>743</v>
      </c>
      <c r="D253" s="4">
        <v>10290</v>
      </c>
      <c r="E253" s="4" t="s">
        <v>19</v>
      </c>
      <c r="F253" s="5">
        <v>4718</v>
      </c>
      <c r="G253" s="5">
        <v>4718</v>
      </c>
      <c r="H253" s="5">
        <v>1573</v>
      </c>
      <c r="I253" s="4" t="s">
        <v>229</v>
      </c>
      <c r="J253" s="4" t="s">
        <v>389</v>
      </c>
      <c r="K253" s="4" t="s">
        <v>172</v>
      </c>
      <c r="L253" s="4">
        <v>220342156</v>
      </c>
      <c r="M253" s="4">
        <v>220342156</v>
      </c>
      <c r="N253" s="4" t="s">
        <v>23</v>
      </c>
      <c r="O253" s="4" t="s">
        <v>46</v>
      </c>
      <c r="P253" s="4" t="s">
        <v>41</v>
      </c>
      <c r="Q253" s="4">
        <v>-5</v>
      </c>
    </row>
    <row r="254" spans="1:17">
      <c r="A254" s="3">
        <v>3885</v>
      </c>
      <c r="B254" s="4" t="s">
        <v>744</v>
      </c>
      <c r="C254" s="4" t="s">
        <v>745</v>
      </c>
      <c r="D254" s="4">
        <v>55355</v>
      </c>
      <c r="E254" s="4" t="s">
        <v>76</v>
      </c>
      <c r="F254" s="5">
        <v>1797</v>
      </c>
      <c r="G254" s="5">
        <v>1731</v>
      </c>
      <c r="H254" s="5">
        <v>577</v>
      </c>
      <c r="I254" s="4" t="s">
        <v>746</v>
      </c>
      <c r="J254" s="4" t="s">
        <v>747</v>
      </c>
      <c r="K254" s="4" t="s">
        <v>172</v>
      </c>
      <c r="L254" s="4">
        <v>234749695</v>
      </c>
      <c r="M254" s="4">
        <v>234749695</v>
      </c>
      <c r="N254" s="4" t="s">
        <v>23</v>
      </c>
      <c r="O254" s="4" t="s">
        <v>24</v>
      </c>
      <c r="P254" s="4" t="s">
        <v>41</v>
      </c>
      <c r="Q254" s="4">
        <v>7</v>
      </c>
    </row>
    <row r="255" spans="1:17">
      <c r="A255" s="3">
        <v>3885</v>
      </c>
      <c r="B255" s="4" t="s">
        <v>748</v>
      </c>
      <c r="C255" s="4" t="s">
        <v>749</v>
      </c>
      <c r="D255" s="4">
        <v>140687</v>
      </c>
      <c r="E255" s="4" t="s">
        <v>19</v>
      </c>
      <c r="F255" s="5">
        <v>1638</v>
      </c>
      <c r="G255" s="5">
        <v>932</v>
      </c>
      <c r="H255" s="5">
        <v>311</v>
      </c>
      <c r="I255" s="4" t="s">
        <v>332</v>
      </c>
      <c r="J255" s="4" t="s">
        <v>522</v>
      </c>
      <c r="K255" s="4" t="s">
        <v>188</v>
      </c>
      <c r="L255" s="4">
        <v>55071733</v>
      </c>
      <c r="M255" s="4">
        <v>55071733</v>
      </c>
      <c r="N255" s="4" t="s">
        <v>23</v>
      </c>
      <c r="O255" s="4" t="s">
        <v>24</v>
      </c>
      <c r="P255" s="4" t="s">
        <v>25</v>
      </c>
      <c r="Q255" s="4">
        <v>7</v>
      </c>
    </row>
    <row r="256" spans="1:17" ht="30">
      <c r="A256" s="3">
        <v>3885</v>
      </c>
      <c r="B256" s="4" t="s">
        <v>750</v>
      </c>
      <c r="C256" s="4" t="str">
        <f ca="1">"NM_003195"&amp;IF(INFO("system")="mac",CHAR(13),CHAR(10))&amp;"NM_198723"</f>
        <v>NM_003195_x000D_NM_198723</v>
      </c>
      <c r="D256" s="4">
        <v>6919</v>
      </c>
      <c r="E256" s="4" t="s">
        <v>751</v>
      </c>
      <c r="F256" s="5" t="str">
        <f ca="1">"896"&amp;IF(INFO("system")="mac",CHAR(13),CHAR(10))&amp;"808"</f>
        <v>896_x000D_808</v>
      </c>
      <c r="G256" s="5" t="str">
        <f ca="1">"240"&amp;IF(INFO("system")="mac",CHAR(13),CHAR(10))&amp;"159"</f>
        <v>240_x000D_159</v>
      </c>
      <c r="H256" s="5" t="str">
        <f ca="1">"80"&amp;IF(INFO("system")="mac",CHAR(13),CHAR(10))&amp;"53"</f>
        <v>80_x000D_53</v>
      </c>
      <c r="I256" s="4" t="s">
        <v>752</v>
      </c>
      <c r="J256" s="4" t="s">
        <v>753</v>
      </c>
      <c r="K256" s="4" t="s">
        <v>188</v>
      </c>
      <c r="L256" s="4">
        <v>62698372</v>
      </c>
      <c r="M256" s="4">
        <v>62698372</v>
      </c>
      <c r="N256" s="4" t="s">
        <v>23</v>
      </c>
      <c r="O256" s="4" t="s">
        <v>24</v>
      </c>
      <c r="P256" s="4" t="s">
        <v>25</v>
      </c>
      <c r="Q256" s="4">
        <v>-5</v>
      </c>
    </row>
    <row r="257" spans="1:17">
      <c r="A257" s="3">
        <v>3885</v>
      </c>
      <c r="B257" s="4" t="s">
        <v>754</v>
      </c>
      <c r="C257" s="4" t="s">
        <v>755</v>
      </c>
      <c r="D257" s="4">
        <v>343637</v>
      </c>
      <c r="E257" s="4" t="s">
        <v>31</v>
      </c>
      <c r="F257" s="5">
        <v>596</v>
      </c>
      <c r="G257" s="5">
        <v>496</v>
      </c>
      <c r="H257" s="5">
        <v>166</v>
      </c>
      <c r="I257" s="4" t="s">
        <v>35</v>
      </c>
      <c r="J257" s="4" t="s">
        <v>35</v>
      </c>
      <c r="K257" s="4" t="s">
        <v>188</v>
      </c>
      <c r="L257" s="4">
        <v>944677</v>
      </c>
      <c r="M257" s="4">
        <v>944677</v>
      </c>
      <c r="N257" s="4" t="s">
        <v>36</v>
      </c>
      <c r="O257" s="4" t="s">
        <v>24</v>
      </c>
      <c r="P257" s="4"/>
      <c r="Q257" s="4">
        <v>4</v>
      </c>
    </row>
    <row r="258" spans="1:17">
      <c r="A258" s="3">
        <v>3885</v>
      </c>
      <c r="B258" s="4" t="s">
        <v>756</v>
      </c>
      <c r="C258" s="4" t="s">
        <v>757</v>
      </c>
      <c r="D258" s="4">
        <v>2804</v>
      </c>
      <c r="E258" s="4" t="s">
        <v>19</v>
      </c>
      <c r="F258" s="5">
        <v>2434</v>
      </c>
      <c r="G258" s="5">
        <v>2308</v>
      </c>
      <c r="H258" s="5">
        <v>770</v>
      </c>
      <c r="I258" s="4" t="s">
        <v>165</v>
      </c>
      <c r="J258" s="4" t="s">
        <v>758</v>
      </c>
      <c r="K258" s="4" t="s">
        <v>201</v>
      </c>
      <c r="L258" s="4">
        <v>121417047</v>
      </c>
      <c r="M258" s="4">
        <v>121417047</v>
      </c>
      <c r="N258" s="4" t="s">
        <v>23</v>
      </c>
      <c r="O258" s="4" t="s">
        <v>46</v>
      </c>
      <c r="P258" s="4" t="s">
        <v>41</v>
      </c>
      <c r="Q258" s="4">
        <v>9</v>
      </c>
    </row>
    <row r="259" spans="1:17">
      <c r="A259" s="3">
        <v>3885</v>
      </c>
      <c r="B259" s="4" t="s">
        <v>759</v>
      </c>
      <c r="C259" s="4" t="s">
        <v>760</v>
      </c>
      <c r="D259" s="4">
        <v>285242</v>
      </c>
      <c r="E259" s="4" t="s">
        <v>19</v>
      </c>
      <c r="F259" s="5">
        <v>1141</v>
      </c>
      <c r="G259" s="5">
        <v>947</v>
      </c>
      <c r="H259" s="5">
        <v>316</v>
      </c>
      <c r="I259" s="4" t="s">
        <v>332</v>
      </c>
      <c r="J259" s="4" t="s">
        <v>333</v>
      </c>
      <c r="K259" s="4" t="s">
        <v>201</v>
      </c>
      <c r="L259" s="4">
        <v>183823734</v>
      </c>
      <c r="M259" s="4">
        <v>183823734</v>
      </c>
      <c r="N259" s="4" t="s">
        <v>23</v>
      </c>
      <c r="O259" s="4" t="s">
        <v>46</v>
      </c>
      <c r="P259" s="4" t="s">
        <v>41</v>
      </c>
      <c r="Q259" s="4">
        <v>9</v>
      </c>
    </row>
    <row r="260" spans="1:17" ht="60">
      <c r="A260" s="3">
        <v>3885</v>
      </c>
      <c r="B260" s="4" t="s">
        <v>761</v>
      </c>
      <c r="C260" s="4" t="str">
        <f ca="1">"NM_001171089"&amp;IF(INFO("system")="mac",CHAR(13),CHAR(10))&amp;"NM_004366"&amp;IF(INFO("system")="mac",CHAR(13),CHAR(10))&amp;"NM_001171087"&amp;IF(INFO("system")="mac",CHAR(13),CHAR(10))&amp;"NM_001171088"</f>
        <v>NM_001171089_x000D_NM_004366_x000D_NM_001171087_x000D_NM_001171088</v>
      </c>
      <c r="D260" s="4">
        <v>1181</v>
      </c>
      <c r="E260" s="4" t="s">
        <v>19</v>
      </c>
      <c r="F260" s="5" t="str">
        <f ca="1">"2592"&amp;IF(INFO("system")="mac",CHAR(13),CHAR(10))&amp;"2679"&amp;IF(INFO("system")="mac",CHAR(13),CHAR(10))&amp;"2628"&amp;IF(INFO("system")="mac",CHAR(13),CHAR(10))&amp;"2547"</f>
        <v>2592_x000D_2679_x000D_2628_x000D_2547</v>
      </c>
      <c r="G260" s="5" t="str">
        <f ca="1">"2468"&amp;IF(INFO("system")="mac",CHAR(13),CHAR(10))&amp;"2555"&amp;IF(INFO("system")="mac",CHAR(13),CHAR(10))&amp;"2504"&amp;IF(INFO("system")="mac",CHAR(13),CHAR(10))&amp;"2423"</f>
        <v>2468_x000D_2555_x000D_2504_x000D_2423</v>
      </c>
      <c r="H260" s="5" t="str">
        <f ca="1">"823"&amp;IF(INFO("system")="mac",CHAR(13),CHAR(10))&amp;"852"&amp;IF(INFO("system")="mac",CHAR(13),CHAR(10))&amp;"835"&amp;IF(INFO("system")="mac",CHAR(13),CHAR(10))&amp;"808"</f>
        <v>823_x000D_852_x000D_835_x000D_808</v>
      </c>
      <c r="I260" s="4" t="s">
        <v>332</v>
      </c>
      <c r="J260" s="4" t="s">
        <v>365</v>
      </c>
      <c r="K260" s="4" t="s">
        <v>201</v>
      </c>
      <c r="L260" s="4">
        <v>184064536</v>
      </c>
      <c r="M260" s="4">
        <v>184064536</v>
      </c>
      <c r="N260" s="4" t="s">
        <v>23</v>
      </c>
      <c r="O260" s="4" t="s">
        <v>24</v>
      </c>
      <c r="P260" s="4" t="s">
        <v>25</v>
      </c>
      <c r="Q260" s="4">
        <v>6</v>
      </c>
    </row>
    <row r="261" spans="1:17" ht="45">
      <c r="A261" s="3">
        <v>3885</v>
      </c>
      <c r="B261" s="4" t="s">
        <v>762</v>
      </c>
      <c r="C261" s="4" t="str">
        <f ca="1">"NM_002222"&amp;IF(INFO("system")="mac",CHAR(13),CHAR(10))&amp;"NM_001168272"&amp;IF(INFO("system")="mac",CHAR(13),CHAR(10))&amp;"NM_001099952"</f>
        <v>NM_002222_x000D_NM_001168272_x000D_NM_001099952</v>
      </c>
      <c r="D261" s="4">
        <v>3708</v>
      </c>
      <c r="E261" s="4" t="s">
        <v>751</v>
      </c>
      <c r="F261" s="5">
        <v>1205</v>
      </c>
      <c r="G261" s="5">
        <v>855</v>
      </c>
      <c r="H261" s="5">
        <v>285</v>
      </c>
      <c r="I261" s="4" t="s">
        <v>763</v>
      </c>
      <c r="J261" s="4" t="s">
        <v>764</v>
      </c>
      <c r="K261" s="4" t="s">
        <v>201</v>
      </c>
      <c r="L261" s="4">
        <v>4687412</v>
      </c>
      <c r="M261" s="4">
        <v>4687412</v>
      </c>
      <c r="N261" s="4" t="s">
        <v>23</v>
      </c>
      <c r="O261" s="4" t="s">
        <v>24</v>
      </c>
      <c r="P261" s="4" t="s">
        <v>25</v>
      </c>
      <c r="Q261" s="4">
        <v>5</v>
      </c>
    </row>
    <row r="262" spans="1:17" ht="45">
      <c r="A262" s="3">
        <v>3885</v>
      </c>
      <c r="B262" s="4" t="s">
        <v>765</v>
      </c>
      <c r="C262" s="4" t="str">
        <f ca="1">"NM_182902"&amp;IF(INFO("system")="mac",CHAR(13),CHAR(10))&amp;"NM_022342"&amp;IF(INFO("system")="mac",CHAR(13),CHAR(10))&amp;"NM_001134878"</f>
        <v>NM_182902_x000D_NM_022342_x000D_NM_001134878</v>
      </c>
      <c r="D262" s="4">
        <v>64147</v>
      </c>
      <c r="E262" s="4" t="s">
        <v>19</v>
      </c>
      <c r="F262" s="5" t="str">
        <f ca="1">"2664"&amp;IF(INFO("system")="mac",CHAR(13),CHAR(10))&amp;"2469"&amp;IF(INFO("system")="mac",CHAR(13),CHAR(10))&amp;"2910"</f>
        <v>2664_x000D_2469_x000D_2910</v>
      </c>
      <c r="G262" s="5" t="str">
        <f ca="1">"2306"&amp;IF(INFO("system")="mac",CHAR(13),CHAR(10))&amp;"2111"&amp;IF(INFO("system")="mac",CHAR(13),CHAR(10))&amp;"2306"</f>
        <v>2306_x000D_2111_x000D_2306</v>
      </c>
      <c r="H262" s="5" t="str">
        <f ca="1">"769"&amp;IF(INFO("system")="mac",CHAR(13),CHAR(10))&amp;"704"&amp;IF(INFO("system")="mac",CHAR(13),CHAR(10))&amp;"769"</f>
        <v>769_x000D_704_x000D_769</v>
      </c>
      <c r="I262" s="4" t="s">
        <v>524</v>
      </c>
      <c r="J262" s="4" t="s">
        <v>766</v>
      </c>
      <c r="K262" s="4" t="s">
        <v>201</v>
      </c>
      <c r="L262" s="4">
        <v>47277019</v>
      </c>
      <c r="M262" s="4">
        <v>47277019</v>
      </c>
      <c r="N262" s="4" t="s">
        <v>23</v>
      </c>
      <c r="O262" s="4" t="s">
        <v>25</v>
      </c>
      <c r="P262" s="4" t="s">
        <v>24</v>
      </c>
      <c r="Q262" s="4">
        <v>17</v>
      </c>
    </row>
    <row r="263" spans="1:17" ht="30">
      <c r="A263" s="3">
        <v>3885</v>
      </c>
      <c r="B263" s="4" t="s">
        <v>767</v>
      </c>
      <c r="C263" s="4" t="str">
        <f ca="1">"NM_001144951"&amp;IF(INFO("system")="mac",CHAR(13),CHAR(10))&amp;"NM_145262"</f>
        <v>NM_001144951_x000D_NM_145262</v>
      </c>
      <c r="D263" s="4">
        <v>132158</v>
      </c>
      <c r="E263" s="4" t="s">
        <v>19</v>
      </c>
      <c r="F263" s="5">
        <v>448</v>
      </c>
      <c r="G263" s="5">
        <v>352</v>
      </c>
      <c r="H263" s="5">
        <v>118</v>
      </c>
      <c r="I263" s="4" t="s">
        <v>154</v>
      </c>
      <c r="J263" s="4" t="s">
        <v>768</v>
      </c>
      <c r="K263" s="4" t="s">
        <v>201</v>
      </c>
      <c r="L263" s="4">
        <v>52324710</v>
      </c>
      <c r="M263" s="4">
        <v>52324710</v>
      </c>
      <c r="N263" s="4" t="s">
        <v>23</v>
      </c>
      <c r="O263" s="4" t="s">
        <v>24</v>
      </c>
      <c r="P263" s="4" t="s">
        <v>25</v>
      </c>
      <c r="Q263" s="4">
        <v>12</v>
      </c>
    </row>
    <row r="264" spans="1:17">
      <c r="A264" s="3">
        <v>3885</v>
      </c>
      <c r="B264" s="4" t="s">
        <v>769</v>
      </c>
      <c r="C264" s="4" t="s">
        <v>770</v>
      </c>
      <c r="D264" s="4">
        <v>8314</v>
      </c>
      <c r="E264" s="4" t="s">
        <v>19</v>
      </c>
      <c r="F264" s="5">
        <v>666</v>
      </c>
      <c r="G264" s="5">
        <v>551</v>
      </c>
      <c r="H264" s="5">
        <v>184</v>
      </c>
      <c r="I264" s="4" t="s">
        <v>468</v>
      </c>
      <c r="J264" s="4" t="s">
        <v>771</v>
      </c>
      <c r="K264" s="4" t="s">
        <v>201</v>
      </c>
      <c r="L264" s="4">
        <v>52441219</v>
      </c>
      <c r="M264" s="4">
        <v>52441219</v>
      </c>
      <c r="N264" s="4" t="s">
        <v>23</v>
      </c>
      <c r="O264" s="4" t="s">
        <v>41</v>
      </c>
      <c r="P264" s="4" t="s">
        <v>25</v>
      </c>
      <c r="Q264" s="4">
        <v>15</v>
      </c>
    </row>
    <row r="265" spans="1:17">
      <c r="A265" s="3">
        <v>3885</v>
      </c>
      <c r="B265" s="4" t="s">
        <v>772</v>
      </c>
      <c r="C265" s="4" t="s">
        <v>773</v>
      </c>
      <c r="D265" s="4">
        <v>51778</v>
      </c>
      <c r="E265" s="4" t="s">
        <v>19</v>
      </c>
      <c r="F265" s="5">
        <v>245</v>
      </c>
      <c r="G265" s="5">
        <v>32</v>
      </c>
      <c r="H265" s="5">
        <v>11</v>
      </c>
      <c r="I265" s="4" t="s">
        <v>774</v>
      </c>
      <c r="J265" s="4" t="s">
        <v>775</v>
      </c>
      <c r="K265" s="4" t="s">
        <v>220</v>
      </c>
      <c r="L265" s="4">
        <v>120057712</v>
      </c>
      <c r="M265" s="4">
        <v>120057712</v>
      </c>
      <c r="N265" s="4" t="s">
        <v>23</v>
      </c>
      <c r="O265" s="4" t="s">
        <v>24</v>
      </c>
      <c r="P265" s="4" t="s">
        <v>46</v>
      </c>
      <c r="Q265" s="4">
        <v>1</v>
      </c>
    </row>
    <row r="266" spans="1:17">
      <c r="A266" s="3">
        <v>3885</v>
      </c>
      <c r="B266" s="4" t="s">
        <v>776</v>
      </c>
      <c r="C266" s="4" t="s">
        <v>777</v>
      </c>
      <c r="D266" s="4">
        <v>85462</v>
      </c>
      <c r="E266" s="4" t="s">
        <v>31</v>
      </c>
      <c r="F266" s="5">
        <v>672</v>
      </c>
      <c r="G266" s="5">
        <v>597</v>
      </c>
      <c r="H266" s="5">
        <v>199</v>
      </c>
      <c r="I266" s="4" t="s">
        <v>35</v>
      </c>
      <c r="J266" s="4" t="s">
        <v>35</v>
      </c>
      <c r="K266" s="4" t="s">
        <v>220</v>
      </c>
      <c r="L266" s="4">
        <v>153875405</v>
      </c>
      <c r="M266" s="4">
        <v>153875405</v>
      </c>
      <c r="N266" s="4" t="s">
        <v>36</v>
      </c>
      <c r="O266" s="4" t="s">
        <v>25</v>
      </c>
      <c r="P266" s="4"/>
      <c r="Q266" s="4">
        <v>5</v>
      </c>
    </row>
    <row r="267" spans="1:17">
      <c r="A267" s="3">
        <v>3885</v>
      </c>
      <c r="B267" s="4" t="s">
        <v>778</v>
      </c>
      <c r="C267" s="4" t="s">
        <v>779</v>
      </c>
      <c r="D267" s="4">
        <v>26057</v>
      </c>
      <c r="E267" s="4" t="s">
        <v>19</v>
      </c>
      <c r="F267" s="5">
        <v>2555</v>
      </c>
      <c r="G267" s="5">
        <v>2438</v>
      </c>
      <c r="H267" s="5">
        <v>813</v>
      </c>
      <c r="I267" s="4" t="s">
        <v>269</v>
      </c>
      <c r="J267" s="4" t="s">
        <v>780</v>
      </c>
      <c r="K267" s="4" t="s">
        <v>220</v>
      </c>
      <c r="L267" s="4">
        <v>74005895</v>
      </c>
      <c r="M267" s="4">
        <v>74005895</v>
      </c>
      <c r="N267" s="4" t="s">
        <v>23</v>
      </c>
      <c r="O267" s="4" t="s">
        <v>46</v>
      </c>
      <c r="P267" s="4" t="s">
        <v>25</v>
      </c>
      <c r="Q267" s="4">
        <v>14</v>
      </c>
    </row>
    <row r="268" spans="1:17">
      <c r="A268" s="3">
        <v>3885</v>
      </c>
      <c r="B268" s="4" t="s">
        <v>781</v>
      </c>
      <c r="C268" s="4" t="s">
        <v>782</v>
      </c>
      <c r="D268" s="4">
        <v>25849</v>
      </c>
      <c r="E268" s="4" t="s">
        <v>19</v>
      </c>
      <c r="F268" s="5">
        <v>427</v>
      </c>
      <c r="G268" s="5">
        <v>174</v>
      </c>
      <c r="H268" s="5">
        <v>58</v>
      </c>
      <c r="I268" s="4" t="s">
        <v>360</v>
      </c>
      <c r="J268" s="4" t="s">
        <v>783</v>
      </c>
      <c r="K268" s="4" t="s">
        <v>220</v>
      </c>
      <c r="L268" s="4">
        <v>75937765</v>
      </c>
      <c r="M268" s="4">
        <v>75937765</v>
      </c>
      <c r="N268" s="4" t="s">
        <v>23</v>
      </c>
      <c r="O268" s="4" t="s">
        <v>46</v>
      </c>
      <c r="P268" s="4" t="s">
        <v>25</v>
      </c>
      <c r="Q268" s="4">
        <v>0</v>
      </c>
    </row>
    <row r="269" spans="1:17">
      <c r="A269" s="3">
        <v>3885</v>
      </c>
      <c r="B269" s="4" t="s">
        <v>784</v>
      </c>
      <c r="C269" s="4" t="s">
        <v>785</v>
      </c>
      <c r="D269" s="4">
        <v>134430</v>
      </c>
      <c r="E269" s="4" t="s">
        <v>19</v>
      </c>
      <c r="F269" s="5">
        <v>2350</v>
      </c>
      <c r="G269" s="5">
        <v>2233</v>
      </c>
      <c r="H269" s="5">
        <v>745</v>
      </c>
      <c r="I269" s="4" t="s">
        <v>165</v>
      </c>
      <c r="J269" s="4" t="s">
        <v>758</v>
      </c>
      <c r="K269" s="4" t="s">
        <v>226</v>
      </c>
      <c r="L269" s="4">
        <v>110456756</v>
      </c>
      <c r="M269" s="4">
        <v>110456756</v>
      </c>
      <c r="N269" s="4" t="s">
        <v>23</v>
      </c>
      <c r="O269" s="4" t="s">
        <v>24</v>
      </c>
      <c r="P269" s="4" t="s">
        <v>25</v>
      </c>
      <c r="Q269" s="4">
        <v>6</v>
      </c>
    </row>
    <row r="270" spans="1:17" ht="30">
      <c r="A270" s="3">
        <v>3885</v>
      </c>
      <c r="B270" s="4" t="s">
        <v>786</v>
      </c>
      <c r="C270" s="4" t="str">
        <f ca="1">"NM_001017372"&amp;IF(INFO("system")="mac",CHAR(13),CHAR(10))&amp;"NM_014031"</f>
        <v>NM_001017372_x000D_NM_014031</v>
      </c>
      <c r="D270" s="4">
        <v>28965</v>
      </c>
      <c r="E270" s="4" t="s">
        <v>76</v>
      </c>
      <c r="F270" s="5" t="str">
        <f ca="1">"2026"&amp;IF(INFO("system")="mac",CHAR(13),CHAR(10))&amp;"1804"</f>
        <v>2026_x000D_1804</v>
      </c>
      <c r="G270" s="5">
        <v>1408</v>
      </c>
      <c r="H270" s="5">
        <v>470</v>
      </c>
      <c r="I270" s="4" t="s">
        <v>370</v>
      </c>
      <c r="J270" s="4" t="s">
        <v>371</v>
      </c>
      <c r="K270" s="4" t="s">
        <v>226</v>
      </c>
      <c r="L270" s="4">
        <v>128362978</v>
      </c>
      <c r="M270" s="4">
        <v>128362978</v>
      </c>
      <c r="N270" s="4" t="s">
        <v>23</v>
      </c>
      <c r="O270" s="4" t="s">
        <v>46</v>
      </c>
      <c r="P270" s="4" t="s">
        <v>41</v>
      </c>
      <c r="Q270" s="4">
        <v>6</v>
      </c>
    </row>
    <row r="271" spans="1:17">
      <c r="A271" s="3">
        <v>3885</v>
      </c>
      <c r="B271" s="4" t="s">
        <v>787</v>
      </c>
      <c r="C271" s="4" t="s">
        <v>788</v>
      </c>
      <c r="D271" s="4">
        <v>90268</v>
      </c>
      <c r="E271" s="4" t="s">
        <v>19</v>
      </c>
      <c r="F271" s="5">
        <v>288</v>
      </c>
      <c r="G271" s="5">
        <v>136</v>
      </c>
      <c r="H271" s="5">
        <v>46</v>
      </c>
      <c r="I271" s="4" t="s">
        <v>601</v>
      </c>
      <c r="J271" s="4" t="s">
        <v>602</v>
      </c>
      <c r="K271" s="4" t="s">
        <v>226</v>
      </c>
      <c r="L271" s="4">
        <v>14665070</v>
      </c>
      <c r="M271" s="4">
        <v>14665070</v>
      </c>
      <c r="N271" s="4" t="s">
        <v>23</v>
      </c>
      <c r="O271" s="4" t="s">
        <v>46</v>
      </c>
      <c r="P271" s="4" t="s">
        <v>24</v>
      </c>
      <c r="Q271" s="4">
        <v>3</v>
      </c>
    </row>
    <row r="272" spans="1:17">
      <c r="A272" s="3">
        <v>3885</v>
      </c>
      <c r="B272" s="4" t="s">
        <v>789</v>
      </c>
      <c r="C272" s="4" t="s">
        <v>790</v>
      </c>
      <c r="D272" s="4">
        <v>10283</v>
      </c>
      <c r="E272" s="4" t="s">
        <v>19</v>
      </c>
      <c r="F272" s="5">
        <v>892</v>
      </c>
      <c r="G272" s="5">
        <v>673</v>
      </c>
      <c r="H272" s="5">
        <v>225</v>
      </c>
      <c r="I272" s="4" t="s">
        <v>791</v>
      </c>
      <c r="J272" s="4" t="s">
        <v>792</v>
      </c>
      <c r="K272" s="4" t="s">
        <v>226</v>
      </c>
      <c r="L272" s="4">
        <v>64096078</v>
      </c>
      <c r="M272" s="4">
        <v>64096078</v>
      </c>
      <c r="N272" s="4" t="s">
        <v>23</v>
      </c>
      <c r="O272" s="4" t="s">
        <v>25</v>
      </c>
      <c r="P272" s="4" t="s">
        <v>41</v>
      </c>
      <c r="Q272" s="4">
        <v>2</v>
      </c>
    </row>
    <row r="273" spans="1:17" ht="60">
      <c r="A273" s="3">
        <v>3885</v>
      </c>
      <c r="B273" s="4" t="s">
        <v>793</v>
      </c>
      <c r="C273" s="4" t="str">
        <f ca="1">"NM_001143964"&amp;IF(INFO("system")="mac",CHAR(13),CHAR(10))&amp;"NM_001143966"&amp;IF(INFO("system")="mac",CHAR(13),CHAR(10))&amp;"NM_016495"&amp;IF(INFO("system")="mac",CHAR(13),CHAR(10))&amp;"NM_001143965"</f>
        <v>NM_001143964_x000D_NM_001143966_x000D_NM_016495_x000D_NM_001143965</v>
      </c>
      <c r="D273" s="4">
        <v>51256</v>
      </c>
      <c r="E273" s="4" t="s">
        <v>31</v>
      </c>
      <c r="F273" s="5" t="str">
        <f ca="1">"451"&amp;IF(INFO("system")="mac",CHAR(13),CHAR(10))&amp;"230"&amp;IF(INFO("system")="mac",CHAR(13),CHAR(10))&amp;"471"&amp;IF(INFO("system")="mac",CHAR(13),CHAR(10))&amp;"311"</f>
        <v>451_x000D_230_x000D_471_x000D_311</v>
      </c>
      <c r="G273" s="5" t="str">
        <f ca="1">"203"&amp;IF(INFO("system")="mac",CHAR(13),CHAR(10))&amp;"122"&amp;IF(INFO("system")="mac",CHAR(13),CHAR(10))&amp;"203"&amp;IF(INFO("system")="mac",CHAR(13),CHAR(10))&amp;"203"</f>
        <v>203_x000D_122_x000D_203_x000D_203</v>
      </c>
      <c r="H273" s="5" t="str">
        <f ca="1">"68"&amp;IF(INFO("system")="mac",CHAR(13),CHAR(10))&amp;"41"&amp;IF(INFO("system")="mac",CHAR(13),CHAR(10))&amp;"68"&amp;IF(INFO("system")="mac",CHAR(13),CHAR(10))&amp;"68"</f>
        <v>68_x000D_41_x000D_68_x000D_68</v>
      </c>
      <c r="I273" s="4" t="s">
        <v>35</v>
      </c>
      <c r="J273" s="4" t="s">
        <v>35</v>
      </c>
      <c r="K273" s="4" t="s">
        <v>237</v>
      </c>
      <c r="L273" s="4">
        <v>13321318</v>
      </c>
      <c r="M273" s="4">
        <v>13321318</v>
      </c>
      <c r="N273" s="4" t="s">
        <v>36</v>
      </c>
      <c r="O273" s="4" t="s">
        <v>24</v>
      </c>
      <c r="P273" s="4"/>
      <c r="Q273" s="4">
        <v>6</v>
      </c>
    </row>
    <row r="274" spans="1:17">
      <c r="A274" s="3">
        <v>3885</v>
      </c>
      <c r="B274" s="4" t="s">
        <v>794</v>
      </c>
      <c r="C274" s="4" t="s">
        <v>795</v>
      </c>
      <c r="D274" s="4">
        <v>8360</v>
      </c>
      <c r="E274" s="4" t="s">
        <v>19</v>
      </c>
      <c r="F274" s="5">
        <v>161</v>
      </c>
      <c r="G274" s="5">
        <v>161</v>
      </c>
      <c r="H274" s="5">
        <v>54</v>
      </c>
      <c r="I274" s="4" t="s">
        <v>453</v>
      </c>
      <c r="J274" s="4" t="s">
        <v>454</v>
      </c>
      <c r="K274" s="4" t="s">
        <v>237</v>
      </c>
      <c r="L274" s="4">
        <v>26189144</v>
      </c>
      <c r="M274" s="4">
        <v>26189144</v>
      </c>
      <c r="N274" s="4" t="s">
        <v>23</v>
      </c>
      <c r="O274" s="4" t="s">
        <v>41</v>
      </c>
      <c r="P274" s="4" t="s">
        <v>46</v>
      </c>
      <c r="Q274" s="4">
        <v>6</v>
      </c>
    </row>
    <row r="275" spans="1:17">
      <c r="A275" s="3">
        <v>3885</v>
      </c>
      <c r="B275" s="4" t="s">
        <v>242</v>
      </c>
      <c r="C275" s="4" t="s">
        <v>243</v>
      </c>
      <c r="D275" s="4">
        <v>3710</v>
      </c>
      <c r="E275" s="4" t="s">
        <v>392</v>
      </c>
      <c r="F275" s="5">
        <v>2950</v>
      </c>
      <c r="G275" s="5">
        <v>2726</v>
      </c>
      <c r="H275" s="5">
        <v>909</v>
      </c>
      <c r="I275" s="4" t="s">
        <v>204</v>
      </c>
      <c r="J275" s="4" t="s">
        <v>796</v>
      </c>
      <c r="K275" s="4" t="s">
        <v>237</v>
      </c>
      <c r="L275" s="4">
        <v>33639081</v>
      </c>
      <c r="M275" s="4">
        <v>33639081</v>
      </c>
      <c r="N275" s="4" t="s">
        <v>23</v>
      </c>
      <c r="O275" s="4" t="s">
        <v>24</v>
      </c>
      <c r="P275" s="4" t="s">
        <v>25</v>
      </c>
      <c r="Q275" s="4">
        <v>-1</v>
      </c>
    </row>
    <row r="276" spans="1:17">
      <c r="A276" s="3">
        <v>3885</v>
      </c>
      <c r="B276" s="4" t="s">
        <v>797</v>
      </c>
      <c r="C276" s="4" t="s">
        <v>798</v>
      </c>
      <c r="D276" s="4">
        <v>50619</v>
      </c>
      <c r="E276" s="4" t="s">
        <v>19</v>
      </c>
      <c r="F276" s="5">
        <v>1921</v>
      </c>
      <c r="G276" s="5">
        <v>1882</v>
      </c>
      <c r="H276" s="5">
        <v>628</v>
      </c>
      <c r="I276" s="4" t="s">
        <v>123</v>
      </c>
      <c r="J276" s="4" t="s">
        <v>124</v>
      </c>
      <c r="K276" s="4" t="s">
        <v>237</v>
      </c>
      <c r="L276" s="4">
        <v>35289173</v>
      </c>
      <c r="M276" s="4">
        <v>35289173</v>
      </c>
      <c r="N276" s="4" t="s">
        <v>23</v>
      </c>
      <c r="O276" s="4" t="s">
        <v>24</v>
      </c>
      <c r="P276" s="4" t="s">
        <v>41</v>
      </c>
      <c r="Q276" s="4">
        <v>7</v>
      </c>
    </row>
    <row r="277" spans="1:17" ht="45">
      <c r="A277" s="3">
        <v>3885</v>
      </c>
      <c r="B277" s="4" t="s">
        <v>799</v>
      </c>
      <c r="C277" s="4" t="str">
        <f ca="1">"NM_001142800"&amp;IF(INFO("system")="mac",CHAR(13),CHAR(10))&amp;"NM_001142801"&amp;IF(INFO("system")="mac",CHAR(13),CHAR(10))&amp;"NM_198283"</f>
        <v>NM_001142800_x000D_NM_001142801_x000D_NM_198283</v>
      </c>
      <c r="D277" s="4">
        <v>346007</v>
      </c>
      <c r="E277" s="4" t="s">
        <v>19</v>
      </c>
      <c r="F277" s="5" t="str">
        <f ca="1">"1066"&amp;IF(INFO("system")="mac",CHAR(13),CHAR(10))&amp;"1066"&amp;IF(INFO("system")="mac",CHAR(13),CHAR(10))&amp;"869"</f>
        <v>1066_x000D_1066_x000D_869</v>
      </c>
      <c r="G277" s="5">
        <v>528</v>
      </c>
      <c r="H277" s="5">
        <v>176</v>
      </c>
      <c r="I277" s="4" t="s">
        <v>800</v>
      </c>
      <c r="J277" s="4" t="s">
        <v>801</v>
      </c>
      <c r="K277" s="4" t="s">
        <v>237</v>
      </c>
      <c r="L277" s="4">
        <v>66204776</v>
      </c>
      <c r="M277" s="4">
        <v>66204776</v>
      </c>
      <c r="N277" s="4" t="s">
        <v>23</v>
      </c>
      <c r="O277" s="4" t="s">
        <v>41</v>
      </c>
      <c r="P277" s="4" t="s">
        <v>25</v>
      </c>
      <c r="Q277" s="4">
        <v>5</v>
      </c>
    </row>
    <row r="278" spans="1:17">
      <c r="A278" s="3">
        <v>3885</v>
      </c>
      <c r="B278" s="4" t="s">
        <v>802</v>
      </c>
      <c r="C278" s="4" t="s">
        <v>803</v>
      </c>
      <c r="D278" s="4">
        <v>22832</v>
      </c>
      <c r="E278" s="4" t="s">
        <v>19</v>
      </c>
      <c r="F278" s="5">
        <v>929</v>
      </c>
      <c r="G278" s="5">
        <v>832</v>
      </c>
      <c r="H278" s="5">
        <v>278</v>
      </c>
      <c r="I278" s="4" t="s">
        <v>684</v>
      </c>
      <c r="J278" s="4" t="s">
        <v>685</v>
      </c>
      <c r="K278" s="4" t="s">
        <v>237</v>
      </c>
      <c r="L278" s="4">
        <v>84910510</v>
      </c>
      <c r="M278" s="4">
        <v>84910510</v>
      </c>
      <c r="N278" s="4" t="s">
        <v>23</v>
      </c>
      <c r="O278" s="4" t="s">
        <v>41</v>
      </c>
      <c r="P278" s="4" t="s">
        <v>25</v>
      </c>
      <c r="Q278" s="4">
        <v>-2</v>
      </c>
    </row>
    <row r="279" spans="1:17">
      <c r="A279" s="3">
        <v>3885</v>
      </c>
      <c r="B279" s="4" t="s">
        <v>804</v>
      </c>
      <c r="C279" s="4" t="s">
        <v>805</v>
      </c>
      <c r="D279" s="4">
        <v>2045</v>
      </c>
      <c r="E279" s="4" t="s">
        <v>19</v>
      </c>
      <c r="F279" s="5">
        <v>2368</v>
      </c>
      <c r="G279" s="5">
        <v>2127</v>
      </c>
      <c r="H279" s="5">
        <v>709</v>
      </c>
      <c r="I279" s="4" t="s">
        <v>303</v>
      </c>
      <c r="J279" s="4" t="s">
        <v>806</v>
      </c>
      <c r="K279" s="4" t="s">
        <v>237</v>
      </c>
      <c r="L279" s="4">
        <v>93967225</v>
      </c>
      <c r="M279" s="4">
        <v>93967225</v>
      </c>
      <c r="N279" s="4" t="s">
        <v>23</v>
      </c>
      <c r="O279" s="4" t="s">
        <v>41</v>
      </c>
      <c r="P279" s="4" t="s">
        <v>46</v>
      </c>
      <c r="Q279" s="4">
        <v>11</v>
      </c>
    </row>
    <row r="280" spans="1:17">
      <c r="A280" s="3">
        <v>3885</v>
      </c>
      <c r="B280" s="4" t="s">
        <v>807</v>
      </c>
      <c r="C280" s="4" t="s">
        <v>808</v>
      </c>
      <c r="D280" s="4">
        <v>83992</v>
      </c>
      <c r="E280" s="4" t="s">
        <v>19</v>
      </c>
      <c r="F280" s="5">
        <v>2197</v>
      </c>
      <c r="G280" s="5">
        <v>2105</v>
      </c>
      <c r="H280" s="5">
        <v>702</v>
      </c>
      <c r="I280" s="4" t="s">
        <v>408</v>
      </c>
      <c r="J280" s="4" t="s">
        <v>531</v>
      </c>
      <c r="K280" s="4" t="s">
        <v>257</v>
      </c>
      <c r="L280" s="4">
        <v>117424472</v>
      </c>
      <c r="M280" s="4">
        <v>117424472</v>
      </c>
      <c r="N280" s="4" t="s">
        <v>23</v>
      </c>
      <c r="O280" s="4" t="s">
        <v>46</v>
      </c>
      <c r="P280" s="4" t="s">
        <v>24</v>
      </c>
      <c r="Q280" s="4">
        <v>0</v>
      </c>
    </row>
    <row r="281" spans="1:17" ht="30">
      <c r="A281" s="3">
        <v>3885</v>
      </c>
      <c r="B281" s="4" t="s">
        <v>809</v>
      </c>
      <c r="C281" s="4" t="str">
        <f ca="1">"NM_001127323"&amp;IF(INFO("system")="mac",CHAR(13),CHAR(10))&amp;"NM_000845"</f>
        <v>NM_001127323_x000D_NM_000845</v>
      </c>
      <c r="D281" s="4">
        <v>2918</v>
      </c>
      <c r="E281" s="4" t="str">
        <f ca="1">"NMD_TRANSCRIPT,NON_SYNONYMOUS_CODING"&amp;IF(INFO("system")="mac",CHAR(13),CHAR(10))&amp;"NON_SYNONYMOUS_CODING"</f>
        <v>NMD_TRANSCRIPT,NON_SYNONYMOUS_CODING_x000D_NON_SYNONYMOUS_CODING</v>
      </c>
      <c r="F281" s="5" t="str">
        <f ca="1">"1789"&amp;IF(INFO("system")="mac",CHAR(13),CHAR(10))&amp;"1543"</f>
        <v>1789_x000D_1543</v>
      </c>
      <c r="G281" s="5">
        <v>1232</v>
      </c>
      <c r="H281" s="5">
        <v>411</v>
      </c>
      <c r="I281" s="4" t="s">
        <v>434</v>
      </c>
      <c r="J281" s="4" t="s">
        <v>810</v>
      </c>
      <c r="K281" s="4" t="s">
        <v>257</v>
      </c>
      <c r="L281" s="4">
        <v>126410044</v>
      </c>
      <c r="M281" s="4">
        <v>126410044</v>
      </c>
      <c r="N281" s="4" t="s">
        <v>23</v>
      </c>
      <c r="O281" s="4" t="s">
        <v>24</v>
      </c>
      <c r="P281" s="4" t="s">
        <v>46</v>
      </c>
      <c r="Q281" s="4">
        <v>4</v>
      </c>
    </row>
    <row r="282" spans="1:17">
      <c r="A282" s="3">
        <v>3885</v>
      </c>
      <c r="B282" s="4" t="s">
        <v>811</v>
      </c>
      <c r="C282" s="4" t="s">
        <v>812</v>
      </c>
      <c r="D282" s="4">
        <v>55971</v>
      </c>
      <c r="E282" s="4" t="s">
        <v>19</v>
      </c>
      <c r="F282" s="5">
        <v>1457</v>
      </c>
      <c r="G282" s="5">
        <v>1194</v>
      </c>
      <c r="H282" s="5">
        <v>398</v>
      </c>
      <c r="I282" s="4" t="s">
        <v>235</v>
      </c>
      <c r="J282" s="4" t="s">
        <v>490</v>
      </c>
      <c r="K282" s="4" t="s">
        <v>257</v>
      </c>
      <c r="L282" s="4">
        <v>97935798</v>
      </c>
      <c r="M282" s="4">
        <v>97935798</v>
      </c>
      <c r="N282" s="4" t="s">
        <v>23</v>
      </c>
      <c r="O282" s="4" t="s">
        <v>46</v>
      </c>
      <c r="P282" s="4" t="s">
        <v>25</v>
      </c>
      <c r="Q282" s="4">
        <v>6</v>
      </c>
    </row>
    <row r="283" spans="1:17" ht="30">
      <c r="A283" s="3">
        <v>3885</v>
      </c>
      <c r="B283" s="4" t="s">
        <v>813</v>
      </c>
      <c r="C283" s="4" t="str">
        <f ca="1">"NM_024593"&amp;IF(INFO("system")="mac",CHAR(13),CHAR(10))&amp;"NM_001142857"</f>
        <v>NM_024593_x000D_NM_001142857</v>
      </c>
      <c r="D283" s="4">
        <v>79645</v>
      </c>
      <c r="E283" s="4" t="str">
        <f ca="1">"NON_SYNONYMOUS_CODING"&amp;IF(INFO("system")="mac",CHAR(13),CHAR(10))&amp;"NMD_TRANSCRIPT,NON_SYNONYMOUS_CODING"</f>
        <v>NON_SYNONYMOUS_CODING_x000D_NMD_TRANSCRIPT,NON_SYNONYMOUS_CODING</v>
      </c>
      <c r="F283" s="5" t="str">
        <f ca="1">"555"&amp;IF(INFO("system")="mac",CHAR(13),CHAR(10))&amp;"399"</f>
        <v>555_x000D_399</v>
      </c>
      <c r="G283" s="5" t="str">
        <f ca="1">"395"&amp;IF(INFO("system")="mac",CHAR(13),CHAR(10))&amp;"239"</f>
        <v>395_x000D_239</v>
      </c>
      <c r="H283" s="5" t="str">
        <f ca="1">"132"&amp;IF(INFO("system")="mac",CHAR(13),CHAR(10))&amp;"80"</f>
        <v>132_x000D_80</v>
      </c>
      <c r="I283" s="4" t="s">
        <v>707</v>
      </c>
      <c r="J283" s="4" t="s">
        <v>708</v>
      </c>
      <c r="K283" s="4" t="s">
        <v>279</v>
      </c>
      <c r="L283" s="4">
        <v>49642355</v>
      </c>
      <c r="M283" s="4">
        <v>49642355</v>
      </c>
      <c r="N283" s="4" t="s">
        <v>23</v>
      </c>
      <c r="O283" s="4" t="s">
        <v>46</v>
      </c>
      <c r="P283" s="4" t="s">
        <v>41</v>
      </c>
      <c r="Q283" s="4">
        <v>1</v>
      </c>
    </row>
    <row r="284" spans="1:17">
      <c r="A284" s="3">
        <v>3885</v>
      </c>
      <c r="B284" s="4" t="s">
        <v>814</v>
      </c>
      <c r="C284" s="4" t="s">
        <v>815</v>
      </c>
      <c r="D284" s="4">
        <v>79848</v>
      </c>
      <c r="E284" s="4" t="s">
        <v>816</v>
      </c>
      <c r="F284" s="5">
        <v>1245</v>
      </c>
      <c r="G284" s="5">
        <v>1214</v>
      </c>
      <c r="H284" s="5">
        <v>405</v>
      </c>
      <c r="I284" s="4" t="s">
        <v>35</v>
      </c>
      <c r="J284" s="4" t="s">
        <v>35</v>
      </c>
      <c r="K284" s="4" t="s">
        <v>279</v>
      </c>
      <c r="L284" s="4">
        <v>68024300</v>
      </c>
      <c r="M284" s="4">
        <v>68024300</v>
      </c>
      <c r="N284" s="4" t="s">
        <v>36</v>
      </c>
      <c r="O284" s="4" t="s">
        <v>24</v>
      </c>
      <c r="P284" s="4"/>
      <c r="Q284" s="4">
        <v>2</v>
      </c>
    </row>
    <row r="285" spans="1:17">
      <c r="A285" s="3">
        <v>3885</v>
      </c>
      <c r="B285" s="4" t="s">
        <v>817</v>
      </c>
      <c r="C285" s="4" t="s">
        <v>818</v>
      </c>
      <c r="D285" s="4">
        <v>23245</v>
      </c>
      <c r="E285" s="4" t="s">
        <v>19</v>
      </c>
      <c r="F285" s="5">
        <v>808</v>
      </c>
      <c r="G285" s="5">
        <v>707</v>
      </c>
      <c r="H285" s="5">
        <v>236</v>
      </c>
      <c r="I285" s="4" t="s">
        <v>72</v>
      </c>
      <c r="J285" s="4" t="s">
        <v>297</v>
      </c>
      <c r="K285" s="4" t="s">
        <v>292</v>
      </c>
      <c r="L285" s="4">
        <v>119976945</v>
      </c>
      <c r="M285" s="4">
        <v>119976945</v>
      </c>
      <c r="N285" s="4" t="s">
        <v>23</v>
      </c>
      <c r="O285" s="4" t="s">
        <v>46</v>
      </c>
      <c r="P285" s="4" t="s">
        <v>41</v>
      </c>
      <c r="Q285" s="4">
        <v>5</v>
      </c>
    </row>
    <row r="286" spans="1:17">
      <c r="A286" s="3">
        <v>3885</v>
      </c>
      <c r="B286" s="4" t="s">
        <v>819</v>
      </c>
      <c r="C286" s="4" t="s">
        <v>820</v>
      </c>
      <c r="D286" s="4">
        <v>26280</v>
      </c>
      <c r="E286" s="4" t="s">
        <v>19</v>
      </c>
      <c r="F286" s="5">
        <v>2773</v>
      </c>
      <c r="G286" s="5">
        <v>2017</v>
      </c>
      <c r="H286" s="5">
        <v>673</v>
      </c>
      <c r="I286" s="4" t="s">
        <v>414</v>
      </c>
      <c r="J286" s="4" t="s">
        <v>415</v>
      </c>
      <c r="K286" s="4" t="s">
        <v>418</v>
      </c>
      <c r="L286" s="4">
        <v>105011610</v>
      </c>
      <c r="M286" s="4">
        <v>105011610</v>
      </c>
      <c r="N286" s="4" t="s">
        <v>23</v>
      </c>
      <c r="O286" s="4" t="s">
        <v>46</v>
      </c>
      <c r="P286" s="4" t="s">
        <v>41</v>
      </c>
      <c r="Q286" s="4">
        <v>6</v>
      </c>
    </row>
    <row r="287" spans="1:17">
      <c r="A287" s="3">
        <v>3885</v>
      </c>
      <c r="B287" s="4" t="s">
        <v>821</v>
      </c>
      <c r="C287" s="4" t="s">
        <v>822</v>
      </c>
      <c r="D287" s="4">
        <v>5613</v>
      </c>
      <c r="E287" s="4" t="s">
        <v>68</v>
      </c>
      <c r="F287" s="5" t="s">
        <v>35</v>
      </c>
      <c r="G287" s="5" t="s">
        <v>35</v>
      </c>
      <c r="H287" s="5" t="s">
        <v>35</v>
      </c>
      <c r="I287" s="4" t="s">
        <v>35</v>
      </c>
      <c r="J287" s="4" t="s">
        <v>35</v>
      </c>
      <c r="K287" s="4" t="s">
        <v>418</v>
      </c>
      <c r="L287" s="4">
        <v>3544459</v>
      </c>
      <c r="M287" s="4">
        <v>3544459</v>
      </c>
      <c r="N287" s="4" t="s">
        <v>23</v>
      </c>
      <c r="O287" s="4" t="s">
        <v>46</v>
      </c>
      <c r="P287" s="4" t="s">
        <v>41</v>
      </c>
      <c r="Q287" s="4">
        <v>4</v>
      </c>
    </row>
    <row r="288" spans="1:17" ht="60">
      <c r="A288" s="3">
        <v>3885</v>
      </c>
      <c r="B288" s="4" t="s">
        <v>823</v>
      </c>
      <c r="C288" s="4" t="str">
        <f ca="1">"NM_001123385"&amp;IF(INFO("system")="mac",CHAR(13),CHAR(10))&amp;"NM_001123384"&amp;IF(INFO("system")="mac",CHAR(13),CHAR(10))&amp;"NM_017745"&amp;IF(INFO("system")="mac",CHAR(13),CHAR(10))&amp;"NM_001123383"</f>
        <v>NM_001123385_x000D_NM_001123384_x000D_NM_017745_x000D_NM_001123383</v>
      </c>
      <c r="D288" s="4">
        <v>54880</v>
      </c>
      <c r="E288" s="4" t="s">
        <v>76</v>
      </c>
      <c r="F288" s="5" t="str">
        <f ca="1">"3945"&amp;IF(INFO("system")="mac",CHAR(13),CHAR(10))&amp;"3860"&amp;IF(INFO("system")="mac",CHAR(13),CHAR(10))&amp;"3843"&amp;IF(INFO("system")="mac",CHAR(13),CHAR(10))&amp;"3914"</f>
        <v>3945_x000D_3860_x000D_3843_x000D_3914</v>
      </c>
      <c r="G288" s="5" t="str">
        <f ca="1">"3653"&amp;IF(INFO("system")="mac",CHAR(13),CHAR(10))&amp;"3497"&amp;IF(INFO("system")="mac",CHAR(13),CHAR(10))&amp;"3551"&amp;IF(INFO("system")="mac",CHAR(13),CHAR(10))&amp;"3551"</f>
        <v>3653_x000D_3497_x000D_3551_x000D_3551</v>
      </c>
      <c r="H288" s="5" t="str">
        <f ca="1">"1218"&amp;IF(INFO("system")="mac",CHAR(13),CHAR(10))&amp;"1166"&amp;IF(INFO("system")="mac",CHAR(13),CHAR(10))&amp;"1184"&amp;IF(INFO("system")="mac",CHAR(13),CHAR(10))&amp;"1184"</f>
        <v>1218_x000D_1166_x000D_1184_x000D_1184</v>
      </c>
      <c r="I288" s="4" t="s">
        <v>470</v>
      </c>
      <c r="J288" s="4" t="s">
        <v>471</v>
      </c>
      <c r="K288" s="4" t="s">
        <v>418</v>
      </c>
      <c r="L288" s="4">
        <v>39923055</v>
      </c>
      <c r="M288" s="4">
        <v>39923055</v>
      </c>
      <c r="N288" s="4" t="s">
        <v>23</v>
      </c>
      <c r="O288" s="4" t="s">
        <v>46</v>
      </c>
      <c r="P288" s="4" t="s">
        <v>41</v>
      </c>
      <c r="Q288" s="4">
        <v>4</v>
      </c>
    </row>
    <row r="289" spans="1:17">
      <c r="A289" s="3">
        <v>3885</v>
      </c>
      <c r="B289" s="4" t="s">
        <v>824</v>
      </c>
      <c r="C289" s="4" t="s">
        <v>825</v>
      </c>
      <c r="D289" s="4">
        <v>357</v>
      </c>
      <c r="E289" s="4" t="s">
        <v>19</v>
      </c>
      <c r="F289" s="5">
        <v>2191</v>
      </c>
      <c r="G289" s="5">
        <v>2101</v>
      </c>
      <c r="H289" s="5">
        <v>701</v>
      </c>
      <c r="I289" s="4" t="s">
        <v>462</v>
      </c>
      <c r="J289" s="4" t="s">
        <v>463</v>
      </c>
      <c r="K289" s="4" t="s">
        <v>418</v>
      </c>
      <c r="L289" s="4">
        <v>9864049</v>
      </c>
      <c r="M289" s="4">
        <v>9864049</v>
      </c>
      <c r="N289" s="4" t="s">
        <v>23</v>
      </c>
      <c r="O289" s="4" t="s">
        <v>24</v>
      </c>
      <c r="P289" s="4" t="s">
        <v>41</v>
      </c>
      <c r="Q289" s="4">
        <v>8</v>
      </c>
    </row>
    <row r="290" spans="1:17" ht="30">
      <c r="A290" s="3">
        <v>30147</v>
      </c>
      <c r="B290" s="4" t="s">
        <v>826</v>
      </c>
      <c r="C290" s="4" t="str">
        <f ca="1">"NM_001025603"&amp;IF(INFO("system")="mac",CHAR(13),CHAR(10))&amp;"NM_000449"</f>
        <v>NM_001025603_x000D_NM_000449</v>
      </c>
      <c r="D290" s="4">
        <v>5993</v>
      </c>
      <c r="E290" s="4" t="s">
        <v>19</v>
      </c>
      <c r="F290" s="5" t="str">
        <f ca="1">"2049"&amp;IF(INFO("system")="mac",CHAR(13),CHAR(10))&amp;"2056"</f>
        <v>2049_x000D_2056</v>
      </c>
      <c r="G290" s="5">
        <v>1835</v>
      </c>
      <c r="H290" s="5">
        <v>612</v>
      </c>
      <c r="I290" s="4" t="s">
        <v>827</v>
      </c>
      <c r="J290" s="4" t="s">
        <v>828</v>
      </c>
      <c r="K290" s="4" t="s">
        <v>22</v>
      </c>
      <c r="L290" s="4">
        <v>151314678</v>
      </c>
      <c r="M290" s="4">
        <v>151314678</v>
      </c>
      <c r="N290" s="4" t="s">
        <v>23</v>
      </c>
      <c r="O290" s="4" t="s">
        <v>41</v>
      </c>
      <c r="P290" s="4" t="s">
        <v>24</v>
      </c>
      <c r="Q290" s="4">
        <v>4</v>
      </c>
    </row>
    <row r="291" spans="1:17">
      <c r="A291" s="3">
        <v>30147</v>
      </c>
      <c r="B291" s="4" t="s">
        <v>829</v>
      </c>
      <c r="C291" s="4" t="s">
        <v>830</v>
      </c>
      <c r="D291" s="4">
        <v>119587</v>
      </c>
      <c r="E291" s="4" t="s">
        <v>31</v>
      </c>
      <c r="F291" s="5" t="s">
        <v>831</v>
      </c>
      <c r="G291" s="5" t="s">
        <v>832</v>
      </c>
      <c r="H291" s="5">
        <v>415</v>
      </c>
      <c r="I291" s="4" t="s">
        <v>35</v>
      </c>
      <c r="J291" s="4" t="s">
        <v>35</v>
      </c>
      <c r="K291" s="4" t="s">
        <v>69</v>
      </c>
      <c r="L291" s="4">
        <v>125528098</v>
      </c>
      <c r="M291" s="4">
        <v>125528097</v>
      </c>
      <c r="N291" s="4" t="s">
        <v>110</v>
      </c>
      <c r="O291" s="4"/>
      <c r="P291" s="4" t="s">
        <v>25</v>
      </c>
      <c r="Q291" s="4">
        <v>-5</v>
      </c>
    </row>
    <row r="292" spans="1:17" ht="30">
      <c r="A292" s="3">
        <v>30147</v>
      </c>
      <c r="B292" s="4" t="s">
        <v>833</v>
      </c>
      <c r="C292" s="4" t="s">
        <v>834</v>
      </c>
      <c r="D292" s="4">
        <v>401720</v>
      </c>
      <c r="E292" s="4" t="s">
        <v>19</v>
      </c>
      <c r="F292" s="5" t="s">
        <v>835</v>
      </c>
      <c r="G292" s="5" t="s">
        <v>836</v>
      </c>
      <c r="H292" s="5" t="s">
        <v>837</v>
      </c>
      <c r="I292" s="4" t="s">
        <v>838</v>
      </c>
      <c r="J292" s="4" t="s">
        <v>839</v>
      </c>
      <c r="K292" s="4" t="s">
        <v>104</v>
      </c>
      <c r="L292" s="4">
        <v>52215681</v>
      </c>
      <c r="M292" s="4">
        <v>52215686</v>
      </c>
      <c r="N292" s="4" t="s">
        <v>36</v>
      </c>
      <c r="O292" s="4" t="s">
        <v>840</v>
      </c>
      <c r="P292" s="4"/>
      <c r="Q292" s="4">
        <v>-5</v>
      </c>
    </row>
    <row r="293" spans="1:17">
      <c r="A293" s="3">
        <v>30147</v>
      </c>
      <c r="B293" s="4" t="s">
        <v>841</v>
      </c>
      <c r="C293" s="4" t="s">
        <v>842</v>
      </c>
      <c r="D293" s="4">
        <v>80183</v>
      </c>
      <c r="E293" s="4" t="s">
        <v>31</v>
      </c>
      <c r="F293" s="5">
        <v>1544</v>
      </c>
      <c r="G293" s="5">
        <v>939</v>
      </c>
      <c r="H293" s="5">
        <v>313</v>
      </c>
      <c r="I293" s="4" t="s">
        <v>35</v>
      </c>
      <c r="J293" s="4" t="s">
        <v>35</v>
      </c>
      <c r="K293" s="4" t="s">
        <v>339</v>
      </c>
      <c r="L293" s="4">
        <v>46936720</v>
      </c>
      <c r="M293" s="4">
        <v>46936720</v>
      </c>
      <c r="N293" s="4" t="s">
        <v>36</v>
      </c>
      <c r="O293" s="4" t="s">
        <v>25</v>
      </c>
      <c r="P293" s="4"/>
      <c r="Q293" s="4">
        <v>2</v>
      </c>
    </row>
    <row r="294" spans="1:17" ht="30">
      <c r="A294" s="3">
        <v>30147</v>
      </c>
      <c r="B294" s="4" t="s">
        <v>843</v>
      </c>
      <c r="C294" s="4" t="str">
        <f ca="1">"NM_014574"&amp;IF(INFO("system")="mac",CHAR(13),CHAR(10))&amp;"NM_001083893"</f>
        <v>NM_014574_x000D_NM_001083893</v>
      </c>
      <c r="D294" s="4">
        <v>29966</v>
      </c>
      <c r="E294" s="4" t="s">
        <v>31</v>
      </c>
      <c r="F294" s="5" t="str">
        <f ca="1">"1404-1405"&amp;IF(INFO("system")="mac",CHAR(13),CHAR(10))&amp;"1656-1657"</f>
        <v>1404-1405_x000D_1656-1657</v>
      </c>
      <c r="G294" s="5" t="str">
        <f ca="1">"1188-1189"&amp;IF(INFO("system")="mac",CHAR(13),CHAR(10))&amp;"1440-1441"</f>
        <v>1188-1189_x000D_1440-1441</v>
      </c>
      <c r="H294" s="5" t="str">
        <f ca="1">"396-397"&amp;IF(INFO("system")="mac",CHAR(13),CHAR(10))&amp;"480-481"</f>
        <v>396-397_x000D_480-481</v>
      </c>
      <c r="I294" s="4" t="s">
        <v>35</v>
      </c>
      <c r="J294" s="4" t="s">
        <v>35</v>
      </c>
      <c r="K294" s="4" t="s">
        <v>118</v>
      </c>
      <c r="L294" s="4">
        <v>31381323</v>
      </c>
      <c r="M294" s="4">
        <v>31381322</v>
      </c>
      <c r="N294" s="4" t="s">
        <v>110</v>
      </c>
      <c r="O294" s="4"/>
      <c r="P294" s="4" t="s">
        <v>25</v>
      </c>
      <c r="Q294" s="4">
        <v>-3</v>
      </c>
    </row>
    <row r="295" spans="1:17">
      <c r="A295" s="3">
        <v>30147</v>
      </c>
      <c r="B295" s="4" t="s">
        <v>844</v>
      </c>
      <c r="C295" s="4" t="s">
        <v>845</v>
      </c>
      <c r="D295" s="4">
        <v>122945</v>
      </c>
      <c r="E295" s="4" t="s">
        <v>19</v>
      </c>
      <c r="F295" s="5">
        <v>450</v>
      </c>
      <c r="G295" s="5">
        <v>283</v>
      </c>
      <c r="H295" s="5">
        <v>95</v>
      </c>
      <c r="I295" s="4" t="s">
        <v>597</v>
      </c>
      <c r="J295" s="4" t="s">
        <v>598</v>
      </c>
      <c r="K295" s="4" t="s">
        <v>118</v>
      </c>
      <c r="L295" s="4">
        <v>77880343</v>
      </c>
      <c r="M295" s="4">
        <v>77880343</v>
      </c>
      <c r="N295" s="4" t="s">
        <v>23</v>
      </c>
      <c r="O295" s="4" t="s">
        <v>24</v>
      </c>
      <c r="P295" s="4" t="s">
        <v>41</v>
      </c>
      <c r="Q295" s="4">
        <v>-4</v>
      </c>
    </row>
    <row r="296" spans="1:17">
      <c r="A296" s="3">
        <v>30147</v>
      </c>
      <c r="B296" s="4" t="s">
        <v>846</v>
      </c>
      <c r="C296" s="4" t="s">
        <v>847</v>
      </c>
      <c r="D296" s="4">
        <v>9717</v>
      </c>
      <c r="E296" s="4" t="s">
        <v>19</v>
      </c>
      <c r="F296" s="5">
        <v>856</v>
      </c>
      <c r="G296" s="5">
        <v>676</v>
      </c>
      <c r="H296" s="5">
        <v>226</v>
      </c>
      <c r="I296" s="4" t="s">
        <v>597</v>
      </c>
      <c r="J296" s="4" t="s">
        <v>598</v>
      </c>
      <c r="K296" s="4" t="s">
        <v>129</v>
      </c>
      <c r="L296" s="4">
        <v>5046357</v>
      </c>
      <c r="M296" s="4">
        <v>5046357</v>
      </c>
      <c r="N296" s="4" t="s">
        <v>23</v>
      </c>
      <c r="O296" s="4" t="s">
        <v>46</v>
      </c>
      <c r="P296" s="4" t="s">
        <v>25</v>
      </c>
      <c r="Q296" s="4">
        <v>6</v>
      </c>
    </row>
    <row r="297" spans="1:17" ht="60">
      <c r="A297" s="3">
        <v>30147</v>
      </c>
      <c r="B297" s="4" t="s">
        <v>848</v>
      </c>
      <c r="C297" s="4" t="str">
        <f ca="1">"NM_001038618"&amp;IF(INFO("system")="mac",CHAR(13),CHAR(10))&amp;"NM_012336"&amp;IF(INFO("system")="mac",CHAR(13),CHAR(10))&amp;"NM_001083608"&amp;IF(INFO("system")="mac",CHAR(13),CHAR(10))&amp;"NM_031968"</f>
        <v>NM_001038618_x000D_NM_012336_x000D_NM_001083608_x000D_NM_031968</v>
      </c>
      <c r="D297" s="4">
        <v>26502</v>
      </c>
      <c r="E297" s="4" t="s">
        <v>68</v>
      </c>
      <c r="F297" s="5" t="s">
        <v>35</v>
      </c>
      <c r="G297" s="5" t="s">
        <v>35</v>
      </c>
      <c r="H297" s="5" t="s">
        <v>35</v>
      </c>
      <c r="I297" s="4" t="s">
        <v>35</v>
      </c>
      <c r="J297" s="4" t="s">
        <v>35</v>
      </c>
      <c r="K297" s="4" t="s">
        <v>133</v>
      </c>
      <c r="L297" s="4">
        <v>80436674</v>
      </c>
      <c r="M297" s="4">
        <v>80436674</v>
      </c>
      <c r="N297" s="4" t="s">
        <v>23</v>
      </c>
      <c r="O297" s="4" t="s">
        <v>25</v>
      </c>
      <c r="P297" s="4" t="s">
        <v>46</v>
      </c>
      <c r="Q297" s="4">
        <v>-4</v>
      </c>
    </row>
    <row r="298" spans="1:17">
      <c r="A298" s="3">
        <v>30147</v>
      </c>
      <c r="B298" s="4" t="s">
        <v>849</v>
      </c>
      <c r="C298" s="4" t="s">
        <v>850</v>
      </c>
      <c r="D298" s="4">
        <v>7053</v>
      </c>
      <c r="E298" s="4" t="s">
        <v>19</v>
      </c>
      <c r="F298" s="5">
        <v>169</v>
      </c>
      <c r="G298" s="5">
        <v>72</v>
      </c>
      <c r="H298" s="5">
        <v>24</v>
      </c>
      <c r="I298" s="4" t="s">
        <v>235</v>
      </c>
      <c r="J298" s="4" t="s">
        <v>851</v>
      </c>
      <c r="K298" s="4" t="s">
        <v>188</v>
      </c>
      <c r="L298" s="4">
        <v>2290367</v>
      </c>
      <c r="M298" s="4">
        <v>2290367</v>
      </c>
      <c r="N298" s="4" t="s">
        <v>23</v>
      </c>
      <c r="O298" s="4" t="s">
        <v>24</v>
      </c>
      <c r="P298" s="4" t="s">
        <v>46</v>
      </c>
      <c r="Q298" s="4">
        <v>1</v>
      </c>
    </row>
    <row r="299" spans="1:17">
      <c r="A299" s="3">
        <v>30147</v>
      </c>
      <c r="B299" s="4" t="s">
        <v>852</v>
      </c>
      <c r="C299" s="4" t="s">
        <v>853</v>
      </c>
      <c r="D299" s="4">
        <v>128653</v>
      </c>
      <c r="E299" s="4" t="s">
        <v>31</v>
      </c>
      <c r="F299" s="5" t="s">
        <v>854</v>
      </c>
      <c r="G299" s="5" t="s">
        <v>855</v>
      </c>
      <c r="H299" s="5">
        <v>110</v>
      </c>
      <c r="I299" s="4" t="s">
        <v>35</v>
      </c>
      <c r="J299" s="4" t="s">
        <v>35</v>
      </c>
      <c r="K299" s="4" t="s">
        <v>188</v>
      </c>
      <c r="L299" s="4">
        <v>2796251</v>
      </c>
      <c r="M299" s="4">
        <v>2796252</v>
      </c>
      <c r="N299" s="4" t="s">
        <v>36</v>
      </c>
      <c r="O299" s="4" t="s">
        <v>856</v>
      </c>
      <c r="P299" s="4"/>
      <c r="Q299" s="4">
        <v>3</v>
      </c>
    </row>
    <row r="300" spans="1:17">
      <c r="A300" s="3">
        <v>30147</v>
      </c>
      <c r="B300" s="4" t="s">
        <v>857</v>
      </c>
      <c r="C300" s="4" t="s">
        <v>858</v>
      </c>
      <c r="D300" s="4">
        <v>401052</v>
      </c>
      <c r="E300" s="4" t="s">
        <v>76</v>
      </c>
      <c r="F300" s="5">
        <v>820</v>
      </c>
      <c r="G300" s="5">
        <v>206</v>
      </c>
      <c r="H300" s="5">
        <v>69</v>
      </c>
      <c r="I300" s="4" t="s">
        <v>77</v>
      </c>
      <c r="J300" s="4" t="s">
        <v>78</v>
      </c>
      <c r="K300" s="4" t="s">
        <v>201</v>
      </c>
      <c r="L300" s="4">
        <v>10049179</v>
      </c>
      <c r="M300" s="4">
        <v>10049179</v>
      </c>
      <c r="N300" s="4" t="s">
        <v>23</v>
      </c>
      <c r="O300" s="4" t="s">
        <v>24</v>
      </c>
      <c r="P300" s="4" t="s">
        <v>41</v>
      </c>
      <c r="Q300" s="4">
        <v>1</v>
      </c>
    </row>
    <row r="301" spans="1:17" ht="45">
      <c r="A301" s="3">
        <v>30147</v>
      </c>
      <c r="B301" s="4" t="s">
        <v>859</v>
      </c>
      <c r="C301" s="4" t="str">
        <f ca="1">"NM_015199"&amp;IF(INFO("system")="mac",CHAR(13),CHAR(10))&amp;"NM_001195099"&amp;IF(INFO("system")="mac",CHAR(13),CHAR(10))&amp;"NM_001195098"</f>
        <v>NM_015199_x000D_NM_001195099_x000D_NM_001195098</v>
      </c>
      <c r="D301" s="4">
        <v>23243</v>
      </c>
      <c r="E301" s="4" t="s">
        <v>68</v>
      </c>
      <c r="F301" s="5" t="s">
        <v>35</v>
      </c>
      <c r="G301" s="5" t="s">
        <v>35</v>
      </c>
      <c r="H301" s="5" t="s">
        <v>35</v>
      </c>
      <c r="I301" s="4" t="s">
        <v>35</v>
      </c>
      <c r="J301" s="4" t="s">
        <v>35</v>
      </c>
      <c r="K301" s="4" t="s">
        <v>201</v>
      </c>
      <c r="L301" s="4">
        <v>15731525</v>
      </c>
      <c r="M301" s="4">
        <v>15731525</v>
      </c>
      <c r="N301" s="4" t="s">
        <v>36</v>
      </c>
      <c r="O301" s="4" t="s">
        <v>46</v>
      </c>
      <c r="P301" s="4"/>
      <c r="Q301" s="4">
        <v>-3</v>
      </c>
    </row>
    <row r="302" spans="1:17">
      <c r="A302" s="3">
        <v>30147</v>
      </c>
      <c r="B302" s="4" t="s">
        <v>860</v>
      </c>
      <c r="C302" s="4" t="s">
        <v>861</v>
      </c>
      <c r="D302" s="4">
        <v>80315</v>
      </c>
      <c r="E302" s="4" t="s">
        <v>232</v>
      </c>
      <c r="F302" s="5" t="s">
        <v>35</v>
      </c>
      <c r="G302" s="5" t="s">
        <v>35</v>
      </c>
      <c r="H302" s="5" t="s">
        <v>35</v>
      </c>
      <c r="I302" s="4" t="s">
        <v>35</v>
      </c>
      <c r="J302" s="4" t="s">
        <v>35</v>
      </c>
      <c r="K302" s="4" t="s">
        <v>226</v>
      </c>
      <c r="L302" s="4">
        <v>173376955</v>
      </c>
      <c r="M302" s="4">
        <v>173376955</v>
      </c>
      <c r="N302" s="4" t="s">
        <v>23</v>
      </c>
      <c r="O302" s="4" t="s">
        <v>41</v>
      </c>
      <c r="P302" s="4" t="s">
        <v>46</v>
      </c>
      <c r="Q302" s="4">
        <v>0</v>
      </c>
    </row>
    <row r="303" spans="1:17">
      <c r="A303" s="3">
        <v>30147</v>
      </c>
      <c r="B303" s="4" t="s">
        <v>862</v>
      </c>
      <c r="C303" s="4" t="s">
        <v>863</v>
      </c>
      <c r="D303" s="4">
        <v>221935</v>
      </c>
      <c r="E303" s="4" t="s">
        <v>76</v>
      </c>
      <c r="F303" s="5">
        <v>3807</v>
      </c>
      <c r="G303" s="5">
        <v>3668</v>
      </c>
      <c r="H303" s="5">
        <v>1223</v>
      </c>
      <c r="I303" s="4" t="s">
        <v>77</v>
      </c>
      <c r="J303" s="4" t="s">
        <v>609</v>
      </c>
      <c r="K303" s="4" t="s">
        <v>257</v>
      </c>
      <c r="L303" s="4">
        <v>4153751</v>
      </c>
      <c r="M303" s="4">
        <v>4153751</v>
      </c>
      <c r="N303" s="4" t="s">
        <v>23</v>
      </c>
      <c r="O303" s="4" t="s">
        <v>46</v>
      </c>
      <c r="P303" s="4" t="s">
        <v>25</v>
      </c>
      <c r="Q303" s="4">
        <v>-4</v>
      </c>
    </row>
    <row r="304" spans="1:17" ht="30">
      <c r="A304" s="3">
        <v>30147</v>
      </c>
      <c r="B304" s="4" t="s">
        <v>864</v>
      </c>
      <c r="C304" s="4" t="str">
        <f ca="1">"NM_001143935"&amp;IF(INFO("system")="mac",CHAR(13),CHAR(10))&amp;"NM_021151"</f>
        <v>NM_001143935_x000D_NM_021151</v>
      </c>
      <c r="D304" s="4">
        <v>54677</v>
      </c>
      <c r="E304" s="4" t="s">
        <v>19</v>
      </c>
      <c r="F304" s="5" t="str">
        <f ca="1">"2129"&amp;IF(INFO("system")="mac",CHAR(13),CHAR(10))&amp;"2045"</f>
        <v>2129_x000D_2045</v>
      </c>
      <c r="G304" s="5" t="str">
        <f ca="1">"1884"&amp;IF(INFO("system")="mac",CHAR(13),CHAR(10))&amp;"1800"</f>
        <v>1884_x000D_1800</v>
      </c>
      <c r="H304" s="5" t="str">
        <f ca="1">"628"&amp;IF(INFO("system")="mac",CHAR(13),CHAR(10))&amp;"600"</f>
        <v>628_x000D_600</v>
      </c>
      <c r="I304" s="4" t="s">
        <v>199</v>
      </c>
      <c r="J304" s="4" t="s">
        <v>633</v>
      </c>
      <c r="K304" s="4" t="s">
        <v>257</v>
      </c>
      <c r="L304" s="4">
        <v>87027921</v>
      </c>
      <c r="M304" s="4">
        <v>87027921</v>
      </c>
      <c r="N304" s="4" t="s">
        <v>23</v>
      </c>
      <c r="O304" s="4" t="s">
        <v>41</v>
      </c>
      <c r="P304" s="4" t="s">
        <v>24</v>
      </c>
      <c r="Q304" s="4">
        <v>2</v>
      </c>
    </row>
    <row r="305" spans="1:17">
      <c r="A305" s="3">
        <v>30147</v>
      </c>
      <c r="B305" s="4" t="s">
        <v>865</v>
      </c>
      <c r="C305" s="4" t="s">
        <v>866</v>
      </c>
      <c r="D305" s="4">
        <v>286204</v>
      </c>
      <c r="E305" s="4" t="s">
        <v>19</v>
      </c>
      <c r="F305" s="5">
        <v>3710</v>
      </c>
      <c r="G305" s="5">
        <v>3618</v>
      </c>
      <c r="H305" s="5">
        <v>1206</v>
      </c>
      <c r="I305" s="4" t="s">
        <v>250</v>
      </c>
      <c r="J305" s="4" t="s">
        <v>251</v>
      </c>
      <c r="K305" s="4" t="s">
        <v>292</v>
      </c>
      <c r="L305" s="4">
        <v>126137607</v>
      </c>
      <c r="M305" s="4">
        <v>126137607</v>
      </c>
      <c r="N305" s="4" t="s">
        <v>23</v>
      </c>
      <c r="O305" s="4" t="s">
        <v>24</v>
      </c>
      <c r="P305" s="4" t="s">
        <v>41</v>
      </c>
      <c r="Q305" s="4">
        <v>9</v>
      </c>
    </row>
    <row r="306" spans="1:17" ht="60">
      <c r="A306" s="3">
        <v>30374</v>
      </c>
      <c r="B306" s="4" t="s">
        <v>867</v>
      </c>
      <c r="C306" s="4" t="str">
        <f ca="1">"NM_080630"&amp;IF(INFO("system")="mac",CHAR(13),CHAR(10))&amp;"NM_001854"&amp;IF(INFO("system")="mac",CHAR(13),CHAR(10))&amp;"NM_001190709"&amp;IF(INFO("system")="mac",CHAR(13),CHAR(10))&amp;"NM_080629"</f>
        <v>NM_080630_x000D_NM_001854_x000D_NM_001190709_x000D_NM_080629</v>
      </c>
      <c r="D306" s="4">
        <v>1301</v>
      </c>
      <c r="E306" s="4" t="s">
        <v>19</v>
      </c>
      <c r="F306" s="5" t="str">
        <f ca="1">"5213"&amp;IF(INFO("system")="mac",CHAR(13),CHAR(10))&amp;"5561"&amp;IF(INFO("system")="mac",CHAR(13),CHAR(10))&amp;"5444"&amp;IF(INFO("system")="mac",CHAR(13),CHAR(10))&amp;"5597"</f>
        <v>5213_x000D_5561_x000D_5444_x000D_5597</v>
      </c>
      <c r="G306" s="5" t="str">
        <f ca="1">"4895"&amp;IF(INFO("system")="mac",CHAR(13),CHAR(10))&amp;"5243"&amp;IF(INFO("system")="mac",CHAR(13),CHAR(10))&amp;"5126"&amp;IF(INFO("system")="mac",CHAR(13),CHAR(10))&amp;"5279"</f>
        <v>4895_x000D_5243_x000D_5126_x000D_5279</v>
      </c>
      <c r="H306" s="5" t="str">
        <f ca="1">"1632"&amp;IF(INFO("system")="mac",CHAR(13),CHAR(10))&amp;"1748"&amp;IF(INFO("system")="mac",CHAR(13),CHAR(10))&amp;"1709"&amp;IF(INFO("system")="mac",CHAR(13),CHAR(10))&amp;"1760"</f>
        <v>1632_x000D_1748_x000D_1709_x000D_1760</v>
      </c>
      <c r="I306" s="4" t="s">
        <v>86</v>
      </c>
      <c r="J306" s="4" t="s">
        <v>87</v>
      </c>
      <c r="K306" s="4" t="s">
        <v>22</v>
      </c>
      <c r="L306" s="4">
        <v>103345270</v>
      </c>
      <c r="M306" s="4">
        <v>103345270</v>
      </c>
      <c r="N306" s="4" t="s">
        <v>23</v>
      </c>
      <c r="O306" s="4" t="s">
        <v>24</v>
      </c>
      <c r="P306" s="4" t="s">
        <v>46</v>
      </c>
      <c r="Q306" s="4">
        <v>7</v>
      </c>
    </row>
    <row r="307" spans="1:17">
      <c r="A307" s="3">
        <v>30374</v>
      </c>
      <c r="B307" s="4" t="s">
        <v>868</v>
      </c>
      <c r="C307" s="4" t="s">
        <v>869</v>
      </c>
      <c r="D307" s="4">
        <v>448834</v>
      </c>
      <c r="E307" s="4" t="s">
        <v>19</v>
      </c>
      <c r="F307" s="5">
        <v>87</v>
      </c>
      <c r="G307" s="5">
        <v>29</v>
      </c>
      <c r="H307" s="5">
        <v>10</v>
      </c>
      <c r="I307" s="4" t="s">
        <v>72</v>
      </c>
      <c r="J307" s="4" t="s">
        <v>73</v>
      </c>
      <c r="K307" s="4" t="s">
        <v>22</v>
      </c>
      <c r="L307" s="4">
        <v>152732093</v>
      </c>
      <c r="M307" s="4">
        <v>152732093</v>
      </c>
      <c r="N307" s="4" t="s">
        <v>23</v>
      </c>
      <c r="O307" s="4" t="s">
        <v>24</v>
      </c>
      <c r="P307" s="4" t="s">
        <v>25</v>
      </c>
      <c r="Q307" s="4">
        <v>1</v>
      </c>
    </row>
    <row r="308" spans="1:17">
      <c r="A308" s="3">
        <v>30374</v>
      </c>
      <c r="B308" s="4" t="s">
        <v>870</v>
      </c>
      <c r="C308" s="4" t="s">
        <v>871</v>
      </c>
      <c r="D308" s="4">
        <v>339512</v>
      </c>
      <c r="E308" s="4" t="s">
        <v>19</v>
      </c>
      <c r="F308" s="5">
        <v>962</v>
      </c>
      <c r="G308" s="5">
        <v>787</v>
      </c>
      <c r="H308" s="5">
        <v>263</v>
      </c>
      <c r="I308" s="4" t="s">
        <v>20</v>
      </c>
      <c r="J308" s="4" t="s">
        <v>21</v>
      </c>
      <c r="K308" s="4" t="s">
        <v>22</v>
      </c>
      <c r="L308" s="4">
        <v>162824677</v>
      </c>
      <c r="M308" s="4">
        <v>162824677</v>
      </c>
      <c r="N308" s="4" t="s">
        <v>23</v>
      </c>
      <c r="O308" s="4" t="s">
        <v>46</v>
      </c>
      <c r="P308" s="4" t="s">
        <v>41</v>
      </c>
      <c r="Q308" s="4">
        <v>7</v>
      </c>
    </row>
    <row r="309" spans="1:17">
      <c r="A309" s="3">
        <v>30374</v>
      </c>
      <c r="B309" s="4" t="s">
        <v>872</v>
      </c>
      <c r="C309" s="4" t="s">
        <v>873</v>
      </c>
      <c r="D309" s="4">
        <v>63923</v>
      </c>
      <c r="E309" s="4" t="s">
        <v>19</v>
      </c>
      <c r="F309" s="5">
        <v>2334</v>
      </c>
      <c r="G309" s="5">
        <v>2221</v>
      </c>
      <c r="H309" s="5">
        <v>741</v>
      </c>
      <c r="I309" s="4" t="s">
        <v>559</v>
      </c>
      <c r="J309" s="4" t="s">
        <v>560</v>
      </c>
      <c r="K309" s="4" t="s">
        <v>22</v>
      </c>
      <c r="L309" s="4">
        <v>175086176</v>
      </c>
      <c r="M309" s="4">
        <v>175086176</v>
      </c>
      <c r="N309" s="4" t="s">
        <v>23</v>
      </c>
      <c r="O309" s="4" t="s">
        <v>46</v>
      </c>
      <c r="P309" s="4" t="s">
        <v>41</v>
      </c>
      <c r="Q309" s="4">
        <v>-5</v>
      </c>
    </row>
    <row r="310" spans="1:17">
      <c r="A310" s="3">
        <v>30374</v>
      </c>
      <c r="B310" s="4" t="s">
        <v>874</v>
      </c>
      <c r="C310" s="4" t="s">
        <v>875</v>
      </c>
      <c r="D310" s="4">
        <v>81626</v>
      </c>
      <c r="E310" s="4" t="s">
        <v>19</v>
      </c>
      <c r="F310" s="5">
        <v>682</v>
      </c>
      <c r="G310" s="5">
        <v>397</v>
      </c>
      <c r="H310" s="5">
        <v>133</v>
      </c>
      <c r="I310" s="4" t="s">
        <v>127</v>
      </c>
      <c r="J310" s="4" t="s">
        <v>128</v>
      </c>
      <c r="K310" s="4" t="s">
        <v>22</v>
      </c>
      <c r="L310" s="4">
        <v>182921872</v>
      </c>
      <c r="M310" s="4">
        <v>182921872</v>
      </c>
      <c r="N310" s="4" t="s">
        <v>23</v>
      </c>
      <c r="O310" s="4" t="s">
        <v>46</v>
      </c>
      <c r="P310" s="4" t="s">
        <v>24</v>
      </c>
      <c r="Q310" s="4">
        <v>-4</v>
      </c>
    </row>
    <row r="311" spans="1:17">
      <c r="A311" s="3">
        <v>30374</v>
      </c>
      <c r="B311" s="4" t="s">
        <v>876</v>
      </c>
      <c r="C311" s="4" t="s">
        <v>877</v>
      </c>
      <c r="D311" s="4">
        <v>84033</v>
      </c>
      <c r="E311" s="4" t="s">
        <v>19</v>
      </c>
      <c r="F311" s="5">
        <v>23604</v>
      </c>
      <c r="G311" s="5">
        <v>23560</v>
      </c>
      <c r="H311" s="5">
        <v>7854</v>
      </c>
      <c r="I311" s="4" t="s">
        <v>535</v>
      </c>
      <c r="J311" s="4" t="s">
        <v>878</v>
      </c>
      <c r="K311" s="4" t="s">
        <v>22</v>
      </c>
      <c r="L311" s="4">
        <v>228565688</v>
      </c>
      <c r="M311" s="4">
        <v>228565688</v>
      </c>
      <c r="N311" s="4" t="s">
        <v>23</v>
      </c>
      <c r="O311" s="4" t="s">
        <v>24</v>
      </c>
      <c r="P311" s="4" t="s">
        <v>25</v>
      </c>
      <c r="Q311" s="4">
        <v>-4</v>
      </c>
    </row>
    <row r="312" spans="1:17">
      <c r="A312" s="3">
        <v>30374</v>
      </c>
      <c r="B312" s="4" t="s">
        <v>879</v>
      </c>
      <c r="C312" s="4" t="s">
        <v>880</v>
      </c>
      <c r="D312" s="4">
        <v>6146</v>
      </c>
      <c r="E312" s="4" t="s">
        <v>31</v>
      </c>
      <c r="F312" s="5">
        <v>137</v>
      </c>
      <c r="G312" s="5">
        <v>91</v>
      </c>
      <c r="H312" s="5">
        <v>31</v>
      </c>
      <c r="I312" s="4" t="s">
        <v>35</v>
      </c>
      <c r="J312" s="4" t="s">
        <v>35</v>
      </c>
      <c r="K312" s="4" t="s">
        <v>22</v>
      </c>
      <c r="L312" s="4">
        <v>6257738</v>
      </c>
      <c r="M312" s="4">
        <v>6257738</v>
      </c>
      <c r="N312" s="4" t="s">
        <v>36</v>
      </c>
      <c r="O312" s="4" t="s">
        <v>46</v>
      </c>
      <c r="P312" s="4"/>
      <c r="Q312" s="4">
        <v>2</v>
      </c>
    </row>
    <row r="313" spans="1:17">
      <c r="A313" s="3">
        <v>30374</v>
      </c>
      <c r="B313" s="4" t="s">
        <v>881</v>
      </c>
      <c r="C313" s="4" t="s">
        <v>882</v>
      </c>
      <c r="D313" s="4">
        <v>84144</v>
      </c>
      <c r="E313" s="4" t="s">
        <v>19</v>
      </c>
      <c r="F313" s="5">
        <v>1142</v>
      </c>
      <c r="G313" s="5">
        <v>1093</v>
      </c>
      <c r="H313" s="5">
        <v>365</v>
      </c>
      <c r="I313" s="4" t="s">
        <v>462</v>
      </c>
      <c r="J313" s="4" t="s">
        <v>883</v>
      </c>
      <c r="K313" s="4" t="s">
        <v>22</v>
      </c>
      <c r="L313" s="4">
        <v>85656088</v>
      </c>
      <c r="M313" s="4">
        <v>85656088</v>
      </c>
      <c r="N313" s="4" t="s">
        <v>23</v>
      </c>
      <c r="O313" s="4" t="s">
        <v>46</v>
      </c>
      <c r="P313" s="4" t="s">
        <v>25</v>
      </c>
      <c r="Q313" s="4">
        <v>4</v>
      </c>
    </row>
    <row r="314" spans="1:17">
      <c r="A314" s="3">
        <v>30374</v>
      </c>
      <c r="B314" s="4" t="s">
        <v>884</v>
      </c>
      <c r="C314" s="4" t="s">
        <v>885</v>
      </c>
      <c r="D314" s="4">
        <v>54906</v>
      </c>
      <c r="E314" s="4" t="s">
        <v>19</v>
      </c>
      <c r="F314" s="5">
        <v>2835</v>
      </c>
      <c r="G314" s="5">
        <v>2210</v>
      </c>
      <c r="H314" s="5">
        <v>737</v>
      </c>
      <c r="I314" s="4" t="s">
        <v>294</v>
      </c>
      <c r="J314" s="4" t="s">
        <v>886</v>
      </c>
      <c r="K314" s="4" t="s">
        <v>69</v>
      </c>
      <c r="L314" s="4">
        <v>5782343</v>
      </c>
      <c r="M314" s="4">
        <v>5782343</v>
      </c>
      <c r="N314" s="4" t="s">
        <v>23</v>
      </c>
      <c r="O314" s="4" t="s">
        <v>41</v>
      </c>
      <c r="P314" s="4" t="s">
        <v>24</v>
      </c>
      <c r="Q314" s="4">
        <v>2</v>
      </c>
    </row>
    <row r="315" spans="1:17" ht="30">
      <c r="A315" s="3">
        <v>30374</v>
      </c>
      <c r="B315" s="4" t="s">
        <v>887</v>
      </c>
      <c r="C315" s="4" t="str">
        <f ca="1">"NM_001142505"&amp;IF(INFO("system")="mac",CHAR(13),CHAR(10))&amp;"NM_022169"</f>
        <v>NM_001142505_x000D_NM_022169</v>
      </c>
      <c r="D315" s="4">
        <v>64137</v>
      </c>
      <c r="E315" s="4" t="s">
        <v>19</v>
      </c>
      <c r="F315" s="5" t="str">
        <f ca="1">"690"&amp;IF(INFO("system")="mac",CHAR(13),CHAR(10))&amp;"914"</f>
        <v>690_x000D_914</v>
      </c>
      <c r="G315" s="5">
        <v>578</v>
      </c>
      <c r="H315" s="5">
        <v>193</v>
      </c>
      <c r="I315" s="4" t="s">
        <v>617</v>
      </c>
      <c r="J315" s="4" t="s">
        <v>732</v>
      </c>
      <c r="K315" s="4" t="s">
        <v>83</v>
      </c>
      <c r="L315" s="4">
        <v>119025517</v>
      </c>
      <c r="M315" s="4">
        <v>119025517</v>
      </c>
      <c r="N315" s="4" t="s">
        <v>23</v>
      </c>
      <c r="O315" s="4" t="s">
        <v>24</v>
      </c>
      <c r="P315" s="4" t="s">
        <v>25</v>
      </c>
      <c r="Q315" s="4">
        <v>7</v>
      </c>
    </row>
    <row r="316" spans="1:17">
      <c r="A316" s="3">
        <v>30374</v>
      </c>
      <c r="B316" s="4" t="s">
        <v>888</v>
      </c>
      <c r="C316" s="4" t="s">
        <v>889</v>
      </c>
      <c r="D316" s="4">
        <v>7007</v>
      </c>
      <c r="E316" s="4" t="s">
        <v>19</v>
      </c>
      <c r="F316" s="5">
        <v>5679</v>
      </c>
      <c r="G316" s="5">
        <v>5679</v>
      </c>
      <c r="H316" s="5">
        <v>1893</v>
      </c>
      <c r="I316" s="4" t="s">
        <v>360</v>
      </c>
      <c r="J316" s="4" t="s">
        <v>890</v>
      </c>
      <c r="K316" s="4" t="s">
        <v>83</v>
      </c>
      <c r="L316" s="4">
        <v>121038855</v>
      </c>
      <c r="M316" s="4">
        <v>121038855</v>
      </c>
      <c r="N316" s="4" t="s">
        <v>23</v>
      </c>
      <c r="O316" s="4" t="s">
        <v>41</v>
      </c>
      <c r="P316" s="4" t="s">
        <v>25</v>
      </c>
      <c r="Q316" s="4">
        <v>5</v>
      </c>
    </row>
    <row r="317" spans="1:17" ht="45">
      <c r="A317" s="3">
        <v>30374</v>
      </c>
      <c r="B317" s="4" t="s">
        <v>891</v>
      </c>
      <c r="C317" s="4" t="str">
        <f ca="1">"NM_001122630"&amp;IF(INFO("system")="mac",CHAR(13),CHAR(10))&amp;"NM_000076"&amp;IF(INFO("system")="mac",CHAR(13),CHAR(10))&amp;"NM_001122631"</f>
        <v>NM_001122630_x000D_NM_000076_x000D_NM_001122631</v>
      </c>
      <c r="D317" s="4">
        <v>1028</v>
      </c>
      <c r="E317" s="4" t="str">
        <f ca="1">"NMD_TRANSCRIPT,NON_SYNONYMOUS_CODING"&amp;IF(INFO("system")="mac",CHAR(13),CHAR(10))&amp;"NON_SYNONYMOUS_CODING"&amp;IF(INFO("system")="mac",CHAR(13),CHAR(10))&amp;"NMD_TRANSCRIPT,NON_SYNONYMOUS_CODING"</f>
        <v>NMD_TRANSCRIPT,NON_SYNONYMOUS_CODING_x000D_NON_SYNONYMOUS_CODING_x000D_NMD_TRANSCRIPT,NON_SYNONYMOUS_CODING</v>
      </c>
      <c r="F317" s="5" t="str">
        <f ca="1">"987"&amp;IF(INFO("system")="mac",CHAR(13),CHAR(10))&amp;"1154"&amp;IF(INFO("system")="mac",CHAR(13),CHAR(10))&amp;"987"</f>
        <v>987_x000D_1154_x000D_987</v>
      </c>
      <c r="G317" s="5" t="str">
        <f ca="1">"845"&amp;IF(INFO("system")="mac",CHAR(13),CHAR(10))&amp;"878"&amp;IF(INFO("system")="mac",CHAR(13),CHAR(10))&amp;"845"</f>
        <v>845_x000D_878_x000D_845</v>
      </c>
      <c r="H317" s="5" t="str">
        <f ca="1">"282"&amp;IF(INFO("system")="mac",CHAR(13),CHAR(10))&amp;"293"&amp;IF(INFO("system")="mac",CHAR(13),CHAR(10))&amp;"282"</f>
        <v>282_x000D_293_x000D_282</v>
      </c>
      <c r="I317" s="4" t="s">
        <v>229</v>
      </c>
      <c r="J317" s="4" t="s">
        <v>230</v>
      </c>
      <c r="K317" s="4" t="s">
        <v>83</v>
      </c>
      <c r="L317" s="4">
        <v>2905307</v>
      </c>
      <c r="M317" s="4">
        <v>2905307</v>
      </c>
      <c r="N317" s="4" t="s">
        <v>23</v>
      </c>
      <c r="O317" s="4" t="s">
        <v>24</v>
      </c>
      <c r="P317" s="4" t="s">
        <v>25</v>
      </c>
      <c r="Q317" s="4">
        <v>10</v>
      </c>
    </row>
    <row r="318" spans="1:17">
      <c r="A318" s="3">
        <v>30374</v>
      </c>
      <c r="B318" s="4" t="s">
        <v>892</v>
      </c>
      <c r="C318" s="4" t="s">
        <v>893</v>
      </c>
      <c r="D318" s="4">
        <v>3636</v>
      </c>
      <c r="E318" s="4" t="s">
        <v>19</v>
      </c>
      <c r="F318" s="5">
        <v>336</v>
      </c>
      <c r="G318" s="5">
        <v>189</v>
      </c>
      <c r="H318" s="5">
        <v>63</v>
      </c>
      <c r="I318" s="4" t="s">
        <v>250</v>
      </c>
      <c r="J318" s="4" t="s">
        <v>251</v>
      </c>
      <c r="K318" s="4" t="s">
        <v>83</v>
      </c>
      <c r="L318" s="4">
        <v>71939240</v>
      </c>
      <c r="M318" s="4">
        <v>71939240</v>
      </c>
      <c r="N318" s="4" t="s">
        <v>23</v>
      </c>
      <c r="O318" s="4" t="s">
        <v>24</v>
      </c>
      <c r="P318" s="4" t="s">
        <v>41</v>
      </c>
      <c r="Q318" s="4">
        <v>2</v>
      </c>
    </row>
    <row r="319" spans="1:17" ht="30">
      <c r="A319" s="3">
        <v>30374</v>
      </c>
      <c r="B319" s="4" t="s">
        <v>894</v>
      </c>
      <c r="C319" s="4" t="str">
        <f ca="1">"NM_001143779"&amp;IF(INFO("system")="mac",CHAR(13),CHAR(10))&amp;"NM_014055"</f>
        <v>NM_001143779_x000D_NM_014055</v>
      </c>
      <c r="D319" s="4">
        <v>28981</v>
      </c>
      <c r="E319" s="4" t="s">
        <v>19</v>
      </c>
      <c r="F319" s="5" t="str">
        <f ca="1">"1652"&amp;IF(INFO("system")="mac",CHAR(13),CHAR(10))&amp;"2070"</f>
        <v>1652_x000D_2070</v>
      </c>
      <c r="G319" s="5">
        <v>1522</v>
      </c>
      <c r="H319" s="5">
        <v>508</v>
      </c>
      <c r="I319" s="4" t="s">
        <v>98</v>
      </c>
      <c r="J319" s="4" t="s">
        <v>99</v>
      </c>
      <c r="K319" s="4" t="s">
        <v>104</v>
      </c>
      <c r="L319" s="4">
        <v>110630476</v>
      </c>
      <c r="M319" s="4">
        <v>110630476</v>
      </c>
      <c r="N319" s="4" t="s">
        <v>23</v>
      </c>
      <c r="O319" s="4" t="s">
        <v>25</v>
      </c>
      <c r="P319" s="4" t="s">
        <v>24</v>
      </c>
      <c r="Q319" s="4">
        <v>0</v>
      </c>
    </row>
    <row r="320" spans="1:17">
      <c r="A320" s="3">
        <v>30374</v>
      </c>
      <c r="B320" s="4" t="s">
        <v>895</v>
      </c>
      <c r="C320" s="4" t="s">
        <v>896</v>
      </c>
      <c r="D320" s="4">
        <v>144402</v>
      </c>
      <c r="E320" s="4" t="s">
        <v>232</v>
      </c>
      <c r="F320" s="5" t="s">
        <v>35</v>
      </c>
      <c r="G320" s="5" t="s">
        <v>35</v>
      </c>
      <c r="H320" s="5" t="s">
        <v>35</v>
      </c>
      <c r="I320" s="4" t="s">
        <v>35</v>
      </c>
      <c r="J320" s="4" t="s">
        <v>35</v>
      </c>
      <c r="K320" s="4" t="s">
        <v>104</v>
      </c>
      <c r="L320" s="4">
        <v>39071364</v>
      </c>
      <c r="M320" s="4">
        <v>39071364</v>
      </c>
      <c r="N320" s="4" t="s">
        <v>23</v>
      </c>
      <c r="O320" s="4" t="s">
        <v>24</v>
      </c>
      <c r="P320" s="4" t="s">
        <v>25</v>
      </c>
      <c r="Q320" s="4">
        <v>6</v>
      </c>
    </row>
    <row r="321" spans="1:17" ht="45">
      <c r="A321" s="3">
        <v>30374</v>
      </c>
      <c r="B321" s="4" t="str">
        <f ca="1">"LOC100653234"&amp;IF(INFO("system")="mac",CHAR(13),CHAR(10))&amp;"-"</f>
        <v>LOC100653234_x000D_-</v>
      </c>
      <c r="C321" s="4" t="str">
        <f ca="1">"XM_003403644"&amp;IF(INFO("system")="mac",CHAR(13),CHAR(10))&amp;"XM_003403524"</f>
        <v>XM_003403644_x000D_XM_003403524</v>
      </c>
      <c r="D321" s="4" t="str">
        <f ca="1">"100653234"&amp;IF(INFO("system")="mac",CHAR(13),CHAR(10))&amp;"100652946"</f>
        <v>100653234_x000D_100652946</v>
      </c>
      <c r="E321" s="4" t="s">
        <v>19</v>
      </c>
      <c r="F321" s="5" t="str">
        <f ca="1">"256"&amp;IF(INFO("system")="mac",CHAR(13),CHAR(10))&amp;"289"</f>
        <v>256_x000D_289</v>
      </c>
      <c r="G321" s="5" t="str">
        <f ca="1">"256"&amp;IF(INFO("system")="mac",CHAR(13),CHAR(10))&amp;"289"</f>
        <v>256_x000D_289</v>
      </c>
      <c r="H321" s="5" t="str">
        <f ca="1">"86"&amp;IF(INFO("system")="mac",CHAR(13),CHAR(10))&amp;"97"</f>
        <v>86_x000D_97</v>
      </c>
      <c r="I321" s="4" t="s">
        <v>199</v>
      </c>
      <c r="J321" s="4" t="s">
        <v>266</v>
      </c>
      <c r="K321" s="4" t="s">
        <v>104</v>
      </c>
      <c r="L321" s="4">
        <v>40802081</v>
      </c>
      <c r="M321" s="4">
        <v>40802081</v>
      </c>
      <c r="N321" s="4" t="s">
        <v>23</v>
      </c>
      <c r="O321" s="4" t="s">
        <v>41</v>
      </c>
      <c r="P321" s="4" t="s">
        <v>46</v>
      </c>
      <c r="Q321" s="4">
        <v>8</v>
      </c>
    </row>
    <row r="322" spans="1:17">
      <c r="A322" s="3">
        <v>30374</v>
      </c>
      <c r="B322" s="4" t="s">
        <v>897</v>
      </c>
      <c r="C322" s="4" t="s">
        <v>898</v>
      </c>
      <c r="D322" s="4">
        <v>342184</v>
      </c>
      <c r="E322" s="4" t="s">
        <v>19</v>
      </c>
      <c r="F322" s="5">
        <v>1157</v>
      </c>
      <c r="G322" s="5">
        <v>1157</v>
      </c>
      <c r="H322" s="5">
        <v>386</v>
      </c>
      <c r="I322" s="4" t="s">
        <v>899</v>
      </c>
      <c r="J322" s="4" t="s">
        <v>900</v>
      </c>
      <c r="K322" s="4" t="s">
        <v>120</v>
      </c>
      <c r="L322" s="4">
        <v>33358929</v>
      </c>
      <c r="M322" s="4">
        <v>33358929</v>
      </c>
      <c r="N322" s="4" t="s">
        <v>23</v>
      </c>
      <c r="O322" s="4" t="s">
        <v>24</v>
      </c>
      <c r="P322" s="4" t="s">
        <v>41</v>
      </c>
      <c r="Q322" s="4">
        <v>6</v>
      </c>
    </row>
    <row r="323" spans="1:17">
      <c r="A323" s="3">
        <v>30374</v>
      </c>
      <c r="B323" s="4" t="s">
        <v>901</v>
      </c>
      <c r="C323" s="4" t="s">
        <v>902</v>
      </c>
      <c r="D323" s="4">
        <v>54768</v>
      </c>
      <c r="E323" s="4" t="s">
        <v>232</v>
      </c>
      <c r="F323" s="5" t="s">
        <v>35</v>
      </c>
      <c r="G323" s="5" t="s">
        <v>35</v>
      </c>
      <c r="H323" s="5" t="s">
        <v>35</v>
      </c>
      <c r="I323" s="4" t="s">
        <v>35</v>
      </c>
      <c r="J323" s="4" t="s">
        <v>35</v>
      </c>
      <c r="K323" s="4" t="s">
        <v>129</v>
      </c>
      <c r="L323" s="4">
        <v>70913393</v>
      </c>
      <c r="M323" s="4">
        <v>70913393</v>
      </c>
      <c r="N323" s="4" t="s">
        <v>23</v>
      </c>
      <c r="O323" s="4" t="s">
        <v>41</v>
      </c>
      <c r="P323" s="4" t="s">
        <v>46</v>
      </c>
      <c r="Q323" s="4">
        <v>0</v>
      </c>
    </row>
    <row r="324" spans="1:17">
      <c r="A324" s="3">
        <v>30374</v>
      </c>
      <c r="B324" s="4" t="s">
        <v>903</v>
      </c>
      <c r="C324" s="4" t="s">
        <v>904</v>
      </c>
      <c r="D324" s="4">
        <v>64428</v>
      </c>
      <c r="E324" s="4" t="s">
        <v>68</v>
      </c>
      <c r="F324" s="5" t="s">
        <v>35</v>
      </c>
      <c r="G324" s="5" t="s">
        <v>35</v>
      </c>
      <c r="H324" s="5" t="s">
        <v>35</v>
      </c>
      <c r="I324" s="4" t="s">
        <v>35</v>
      </c>
      <c r="J324" s="4" t="s">
        <v>35</v>
      </c>
      <c r="K324" s="4" t="s">
        <v>129</v>
      </c>
      <c r="L324" s="4">
        <v>787185</v>
      </c>
      <c r="M324" s="4">
        <v>787185</v>
      </c>
      <c r="N324" s="4" t="s">
        <v>23</v>
      </c>
      <c r="O324" s="4" t="s">
        <v>46</v>
      </c>
      <c r="P324" s="4" t="s">
        <v>41</v>
      </c>
      <c r="Q324" s="4">
        <v>0</v>
      </c>
    </row>
    <row r="325" spans="1:17" ht="30">
      <c r="A325" s="3">
        <v>30374</v>
      </c>
      <c r="B325" s="4" t="s">
        <v>905</v>
      </c>
      <c r="C325" s="4" t="str">
        <f ca="1">"NM_001042450"&amp;IF(INFO("system")="mac",CHAR(13),CHAR(10))&amp;"NM_152351"</f>
        <v>NM_001042450_x000D_NM_152351</v>
      </c>
      <c r="D325" s="4">
        <v>125206</v>
      </c>
      <c r="E325" s="4" t="s">
        <v>19</v>
      </c>
      <c r="F325" s="5">
        <v>873</v>
      </c>
      <c r="G325" s="5">
        <v>832</v>
      </c>
      <c r="H325" s="5">
        <v>278</v>
      </c>
      <c r="I325" s="4" t="s">
        <v>81</v>
      </c>
      <c r="J325" s="4" t="s">
        <v>82</v>
      </c>
      <c r="K325" s="4" t="s">
        <v>133</v>
      </c>
      <c r="L325" s="4">
        <v>18874517</v>
      </c>
      <c r="M325" s="4">
        <v>18874517</v>
      </c>
      <c r="N325" s="4" t="s">
        <v>23</v>
      </c>
      <c r="O325" s="4" t="s">
        <v>41</v>
      </c>
      <c r="P325" s="4" t="s">
        <v>24</v>
      </c>
      <c r="Q325" s="4">
        <v>4</v>
      </c>
    </row>
    <row r="326" spans="1:17" ht="30">
      <c r="A326" s="3">
        <v>30374</v>
      </c>
      <c r="B326" s="4" t="s">
        <v>906</v>
      </c>
      <c r="C326" s="4" t="str">
        <f ca="1">"NM_031220"&amp;IF(INFO("system")="mac",CHAR(13),CHAR(10))&amp;"NM_001165966"</f>
        <v>NM_031220_x000D_NM_001165966</v>
      </c>
      <c r="D326" s="4">
        <v>83394</v>
      </c>
      <c r="E326" s="4" t="s">
        <v>19</v>
      </c>
      <c r="F326" s="5" t="str">
        <f ca="1">"528"&amp;IF(INFO("system")="mac",CHAR(13),CHAR(10))&amp;"420"</f>
        <v>528_x000D_420</v>
      </c>
      <c r="G326" s="5" t="str">
        <f ca="1">"377"&amp;IF(INFO("system")="mac",CHAR(13),CHAR(10))&amp;"269"</f>
        <v>377_x000D_269</v>
      </c>
      <c r="H326" s="5" t="str">
        <f ca="1">"126"&amp;IF(INFO("system")="mac",CHAR(13),CHAR(10))&amp;"90"</f>
        <v>126_x000D_90</v>
      </c>
      <c r="I326" s="4" t="s">
        <v>907</v>
      </c>
      <c r="J326" s="4" t="s">
        <v>908</v>
      </c>
      <c r="K326" s="4" t="s">
        <v>133</v>
      </c>
      <c r="L326" s="4">
        <v>6387047</v>
      </c>
      <c r="M326" s="4">
        <v>6387047</v>
      </c>
      <c r="N326" s="4" t="s">
        <v>23</v>
      </c>
      <c r="O326" s="4" t="s">
        <v>41</v>
      </c>
      <c r="P326" s="4" t="s">
        <v>46</v>
      </c>
      <c r="Q326" s="4">
        <v>2</v>
      </c>
    </row>
    <row r="327" spans="1:17" ht="30">
      <c r="A327" s="3">
        <v>30374</v>
      </c>
      <c r="B327" s="4" t="s">
        <v>909</v>
      </c>
      <c r="C327" s="4" t="str">
        <f ca="1">"XM_001719792"&amp;IF(INFO("system")="mac",CHAR(13),CHAR(10))&amp;"XM_001715065"</f>
        <v>XM_001719792_x000D_XM_001715065</v>
      </c>
      <c r="D327" s="4">
        <v>100129543</v>
      </c>
      <c r="E327" s="4" t="s">
        <v>19</v>
      </c>
      <c r="F327" s="5" t="str">
        <f ca="1">"2687"&amp;IF(INFO("system")="mac",CHAR(13),CHAR(10))&amp;"1242"</f>
        <v>2687_x000D_1242</v>
      </c>
      <c r="G327" s="5" t="str">
        <f ca="1">"2687"&amp;IF(INFO("system")="mac",CHAR(13),CHAR(10))&amp;"1043"</f>
        <v>2687_x000D_1043</v>
      </c>
      <c r="H327" s="5" t="str">
        <f ca="1">"896"&amp;IF(INFO("system")="mac",CHAR(13),CHAR(10))&amp;"348"</f>
        <v>896_x000D_348</v>
      </c>
      <c r="I327" s="4" t="s">
        <v>442</v>
      </c>
      <c r="J327" s="4" t="s">
        <v>443</v>
      </c>
      <c r="K327" s="4" t="s">
        <v>139</v>
      </c>
      <c r="L327" s="4">
        <v>23328889</v>
      </c>
      <c r="M327" s="4">
        <v>23328889</v>
      </c>
      <c r="N327" s="4" t="s">
        <v>23</v>
      </c>
      <c r="O327" s="4" t="s">
        <v>46</v>
      </c>
      <c r="P327" s="4" t="s">
        <v>24</v>
      </c>
      <c r="Q327" s="4">
        <v>-4</v>
      </c>
    </row>
    <row r="328" spans="1:17" ht="45">
      <c r="A328" s="3">
        <v>30374</v>
      </c>
      <c r="B328" s="4" t="s">
        <v>910</v>
      </c>
      <c r="C328" s="4" t="str">
        <f ca="1">"NM_032123"&amp;IF(INFO("system")="mac",CHAR(13),CHAR(10))&amp;"NM_199180"&amp;IF(INFO("system")="mac",CHAR(13),CHAR(10))&amp;"NM_199179"</f>
        <v>NM_032123_x000D_NM_199180_x000D_NM_199179</v>
      </c>
      <c r="D328" s="4">
        <v>84063</v>
      </c>
      <c r="E328" s="4" t="s">
        <v>68</v>
      </c>
      <c r="F328" s="5" t="s">
        <v>35</v>
      </c>
      <c r="G328" s="5" t="s">
        <v>35</v>
      </c>
      <c r="H328" s="5" t="s">
        <v>35</v>
      </c>
      <c r="I328" s="4" t="s">
        <v>35</v>
      </c>
      <c r="J328" s="4" t="s">
        <v>35</v>
      </c>
      <c r="K328" s="4" t="s">
        <v>139</v>
      </c>
      <c r="L328" s="4">
        <v>36352022</v>
      </c>
      <c r="M328" s="4">
        <v>36352022</v>
      </c>
      <c r="N328" s="4" t="s">
        <v>23</v>
      </c>
      <c r="O328" s="4" t="s">
        <v>25</v>
      </c>
      <c r="P328" s="4" t="s">
        <v>41</v>
      </c>
      <c r="Q328" s="4">
        <v>-3</v>
      </c>
    </row>
    <row r="329" spans="1:17">
      <c r="A329" s="3">
        <v>30374</v>
      </c>
      <c r="B329" s="4" t="s">
        <v>911</v>
      </c>
      <c r="C329" s="4" t="s">
        <v>912</v>
      </c>
      <c r="D329" s="4">
        <v>84787</v>
      </c>
      <c r="E329" s="4" t="s">
        <v>19</v>
      </c>
      <c r="F329" s="5">
        <v>586</v>
      </c>
      <c r="G329" s="5">
        <v>338</v>
      </c>
      <c r="H329" s="5">
        <v>113</v>
      </c>
      <c r="I329" s="4" t="s">
        <v>72</v>
      </c>
      <c r="J329" s="4" t="s">
        <v>73</v>
      </c>
      <c r="K329" s="4" t="s">
        <v>139</v>
      </c>
      <c r="L329" s="4">
        <v>55854171</v>
      </c>
      <c r="M329" s="4">
        <v>55854171</v>
      </c>
      <c r="N329" s="4" t="s">
        <v>23</v>
      </c>
      <c r="O329" s="4" t="s">
        <v>24</v>
      </c>
      <c r="P329" s="4" t="s">
        <v>25</v>
      </c>
      <c r="Q329" s="4">
        <v>3</v>
      </c>
    </row>
    <row r="330" spans="1:17">
      <c r="A330" s="3">
        <v>30374</v>
      </c>
      <c r="B330" s="4" t="s">
        <v>913</v>
      </c>
      <c r="C330" s="4" t="s">
        <v>914</v>
      </c>
      <c r="D330" s="4">
        <v>163154</v>
      </c>
      <c r="E330" s="4" t="s">
        <v>19</v>
      </c>
      <c r="F330" s="5">
        <v>877</v>
      </c>
      <c r="G330" s="5">
        <v>772</v>
      </c>
      <c r="H330" s="5">
        <v>258</v>
      </c>
      <c r="I330" s="4" t="s">
        <v>157</v>
      </c>
      <c r="J330" s="4" t="s">
        <v>915</v>
      </c>
      <c r="K330" s="4" t="s">
        <v>139</v>
      </c>
      <c r="L330" s="4">
        <v>5783486</v>
      </c>
      <c r="M330" s="4">
        <v>5783486</v>
      </c>
      <c r="N330" s="4" t="s">
        <v>23</v>
      </c>
      <c r="O330" s="4" t="s">
        <v>46</v>
      </c>
      <c r="P330" s="4" t="s">
        <v>24</v>
      </c>
      <c r="Q330" s="4">
        <v>-5</v>
      </c>
    </row>
    <row r="331" spans="1:17">
      <c r="A331" s="3">
        <v>30374</v>
      </c>
      <c r="B331" s="4" t="s">
        <v>916</v>
      </c>
      <c r="C331" s="4" t="s">
        <v>917</v>
      </c>
      <c r="D331" s="4">
        <v>6344</v>
      </c>
      <c r="E331" s="4" t="s">
        <v>19</v>
      </c>
      <c r="F331" s="5">
        <v>1173</v>
      </c>
      <c r="G331" s="5">
        <v>947</v>
      </c>
      <c r="H331" s="5">
        <v>316</v>
      </c>
      <c r="I331" s="4" t="s">
        <v>351</v>
      </c>
      <c r="J331" s="4" t="s">
        <v>429</v>
      </c>
      <c r="K331" s="4" t="s">
        <v>172</v>
      </c>
      <c r="L331" s="4">
        <v>120206331</v>
      </c>
      <c r="M331" s="4">
        <v>120206331</v>
      </c>
      <c r="N331" s="4" t="s">
        <v>23</v>
      </c>
      <c r="O331" s="4" t="s">
        <v>25</v>
      </c>
      <c r="P331" s="4" t="s">
        <v>24</v>
      </c>
      <c r="Q331" s="4">
        <v>5</v>
      </c>
    </row>
    <row r="332" spans="1:17">
      <c r="A332" s="3">
        <v>30374</v>
      </c>
      <c r="B332" s="4" t="s">
        <v>918</v>
      </c>
      <c r="C332" s="4" t="s">
        <v>919</v>
      </c>
      <c r="D332" s="4">
        <v>284992</v>
      </c>
      <c r="E332" s="4" t="s">
        <v>31</v>
      </c>
      <c r="F332" s="5">
        <v>3092</v>
      </c>
      <c r="G332" s="5">
        <v>2957</v>
      </c>
      <c r="H332" s="5">
        <v>986</v>
      </c>
      <c r="I332" s="4" t="s">
        <v>35</v>
      </c>
      <c r="J332" s="4" t="s">
        <v>35</v>
      </c>
      <c r="K332" s="4" t="s">
        <v>172</v>
      </c>
      <c r="L332" s="4">
        <v>197594817</v>
      </c>
      <c r="M332" s="4">
        <v>197594817</v>
      </c>
      <c r="N332" s="4" t="s">
        <v>36</v>
      </c>
      <c r="O332" s="4" t="s">
        <v>24</v>
      </c>
      <c r="P332" s="4"/>
      <c r="Q332" s="4">
        <v>1</v>
      </c>
    </row>
    <row r="333" spans="1:17" ht="30">
      <c r="A333" s="3">
        <v>30374</v>
      </c>
      <c r="B333" s="4" t="s">
        <v>920</v>
      </c>
      <c r="C333" s="4" t="str">
        <f ca="1">"XM_003118518"&amp;IF(INFO("system")="mac",CHAR(13),CHAR(10))&amp;"XM_003403762"</f>
        <v>XM_003118518_x000D_XM_003403762</v>
      </c>
      <c r="D333" s="4">
        <v>728763</v>
      </c>
      <c r="E333" s="4" t="s">
        <v>19</v>
      </c>
      <c r="F333" s="5" t="str">
        <f ca="1">"2989"&amp;IF(INFO("system")="mac",CHAR(13),CHAR(10))&amp;"583"</f>
        <v>2989_x000D_583</v>
      </c>
      <c r="G333" s="5" t="str">
        <f ca="1">"2989"&amp;IF(INFO("system")="mac",CHAR(13),CHAR(10))&amp;"583"</f>
        <v>2989_x000D_583</v>
      </c>
      <c r="H333" s="5" t="str">
        <f ca="1">"997"&amp;IF(INFO("system")="mac",CHAR(13),CHAR(10))&amp;"195"</f>
        <v>997_x000D_195</v>
      </c>
      <c r="I333" s="4" t="s">
        <v>563</v>
      </c>
      <c r="J333" s="4" t="s">
        <v>588</v>
      </c>
      <c r="K333" s="4" t="s">
        <v>172</v>
      </c>
      <c r="L333" s="4">
        <v>241898796</v>
      </c>
      <c r="M333" s="4">
        <v>241898796</v>
      </c>
      <c r="N333" s="4" t="s">
        <v>23</v>
      </c>
      <c r="O333" s="4" t="s">
        <v>24</v>
      </c>
      <c r="P333" s="4" t="s">
        <v>46</v>
      </c>
      <c r="Q333" s="4">
        <v>3</v>
      </c>
    </row>
    <row r="334" spans="1:17" ht="45">
      <c r="A334" s="3">
        <v>30374</v>
      </c>
      <c r="B334" s="4" t="s">
        <v>921</v>
      </c>
      <c r="C334" s="4" t="str">
        <f ca="1">"NM_001253826"&amp;IF(INFO("system")="mac",CHAR(13),CHAR(10))&amp;"NM_001253827"&amp;IF(INFO("system")="mac",CHAR(13),CHAR(10))&amp;"NM_024572"</f>
        <v>NM_001253826_x000D_NM_001253827_x000D_NM_024572</v>
      </c>
      <c r="D334" s="4">
        <v>79623</v>
      </c>
      <c r="E334" s="4" t="s">
        <v>19</v>
      </c>
      <c r="F334" s="5" t="str">
        <f ca="1">"2258"&amp;IF(INFO("system")="mac",CHAR(13),CHAR(10))&amp;"2023"&amp;IF(INFO("system")="mac",CHAR(13),CHAR(10))&amp;"2222"</f>
        <v>2258_x000D_2023_x000D_2222</v>
      </c>
      <c r="G334" s="5" t="str">
        <f ca="1">"1618"&amp;IF(INFO("system")="mac",CHAR(13),CHAR(10))&amp;"1543"&amp;IF(INFO("system")="mac",CHAR(13),CHAR(10))&amp;"1603"</f>
        <v>1618_x000D_1543_x000D_1603</v>
      </c>
      <c r="H334" s="5" t="str">
        <f ca="1">"540"&amp;IF(INFO("system")="mac",CHAR(13),CHAR(10))&amp;"515"&amp;IF(INFO("system")="mac",CHAR(13),CHAR(10))&amp;"535"</f>
        <v>540_x000D_515_x000D_535</v>
      </c>
      <c r="I334" s="4" t="s">
        <v>157</v>
      </c>
      <c r="J334" s="4" t="s">
        <v>915</v>
      </c>
      <c r="K334" s="4" t="s">
        <v>172</v>
      </c>
      <c r="L334" s="4">
        <v>31133823</v>
      </c>
      <c r="M334" s="4">
        <v>31133823</v>
      </c>
      <c r="N334" s="4" t="s">
        <v>23</v>
      </c>
      <c r="O334" s="4" t="s">
        <v>46</v>
      </c>
      <c r="P334" s="4" t="s">
        <v>24</v>
      </c>
      <c r="Q334" s="4">
        <v>0</v>
      </c>
    </row>
    <row r="335" spans="1:17" ht="30">
      <c r="A335" s="3">
        <v>30374</v>
      </c>
      <c r="B335" s="4" t="s">
        <v>922</v>
      </c>
      <c r="C335" s="4" t="str">
        <f ca="1">"NM_001039348"&amp;IF(INFO("system")="mac",CHAR(13),CHAR(10))&amp;"NM_001039349"</f>
        <v>NM_001039348_x000D_NM_001039349</v>
      </c>
      <c r="D335" s="4">
        <v>2202</v>
      </c>
      <c r="E335" s="4" t="s">
        <v>19</v>
      </c>
      <c r="F335" s="5" t="str">
        <f ca="1">"844"&amp;IF(INFO("system")="mac",CHAR(13),CHAR(10))&amp;"803"</f>
        <v>844_x000D_803</v>
      </c>
      <c r="G335" s="5">
        <v>343</v>
      </c>
      <c r="H335" s="5">
        <v>115</v>
      </c>
      <c r="I335" s="4" t="s">
        <v>131</v>
      </c>
      <c r="J335" s="4" t="s">
        <v>132</v>
      </c>
      <c r="K335" s="4" t="s">
        <v>172</v>
      </c>
      <c r="L335" s="4">
        <v>56144974</v>
      </c>
      <c r="M335" s="4">
        <v>56144974</v>
      </c>
      <c r="N335" s="4" t="s">
        <v>23</v>
      </c>
      <c r="O335" s="4" t="s">
        <v>46</v>
      </c>
      <c r="P335" s="4" t="s">
        <v>25</v>
      </c>
      <c r="Q335" s="4">
        <v>-5</v>
      </c>
    </row>
    <row r="336" spans="1:17" ht="45">
      <c r="A336" s="3">
        <v>30374</v>
      </c>
      <c r="B336" s="4" t="s">
        <v>923</v>
      </c>
      <c r="C336" s="4" t="str">
        <f ca="1">"NM_001161841"&amp;IF(INFO("system")="mac",CHAR(13),CHAR(10))&amp;"NM_018837"&amp;IF(INFO("system")="mac",CHAR(13),CHAR(10))&amp;"NM_198596"</f>
        <v>NM_001161841_x000D_NM_018837_x000D_NM_198596</v>
      </c>
      <c r="D336" s="4">
        <v>55959</v>
      </c>
      <c r="E336" s="4" t="s">
        <v>392</v>
      </c>
      <c r="F336" s="5" t="str">
        <f ca="1">"1237"&amp;IF(INFO("system")="mac",CHAR(13),CHAR(10))&amp;"898"&amp;IF(INFO("system")="mac",CHAR(13),CHAR(10))&amp;"1237"</f>
        <v>1237_x000D_898_x000D_1237</v>
      </c>
      <c r="G336" s="5">
        <v>568</v>
      </c>
      <c r="H336" s="5">
        <v>190</v>
      </c>
      <c r="I336" s="4" t="s">
        <v>462</v>
      </c>
      <c r="J336" s="4" t="s">
        <v>883</v>
      </c>
      <c r="K336" s="4" t="s">
        <v>188</v>
      </c>
      <c r="L336" s="4">
        <v>46319039</v>
      </c>
      <c r="M336" s="4">
        <v>46319039</v>
      </c>
      <c r="N336" s="4" t="s">
        <v>23</v>
      </c>
      <c r="O336" s="4" t="s">
        <v>46</v>
      </c>
      <c r="P336" s="4" t="s">
        <v>25</v>
      </c>
      <c r="Q336" s="4">
        <v>2</v>
      </c>
    </row>
    <row r="337" spans="1:17">
      <c r="A337" s="3">
        <v>30374</v>
      </c>
      <c r="B337" s="4" t="s">
        <v>924</v>
      </c>
      <c r="C337" s="4" t="s">
        <v>925</v>
      </c>
      <c r="D337" s="4">
        <v>26039</v>
      </c>
      <c r="E337" s="4" t="s">
        <v>751</v>
      </c>
      <c r="F337" s="5">
        <v>610</v>
      </c>
      <c r="G337" s="5">
        <v>555</v>
      </c>
      <c r="H337" s="5">
        <v>185</v>
      </c>
      <c r="I337" s="4" t="s">
        <v>926</v>
      </c>
      <c r="J337" s="4" t="s">
        <v>927</v>
      </c>
      <c r="K337" s="4" t="s">
        <v>188</v>
      </c>
      <c r="L337" s="4">
        <v>60737986</v>
      </c>
      <c r="M337" s="4">
        <v>60737986</v>
      </c>
      <c r="N337" s="4" t="s">
        <v>23</v>
      </c>
      <c r="O337" s="4" t="s">
        <v>25</v>
      </c>
      <c r="P337" s="4" t="s">
        <v>41</v>
      </c>
      <c r="Q337" s="4">
        <v>2</v>
      </c>
    </row>
    <row r="338" spans="1:17" ht="30">
      <c r="A338" s="3">
        <v>30374</v>
      </c>
      <c r="B338" s="4" t="s">
        <v>928</v>
      </c>
      <c r="C338" s="4" t="str">
        <f ca="1">"NM_006806"&amp;IF(INFO("system")="mac",CHAR(13),CHAR(10))&amp;"NM_001130914"</f>
        <v>NM_006806_x000D_NM_001130914</v>
      </c>
      <c r="D338" s="4">
        <v>10950</v>
      </c>
      <c r="E338" s="4" t="s">
        <v>392</v>
      </c>
      <c r="F338" s="5" t="str">
        <f ca="1">"781"&amp;IF(INFO("system")="mac",CHAR(13),CHAR(10))&amp;"913"</f>
        <v>781_x000D_913</v>
      </c>
      <c r="G338" s="5" t="str">
        <f ca="1">"521"&amp;IF(INFO("system")="mac",CHAR(13),CHAR(10))&amp;"653"</f>
        <v>521_x000D_653</v>
      </c>
      <c r="H338" s="5" t="str">
        <f ca="1">"174"&amp;IF(INFO("system")="mac",CHAR(13),CHAR(10))&amp;"218"</f>
        <v>174_x000D_218</v>
      </c>
      <c r="I338" s="4" t="s">
        <v>351</v>
      </c>
      <c r="J338" s="4" t="s">
        <v>429</v>
      </c>
      <c r="K338" s="4" t="s">
        <v>193</v>
      </c>
      <c r="L338" s="4">
        <v>18966649</v>
      </c>
      <c r="M338" s="4">
        <v>18966649</v>
      </c>
      <c r="N338" s="4" t="s">
        <v>23</v>
      </c>
      <c r="O338" s="4" t="s">
        <v>25</v>
      </c>
      <c r="P338" s="4" t="s">
        <v>24</v>
      </c>
      <c r="Q338" s="4">
        <v>1</v>
      </c>
    </row>
    <row r="339" spans="1:17">
      <c r="A339" s="3">
        <v>30374</v>
      </c>
      <c r="B339" s="4" t="s">
        <v>929</v>
      </c>
      <c r="C339" s="4" t="s">
        <v>930</v>
      </c>
      <c r="D339" s="4">
        <v>4685</v>
      </c>
      <c r="E339" s="4" t="s">
        <v>232</v>
      </c>
      <c r="F339" s="5" t="s">
        <v>35</v>
      </c>
      <c r="G339" s="5" t="s">
        <v>35</v>
      </c>
      <c r="H339" s="5" t="s">
        <v>35</v>
      </c>
      <c r="I339" s="4" t="s">
        <v>35</v>
      </c>
      <c r="J339" s="4" t="s">
        <v>35</v>
      </c>
      <c r="K339" s="4" t="s">
        <v>193</v>
      </c>
      <c r="L339" s="4">
        <v>22840975</v>
      </c>
      <c r="M339" s="4">
        <v>22840975</v>
      </c>
      <c r="N339" s="4" t="s">
        <v>23</v>
      </c>
      <c r="O339" s="4" t="s">
        <v>25</v>
      </c>
      <c r="P339" s="4" t="s">
        <v>41</v>
      </c>
      <c r="Q339" s="4">
        <v>0</v>
      </c>
    </row>
    <row r="340" spans="1:17" ht="30">
      <c r="A340" s="3">
        <v>30374</v>
      </c>
      <c r="B340" s="4" t="s">
        <v>599</v>
      </c>
      <c r="C340" s="4" t="str">
        <f ca="1">"NM_183357"&amp;IF(INFO("system")="mac",CHAR(13),CHAR(10))&amp;"NM_001199642"</f>
        <v>NM_183357_x000D_NM_001199642</v>
      </c>
      <c r="D340" s="4">
        <v>111</v>
      </c>
      <c r="E340" s="4" t="s">
        <v>19</v>
      </c>
      <c r="F340" s="5" t="str">
        <f ca="1">"3094"&amp;IF(INFO("system")="mac",CHAR(13),CHAR(10))&amp;"2119"</f>
        <v>3094_x000D_2119</v>
      </c>
      <c r="G340" s="5" t="str">
        <f ca="1">"3094"&amp;IF(INFO("system")="mac",CHAR(13),CHAR(10))&amp;"2044"</f>
        <v>3094_x000D_2044</v>
      </c>
      <c r="H340" s="5" t="str">
        <f ca="1">"1032"&amp;IF(INFO("system")="mac",CHAR(13),CHAR(10))&amp;"682"</f>
        <v>1032_x000D_682</v>
      </c>
      <c r="I340" s="4" t="s">
        <v>597</v>
      </c>
      <c r="J340" s="4" t="s">
        <v>598</v>
      </c>
      <c r="K340" s="4" t="s">
        <v>201</v>
      </c>
      <c r="L340" s="4">
        <v>123010193</v>
      </c>
      <c r="M340" s="4">
        <v>123010193</v>
      </c>
      <c r="N340" s="4" t="s">
        <v>23</v>
      </c>
      <c r="O340" s="4" t="s">
        <v>24</v>
      </c>
      <c r="P340" s="4" t="s">
        <v>41</v>
      </c>
      <c r="Q340" s="4">
        <v>-5</v>
      </c>
    </row>
    <row r="341" spans="1:17" ht="45">
      <c r="A341" s="3">
        <v>30374</v>
      </c>
      <c r="B341" s="4" t="s">
        <v>931</v>
      </c>
      <c r="C341" s="4" t="str">
        <f ca="1">"NM_001097600"&amp;IF(INFO("system")="mac",CHAR(13),CHAR(10))&amp;"NM_025246"&amp;IF(INFO("system")="mac",CHAR(13),CHAR(10))&amp;"NM_001097599"</f>
        <v>NM_001097600_x000D_NM_025246_x000D_NM_001097599</v>
      </c>
      <c r="D341" s="4">
        <v>80723</v>
      </c>
      <c r="E341" s="4" t="s">
        <v>19</v>
      </c>
      <c r="F341" s="5" t="str">
        <f ca="1">"326"&amp;IF(INFO("system")="mac",CHAR(13),CHAR(10))&amp;"740"&amp;IF(INFO("system")="mac",CHAR(13),CHAR(10))&amp;"475"</f>
        <v>326_x000D_740_x000D_475</v>
      </c>
      <c r="G341" s="5">
        <v>112</v>
      </c>
      <c r="H341" s="5">
        <v>38</v>
      </c>
      <c r="I341" s="4" t="s">
        <v>932</v>
      </c>
      <c r="J341" s="4" t="s">
        <v>933</v>
      </c>
      <c r="K341" s="4" t="s">
        <v>201</v>
      </c>
      <c r="L341" s="4">
        <v>136573414</v>
      </c>
      <c r="M341" s="4">
        <v>136573414</v>
      </c>
      <c r="N341" s="4" t="s">
        <v>23</v>
      </c>
      <c r="O341" s="4" t="s">
        <v>41</v>
      </c>
      <c r="P341" s="4" t="s">
        <v>46</v>
      </c>
      <c r="Q341" s="4">
        <v>1</v>
      </c>
    </row>
    <row r="342" spans="1:17" ht="45">
      <c r="A342" s="3">
        <v>30374</v>
      </c>
      <c r="B342" s="4" t="s">
        <v>934</v>
      </c>
      <c r="C342" s="4" t="str">
        <f ca="1">"NM_001098209"&amp;IF(INFO("system")="mac",CHAR(13),CHAR(10))&amp;"NM_001098210"&amp;IF(INFO("system")="mac",CHAR(13),CHAR(10))&amp;"NM_001904"</f>
        <v>NM_001098209_x000D_NM_001098210_x000D_NM_001904</v>
      </c>
      <c r="D342" s="4">
        <v>1499</v>
      </c>
      <c r="E342" s="4" t="str">
        <f ca="1">"NMD_TRANSCRIPT,NON_SYNONYMOUS_CODING"&amp;IF(INFO("system")="mac",CHAR(13),CHAR(10))&amp;"NMD_TRANSCRIPT,NON_SYNONYMOUS_CODING"&amp;IF(INFO("system")="mac",CHAR(13),CHAR(10))&amp;"NON_SYNONYMOUS_CODING"</f>
        <v>NMD_TRANSCRIPT,NON_SYNONYMOUS_CODING_x000D_NMD_TRANSCRIPT,NON_SYNONYMOUS_CODING_x000D_NON_SYNONYMOUS_CODING</v>
      </c>
      <c r="F342" s="5">
        <v>389</v>
      </c>
      <c r="G342" s="5">
        <v>121</v>
      </c>
      <c r="H342" s="5">
        <v>41</v>
      </c>
      <c r="I342" s="4" t="s">
        <v>282</v>
      </c>
      <c r="J342" s="4" t="s">
        <v>283</v>
      </c>
      <c r="K342" s="4" t="s">
        <v>201</v>
      </c>
      <c r="L342" s="4">
        <v>41266124</v>
      </c>
      <c r="M342" s="4">
        <v>41266124</v>
      </c>
      <c r="N342" s="4" t="s">
        <v>23</v>
      </c>
      <c r="O342" s="4" t="s">
        <v>25</v>
      </c>
      <c r="P342" s="4" t="s">
        <v>24</v>
      </c>
      <c r="Q342" s="4">
        <v>5</v>
      </c>
    </row>
    <row r="343" spans="1:17" ht="30">
      <c r="A343" s="3">
        <v>30374</v>
      </c>
      <c r="B343" s="4" t="s">
        <v>935</v>
      </c>
      <c r="C343" s="4" t="str">
        <f ca="1">"NM_001128929"&amp;IF(INFO("system")="mac",CHAR(13),CHAR(10))&amp;"NM_002942"</f>
        <v>NM_001128929_x000D_NM_002942</v>
      </c>
      <c r="D343" s="4">
        <v>6092</v>
      </c>
      <c r="E343" s="4" t="s">
        <v>19</v>
      </c>
      <c r="F343" s="5" t="str">
        <f ca="1">"2142"&amp;IF(INFO("system")="mac",CHAR(13),CHAR(10))&amp;"2457"</f>
        <v>2142_x000D_2457</v>
      </c>
      <c r="G343" s="5" t="str">
        <f ca="1">"1862"&amp;IF(INFO("system")="mac",CHAR(13),CHAR(10))&amp;"1814"</f>
        <v>1862_x000D_1814</v>
      </c>
      <c r="H343" s="5" t="str">
        <f ca="1">"621"&amp;IF(INFO("system")="mac",CHAR(13),CHAR(10))&amp;"605"</f>
        <v>621_x000D_605</v>
      </c>
      <c r="I343" s="4" t="s">
        <v>468</v>
      </c>
      <c r="J343" s="4" t="s">
        <v>469</v>
      </c>
      <c r="K343" s="4" t="s">
        <v>201</v>
      </c>
      <c r="L343" s="4">
        <v>77614236</v>
      </c>
      <c r="M343" s="4">
        <v>77614236</v>
      </c>
      <c r="N343" s="4" t="s">
        <v>23</v>
      </c>
      <c r="O343" s="4" t="s">
        <v>25</v>
      </c>
      <c r="P343" s="4" t="s">
        <v>41</v>
      </c>
      <c r="Q343" s="4">
        <v>-3</v>
      </c>
    </row>
    <row r="344" spans="1:17">
      <c r="A344" s="3">
        <v>30374</v>
      </c>
      <c r="B344" s="4" t="s">
        <v>936</v>
      </c>
      <c r="C344" s="4" t="s">
        <v>937</v>
      </c>
      <c r="D344" s="4">
        <v>84162</v>
      </c>
      <c r="E344" s="4" t="s">
        <v>392</v>
      </c>
      <c r="F344" s="5">
        <v>4789</v>
      </c>
      <c r="G344" s="5">
        <v>4744</v>
      </c>
      <c r="H344" s="5">
        <v>1582</v>
      </c>
      <c r="I344" s="4" t="s">
        <v>282</v>
      </c>
      <c r="J344" s="4" t="s">
        <v>938</v>
      </c>
      <c r="K344" s="4" t="s">
        <v>220</v>
      </c>
      <c r="L344" s="4">
        <v>123165010</v>
      </c>
      <c r="M344" s="4">
        <v>123165010</v>
      </c>
      <c r="N344" s="4" t="s">
        <v>23</v>
      </c>
      <c r="O344" s="4" t="s">
        <v>25</v>
      </c>
      <c r="P344" s="4" t="s">
        <v>24</v>
      </c>
      <c r="Q344" s="4">
        <v>3</v>
      </c>
    </row>
    <row r="345" spans="1:17">
      <c r="A345" s="3">
        <v>30374</v>
      </c>
      <c r="B345" s="4" t="s">
        <v>939</v>
      </c>
      <c r="C345" s="4" t="s">
        <v>940</v>
      </c>
      <c r="D345" s="4">
        <v>5458</v>
      </c>
      <c r="E345" s="4" t="s">
        <v>19</v>
      </c>
      <c r="F345" s="5">
        <v>744</v>
      </c>
      <c r="G345" s="5">
        <v>496</v>
      </c>
      <c r="H345" s="5">
        <v>166</v>
      </c>
      <c r="I345" s="4" t="s">
        <v>154</v>
      </c>
      <c r="J345" s="4" t="s">
        <v>941</v>
      </c>
      <c r="K345" s="4" t="s">
        <v>220</v>
      </c>
      <c r="L345" s="4">
        <v>147561226</v>
      </c>
      <c r="M345" s="4">
        <v>147561226</v>
      </c>
      <c r="N345" s="4" t="s">
        <v>23</v>
      </c>
      <c r="O345" s="4" t="s">
        <v>24</v>
      </c>
      <c r="P345" s="4" t="s">
        <v>25</v>
      </c>
      <c r="Q345" s="4">
        <v>2</v>
      </c>
    </row>
    <row r="346" spans="1:17" ht="30">
      <c r="A346" s="3">
        <v>30374</v>
      </c>
      <c r="B346" s="4" t="s">
        <v>942</v>
      </c>
      <c r="C346" s="4" t="str">
        <f ca="1">"NM_001171976"&amp;IF(INFO("system")="mac",CHAR(13),CHAR(10))&amp;"NM_017675"</f>
        <v>NM_001171976_x000D_NM_017675</v>
      </c>
      <c r="D346" s="4">
        <v>54825</v>
      </c>
      <c r="E346" s="4" t="s">
        <v>19</v>
      </c>
      <c r="F346" s="5" t="str">
        <f ca="1">"3645"&amp;IF(INFO("system")="mac",CHAR(13),CHAR(10))&amp;"3459"</f>
        <v>3645_x000D_3459</v>
      </c>
      <c r="G346" s="5">
        <v>3371</v>
      </c>
      <c r="H346" s="5">
        <v>1124</v>
      </c>
      <c r="I346" s="4" t="s">
        <v>943</v>
      </c>
      <c r="J346" s="4" t="s">
        <v>944</v>
      </c>
      <c r="K346" s="4" t="s">
        <v>226</v>
      </c>
      <c r="L346" s="4">
        <v>176017443</v>
      </c>
      <c r="M346" s="4">
        <v>176017443</v>
      </c>
      <c r="N346" s="4" t="s">
        <v>23</v>
      </c>
      <c r="O346" s="4" t="s">
        <v>25</v>
      </c>
      <c r="P346" s="4" t="s">
        <v>46</v>
      </c>
      <c r="Q346" s="4">
        <v>3</v>
      </c>
    </row>
    <row r="347" spans="1:17" ht="75">
      <c r="A347" s="3">
        <v>30374</v>
      </c>
      <c r="B347" s="4" t="s">
        <v>945</v>
      </c>
      <c r="C347" s="4" t="str">
        <f ca="1">"NM_002406"&amp;IF(INFO("system")="mac",CHAR(13),CHAR(10))&amp;"NM_001114619"&amp;IF(INFO("system")="mac",CHAR(13),CHAR(10))&amp;"NM_001114620"&amp;IF(INFO("system")="mac",CHAR(13),CHAR(10))&amp;"NM_001114617"&amp;IF(INFO("system")="mac",CHAR(13),CHAR(10))&amp;"NM_001114618"</f>
        <v>NM_002406_x000D_NM_001114619_x000D_NM_001114620_x000D_NM_001114617_x000D_NM_001114618</v>
      </c>
      <c r="D347" s="4">
        <v>4245</v>
      </c>
      <c r="E347" s="4" t="s">
        <v>19</v>
      </c>
      <c r="F347" s="5" t="str">
        <f ca="1">"862"&amp;IF(INFO("system")="mac",CHAR(13),CHAR(10))&amp;"583"&amp;IF(INFO("system")="mac",CHAR(13),CHAR(10))&amp;"794"&amp;IF(INFO("system")="mac",CHAR(13),CHAR(10))&amp;"1020"&amp;IF(INFO("system")="mac",CHAR(13),CHAR(10))&amp;"1106"</f>
        <v>862_x000D_583_x000D_794_x000D_1020_x000D_1106</v>
      </c>
      <c r="G347" s="5">
        <v>367</v>
      </c>
      <c r="H347" s="5">
        <v>123</v>
      </c>
      <c r="I347" s="4" t="s">
        <v>127</v>
      </c>
      <c r="J347" s="4" t="s">
        <v>128</v>
      </c>
      <c r="K347" s="4" t="s">
        <v>226</v>
      </c>
      <c r="L347" s="4">
        <v>180219605</v>
      </c>
      <c r="M347" s="4">
        <v>180219605</v>
      </c>
      <c r="N347" s="4" t="s">
        <v>23</v>
      </c>
      <c r="O347" s="4" t="s">
        <v>46</v>
      </c>
      <c r="P347" s="4" t="s">
        <v>24</v>
      </c>
      <c r="Q347" s="4">
        <v>3</v>
      </c>
    </row>
    <row r="348" spans="1:17">
      <c r="A348" s="3">
        <v>30374</v>
      </c>
      <c r="B348" s="4" t="s">
        <v>946</v>
      </c>
      <c r="C348" s="4" t="s">
        <v>947</v>
      </c>
      <c r="D348" s="4">
        <v>285704</v>
      </c>
      <c r="E348" s="4" t="s">
        <v>19</v>
      </c>
      <c r="F348" s="5">
        <v>743</v>
      </c>
      <c r="G348" s="5">
        <v>341</v>
      </c>
      <c r="H348" s="5">
        <v>114</v>
      </c>
      <c r="I348" s="4" t="s">
        <v>442</v>
      </c>
      <c r="J348" s="4" t="s">
        <v>478</v>
      </c>
      <c r="K348" s="4" t="s">
        <v>226</v>
      </c>
      <c r="L348" s="4">
        <v>98115365</v>
      </c>
      <c r="M348" s="4">
        <v>98115365</v>
      </c>
      <c r="N348" s="4" t="s">
        <v>23</v>
      </c>
      <c r="O348" s="4" t="s">
        <v>46</v>
      </c>
      <c r="P348" s="4" t="s">
        <v>24</v>
      </c>
      <c r="Q348" s="4">
        <v>-1</v>
      </c>
    </row>
    <row r="349" spans="1:17" ht="75">
      <c r="A349" s="3">
        <v>30374</v>
      </c>
      <c r="B349" s="4" t="s">
        <v>948</v>
      </c>
      <c r="C349" s="4" t="str">
        <f ca="1">"NM_002290"&amp;IF(INFO("system")="mac",CHAR(13),CHAR(10))&amp;"NM_001105209"&amp;IF(INFO("system")="mac",CHAR(13),CHAR(10))&amp;"NM_001105207"&amp;IF(INFO("system")="mac",CHAR(13),CHAR(10))&amp;"NM_001105208"&amp;IF(INFO("system")="mac",CHAR(13),CHAR(10))&amp;"NM_001105206"</f>
        <v>NM_002290_x000D_NM_001105209_x000D_NM_001105207_x000D_NM_001105208_x000D_NM_001105206</v>
      </c>
      <c r="D349" s="4">
        <v>3910</v>
      </c>
      <c r="E349" s="4" t="s">
        <v>19</v>
      </c>
      <c r="F349" s="5" t="str">
        <f ca="1">"377"&amp;IF(INFO("system")="mac",CHAR(13),CHAR(10))&amp;"394"&amp;IF(INFO("system")="mac",CHAR(13),CHAR(10))&amp;"394"&amp;IF(INFO("system")="mac",CHAR(13),CHAR(10))&amp;"377"&amp;IF(INFO("system")="mac",CHAR(13),CHAR(10))&amp;"377"</f>
        <v>377_x000D_394_x000D_394_x000D_377_x000D_377</v>
      </c>
      <c r="G349" s="5">
        <v>68</v>
      </c>
      <c r="H349" s="5">
        <v>23</v>
      </c>
      <c r="I349" s="4" t="s">
        <v>72</v>
      </c>
      <c r="J349" s="4" t="s">
        <v>73</v>
      </c>
      <c r="K349" s="4" t="s">
        <v>237</v>
      </c>
      <c r="L349" s="4">
        <v>112575285</v>
      </c>
      <c r="M349" s="4">
        <v>112575285</v>
      </c>
      <c r="N349" s="4" t="s">
        <v>23</v>
      </c>
      <c r="O349" s="4" t="s">
        <v>46</v>
      </c>
      <c r="P349" s="4" t="s">
        <v>41</v>
      </c>
      <c r="Q349" s="4">
        <v>6</v>
      </c>
    </row>
    <row r="350" spans="1:17" ht="30">
      <c r="A350" s="3">
        <v>30374</v>
      </c>
      <c r="B350" s="4" t="s">
        <v>949</v>
      </c>
      <c r="C350" s="4" t="str">
        <f ca="1">"NM_001130690"&amp;IF(INFO("system")="mac",CHAR(13),CHAR(10))&amp;"NM_006661"</f>
        <v>NM_001130690_x000D_NM_006661</v>
      </c>
      <c r="D350" s="4">
        <v>10846</v>
      </c>
      <c r="E350" s="4" t="s">
        <v>19</v>
      </c>
      <c r="F350" s="5" t="str">
        <f ca="1">"1635"&amp;IF(INFO("system")="mac",CHAR(13),CHAR(10))&amp;"1763"</f>
        <v>1635_x000D_1763</v>
      </c>
      <c r="G350" s="5" t="str">
        <f ca="1">"1552"&amp;IF(INFO("system")="mac",CHAR(13),CHAR(10))&amp;"1522"</f>
        <v>1552_x000D_1522</v>
      </c>
      <c r="H350" s="5" t="str">
        <f ca="1">"518"&amp;IF(INFO("system")="mac",CHAR(13),CHAR(10))&amp;"508"</f>
        <v>518_x000D_508</v>
      </c>
      <c r="I350" s="4" t="s">
        <v>543</v>
      </c>
      <c r="J350" s="4" t="s">
        <v>950</v>
      </c>
      <c r="K350" s="4" t="s">
        <v>237</v>
      </c>
      <c r="L350" s="4">
        <v>165806239</v>
      </c>
      <c r="M350" s="4">
        <v>165806239</v>
      </c>
      <c r="N350" s="4" t="s">
        <v>23</v>
      </c>
      <c r="O350" s="4" t="s">
        <v>41</v>
      </c>
      <c r="P350" s="4" t="s">
        <v>46</v>
      </c>
      <c r="Q350" s="4">
        <v>5</v>
      </c>
    </row>
    <row r="351" spans="1:17" ht="30">
      <c r="A351" s="3">
        <v>30374</v>
      </c>
      <c r="B351" s="4" t="s">
        <v>951</v>
      </c>
      <c r="C351" s="4" t="str">
        <f ca="1">"NM_207116"&amp;IF(INFO("system")="mac",CHAR(13),CHAR(10))&amp;"NM_207111"</f>
        <v>NM_207116_x000D_NM_207111</v>
      </c>
      <c r="D351" s="4">
        <v>54476</v>
      </c>
      <c r="E351" s="4" t="s">
        <v>19</v>
      </c>
      <c r="F351" s="5" t="str">
        <f ca="1">"677"&amp;IF(INFO("system")="mac",CHAR(13),CHAR(10))&amp;"848"</f>
        <v>677_x000D_848</v>
      </c>
      <c r="G351" s="5" t="str">
        <f ca="1">"418"&amp;IF(INFO("system")="mac",CHAR(13),CHAR(10))&amp;"589"</f>
        <v>418_x000D_589</v>
      </c>
      <c r="H351" s="5" t="str">
        <f ca="1">"140"&amp;IF(INFO("system")="mac",CHAR(13),CHAR(10))&amp;"197"</f>
        <v>140_x000D_197</v>
      </c>
      <c r="I351" s="4" t="s">
        <v>53</v>
      </c>
      <c r="J351" s="4" t="s">
        <v>54</v>
      </c>
      <c r="K351" s="4" t="s">
        <v>257</v>
      </c>
      <c r="L351" s="4">
        <v>5781059</v>
      </c>
      <c r="M351" s="4">
        <v>5781059</v>
      </c>
      <c r="N351" s="4" t="s">
        <v>23</v>
      </c>
      <c r="O351" s="4" t="s">
        <v>24</v>
      </c>
      <c r="P351" s="4" t="s">
        <v>41</v>
      </c>
      <c r="Q351" s="4">
        <v>11</v>
      </c>
    </row>
    <row r="352" spans="1:17">
      <c r="A352" s="3">
        <v>30374</v>
      </c>
      <c r="B352" s="4" t="s">
        <v>952</v>
      </c>
      <c r="C352" s="4" t="s">
        <v>953</v>
      </c>
      <c r="D352" s="4">
        <v>22853</v>
      </c>
      <c r="E352" s="4" t="s">
        <v>19</v>
      </c>
      <c r="F352" s="5">
        <v>2646</v>
      </c>
      <c r="G352" s="5">
        <v>2353</v>
      </c>
      <c r="H352" s="5">
        <v>785</v>
      </c>
      <c r="I352" s="4" t="s">
        <v>165</v>
      </c>
      <c r="J352" s="4" t="s">
        <v>758</v>
      </c>
      <c r="K352" s="4" t="s">
        <v>257</v>
      </c>
      <c r="L352" s="4">
        <v>97822130</v>
      </c>
      <c r="M352" s="4">
        <v>97822130</v>
      </c>
      <c r="N352" s="4" t="s">
        <v>23</v>
      </c>
      <c r="O352" s="4" t="s">
        <v>24</v>
      </c>
      <c r="P352" s="4" t="s">
        <v>25</v>
      </c>
      <c r="Q352" s="4">
        <v>7</v>
      </c>
    </row>
    <row r="353" spans="1:17" ht="30">
      <c r="A353" s="3">
        <v>30374</v>
      </c>
      <c r="B353" s="4" t="s">
        <v>954</v>
      </c>
      <c r="C353" s="4" t="str">
        <f ca="1">"NM_152564"&amp;IF(INFO("system")="mac",CHAR(13),CHAR(10))&amp;"NM_017890"</f>
        <v>NM_152564_x000D_NM_017890</v>
      </c>
      <c r="D353" s="4">
        <v>157680</v>
      </c>
      <c r="E353" s="4" t="s">
        <v>19</v>
      </c>
      <c r="F353" s="5" t="str">
        <f ca="1">"6308"&amp;IF(INFO("system")="mac",CHAR(13),CHAR(10))&amp;"6383"</f>
        <v>6308_x000D_6383</v>
      </c>
      <c r="G353" s="5" t="str">
        <f ca="1">"6197"&amp;IF(INFO("system")="mac",CHAR(13),CHAR(10))&amp;"6272"</f>
        <v>6197_x000D_6272</v>
      </c>
      <c r="H353" s="5" t="str">
        <f ca="1">"2066"&amp;IF(INFO("system")="mac",CHAR(13),CHAR(10))&amp;"2091"</f>
        <v>2066_x000D_2091</v>
      </c>
      <c r="I353" s="4" t="s">
        <v>393</v>
      </c>
      <c r="J353" s="4" t="s">
        <v>955</v>
      </c>
      <c r="K353" s="4" t="s">
        <v>279</v>
      </c>
      <c r="L353" s="4">
        <v>100711903</v>
      </c>
      <c r="M353" s="4">
        <v>100711903</v>
      </c>
      <c r="N353" s="4" t="s">
        <v>23</v>
      </c>
      <c r="O353" s="4" t="s">
        <v>25</v>
      </c>
      <c r="P353" s="4" t="s">
        <v>24</v>
      </c>
      <c r="Q353" s="4">
        <v>1</v>
      </c>
    </row>
    <row r="354" spans="1:17" ht="60">
      <c r="A354" s="3">
        <v>30374</v>
      </c>
      <c r="B354" s="4" t="s">
        <v>956</v>
      </c>
      <c r="C354" s="4" t="s">
        <v>957</v>
      </c>
      <c r="D354" s="4">
        <v>90987</v>
      </c>
      <c r="E354" s="4" t="s">
        <v>19</v>
      </c>
      <c r="F354" s="5" t="s">
        <v>958</v>
      </c>
      <c r="G354" s="5" t="s">
        <v>959</v>
      </c>
      <c r="H354" s="5" t="s">
        <v>960</v>
      </c>
      <c r="I354" s="4" t="s">
        <v>961</v>
      </c>
      <c r="J354" s="4" t="s">
        <v>962</v>
      </c>
      <c r="K354" s="4" t="s">
        <v>279</v>
      </c>
      <c r="L354" s="4">
        <v>145979629</v>
      </c>
      <c r="M354" s="4">
        <v>145979652</v>
      </c>
      <c r="N354" s="4" t="s">
        <v>36</v>
      </c>
      <c r="O354" s="4" t="s">
        <v>963</v>
      </c>
      <c r="P354" s="4"/>
      <c r="Q354" s="4">
        <v>4</v>
      </c>
    </row>
    <row r="355" spans="1:17" ht="30">
      <c r="A355" s="3">
        <v>30374</v>
      </c>
      <c r="B355" s="4" t="s">
        <v>964</v>
      </c>
      <c r="C355" s="4" t="str">
        <f ca="1">"NM_178138"&amp;IF(INFO("system")="mac",CHAR(13),CHAR(10))&amp;"NM_014564"</f>
        <v>NM_178138_x000D_NM_014564</v>
      </c>
      <c r="D355" s="4">
        <v>8022</v>
      </c>
      <c r="E355" s="4" t="s">
        <v>19</v>
      </c>
      <c r="F355" s="5" t="str">
        <f ca="1">"273"&amp;IF(INFO("system")="mac",CHAR(13),CHAR(10))&amp;"310"</f>
        <v>273_x000D_310</v>
      </c>
      <c r="G355" s="5" t="str">
        <f ca="1">"176"&amp;IF(INFO("system")="mac",CHAR(13),CHAR(10))&amp;"191"</f>
        <v>176_x000D_191</v>
      </c>
      <c r="H355" s="5" t="str">
        <f ca="1">"59"&amp;IF(INFO("system")="mac",CHAR(13),CHAR(10))&amp;"64"</f>
        <v>59_x000D_64</v>
      </c>
      <c r="I355" s="4" t="s">
        <v>707</v>
      </c>
      <c r="J355" s="4" t="s">
        <v>708</v>
      </c>
      <c r="K355" s="4" t="s">
        <v>292</v>
      </c>
      <c r="L355" s="4">
        <v>139092503</v>
      </c>
      <c r="M355" s="4">
        <v>139092503</v>
      </c>
      <c r="N355" s="4" t="s">
        <v>23</v>
      </c>
      <c r="O355" s="4" t="s">
        <v>46</v>
      </c>
      <c r="P355" s="4" t="s">
        <v>41</v>
      </c>
      <c r="Q355" s="4">
        <v>0</v>
      </c>
    </row>
    <row r="356" spans="1:17">
      <c r="A356" s="3">
        <v>30374</v>
      </c>
      <c r="B356" s="4" t="s">
        <v>965</v>
      </c>
      <c r="C356" s="4" t="s">
        <v>966</v>
      </c>
      <c r="D356" s="4">
        <v>158326</v>
      </c>
      <c r="E356" s="4" t="s">
        <v>19</v>
      </c>
      <c r="F356" s="5">
        <v>1580</v>
      </c>
      <c r="G356" s="5">
        <v>764</v>
      </c>
      <c r="H356" s="5">
        <v>255</v>
      </c>
      <c r="I356" s="4" t="s">
        <v>142</v>
      </c>
      <c r="J356" s="4" t="s">
        <v>143</v>
      </c>
      <c r="K356" s="4" t="s">
        <v>292</v>
      </c>
      <c r="L356" s="4">
        <v>14857615</v>
      </c>
      <c r="M356" s="4">
        <v>14857615</v>
      </c>
      <c r="N356" s="4" t="s">
        <v>23</v>
      </c>
      <c r="O356" s="4" t="s">
        <v>24</v>
      </c>
      <c r="P356" s="4" t="s">
        <v>41</v>
      </c>
      <c r="Q356" s="4">
        <v>7</v>
      </c>
    </row>
    <row r="357" spans="1:17">
      <c r="A357" s="3">
        <v>30374</v>
      </c>
      <c r="B357" s="4" t="s">
        <v>967</v>
      </c>
      <c r="C357" s="4" t="s">
        <v>968</v>
      </c>
      <c r="D357" s="4">
        <v>23586</v>
      </c>
      <c r="E357" s="4" t="s">
        <v>19</v>
      </c>
      <c r="F357" s="5">
        <v>2165</v>
      </c>
      <c r="G357" s="5">
        <v>2007</v>
      </c>
      <c r="H357" s="5">
        <v>669</v>
      </c>
      <c r="I357" s="4" t="s">
        <v>250</v>
      </c>
      <c r="J357" s="4" t="s">
        <v>969</v>
      </c>
      <c r="K357" s="4" t="s">
        <v>292</v>
      </c>
      <c r="L357" s="4">
        <v>32472980</v>
      </c>
      <c r="M357" s="4">
        <v>32472980</v>
      </c>
      <c r="N357" s="4" t="s">
        <v>23</v>
      </c>
      <c r="O357" s="4" t="s">
        <v>46</v>
      </c>
      <c r="P357" s="4" t="s">
        <v>24</v>
      </c>
      <c r="Q357" s="4">
        <v>11</v>
      </c>
    </row>
    <row r="358" spans="1:17">
      <c r="A358" s="3">
        <v>30996</v>
      </c>
      <c r="B358" s="4" t="s">
        <v>970</v>
      </c>
      <c r="C358" s="4" t="s">
        <v>971</v>
      </c>
      <c r="D358" s="4">
        <v>10885</v>
      </c>
      <c r="E358" s="4" t="s">
        <v>76</v>
      </c>
      <c r="F358" s="5">
        <v>329</v>
      </c>
      <c r="G358" s="5">
        <v>263</v>
      </c>
      <c r="H358" s="5">
        <v>88</v>
      </c>
      <c r="I358" s="4" t="s">
        <v>77</v>
      </c>
      <c r="J358" s="4" t="s">
        <v>78</v>
      </c>
      <c r="K358" s="4" t="s">
        <v>22</v>
      </c>
      <c r="L358" s="4">
        <v>118477187</v>
      </c>
      <c r="M358" s="4">
        <v>118477187</v>
      </c>
      <c r="N358" s="4" t="s">
        <v>23</v>
      </c>
      <c r="O358" s="4" t="s">
        <v>46</v>
      </c>
      <c r="P358" s="4" t="s">
        <v>25</v>
      </c>
      <c r="Q358" s="4">
        <v>6</v>
      </c>
    </row>
    <row r="359" spans="1:17" ht="30">
      <c r="A359" s="3">
        <v>30996</v>
      </c>
      <c r="B359" s="4" t="s">
        <v>972</v>
      </c>
      <c r="C359" s="4" t="str">
        <f ca="1">"NM_002455"&amp;IF(INFO("system")="mac",CHAR(13),CHAR(10))&amp;"NM_198883"</f>
        <v>NM_002455_x000D_NM_198883</v>
      </c>
      <c r="D359" s="4">
        <v>4580</v>
      </c>
      <c r="E359" s="4" t="s">
        <v>19</v>
      </c>
      <c r="F359" s="5">
        <v>566</v>
      </c>
      <c r="G359" s="5">
        <v>460</v>
      </c>
      <c r="H359" s="5">
        <v>154</v>
      </c>
      <c r="I359" s="4" t="s">
        <v>973</v>
      </c>
      <c r="J359" s="4" t="s">
        <v>974</v>
      </c>
      <c r="K359" s="4" t="s">
        <v>22</v>
      </c>
      <c r="L359" s="4">
        <v>155179055</v>
      </c>
      <c r="M359" s="4">
        <v>155179055</v>
      </c>
      <c r="N359" s="4" t="s">
        <v>23</v>
      </c>
      <c r="O359" s="4" t="s">
        <v>25</v>
      </c>
      <c r="P359" s="4" t="s">
        <v>24</v>
      </c>
      <c r="Q359" s="4">
        <v>-1</v>
      </c>
    </row>
    <row r="360" spans="1:17">
      <c r="A360" s="3">
        <v>30996</v>
      </c>
      <c r="B360" s="4" t="s">
        <v>975</v>
      </c>
      <c r="C360" s="4" t="s">
        <v>976</v>
      </c>
      <c r="D360" s="4">
        <v>10763</v>
      </c>
      <c r="E360" s="4" t="s">
        <v>19</v>
      </c>
      <c r="F360" s="5">
        <v>257</v>
      </c>
      <c r="G360" s="5">
        <v>124</v>
      </c>
      <c r="H360" s="5">
        <v>42</v>
      </c>
      <c r="I360" s="4" t="s">
        <v>27</v>
      </c>
      <c r="J360" s="4" t="s">
        <v>28</v>
      </c>
      <c r="K360" s="4" t="s">
        <v>22</v>
      </c>
      <c r="L360" s="4">
        <v>156646933</v>
      </c>
      <c r="M360" s="4">
        <v>156646933</v>
      </c>
      <c r="N360" s="4" t="s">
        <v>23</v>
      </c>
      <c r="O360" s="4" t="s">
        <v>46</v>
      </c>
      <c r="P360" s="4" t="s">
        <v>41</v>
      </c>
      <c r="Q360" s="4">
        <v>-3</v>
      </c>
    </row>
    <row r="361" spans="1:17" ht="30">
      <c r="A361" s="3">
        <v>30996</v>
      </c>
      <c r="B361" s="4" t="s">
        <v>977</v>
      </c>
      <c r="C361" s="4" t="str">
        <f ca="1">"NM_198236"&amp;IF(INFO("system")="mac",CHAR(13),CHAR(10))&amp;"NM_014784"</f>
        <v>NM_198236_x000D_NM_014784</v>
      </c>
      <c r="D361" s="4">
        <v>9826</v>
      </c>
      <c r="E361" s="4" t="s">
        <v>232</v>
      </c>
      <c r="F361" s="5" t="s">
        <v>35</v>
      </c>
      <c r="G361" s="5" t="s">
        <v>35</v>
      </c>
      <c r="H361" s="5" t="s">
        <v>35</v>
      </c>
      <c r="I361" s="4" t="s">
        <v>35</v>
      </c>
      <c r="J361" s="4" t="s">
        <v>35</v>
      </c>
      <c r="K361" s="4" t="s">
        <v>22</v>
      </c>
      <c r="L361" s="4">
        <v>156948182</v>
      </c>
      <c r="M361" s="4">
        <v>156948182</v>
      </c>
      <c r="N361" s="4" t="s">
        <v>23</v>
      </c>
      <c r="O361" s="4" t="s">
        <v>24</v>
      </c>
      <c r="P361" s="4" t="s">
        <v>41</v>
      </c>
      <c r="Q361" s="4">
        <v>-4</v>
      </c>
    </row>
    <row r="362" spans="1:17">
      <c r="A362" s="3">
        <v>30996</v>
      </c>
      <c r="B362" s="4" t="s">
        <v>978</v>
      </c>
      <c r="C362" s="4" t="s">
        <v>979</v>
      </c>
      <c r="D362" s="4">
        <v>23013</v>
      </c>
      <c r="E362" s="4" t="s">
        <v>19</v>
      </c>
      <c r="F362" s="5">
        <v>9902</v>
      </c>
      <c r="G362" s="5">
        <v>9698</v>
      </c>
      <c r="H362" s="5">
        <v>3233</v>
      </c>
      <c r="I362" s="4" t="s">
        <v>529</v>
      </c>
      <c r="J362" s="4" t="s">
        <v>530</v>
      </c>
      <c r="K362" s="4" t="s">
        <v>22</v>
      </c>
      <c r="L362" s="4">
        <v>16262433</v>
      </c>
      <c r="M362" s="4">
        <v>16262433</v>
      </c>
      <c r="N362" s="4" t="s">
        <v>23</v>
      </c>
      <c r="O362" s="4" t="s">
        <v>46</v>
      </c>
      <c r="P362" s="4" t="s">
        <v>25</v>
      </c>
      <c r="Q362" s="4">
        <v>0</v>
      </c>
    </row>
    <row r="363" spans="1:17">
      <c r="A363" s="3">
        <v>30996</v>
      </c>
      <c r="B363" s="4" t="s">
        <v>980</v>
      </c>
      <c r="C363" s="4" t="s">
        <v>981</v>
      </c>
      <c r="D363" s="4">
        <v>126859</v>
      </c>
      <c r="E363" s="4" t="s">
        <v>19</v>
      </c>
      <c r="F363" s="5">
        <v>577</v>
      </c>
      <c r="G363" s="5">
        <v>190</v>
      </c>
      <c r="H363" s="5">
        <v>64</v>
      </c>
      <c r="I363" s="4" t="s">
        <v>982</v>
      </c>
      <c r="J363" s="4" t="s">
        <v>983</v>
      </c>
      <c r="K363" s="4" t="s">
        <v>22</v>
      </c>
      <c r="L363" s="4">
        <v>179338027</v>
      </c>
      <c r="M363" s="4">
        <v>179338027</v>
      </c>
      <c r="N363" s="4" t="s">
        <v>23</v>
      </c>
      <c r="O363" s="4" t="s">
        <v>46</v>
      </c>
      <c r="P363" s="4" t="s">
        <v>25</v>
      </c>
      <c r="Q363" s="4">
        <v>7</v>
      </c>
    </row>
    <row r="364" spans="1:17">
      <c r="A364" s="3">
        <v>30996</v>
      </c>
      <c r="B364" s="4" t="s">
        <v>984</v>
      </c>
      <c r="C364" s="4" t="s">
        <v>985</v>
      </c>
      <c r="D364" s="4">
        <v>80834</v>
      </c>
      <c r="E364" s="4" t="s">
        <v>31</v>
      </c>
      <c r="F364" s="5" t="s">
        <v>986</v>
      </c>
      <c r="G364" s="5" t="s">
        <v>987</v>
      </c>
      <c r="H364" s="5" t="s">
        <v>988</v>
      </c>
      <c r="I364" s="4" t="s">
        <v>35</v>
      </c>
      <c r="J364" s="4" t="s">
        <v>35</v>
      </c>
      <c r="K364" s="4" t="s">
        <v>22</v>
      </c>
      <c r="L364" s="4">
        <v>19166807</v>
      </c>
      <c r="M364" s="4">
        <v>19166806</v>
      </c>
      <c r="N364" s="4" t="s">
        <v>110</v>
      </c>
      <c r="O364" s="4"/>
      <c r="P364" s="4" t="s">
        <v>24</v>
      </c>
      <c r="Q364" s="4">
        <v>-4</v>
      </c>
    </row>
    <row r="365" spans="1:17">
      <c r="A365" s="3">
        <v>30996</v>
      </c>
      <c r="B365" s="4" t="s">
        <v>989</v>
      </c>
      <c r="C365" s="4" t="s">
        <v>990</v>
      </c>
      <c r="D365" s="4">
        <v>89796</v>
      </c>
      <c r="E365" s="4" t="s">
        <v>19</v>
      </c>
      <c r="F365" s="5">
        <v>954</v>
      </c>
      <c r="G365" s="5">
        <v>607</v>
      </c>
      <c r="H365" s="5">
        <v>203</v>
      </c>
      <c r="I365" s="4" t="s">
        <v>597</v>
      </c>
      <c r="J365" s="4" t="s">
        <v>598</v>
      </c>
      <c r="K365" s="4" t="s">
        <v>22</v>
      </c>
      <c r="L365" s="4">
        <v>201618403</v>
      </c>
      <c r="M365" s="4">
        <v>201618403</v>
      </c>
      <c r="N365" s="4" t="s">
        <v>23</v>
      </c>
      <c r="O365" s="4" t="s">
        <v>46</v>
      </c>
      <c r="P365" s="4" t="s">
        <v>25</v>
      </c>
      <c r="Q365" s="4">
        <v>7</v>
      </c>
    </row>
    <row r="366" spans="1:17">
      <c r="A366" s="3">
        <v>30996</v>
      </c>
      <c r="B366" s="4" t="s">
        <v>991</v>
      </c>
      <c r="C366" s="4" t="s">
        <v>992</v>
      </c>
      <c r="D366" s="4">
        <v>59349</v>
      </c>
      <c r="E366" s="4" t="s">
        <v>19</v>
      </c>
      <c r="F366" s="5">
        <v>262</v>
      </c>
      <c r="G366" s="5">
        <v>62</v>
      </c>
      <c r="H366" s="5">
        <v>21</v>
      </c>
      <c r="I366" s="4" t="s">
        <v>993</v>
      </c>
      <c r="J366" s="4" t="s">
        <v>994</v>
      </c>
      <c r="K366" s="4" t="s">
        <v>22</v>
      </c>
      <c r="L366" s="4">
        <v>202894229</v>
      </c>
      <c r="M366" s="4">
        <v>202894229</v>
      </c>
      <c r="N366" s="4" t="s">
        <v>23</v>
      </c>
      <c r="O366" s="4" t="s">
        <v>41</v>
      </c>
      <c r="P366" s="4" t="s">
        <v>24</v>
      </c>
      <c r="Q366" s="4">
        <v>-1</v>
      </c>
    </row>
    <row r="367" spans="1:17" ht="30">
      <c r="A367" s="3">
        <v>30996</v>
      </c>
      <c r="B367" s="4" t="s">
        <v>995</v>
      </c>
      <c r="C367" s="4" t="str">
        <f ca="1">"NM_018252"&amp;IF(INFO("system")="mac",CHAR(13),CHAR(10))&amp;"NM_001198862"</f>
        <v>NM_018252_x000D_NM_001198862</v>
      </c>
      <c r="D367" s="4">
        <v>55248</v>
      </c>
      <c r="E367" s="4" t="s">
        <v>232</v>
      </c>
      <c r="F367" s="5" t="s">
        <v>35</v>
      </c>
      <c r="G367" s="5" t="s">
        <v>35</v>
      </c>
      <c r="H367" s="5" t="s">
        <v>35</v>
      </c>
      <c r="I367" s="4" t="s">
        <v>35</v>
      </c>
      <c r="J367" s="4" t="s">
        <v>35</v>
      </c>
      <c r="K367" s="4" t="s">
        <v>22</v>
      </c>
      <c r="L367" s="4">
        <v>212551053</v>
      </c>
      <c r="M367" s="4">
        <v>212551053</v>
      </c>
      <c r="N367" s="4" t="s">
        <v>23</v>
      </c>
      <c r="O367" s="4" t="s">
        <v>24</v>
      </c>
      <c r="P367" s="4" t="s">
        <v>41</v>
      </c>
      <c r="Q367" s="4">
        <v>-5</v>
      </c>
    </row>
    <row r="368" spans="1:17">
      <c r="A368" s="3">
        <v>30996</v>
      </c>
      <c r="B368" s="4" t="s">
        <v>996</v>
      </c>
      <c r="C368" s="4" t="s">
        <v>997</v>
      </c>
      <c r="D368" s="4">
        <v>9816</v>
      </c>
      <c r="E368" s="4" t="s">
        <v>19</v>
      </c>
      <c r="F368" s="5">
        <v>2229</v>
      </c>
      <c r="G368" s="5">
        <v>2093</v>
      </c>
      <c r="H368" s="5">
        <v>698</v>
      </c>
      <c r="I368" s="4" t="s">
        <v>385</v>
      </c>
      <c r="J368" s="4" t="s">
        <v>998</v>
      </c>
      <c r="K368" s="4" t="s">
        <v>22</v>
      </c>
      <c r="L368" s="4">
        <v>229772453</v>
      </c>
      <c r="M368" s="4">
        <v>229772453</v>
      </c>
      <c r="N368" s="4" t="s">
        <v>23</v>
      </c>
      <c r="O368" s="4" t="s">
        <v>25</v>
      </c>
      <c r="P368" s="4" t="s">
        <v>24</v>
      </c>
      <c r="Q368" s="4">
        <v>5</v>
      </c>
    </row>
    <row r="369" spans="1:17">
      <c r="A369" s="3">
        <v>30996</v>
      </c>
      <c r="B369" s="4" t="s">
        <v>999</v>
      </c>
      <c r="C369" s="4" t="s">
        <v>1000</v>
      </c>
      <c r="D369" s="4">
        <v>339529</v>
      </c>
      <c r="E369" s="4" t="s">
        <v>1001</v>
      </c>
      <c r="F369" s="5">
        <v>1053</v>
      </c>
      <c r="G369" s="5" t="s">
        <v>35</v>
      </c>
      <c r="H369" s="5" t="s">
        <v>35</v>
      </c>
      <c r="I369" s="4" t="s">
        <v>35</v>
      </c>
      <c r="J369" s="4" t="s">
        <v>35</v>
      </c>
      <c r="K369" s="4" t="s">
        <v>22</v>
      </c>
      <c r="L369" s="4">
        <v>244190736</v>
      </c>
      <c r="M369" s="4">
        <v>244190736</v>
      </c>
      <c r="N369" s="4" t="s">
        <v>23</v>
      </c>
      <c r="O369" s="4" t="s">
        <v>24</v>
      </c>
      <c r="P369" s="4" t="s">
        <v>41</v>
      </c>
      <c r="Q369" s="4">
        <v>17</v>
      </c>
    </row>
    <row r="370" spans="1:17">
      <c r="A370" s="3">
        <v>30996</v>
      </c>
      <c r="B370" s="4" t="s">
        <v>1002</v>
      </c>
      <c r="C370" s="4" t="s">
        <v>1003</v>
      </c>
      <c r="D370" s="4">
        <v>80851</v>
      </c>
      <c r="E370" s="4" t="s">
        <v>232</v>
      </c>
      <c r="F370" s="5" t="s">
        <v>35</v>
      </c>
      <c r="G370" s="5" t="s">
        <v>35</v>
      </c>
      <c r="H370" s="5" t="s">
        <v>35</v>
      </c>
      <c r="I370" s="4" t="s">
        <v>35</v>
      </c>
      <c r="J370" s="4" t="s">
        <v>35</v>
      </c>
      <c r="K370" s="4" t="s">
        <v>22</v>
      </c>
      <c r="L370" s="4">
        <v>249118946</v>
      </c>
      <c r="M370" s="4">
        <v>249118946</v>
      </c>
      <c r="N370" s="4" t="s">
        <v>23</v>
      </c>
      <c r="O370" s="4" t="s">
        <v>41</v>
      </c>
      <c r="P370" s="4" t="s">
        <v>25</v>
      </c>
      <c r="Q370" s="4">
        <v>5</v>
      </c>
    </row>
    <row r="371" spans="1:17" ht="30">
      <c r="A371" s="3">
        <v>30996</v>
      </c>
      <c r="B371" s="4" t="s">
        <v>1004</v>
      </c>
      <c r="C371" s="4" t="str">
        <f ca="1">"NM_001162530"&amp;IF(INFO("system")="mac",CHAR(13),CHAR(10))&amp;"NM_024676"</f>
        <v>NM_001162530_x000D_NM_024676</v>
      </c>
      <c r="D371" s="4">
        <v>79729</v>
      </c>
      <c r="E371" s="4" t="s">
        <v>19</v>
      </c>
      <c r="F371" s="5" t="str">
        <f ca="1">"1166"&amp;IF(INFO("system")="mac",CHAR(13),CHAR(10))&amp;"972"</f>
        <v>1166_x000D_972</v>
      </c>
      <c r="G371" s="5" t="str">
        <f ca="1">"1138"&amp;IF(INFO("system")="mac",CHAR(13),CHAR(10))&amp;"805"</f>
        <v>1138_x000D_805</v>
      </c>
      <c r="H371" s="5" t="str">
        <f ca="1">"380"&amp;IF(INFO("system")="mac",CHAR(13),CHAR(10))&amp;"269"</f>
        <v>380_x000D_269</v>
      </c>
      <c r="I371" s="4" t="s">
        <v>378</v>
      </c>
      <c r="J371" s="4" t="s">
        <v>1005</v>
      </c>
      <c r="K371" s="4" t="s">
        <v>22</v>
      </c>
      <c r="L371" s="4">
        <v>36785402</v>
      </c>
      <c r="M371" s="4">
        <v>36785402</v>
      </c>
      <c r="N371" s="4" t="s">
        <v>23</v>
      </c>
      <c r="O371" s="4" t="s">
        <v>46</v>
      </c>
      <c r="P371" s="4" t="s">
        <v>25</v>
      </c>
      <c r="Q371" s="4">
        <v>1</v>
      </c>
    </row>
    <row r="372" spans="1:17">
      <c r="A372" s="3">
        <v>30996</v>
      </c>
      <c r="B372" s="4" t="s">
        <v>1006</v>
      </c>
      <c r="C372" s="4" t="s">
        <v>1007</v>
      </c>
      <c r="D372" s="4">
        <v>5293</v>
      </c>
      <c r="E372" s="4" t="s">
        <v>68</v>
      </c>
      <c r="F372" s="5" t="s">
        <v>35</v>
      </c>
      <c r="G372" s="5" t="s">
        <v>35</v>
      </c>
      <c r="H372" s="5" t="s">
        <v>35</v>
      </c>
      <c r="I372" s="4" t="s">
        <v>35</v>
      </c>
      <c r="J372" s="4" t="s">
        <v>35</v>
      </c>
      <c r="K372" s="4" t="s">
        <v>22</v>
      </c>
      <c r="L372" s="4">
        <v>9784481</v>
      </c>
      <c r="M372" s="4">
        <v>9784481</v>
      </c>
      <c r="N372" s="4" t="s">
        <v>23</v>
      </c>
      <c r="O372" s="4" t="s">
        <v>41</v>
      </c>
      <c r="P372" s="4" t="s">
        <v>24</v>
      </c>
      <c r="Q372" s="4">
        <v>-5</v>
      </c>
    </row>
    <row r="373" spans="1:17" ht="30">
      <c r="A373" s="3">
        <v>30996</v>
      </c>
      <c r="B373" s="4" t="s">
        <v>1008</v>
      </c>
      <c r="C373" s="4" t="str">
        <f ca="1">"NM_003939"&amp;IF(INFO("system")="mac",CHAR(13),CHAR(10))&amp;"NM_033637"</f>
        <v>NM_003939_x000D_NM_033637</v>
      </c>
      <c r="D373" s="4">
        <v>8945</v>
      </c>
      <c r="E373" s="4" t="str">
        <f ca="1">"NMD_TRANSCRIPT,NON_SYNONYMOUS_CODING"&amp;IF(INFO("system")="mac",CHAR(13),CHAR(10))&amp;"NON_SYNONYMOUS_CODING"</f>
        <v>NMD_TRANSCRIPT,NON_SYNONYMOUS_CODING_x000D_NON_SYNONYMOUS_CODING</v>
      </c>
      <c r="F373" s="5" t="str">
        <f ca="1">"770"&amp;IF(INFO("system")="mac",CHAR(13),CHAR(10))&amp;"878"</f>
        <v>770_x000D_878</v>
      </c>
      <c r="G373" s="5" t="str">
        <f ca="1">"657"&amp;IF(INFO("system")="mac",CHAR(13),CHAR(10))&amp;"765"</f>
        <v>657_x000D_765</v>
      </c>
      <c r="H373" s="5" t="str">
        <f ca="1">"219"&amp;IF(INFO("system")="mac",CHAR(13),CHAR(10))&amp;"255"</f>
        <v>219_x000D_255</v>
      </c>
      <c r="I373" s="4" t="s">
        <v>360</v>
      </c>
      <c r="J373" s="4" t="s">
        <v>361</v>
      </c>
      <c r="K373" s="4" t="s">
        <v>69</v>
      </c>
      <c r="L373" s="4">
        <v>103291015</v>
      </c>
      <c r="M373" s="4">
        <v>103291015</v>
      </c>
      <c r="N373" s="4" t="s">
        <v>23</v>
      </c>
      <c r="O373" s="4" t="s">
        <v>46</v>
      </c>
      <c r="P373" s="4" t="s">
        <v>24</v>
      </c>
      <c r="Q373" s="4">
        <v>1</v>
      </c>
    </row>
    <row r="374" spans="1:17">
      <c r="A374" s="3">
        <v>30996</v>
      </c>
      <c r="B374" s="4" t="s">
        <v>1009</v>
      </c>
      <c r="C374" s="4" t="s">
        <v>1010</v>
      </c>
      <c r="D374" s="4">
        <v>10579</v>
      </c>
      <c r="E374" s="4" t="s">
        <v>19</v>
      </c>
      <c r="F374" s="5">
        <v>5468</v>
      </c>
      <c r="G374" s="5">
        <v>5108</v>
      </c>
      <c r="H374" s="5">
        <v>1703</v>
      </c>
      <c r="I374" s="4" t="s">
        <v>269</v>
      </c>
      <c r="J374" s="4" t="s">
        <v>270</v>
      </c>
      <c r="K374" s="4" t="s">
        <v>69</v>
      </c>
      <c r="L374" s="4">
        <v>123847123</v>
      </c>
      <c r="M374" s="4">
        <v>123847123</v>
      </c>
      <c r="N374" s="4" t="s">
        <v>23</v>
      </c>
      <c r="O374" s="4" t="s">
        <v>24</v>
      </c>
      <c r="P374" s="4" t="s">
        <v>41</v>
      </c>
      <c r="Q374" s="4">
        <v>4</v>
      </c>
    </row>
    <row r="375" spans="1:17" ht="45">
      <c r="A375" s="3">
        <v>30996</v>
      </c>
      <c r="B375" s="4" t="s">
        <v>1011</v>
      </c>
      <c r="C375" s="4" t="str">
        <f ca="1">"NM_012247"&amp;IF(INFO("system")="mac",CHAR(13),CHAR(10))&amp;"NM_001195604"&amp;IF(INFO("system")="mac",CHAR(13),CHAR(10))&amp;"NM_001195602"</f>
        <v>NM_012247_x000D_NM_001195604_x000D_NM_001195602</v>
      </c>
      <c r="D375" s="4">
        <v>22929</v>
      </c>
      <c r="E375" s="4" t="s">
        <v>19</v>
      </c>
      <c r="F375" s="5" t="str">
        <f ca="1">"694"&amp;IF(INFO("system")="mac",CHAR(13),CHAR(10))&amp;"694"&amp;IF(INFO("system")="mac",CHAR(13),CHAR(10))&amp;"423"</f>
        <v>694_x000D_694_x000D_423</v>
      </c>
      <c r="G375" s="5" t="str">
        <f ca="1">"317"&amp;IF(INFO("system")="mac",CHAR(13),CHAR(10))&amp;"317"&amp;IF(INFO("system")="mac",CHAR(13),CHAR(10))&amp;"116"</f>
        <v>317_x000D_317_x000D_116</v>
      </c>
      <c r="H375" s="5" t="str">
        <f ca="1">"106"&amp;IF(INFO("system")="mac",CHAR(13),CHAR(10))&amp;"106"&amp;IF(INFO("system")="mac",CHAR(13),CHAR(10))&amp;"39"</f>
        <v>106_x000D_106_x000D_39</v>
      </c>
      <c r="I375" s="4" t="s">
        <v>393</v>
      </c>
      <c r="J375" s="4" t="s">
        <v>955</v>
      </c>
      <c r="K375" s="4" t="s">
        <v>69</v>
      </c>
      <c r="L375" s="4">
        <v>13378331</v>
      </c>
      <c r="M375" s="4">
        <v>13378331</v>
      </c>
      <c r="N375" s="4" t="s">
        <v>23</v>
      </c>
      <c r="O375" s="4" t="s">
        <v>41</v>
      </c>
      <c r="P375" s="4" t="s">
        <v>46</v>
      </c>
      <c r="Q375" s="4">
        <v>6</v>
      </c>
    </row>
    <row r="376" spans="1:17">
      <c r="A376" s="3">
        <v>30996</v>
      </c>
      <c r="B376" s="4" t="s">
        <v>1012</v>
      </c>
      <c r="C376" s="4" t="s">
        <v>1013</v>
      </c>
      <c r="D376" s="4">
        <v>55753</v>
      </c>
      <c r="E376" s="4" t="s">
        <v>19</v>
      </c>
      <c r="F376" s="5">
        <v>398</v>
      </c>
      <c r="G376" s="5">
        <v>256</v>
      </c>
      <c r="H376" s="5">
        <v>86</v>
      </c>
      <c r="I376" s="4" t="s">
        <v>123</v>
      </c>
      <c r="J376" s="4" t="s">
        <v>481</v>
      </c>
      <c r="K376" s="4" t="s">
        <v>69</v>
      </c>
      <c r="L376" s="4">
        <v>50964941</v>
      </c>
      <c r="M376" s="4">
        <v>50964941</v>
      </c>
      <c r="N376" s="4" t="s">
        <v>23</v>
      </c>
      <c r="O376" s="4" t="s">
        <v>46</v>
      </c>
      <c r="P376" s="4" t="s">
        <v>25</v>
      </c>
      <c r="Q376" s="4">
        <v>1</v>
      </c>
    </row>
    <row r="377" spans="1:17" ht="45">
      <c r="A377" s="3">
        <v>30996</v>
      </c>
      <c r="B377" s="4" t="s">
        <v>1014</v>
      </c>
      <c r="C377" s="4" t="str">
        <f ca="1">"NM_002778"&amp;IF(INFO("system")="mac",CHAR(13),CHAR(10))&amp;"NM_001042465"&amp;IF(INFO("system")="mac",CHAR(13),CHAR(10))&amp;"NM_001042466"</f>
        <v>NM_002778_x000D_NM_001042465_x000D_NM_001042466</v>
      </c>
      <c r="D377" s="4">
        <v>5660</v>
      </c>
      <c r="E377" s="4" t="s">
        <v>19</v>
      </c>
      <c r="F377" s="5" t="str">
        <f ca="1">"1647"&amp;IF(INFO("system")="mac",CHAR(13),CHAR(10))&amp;"1656"&amp;IF(INFO("system")="mac",CHAR(13),CHAR(10))&amp;"1653"</f>
        <v>1647_x000D_1656_x000D_1653</v>
      </c>
      <c r="G377" s="5" t="str">
        <f ca="1">"1543"&amp;IF(INFO("system")="mac",CHAR(13),CHAR(10))&amp;"1552"&amp;IF(INFO("system")="mac",CHAR(13),CHAR(10))&amp;"1549"</f>
        <v>1543_x000D_1552_x000D_1549</v>
      </c>
      <c r="H377" s="5" t="str">
        <f ca="1">"515"&amp;IF(INFO("system")="mac",CHAR(13),CHAR(10))&amp;"518"&amp;IF(INFO("system")="mac",CHAR(13),CHAR(10))&amp;"517"</f>
        <v>515_x000D_518_x000D_517</v>
      </c>
      <c r="I377" s="4" t="s">
        <v>161</v>
      </c>
      <c r="J377" s="4" t="s">
        <v>162</v>
      </c>
      <c r="K377" s="4" t="s">
        <v>69</v>
      </c>
      <c r="L377" s="4">
        <v>73577230</v>
      </c>
      <c r="M377" s="4">
        <v>73577230</v>
      </c>
      <c r="N377" s="4" t="s">
        <v>23</v>
      </c>
      <c r="O377" s="4" t="s">
        <v>46</v>
      </c>
      <c r="P377" s="4" t="s">
        <v>25</v>
      </c>
      <c r="Q377" s="4">
        <v>12</v>
      </c>
    </row>
    <row r="378" spans="1:17" ht="30">
      <c r="A378" s="3">
        <v>30996</v>
      </c>
      <c r="B378" s="4" t="s">
        <v>1015</v>
      </c>
      <c r="C378" s="4" t="str">
        <f ca="1">"NM_004788"&amp;IF(INFO("system")="mac",CHAR(13),CHAR(10))&amp;"NM_001204077"</f>
        <v>NM_004788_x000D_NM_001204077</v>
      </c>
      <c r="D378" s="4">
        <v>9354</v>
      </c>
      <c r="E378" s="4" t="s">
        <v>19</v>
      </c>
      <c r="F378" s="5" t="str">
        <f ca="1">"3085"&amp;IF(INFO("system")="mac",CHAR(13),CHAR(10))&amp;"3064"</f>
        <v>3085_x000D_3064</v>
      </c>
      <c r="G378" s="5" t="str">
        <f ca="1">"2950"&amp;IF(INFO("system")="mac",CHAR(13),CHAR(10))&amp;"2929"</f>
        <v>2950_x000D_2929</v>
      </c>
      <c r="H378" s="5" t="str">
        <f ca="1">"984"&amp;IF(INFO("system")="mac",CHAR(13),CHAR(10))&amp;"977"</f>
        <v>984_x000D_977</v>
      </c>
      <c r="I378" s="4" t="s">
        <v>57</v>
      </c>
      <c r="J378" s="4" t="s">
        <v>58</v>
      </c>
      <c r="K378" s="4" t="s">
        <v>83</v>
      </c>
      <c r="L378" s="4">
        <v>118263465</v>
      </c>
      <c r="M378" s="4">
        <v>118263465</v>
      </c>
      <c r="N378" s="4" t="s">
        <v>23</v>
      </c>
      <c r="O378" s="4" t="s">
        <v>46</v>
      </c>
      <c r="P378" s="4" t="s">
        <v>41</v>
      </c>
      <c r="Q378" s="4">
        <v>5</v>
      </c>
    </row>
    <row r="379" spans="1:17">
      <c r="A379" s="3">
        <v>30996</v>
      </c>
      <c r="B379" s="4" t="s">
        <v>1016</v>
      </c>
      <c r="C379" s="4" t="s">
        <v>1017</v>
      </c>
      <c r="D379" s="4">
        <v>4586</v>
      </c>
      <c r="E379" s="4" t="s">
        <v>19</v>
      </c>
      <c r="F379" s="5">
        <v>3686</v>
      </c>
      <c r="G379" s="5">
        <v>3686</v>
      </c>
      <c r="H379" s="5">
        <v>1229</v>
      </c>
      <c r="I379" s="4" t="s">
        <v>617</v>
      </c>
      <c r="J379" s="4" t="s">
        <v>732</v>
      </c>
      <c r="K379" s="4" t="s">
        <v>83</v>
      </c>
      <c r="L379" s="4">
        <v>1215342</v>
      </c>
      <c r="M379" s="4">
        <v>1215342</v>
      </c>
      <c r="N379" s="4" t="s">
        <v>23</v>
      </c>
      <c r="O379" s="4" t="s">
        <v>24</v>
      </c>
      <c r="P379" s="4" t="s">
        <v>25</v>
      </c>
      <c r="Q379" s="4">
        <v>7</v>
      </c>
    </row>
    <row r="380" spans="1:17">
      <c r="A380" s="3">
        <v>30996</v>
      </c>
      <c r="B380" s="4" t="s">
        <v>1018</v>
      </c>
      <c r="C380" s="4" t="s">
        <v>1019</v>
      </c>
      <c r="D380" s="4">
        <v>53340</v>
      </c>
      <c r="E380" s="4" t="s">
        <v>76</v>
      </c>
      <c r="F380" s="5">
        <v>527</v>
      </c>
      <c r="G380" s="5">
        <v>391</v>
      </c>
      <c r="H380" s="5">
        <v>131</v>
      </c>
      <c r="I380" s="4" t="s">
        <v>102</v>
      </c>
      <c r="J380" s="4" t="s">
        <v>274</v>
      </c>
      <c r="K380" s="4" t="s">
        <v>83</v>
      </c>
      <c r="L380" s="4">
        <v>124564277</v>
      </c>
      <c r="M380" s="4">
        <v>124564277</v>
      </c>
      <c r="N380" s="4" t="s">
        <v>23</v>
      </c>
      <c r="O380" s="4" t="s">
        <v>25</v>
      </c>
      <c r="P380" s="4" t="s">
        <v>41</v>
      </c>
      <c r="Q380" s="4">
        <v>5</v>
      </c>
    </row>
    <row r="381" spans="1:17">
      <c r="A381" s="3">
        <v>30996</v>
      </c>
      <c r="B381" s="4" t="s">
        <v>1020</v>
      </c>
      <c r="C381" s="4" t="s">
        <v>1021</v>
      </c>
      <c r="D381" s="4">
        <v>23360</v>
      </c>
      <c r="E381" s="4" t="s">
        <v>392</v>
      </c>
      <c r="F381" s="5" t="s">
        <v>1022</v>
      </c>
      <c r="G381" s="5" t="s">
        <v>1023</v>
      </c>
      <c r="H381" s="5" t="s">
        <v>1024</v>
      </c>
      <c r="I381" s="4" t="s">
        <v>1025</v>
      </c>
      <c r="J381" s="4" t="s">
        <v>1026</v>
      </c>
      <c r="K381" s="4" t="s">
        <v>83</v>
      </c>
      <c r="L381" s="4">
        <v>47745720</v>
      </c>
      <c r="M381" s="4">
        <v>47745722</v>
      </c>
      <c r="N381" s="4" t="s">
        <v>36</v>
      </c>
      <c r="O381" s="4" t="s">
        <v>1027</v>
      </c>
      <c r="P381" s="4"/>
      <c r="Q381" s="4">
        <v>4</v>
      </c>
    </row>
    <row r="382" spans="1:17">
      <c r="A382" s="3">
        <v>30996</v>
      </c>
      <c r="B382" s="4" t="s">
        <v>1028</v>
      </c>
      <c r="C382" s="4" t="s">
        <v>1029</v>
      </c>
      <c r="D382" s="4">
        <v>119764</v>
      </c>
      <c r="E382" s="4" t="s">
        <v>19</v>
      </c>
      <c r="F382" s="5">
        <v>166</v>
      </c>
      <c r="G382" s="5">
        <v>166</v>
      </c>
      <c r="H382" s="5">
        <v>56</v>
      </c>
      <c r="I382" s="4" t="s">
        <v>434</v>
      </c>
      <c r="J382" s="4" t="s">
        <v>1030</v>
      </c>
      <c r="K382" s="4" t="s">
        <v>83</v>
      </c>
      <c r="L382" s="4">
        <v>48266821</v>
      </c>
      <c r="M382" s="4">
        <v>48266821</v>
      </c>
      <c r="N382" s="4" t="s">
        <v>23</v>
      </c>
      <c r="O382" s="4" t="s">
        <v>25</v>
      </c>
      <c r="P382" s="4" t="s">
        <v>41</v>
      </c>
      <c r="Q382" s="4">
        <v>5</v>
      </c>
    </row>
    <row r="383" spans="1:17">
      <c r="A383" s="3">
        <v>30996</v>
      </c>
      <c r="B383" s="4" t="s">
        <v>1031</v>
      </c>
      <c r="C383" s="4" t="s">
        <v>1032</v>
      </c>
      <c r="D383" s="4">
        <v>160762</v>
      </c>
      <c r="E383" s="4" t="s">
        <v>19</v>
      </c>
      <c r="F383" s="5">
        <v>1376</v>
      </c>
      <c r="G383" s="5">
        <v>1181</v>
      </c>
      <c r="H383" s="5">
        <v>394</v>
      </c>
      <c r="I383" s="4" t="s">
        <v>550</v>
      </c>
      <c r="J383" s="4" t="s">
        <v>1033</v>
      </c>
      <c r="K383" s="4" t="s">
        <v>104</v>
      </c>
      <c r="L383" s="4">
        <v>111336768</v>
      </c>
      <c r="M383" s="4">
        <v>111336768</v>
      </c>
      <c r="N383" s="4" t="s">
        <v>23</v>
      </c>
      <c r="O383" s="4" t="s">
        <v>25</v>
      </c>
      <c r="P383" s="4" t="s">
        <v>24</v>
      </c>
      <c r="Q383" s="4">
        <v>4</v>
      </c>
    </row>
    <row r="384" spans="1:17">
      <c r="A384" s="3">
        <v>30996</v>
      </c>
      <c r="B384" s="4" t="s">
        <v>1034</v>
      </c>
      <c r="C384" s="4" t="s">
        <v>1035</v>
      </c>
      <c r="D384" s="4">
        <v>57634</v>
      </c>
      <c r="E384" s="4" t="s">
        <v>232</v>
      </c>
      <c r="F384" s="5" t="s">
        <v>35</v>
      </c>
      <c r="G384" s="5" t="s">
        <v>35</v>
      </c>
      <c r="H384" s="5" t="s">
        <v>35</v>
      </c>
      <c r="I384" s="4" t="s">
        <v>35</v>
      </c>
      <c r="J384" s="4" t="s">
        <v>35</v>
      </c>
      <c r="K384" s="4" t="s">
        <v>104</v>
      </c>
      <c r="L384" s="4">
        <v>132516701</v>
      </c>
      <c r="M384" s="4">
        <v>132516701</v>
      </c>
      <c r="N384" s="4" t="s">
        <v>23</v>
      </c>
      <c r="O384" s="4" t="s">
        <v>24</v>
      </c>
      <c r="P384" s="4" t="s">
        <v>25</v>
      </c>
      <c r="Q384" s="4">
        <v>7</v>
      </c>
    </row>
    <row r="385" spans="1:17">
      <c r="A385" s="3">
        <v>30996</v>
      </c>
      <c r="B385" s="4" t="s">
        <v>1036</v>
      </c>
      <c r="C385" s="4" t="s">
        <v>1037</v>
      </c>
      <c r="D385" s="4">
        <v>4035</v>
      </c>
      <c r="E385" s="4" t="s">
        <v>232</v>
      </c>
      <c r="F385" s="5" t="s">
        <v>35</v>
      </c>
      <c r="G385" s="5" t="s">
        <v>35</v>
      </c>
      <c r="H385" s="5" t="s">
        <v>35</v>
      </c>
      <c r="I385" s="4" t="s">
        <v>35</v>
      </c>
      <c r="J385" s="4" t="s">
        <v>35</v>
      </c>
      <c r="K385" s="4" t="s">
        <v>104</v>
      </c>
      <c r="L385" s="4">
        <v>57574932</v>
      </c>
      <c r="M385" s="4">
        <v>57574932</v>
      </c>
      <c r="N385" s="4" t="s">
        <v>23</v>
      </c>
      <c r="O385" s="4" t="s">
        <v>24</v>
      </c>
      <c r="P385" s="4" t="s">
        <v>41</v>
      </c>
      <c r="Q385" s="4">
        <v>-4</v>
      </c>
    </row>
    <row r="386" spans="1:17">
      <c r="A386" s="3">
        <v>30996</v>
      </c>
      <c r="B386" s="4" t="s">
        <v>1038</v>
      </c>
      <c r="C386" s="4" t="s">
        <v>1039</v>
      </c>
      <c r="D386" s="4">
        <v>7450</v>
      </c>
      <c r="E386" s="4" t="s">
        <v>19</v>
      </c>
      <c r="F386" s="5">
        <v>716</v>
      </c>
      <c r="G386" s="5">
        <v>466</v>
      </c>
      <c r="H386" s="5">
        <v>156</v>
      </c>
      <c r="I386" s="4" t="s">
        <v>180</v>
      </c>
      <c r="J386" s="4" t="s">
        <v>1040</v>
      </c>
      <c r="K386" s="4" t="s">
        <v>104</v>
      </c>
      <c r="L386" s="4">
        <v>6219606</v>
      </c>
      <c r="M386" s="4">
        <v>6219606</v>
      </c>
      <c r="N386" s="4" t="s">
        <v>23</v>
      </c>
      <c r="O386" s="4" t="s">
        <v>41</v>
      </c>
      <c r="P386" s="4" t="s">
        <v>24</v>
      </c>
      <c r="Q386" s="4">
        <v>7</v>
      </c>
    </row>
    <row r="387" spans="1:17">
      <c r="A387" s="3">
        <v>30996</v>
      </c>
      <c r="B387" s="4" t="s">
        <v>1041</v>
      </c>
      <c r="C387" s="4" t="s">
        <v>1042</v>
      </c>
      <c r="D387" s="4">
        <v>144453</v>
      </c>
      <c r="E387" s="4" t="s">
        <v>19</v>
      </c>
      <c r="F387" s="5">
        <v>250</v>
      </c>
      <c r="G387" s="5">
        <v>23</v>
      </c>
      <c r="H387" s="5">
        <v>8</v>
      </c>
      <c r="I387" s="4" t="s">
        <v>907</v>
      </c>
      <c r="J387" s="4" t="s">
        <v>1043</v>
      </c>
      <c r="K387" s="4" t="s">
        <v>104</v>
      </c>
      <c r="L387" s="4">
        <v>70091556</v>
      </c>
      <c r="M387" s="4">
        <v>70091556</v>
      </c>
      <c r="N387" s="4" t="s">
        <v>23</v>
      </c>
      <c r="O387" s="4" t="s">
        <v>41</v>
      </c>
      <c r="P387" s="4" t="s">
        <v>46</v>
      </c>
      <c r="Q387" s="4">
        <v>2</v>
      </c>
    </row>
    <row r="388" spans="1:17" ht="30">
      <c r="A388" s="3">
        <v>30996</v>
      </c>
      <c r="B388" s="4" t="s">
        <v>1044</v>
      </c>
      <c r="C388" s="4" t="str">
        <f ca="1">"NM_001166058"&amp;IF(INFO("system")="mac",CHAR(13),CHAR(10))&amp;"NM_130806"</f>
        <v>NM_001166058_x000D_NM_130806</v>
      </c>
      <c r="D388" s="4">
        <v>122042</v>
      </c>
      <c r="E388" s="4" t="s">
        <v>19</v>
      </c>
      <c r="F388" s="5">
        <v>198</v>
      </c>
      <c r="G388" s="5">
        <v>127</v>
      </c>
      <c r="H388" s="5">
        <v>43</v>
      </c>
      <c r="I388" s="4" t="s">
        <v>414</v>
      </c>
      <c r="J388" s="4" t="s">
        <v>415</v>
      </c>
      <c r="K388" s="4" t="s">
        <v>339</v>
      </c>
      <c r="L388" s="4">
        <v>32332427</v>
      </c>
      <c r="M388" s="4">
        <v>32332427</v>
      </c>
      <c r="N388" s="4" t="s">
        <v>23</v>
      </c>
      <c r="O388" s="4" t="s">
        <v>46</v>
      </c>
      <c r="P388" s="4" t="s">
        <v>41</v>
      </c>
      <c r="Q388" s="4">
        <v>10</v>
      </c>
    </row>
    <row r="389" spans="1:17" ht="30">
      <c r="A389" s="3">
        <v>30996</v>
      </c>
      <c r="B389" s="4" t="s">
        <v>1044</v>
      </c>
      <c r="C389" s="4" t="str">
        <f ca="1">"NM_001166058"&amp;IF(INFO("system")="mac",CHAR(13),CHAR(10))&amp;"NM_130806"</f>
        <v>NM_001166058_x000D_NM_130806</v>
      </c>
      <c r="D389" s="4">
        <v>122042</v>
      </c>
      <c r="E389" s="4" t="s">
        <v>19</v>
      </c>
      <c r="F389" s="5" t="str">
        <f ca="1">"1993"&amp;IF(INFO("system")="mac",CHAR(13),CHAR(10))&amp;"2065"</f>
        <v>1993_x000D_2065</v>
      </c>
      <c r="G389" s="5" t="str">
        <f ca="1">"1922"&amp;IF(INFO("system")="mac",CHAR(13),CHAR(10))&amp;"1994"</f>
        <v>1922_x000D_1994</v>
      </c>
      <c r="H389" s="5" t="str">
        <f ca="1">"641"&amp;IF(INFO("system")="mac",CHAR(13),CHAR(10))&amp;"665"</f>
        <v>641_x000D_665</v>
      </c>
      <c r="I389" s="4" t="s">
        <v>1045</v>
      </c>
      <c r="J389" s="4" t="s">
        <v>1046</v>
      </c>
      <c r="K389" s="4" t="s">
        <v>339</v>
      </c>
      <c r="L389" s="4">
        <v>32371545</v>
      </c>
      <c r="M389" s="4">
        <v>32371545</v>
      </c>
      <c r="N389" s="4" t="s">
        <v>23</v>
      </c>
      <c r="O389" s="4" t="s">
        <v>41</v>
      </c>
      <c r="P389" s="4" t="s">
        <v>25</v>
      </c>
      <c r="Q389" s="4">
        <v>7</v>
      </c>
    </row>
    <row r="390" spans="1:17" ht="75">
      <c r="A390" s="3">
        <v>30996</v>
      </c>
      <c r="B390" s="4" t="s">
        <v>1047</v>
      </c>
      <c r="C390" s="4" t="str">
        <f ca="1">"NM_001204505"&amp;IF(INFO("system")="mac",CHAR(13),CHAR(10))&amp;"NM_178009"&amp;IF(INFO("system")="mac",CHAR(13),CHAR(10))&amp;"NM_152910"&amp;IF(INFO("system")="mac",CHAR(13),CHAR(10))&amp;"NM_001204506"&amp;IF(INFO("system")="mac",CHAR(13),CHAR(10))&amp;"NM_001204504"</f>
        <v>NM_001204505_x000D_NM_178009_x000D_NM_152910_x000D_NM_001204506_x000D_NM_001204504</v>
      </c>
      <c r="D390" s="4">
        <v>160851</v>
      </c>
      <c r="E390" s="4" t="s">
        <v>68</v>
      </c>
      <c r="F390" s="5" t="s">
        <v>35</v>
      </c>
      <c r="G390" s="5" t="s">
        <v>35</v>
      </c>
      <c r="H390" s="5" t="s">
        <v>35</v>
      </c>
      <c r="I390" s="4" t="s">
        <v>35</v>
      </c>
      <c r="J390" s="4" t="s">
        <v>35</v>
      </c>
      <c r="K390" s="4" t="s">
        <v>339</v>
      </c>
      <c r="L390" s="4">
        <v>42769020</v>
      </c>
      <c r="M390" s="4">
        <v>42769020</v>
      </c>
      <c r="N390" s="4" t="s">
        <v>23</v>
      </c>
      <c r="O390" s="4" t="s">
        <v>24</v>
      </c>
      <c r="P390" s="4" t="s">
        <v>25</v>
      </c>
      <c r="Q390" s="4">
        <v>12</v>
      </c>
    </row>
    <row r="391" spans="1:17" ht="30">
      <c r="A391" s="3">
        <v>30996</v>
      </c>
      <c r="B391" s="4" t="s">
        <v>1048</v>
      </c>
      <c r="C391" s="4" t="str">
        <f ca="1">"NM_001112726"&amp;IF(INFO("system")="mac",CHAR(13),CHAR(10))&amp;"NM_015005"</f>
        <v>NM_001112726_x000D_NM_015005</v>
      </c>
      <c r="D391" s="4">
        <v>283638</v>
      </c>
      <c r="E391" s="4" t="s">
        <v>68</v>
      </c>
      <c r="F391" s="5" t="s">
        <v>35</v>
      </c>
      <c r="G391" s="5" t="s">
        <v>35</v>
      </c>
      <c r="H391" s="5" t="s">
        <v>35</v>
      </c>
      <c r="I391" s="4" t="s">
        <v>35</v>
      </c>
      <c r="J391" s="4" t="s">
        <v>35</v>
      </c>
      <c r="K391" s="4" t="s">
        <v>118</v>
      </c>
      <c r="L391" s="4">
        <v>105360004</v>
      </c>
      <c r="M391" s="4">
        <v>105360004</v>
      </c>
      <c r="N391" s="4" t="s">
        <v>23</v>
      </c>
      <c r="O391" s="4" t="s">
        <v>24</v>
      </c>
      <c r="P391" s="4" t="s">
        <v>41</v>
      </c>
      <c r="Q391" s="4">
        <v>13</v>
      </c>
    </row>
    <row r="392" spans="1:17" ht="30">
      <c r="A392" s="3">
        <v>30996</v>
      </c>
      <c r="B392" s="4" t="s">
        <v>1049</v>
      </c>
      <c r="C392" s="4" t="str">
        <f ca="1">"NM_012461"&amp;IF(INFO("system")="mac",CHAR(13),CHAR(10))&amp;"NM_001099274"</f>
        <v>NM_012461_x000D_NM_001099274</v>
      </c>
      <c r="D392" s="4">
        <v>26277</v>
      </c>
      <c r="E392" s="4" t="s">
        <v>31</v>
      </c>
      <c r="F392" s="5" t="s">
        <v>1050</v>
      </c>
      <c r="G392" s="5" t="s">
        <v>1051</v>
      </c>
      <c r="H392" s="5">
        <v>312</v>
      </c>
      <c r="I392" s="4" t="s">
        <v>35</v>
      </c>
      <c r="J392" s="4" t="s">
        <v>35</v>
      </c>
      <c r="K392" s="4" t="s">
        <v>118</v>
      </c>
      <c r="L392" s="4">
        <v>24709751</v>
      </c>
      <c r="M392" s="4">
        <v>24709752</v>
      </c>
      <c r="N392" s="4" t="s">
        <v>36</v>
      </c>
      <c r="O392" s="4" t="s">
        <v>1052</v>
      </c>
      <c r="P392" s="4"/>
      <c r="Q392" s="4">
        <v>5</v>
      </c>
    </row>
    <row r="393" spans="1:17">
      <c r="A393" s="3">
        <v>30996</v>
      </c>
      <c r="B393" s="4" t="s">
        <v>1053</v>
      </c>
      <c r="C393" s="4" t="s">
        <v>1054</v>
      </c>
      <c r="D393" s="4">
        <v>25831</v>
      </c>
      <c r="E393" s="4" t="s">
        <v>19</v>
      </c>
      <c r="F393" s="5">
        <v>6026</v>
      </c>
      <c r="G393" s="5">
        <v>5537</v>
      </c>
      <c r="H393" s="5">
        <v>1846</v>
      </c>
      <c r="I393" s="4" t="s">
        <v>175</v>
      </c>
      <c r="J393" s="4" t="s">
        <v>1055</v>
      </c>
      <c r="K393" s="4" t="s">
        <v>118</v>
      </c>
      <c r="L393" s="4">
        <v>31585523</v>
      </c>
      <c r="M393" s="4">
        <v>31585523</v>
      </c>
      <c r="N393" s="4" t="s">
        <v>23</v>
      </c>
      <c r="O393" s="4" t="s">
        <v>41</v>
      </c>
      <c r="P393" s="4" t="s">
        <v>46</v>
      </c>
      <c r="Q393" s="4">
        <v>-2</v>
      </c>
    </row>
    <row r="394" spans="1:17">
      <c r="A394" s="3">
        <v>30996</v>
      </c>
      <c r="B394" s="4" t="s">
        <v>1056</v>
      </c>
      <c r="C394" s="4" t="s">
        <v>1057</v>
      </c>
      <c r="D394" s="4">
        <v>5283</v>
      </c>
      <c r="E394" s="4" t="s">
        <v>19</v>
      </c>
      <c r="F394" s="5">
        <v>129</v>
      </c>
      <c r="G394" s="5">
        <v>32</v>
      </c>
      <c r="H394" s="5">
        <v>11</v>
      </c>
      <c r="I394" s="4" t="s">
        <v>617</v>
      </c>
      <c r="J394" s="4" t="s">
        <v>732</v>
      </c>
      <c r="K394" s="4" t="s">
        <v>118</v>
      </c>
      <c r="L394" s="4">
        <v>68066889</v>
      </c>
      <c r="M394" s="4">
        <v>68066889</v>
      </c>
      <c r="N394" s="4" t="s">
        <v>23</v>
      </c>
      <c r="O394" s="4" t="s">
        <v>46</v>
      </c>
      <c r="P394" s="4" t="s">
        <v>41</v>
      </c>
      <c r="Q394" s="4">
        <v>6</v>
      </c>
    </row>
    <row r="395" spans="1:17">
      <c r="A395" s="3">
        <v>30996</v>
      </c>
      <c r="B395" s="4" t="s">
        <v>1058</v>
      </c>
      <c r="C395" s="4" t="s">
        <v>1059</v>
      </c>
      <c r="D395" s="4">
        <v>440193</v>
      </c>
      <c r="E395" s="4" t="s">
        <v>19</v>
      </c>
      <c r="F395" s="5">
        <v>1907</v>
      </c>
      <c r="G395" s="5">
        <v>1753</v>
      </c>
      <c r="H395" s="5">
        <v>585</v>
      </c>
      <c r="I395" s="4" t="s">
        <v>791</v>
      </c>
      <c r="J395" s="4" t="s">
        <v>792</v>
      </c>
      <c r="K395" s="4" t="s">
        <v>118</v>
      </c>
      <c r="L395" s="4">
        <v>91780407</v>
      </c>
      <c r="M395" s="4">
        <v>91780407</v>
      </c>
      <c r="N395" s="4" t="s">
        <v>23</v>
      </c>
      <c r="O395" s="4" t="s">
        <v>41</v>
      </c>
      <c r="P395" s="4" t="s">
        <v>25</v>
      </c>
      <c r="Q395" s="4">
        <v>1</v>
      </c>
    </row>
    <row r="396" spans="1:17">
      <c r="A396" s="3">
        <v>30996</v>
      </c>
      <c r="B396" s="4" t="s">
        <v>1060</v>
      </c>
      <c r="C396" s="4" t="s">
        <v>1061</v>
      </c>
      <c r="D396" s="4">
        <v>254531</v>
      </c>
      <c r="E396" s="4" t="s">
        <v>31</v>
      </c>
      <c r="F396" s="5" t="s">
        <v>1062</v>
      </c>
      <c r="G396" s="5" t="s">
        <v>1063</v>
      </c>
      <c r="H396" s="5">
        <v>439</v>
      </c>
      <c r="I396" s="4" t="s">
        <v>35</v>
      </c>
      <c r="J396" s="4" t="s">
        <v>35</v>
      </c>
      <c r="K396" s="4" t="s">
        <v>120</v>
      </c>
      <c r="L396" s="4">
        <v>34651872</v>
      </c>
      <c r="M396" s="4">
        <v>34651873</v>
      </c>
      <c r="N396" s="4" t="s">
        <v>149</v>
      </c>
      <c r="O396" s="4" t="s">
        <v>1064</v>
      </c>
      <c r="P396" s="4" t="s">
        <v>1065</v>
      </c>
      <c r="Q396" s="4">
        <v>-2</v>
      </c>
    </row>
    <row r="397" spans="1:17" ht="30">
      <c r="A397" s="3">
        <v>30996</v>
      </c>
      <c r="B397" s="4" t="s">
        <v>1066</v>
      </c>
      <c r="C397" s="4" t="str">
        <f ca="1">"NM_001164273"&amp;IF(INFO("system")="mac",CHAR(13),CHAR(10))&amp;"NM_001080541"</f>
        <v>NM_001164273_x000D_NM_001080541</v>
      </c>
      <c r="D397" s="4">
        <v>23269</v>
      </c>
      <c r="E397" s="4" t="s">
        <v>392</v>
      </c>
      <c r="F397" s="5">
        <v>2606</v>
      </c>
      <c r="G397" s="5">
        <v>2425</v>
      </c>
      <c r="H397" s="5">
        <v>809</v>
      </c>
      <c r="I397" s="4" t="s">
        <v>1067</v>
      </c>
      <c r="J397" s="4" t="s">
        <v>1068</v>
      </c>
      <c r="K397" s="4" t="s">
        <v>120</v>
      </c>
      <c r="L397" s="4">
        <v>42000406</v>
      </c>
      <c r="M397" s="4">
        <v>42000406</v>
      </c>
      <c r="N397" s="4" t="s">
        <v>23</v>
      </c>
      <c r="O397" s="4" t="s">
        <v>24</v>
      </c>
      <c r="P397" s="4" t="s">
        <v>41</v>
      </c>
      <c r="Q397" s="4">
        <v>11</v>
      </c>
    </row>
    <row r="398" spans="1:17" ht="30">
      <c r="A398" s="3">
        <v>30996</v>
      </c>
      <c r="B398" s="4" t="s">
        <v>1069</v>
      </c>
      <c r="C398" s="4" t="str">
        <f ca="1">"NM_001184832"&amp;IF(INFO("system")="mac",CHAR(13),CHAR(10))&amp;"NM_000338"</f>
        <v>NM_001184832_x000D_NM_000338</v>
      </c>
      <c r="D398" s="4">
        <v>6557</v>
      </c>
      <c r="E398" s="4" t="s">
        <v>19</v>
      </c>
      <c r="F398" s="5">
        <v>2782</v>
      </c>
      <c r="G398" s="5">
        <v>2566</v>
      </c>
      <c r="H398" s="5">
        <v>856</v>
      </c>
      <c r="I398" s="4" t="s">
        <v>535</v>
      </c>
      <c r="J398" s="4" t="s">
        <v>536</v>
      </c>
      <c r="K398" s="4" t="s">
        <v>120</v>
      </c>
      <c r="L398" s="4">
        <v>48577383</v>
      </c>
      <c r="M398" s="4">
        <v>48577383</v>
      </c>
      <c r="N398" s="4" t="s">
        <v>23</v>
      </c>
      <c r="O398" s="4" t="s">
        <v>24</v>
      </c>
      <c r="P398" s="4" t="s">
        <v>25</v>
      </c>
      <c r="Q398" s="4">
        <v>-3</v>
      </c>
    </row>
    <row r="399" spans="1:17">
      <c r="A399" s="3">
        <v>30996</v>
      </c>
      <c r="B399" s="4" t="s">
        <v>121</v>
      </c>
      <c r="C399" s="4" t="s">
        <v>122</v>
      </c>
      <c r="D399" s="4">
        <v>641</v>
      </c>
      <c r="E399" s="4" t="s">
        <v>19</v>
      </c>
      <c r="F399" s="5">
        <v>2720</v>
      </c>
      <c r="G399" s="5">
        <v>2623</v>
      </c>
      <c r="H399" s="5">
        <v>875</v>
      </c>
      <c r="I399" s="4" t="s">
        <v>154</v>
      </c>
      <c r="J399" s="4" t="s">
        <v>1070</v>
      </c>
      <c r="K399" s="4" t="s">
        <v>120</v>
      </c>
      <c r="L399" s="4">
        <v>91326119</v>
      </c>
      <c r="M399" s="4">
        <v>91326119</v>
      </c>
      <c r="N399" s="4" t="s">
        <v>23</v>
      </c>
      <c r="O399" s="4" t="s">
        <v>24</v>
      </c>
      <c r="P399" s="4" t="s">
        <v>25</v>
      </c>
      <c r="Q399" s="4">
        <v>7</v>
      </c>
    </row>
    <row r="400" spans="1:17">
      <c r="A400" s="3">
        <v>30996</v>
      </c>
      <c r="B400" s="4" t="s">
        <v>1071</v>
      </c>
      <c r="C400" s="4" t="s">
        <v>1072</v>
      </c>
      <c r="D400" s="4">
        <v>146279</v>
      </c>
      <c r="E400" s="4" t="s">
        <v>19</v>
      </c>
      <c r="F400" s="5">
        <v>497</v>
      </c>
      <c r="G400" s="5">
        <v>425</v>
      </c>
      <c r="H400" s="5">
        <v>142</v>
      </c>
      <c r="I400" s="4" t="s">
        <v>204</v>
      </c>
      <c r="J400" s="4" t="s">
        <v>205</v>
      </c>
      <c r="K400" s="4" t="s">
        <v>129</v>
      </c>
      <c r="L400" s="4">
        <v>10788306</v>
      </c>
      <c r="M400" s="4">
        <v>10788306</v>
      </c>
      <c r="N400" s="4" t="s">
        <v>23</v>
      </c>
      <c r="O400" s="4" t="s">
        <v>46</v>
      </c>
      <c r="P400" s="4" t="s">
        <v>41</v>
      </c>
      <c r="Q400" s="4">
        <v>2</v>
      </c>
    </row>
    <row r="401" spans="1:17">
      <c r="A401" s="3">
        <v>30996</v>
      </c>
      <c r="B401" s="4" t="s">
        <v>1073</v>
      </c>
      <c r="C401" s="4" t="s">
        <v>1074</v>
      </c>
      <c r="D401" s="4">
        <v>29800</v>
      </c>
      <c r="E401" s="4" t="s">
        <v>392</v>
      </c>
      <c r="F401" s="5">
        <v>554</v>
      </c>
      <c r="G401" s="5">
        <v>250</v>
      </c>
      <c r="H401" s="5">
        <v>84</v>
      </c>
      <c r="I401" s="4" t="s">
        <v>581</v>
      </c>
      <c r="J401" s="4" t="s">
        <v>1075</v>
      </c>
      <c r="K401" s="4" t="s">
        <v>129</v>
      </c>
      <c r="L401" s="4">
        <v>67440105</v>
      </c>
      <c r="M401" s="4">
        <v>67440105</v>
      </c>
      <c r="N401" s="4" t="s">
        <v>23</v>
      </c>
      <c r="O401" s="4" t="s">
        <v>46</v>
      </c>
      <c r="P401" s="4" t="s">
        <v>24</v>
      </c>
      <c r="Q401" s="4">
        <v>12</v>
      </c>
    </row>
    <row r="402" spans="1:17">
      <c r="A402" s="3">
        <v>30996</v>
      </c>
      <c r="B402" s="4" t="s">
        <v>1076</v>
      </c>
      <c r="C402" s="4" t="s">
        <v>1077</v>
      </c>
      <c r="D402" s="4">
        <v>23644</v>
      </c>
      <c r="E402" s="4" t="s">
        <v>19</v>
      </c>
      <c r="F402" s="5">
        <v>608</v>
      </c>
      <c r="G402" s="5">
        <v>442</v>
      </c>
      <c r="H402" s="5">
        <v>148</v>
      </c>
      <c r="I402" s="4" t="s">
        <v>123</v>
      </c>
      <c r="J402" s="4" t="s">
        <v>256</v>
      </c>
      <c r="K402" s="4" t="s">
        <v>129</v>
      </c>
      <c r="L402" s="4">
        <v>67910866</v>
      </c>
      <c r="M402" s="4">
        <v>67910866</v>
      </c>
      <c r="N402" s="4" t="s">
        <v>23</v>
      </c>
      <c r="O402" s="4" t="s">
        <v>24</v>
      </c>
      <c r="P402" s="4" t="s">
        <v>41</v>
      </c>
      <c r="Q402" s="4">
        <v>18</v>
      </c>
    </row>
    <row r="403" spans="1:17">
      <c r="A403" s="3">
        <v>30996</v>
      </c>
      <c r="B403" s="4" t="s">
        <v>1078</v>
      </c>
      <c r="C403" s="4" t="s">
        <v>1079</v>
      </c>
      <c r="D403" s="4">
        <v>10743</v>
      </c>
      <c r="E403" s="4" t="s">
        <v>19</v>
      </c>
      <c r="F403" s="5">
        <v>5340</v>
      </c>
      <c r="G403" s="5">
        <v>4871</v>
      </c>
      <c r="H403" s="5">
        <v>1624</v>
      </c>
      <c r="I403" s="4" t="s">
        <v>680</v>
      </c>
      <c r="J403" s="4" t="s">
        <v>1080</v>
      </c>
      <c r="K403" s="4" t="s">
        <v>133</v>
      </c>
      <c r="L403" s="4">
        <v>17701133</v>
      </c>
      <c r="M403" s="4">
        <v>17701133</v>
      </c>
      <c r="N403" s="4" t="s">
        <v>23</v>
      </c>
      <c r="O403" s="4" t="s">
        <v>25</v>
      </c>
      <c r="P403" s="4" t="s">
        <v>24</v>
      </c>
      <c r="Q403" s="4">
        <v>17</v>
      </c>
    </row>
    <row r="404" spans="1:17" ht="105">
      <c r="A404" s="3">
        <v>30996</v>
      </c>
      <c r="B404" s="4" t="s">
        <v>130</v>
      </c>
      <c r="C404" s="4" t="str">
        <f ca="1">"NM_001126115"&amp;IF(INFO("system")="mac",CHAR(13),CHAR(10))&amp;"NM_001126116"&amp;IF(INFO("system")="mac",CHAR(13),CHAR(10))&amp;"NM_001126114"&amp;IF(INFO("system")="mac",CHAR(13),CHAR(10))&amp;"NM_001126112"&amp;IF(INFO("system")="mac",CHAR(13),CHAR(10))&amp;"NM_001126113"&amp;IF(INFO("system")="mac",CHAR(13),CHAR(10))&amp;"NM_000546"&amp;IF(INFO("system")="mac",CHAR(13),CHAR(10))&amp;"NM_001126117"</f>
        <v>NM_001126115_x000D_NM_001126116_x000D_NM_001126114_x000D_NM_001126112_x000D_NM_001126113_x000D_NM_000546_x000D_NM_001126117</v>
      </c>
      <c r="D404" s="4">
        <v>7157</v>
      </c>
      <c r="E404" s="4" t="str">
        <f ca="1">"NON_SYNONYMOUS_CODING"&amp;IF(INFO("system")="mac",CHAR(13),CHAR(10))&amp;"NMD_TRANSCRIPT,NON_SYNONYMOUS_CODING"&amp;IF(INFO("system")="mac",CHAR(13),CHAR(10))&amp;"NMD_TRANSCRIPT,NON_SYNONYMOUS_CODING"&amp;IF(INFO("system")="mac",CHAR(13),CHAR(10))&amp;"NON_SYNONYMOUS_CODING"&amp;IF(INFO("system")="mac",CHAR(13),CHAR(10))&amp;"NMD_TRANSCRIPT,NON_SYNONYMOUS_CODING"&amp;IF(INFO("system")="mac",CHAR(13),CHAR(10))&amp;"NON_SYNONYMOUS_CODING"&amp;IF(INFO("system")="mac",CHAR(13),CHAR(10))&amp;"NMD_TRANSCRIPT,NON_SYNONYMOUS_CODING"</f>
        <v>NON_SYNONYMOUS_CODING_x000D_NMD_TRANSCRIPT,NON_SYNONYMOUS_CODING_x000D_NMD_TRANSCRIPT,NON_SYNONYMOUS_CODING_x000D_NON_SYNONYMOUS_CODING_x000D_NMD_TRANSCRIPT,NON_SYNONYMOUS_CODING_x000D_NON_SYNONYMOUS_CODING_x000D_NMD_TRANSCRIPT,NON_SYNONYMOUS_CODING</v>
      </c>
      <c r="F404" s="5" t="str">
        <f ca="1">"351"&amp;IF(INFO("system")="mac",CHAR(13),CHAR(10))&amp;"351"&amp;IF(INFO("system")="mac",CHAR(13),CHAR(10))&amp;"666"&amp;IF(INFO("system")="mac",CHAR(13),CHAR(10))&amp;"663"&amp;IF(INFO("system")="mac",CHAR(13),CHAR(10))&amp;"666"&amp;IF(INFO("system")="mac",CHAR(13),CHAR(10))&amp;"666"&amp;IF(INFO("system")="mac",CHAR(13),CHAR(10))&amp;"351"</f>
        <v>351_x000D_351_x000D_666_x000D_663_x000D_666_x000D_666_x000D_351</v>
      </c>
      <c r="G404" s="5" t="str">
        <f ca="1">"73"&amp;IF(INFO("system")="mac",CHAR(13),CHAR(10))&amp;"73"&amp;IF(INFO("system")="mac",CHAR(13),CHAR(10))&amp;"469"&amp;IF(INFO("system")="mac",CHAR(13),CHAR(10))&amp;"469"&amp;IF(INFO("system")="mac",CHAR(13),CHAR(10))&amp;"469"&amp;IF(INFO("system")="mac",CHAR(13),CHAR(10))&amp;"469"&amp;IF(INFO("system")="mac",CHAR(13),CHAR(10))&amp;"73"</f>
        <v>73_x000D_73_x000D_469_x000D_469_x000D_469_x000D_469_x000D_73</v>
      </c>
      <c r="H404" s="5" t="str">
        <f ca="1">"25"&amp;IF(INFO("system")="mac",CHAR(13),CHAR(10))&amp;"25"&amp;IF(INFO("system")="mac",CHAR(13),CHAR(10))&amp;"157"&amp;IF(INFO("system")="mac",CHAR(13),CHAR(10))&amp;"157"&amp;IF(INFO("system")="mac",CHAR(13),CHAR(10))&amp;"157"&amp;IF(INFO("system")="mac",CHAR(13),CHAR(10))&amp;"157"&amp;IF(INFO("system")="mac",CHAR(13),CHAR(10))&amp;"25"</f>
        <v>25_x000D_25_x000D_157_x000D_157_x000D_157_x000D_157_x000D_25</v>
      </c>
      <c r="I404" s="4" t="s">
        <v>161</v>
      </c>
      <c r="J404" s="4" t="s">
        <v>162</v>
      </c>
      <c r="K404" s="4" t="s">
        <v>133</v>
      </c>
      <c r="L404" s="4">
        <v>7578461</v>
      </c>
      <c r="M404" s="4">
        <v>7578461</v>
      </c>
      <c r="N404" s="4" t="s">
        <v>23</v>
      </c>
      <c r="O404" s="4" t="s">
        <v>46</v>
      </c>
      <c r="P404" s="4" t="s">
        <v>25</v>
      </c>
      <c r="Q404" s="4">
        <v>17</v>
      </c>
    </row>
    <row r="405" spans="1:17">
      <c r="A405" s="3">
        <v>30996</v>
      </c>
      <c r="B405" s="4" t="s">
        <v>1081</v>
      </c>
      <c r="C405" s="4" t="s">
        <v>1082</v>
      </c>
      <c r="D405" s="4">
        <v>5205</v>
      </c>
      <c r="E405" s="4" t="s">
        <v>232</v>
      </c>
      <c r="F405" s="5" t="s">
        <v>35</v>
      </c>
      <c r="G405" s="5" t="s">
        <v>35</v>
      </c>
      <c r="H405" s="5" t="s">
        <v>35</v>
      </c>
      <c r="I405" s="4" t="s">
        <v>35</v>
      </c>
      <c r="J405" s="4" t="s">
        <v>35</v>
      </c>
      <c r="K405" s="4" t="s">
        <v>135</v>
      </c>
      <c r="L405" s="4">
        <v>55364842</v>
      </c>
      <c r="M405" s="4">
        <v>55364842</v>
      </c>
      <c r="N405" s="4" t="s">
        <v>23</v>
      </c>
      <c r="O405" s="4" t="s">
        <v>25</v>
      </c>
      <c r="P405" s="4" t="s">
        <v>46</v>
      </c>
      <c r="Q405" s="4">
        <v>10</v>
      </c>
    </row>
    <row r="406" spans="1:17">
      <c r="A406" s="3">
        <v>30996</v>
      </c>
      <c r="B406" s="4" t="s">
        <v>1083</v>
      </c>
      <c r="C406" s="4" t="s">
        <v>1084</v>
      </c>
      <c r="D406" s="4">
        <v>54877</v>
      </c>
      <c r="E406" s="4" t="s">
        <v>19</v>
      </c>
      <c r="F406" s="5">
        <v>1294</v>
      </c>
      <c r="G406" s="5">
        <v>1294</v>
      </c>
      <c r="H406" s="5">
        <v>432</v>
      </c>
      <c r="I406" s="4" t="s">
        <v>484</v>
      </c>
      <c r="J406" s="4" t="s">
        <v>485</v>
      </c>
      <c r="K406" s="4" t="s">
        <v>135</v>
      </c>
      <c r="L406" s="4">
        <v>60217674</v>
      </c>
      <c r="M406" s="4">
        <v>60217674</v>
      </c>
      <c r="N406" s="4" t="s">
        <v>23</v>
      </c>
      <c r="O406" s="4" t="s">
        <v>24</v>
      </c>
      <c r="P406" s="4" t="s">
        <v>25</v>
      </c>
      <c r="Q406" s="4">
        <v>2</v>
      </c>
    </row>
    <row r="407" spans="1:17" ht="60">
      <c r="A407" s="3">
        <v>30996</v>
      </c>
      <c r="B407" s="4" t="str">
        <f ca="1">"PPAN-P2RY11"&amp;IF(INFO("system")="mac",CHAR(13),CHAR(10))&amp;"HGNC=PPAN-P2RY11"&amp;IF(INFO("system")="mac",CHAR(13),CHAR(10))&amp;"HGNC=PPAN"</f>
        <v>PPAN-P2RY11_x000D_HGNC=PPAN-P2RY11_x000D_HGNC=PPAN</v>
      </c>
      <c r="C407" s="4" t="str">
        <f ca="1">"NM_001040664"&amp;IF(INFO("system")="mac",CHAR(13),CHAR(10))&amp;"NM_001198690"&amp;IF(INFO("system")="mac",CHAR(13),CHAR(10))&amp;"NM_020230"</f>
        <v>NM_001040664_x000D_NM_001198690_x000D_NM_020230</v>
      </c>
      <c r="D407" s="4" t="str">
        <f ca="1">"692312"&amp;IF(INFO("system")="mac",CHAR(13),CHAR(10))&amp;"692312"&amp;IF(INFO("system")="mac",CHAR(13),CHAR(10))&amp;"56342"</f>
        <v>692312_x000D_692312_x000D_56342</v>
      </c>
      <c r="E407" s="4" t="s">
        <v>19</v>
      </c>
      <c r="F407" s="5">
        <v>983</v>
      </c>
      <c r="G407" s="5">
        <v>811</v>
      </c>
      <c r="H407" s="5">
        <v>271</v>
      </c>
      <c r="I407" s="4" t="s">
        <v>91</v>
      </c>
      <c r="J407" s="4" t="s">
        <v>92</v>
      </c>
      <c r="K407" s="4" t="s">
        <v>139</v>
      </c>
      <c r="L407" s="4">
        <v>10220911</v>
      </c>
      <c r="M407" s="4">
        <v>10220911</v>
      </c>
      <c r="N407" s="4" t="s">
        <v>23</v>
      </c>
      <c r="O407" s="4" t="s">
        <v>46</v>
      </c>
      <c r="P407" s="4" t="s">
        <v>41</v>
      </c>
      <c r="Q407" s="4">
        <v>-3</v>
      </c>
    </row>
    <row r="408" spans="1:17">
      <c r="A408" s="3">
        <v>30996</v>
      </c>
      <c r="B408" s="4" t="s">
        <v>1085</v>
      </c>
      <c r="C408" s="4" t="s">
        <v>1086</v>
      </c>
      <c r="D408" s="4">
        <v>23526</v>
      </c>
      <c r="E408" s="4" t="s">
        <v>232</v>
      </c>
      <c r="F408" s="5" t="s">
        <v>35</v>
      </c>
      <c r="G408" s="5" t="s">
        <v>35</v>
      </c>
      <c r="H408" s="5" t="s">
        <v>35</v>
      </c>
      <c r="I408" s="4" t="s">
        <v>35</v>
      </c>
      <c r="J408" s="4" t="s">
        <v>35</v>
      </c>
      <c r="K408" s="4" t="s">
        <v>139</v>
      </c>
      <c r="L408" s="4">
        <v>1084234</v>
      </c>
      <c r="M408" s="4">
        <v>1084234</v>
      </c>
      <c r="N408" s="4" t="s">
        <v>23</v>
      </c>
      <c r="O408" s="4" t="s">
        <v>46</v>
      </c>
      <c r="P408" s="4" t="s">
        <v>25</v>
      </c>
      <c r="Q408" s="4">
        <v>19</v>
      </c>
    </row>
    <row r="409" spans="1:17" ht="30">
      <c r="A409" s="3">
        <v>30996</v>
      </c>
      <c r="B409" s="4" t="s">
        <v>1087</v>
      </c>
      <c r="C409" s="4" t="str">
        <f ca="1">"NM_001163377"&amp;IF(INFO("system")="mac",CHAR(13),CHAR(10))&amp;"NM_017659"</f>
        <v>NM_001163377_x000D_NM_017659</v>
      </c>
      <c r="D409" s="4">
        <v>54814</v>
      </c>
      <c r="E409" s="4" t="s">
        <v>19</v>
      </c>
      <c r="F409" s="5">
        <v>270</v>
      </c>
      <c r="G409" s="5">
        <v>49</v>
      </c>
      <c r="H409" s="5">
        <v>17</v>
      </c>
      <c r="I409" s="4" t="s">
        <v>1067</v>
      </c>
      <c r="J409" s="4" t="s">
        <v>1088</v>
      </c>
      <c r="K409" s="4" t="s">
        <v>139</v>
      </c>
      <c r="L409" s="4">
        <v>46196010</v>
      </c>
      <c r="M409" s="4">
        <v>46196010</v>
      </c>
      <c r="N409" s="4" t="s">
        <v>23</v>
      </c>
      <c r="O409" s="4" t="s">
        <v>24</v>
      </c>
      <c r="P409" s="4" t="s">
        <v>41</v>
      </c>
      <c r="Q409" s="4">
        <v>5</v>
      </c>
    </row>
    <row r="410" spans="1:17" ht="30">
      <c r="A410" s="3">
        <v>30996</v>
      </c>
      <c r="B410" s="4" t="s">
        <v>1089</v>
      </c>
      <c r="C410" s="4" t="str">
        <f ca="1">"NM_017636"&amp;IF(INFO("system")="mac",CHAR(13),CHAR(10))&amp;"NM_001195227"</f>
        <v>NM_017636_x000D_NM_001195227</v>
      </c>
      <c r="D410" s="4">
        <v>54795</v>
      </c>
      <c r="E410" s="4" t="s">
        <v>19</v>
      </c>
      <c r="F410" s="5" t="str">
        <f ca="1">"3176"&amp;IF(INFO("system")="mac",CHAR(13),CHAR(10))&amp;"2741"</f>
        <v>3176_x000D_2741</v>
      </c>
      <c r="G410" s="5" t="str">
        <f ca="1">"3068"&amp;IF(INFO("system")="mac",CHAR(13),CHAR(10))&amp;"2633"</f>
        <v>3068_x000D_2633</v>
      </c>
      <c r="H410" s="5" t="str">
        <f ca="1">"1023"&amp;IF(INFO("system")="mac",CHAR(13),CHAR(10))&amp;"878"</f>
        <v>1023_x000D_878</v>
      </c>
      <c r="I410" s="4" t="s">
        <v>294</v>
      </c>
      <c r="J410" s="4" t="s">
        <v>1090</v>
      </c>
      <c r="K410" s="4" t="s">
        <v>139</v>
      </c>
      <c r="L410" s="4">
        <v>49705335</v>
      </c>
      <c r="M410" s="4">
        <v>49705335</v>
      </c>
      <c r="N410" s="4" t="s">
        <v>23</v>
      </c>
      <c r="O410" s="4" t="s">
        <v>41</v>
      </c>
      <c r="P410" s="4" t="s">
        <v>24</v>
      </c>
      <c r="Q410" s="4">
        <v>-3</v>
      </c>
    </row>
    <row r="411" spans="1:17">
      <c r="A411" s="3">
        <v>30996</v>
      </c>
      <c r="B411" s="4" t="s">
        <v>1091</v>
      </c>
      <c r="C411" s="4" t="s">
        <v>1092</v>
      </c>
      <c r="D411" s="4">
        <v>84467</v>
      </c>
      <c r="E411" s="4" t="s">
        <v>19</v>
      </c>
      <c r="F411" s="5">
        <v>2354</v>
      </c>
      <c r="G411" s="5">
        <v>2333</v>
      </c>
      <c r="H411" s="5">
        <v>778</v>
      </c>
      <c r="I411" s="4" t="s">
        <v>204</v>
      </c>
      <c r="J411" s="4" t="s">
        <v>205</v>
      </c>
      <c r="K411" s="4" t="s">
        <v>139</v>
      </c>
      <c r="L411" s="4">
        <v>8191680</v>
      </c>
      <c r="M411" s="4">
        <v>8191680</v>
      </c>
      <c r="N411" s="4" t="s">
        <v>23</v>
      </c>
      <c r="O411" s="4" t="s">
        <v>46</v>
      </c>
      <c r="P411" s="4" t="s">
        <v>41</v>
      </c>
      <c r="Q411" s="4">
        <v>15</v>
      </c>
    </row>
    <row r="412" spans="1:17">
      <c r="A412" s="3">
        <v>30996</v>
      </c>
      <c r="B412" s="4" t="s">
        <v>1093</v>
      </c>
      <c r="C412" s="4" t="s">
        <v>1094</v>
      </c>
      <c r="D412" s="4">
        <v>94025</v>
      </c>
      <c r="E412" s="4" t="s">
        <v>19</v>
      </c>
      <c r="F412" s="5">
        <v>18719</v>
      </c>
      <c r="G412" s="5">
        <v>18515</v>
      </c>
      <c r="H412" s="5">
        <v>6172</v>
      </c>
      <c r="I412" s="4" t="s">
        <v>1095</v>
      </c>
      <c r="J412" s="4" t="s">
        <v>1096</v>
      </c>
      <c r="K412" s="4" t="s">
        <v>139</v>
      </c>
      <c r="L412" s="4">
        <v>9068931</v>
      </c>
      <c r="M412" s="4">
        <v>9068931</v>
      </c>
      <c r="N412" s="4" t="s">
        <v>23</v>
      </c>
      <c r="O412" s="4" t="s">
        <v>25</v>
      </c>
      <c r="P412" s="4" t="s">
        <v>41</v>
      </c>
      <c r="Q412" s="4">
        <v>-1</v>
      </c>
    </row>
    <row r="413" spans="1:17">
      <c r="A413" s="3">
        <v>30996</v>
      </c>
      <c r="B413" s="4" t="s">
        <v>1097</v>
      </c>
      <c r="C413" s="4" t="s">
        <v>1098</v>
      </c>
      <c r="D413" s="4">
        <v>55137</v>
      </c>
      <c r="E413" s="4" t="s">
        <v>19</v>
      </c>
      <c r="F413" s="5">
        <v>1654</v>
      </c>
      <c r="G413" s="5">
        <v>1343</v>
      </c>
      <c r="H413" s="5">
        <v>448</v>
      </c>
      <c r="I413" s="4" t="s">
        <v>137</v>
      </c>
      <c r="J413" s="4" t="s">
        <v>138</v>
      </c>
      <c r="K413" s="4" t="s">
        <v>172</v>
      </c>
      <c r="L413" s="4">
        <v>164466999</v>
      </c>
      <c r="M413" s="4">
        <v>164466999</v>
      </c>
      <c r="N413" s="4" t="s">
        <v>23</v>
      </c>
      <c r="O413" s="4" t="s">
        <v>46</v>
      </c>
      <c r="P413" s="4" t="s">
        <v>25</v>
      </c>
      <c r="Q413" s="4">
        <v>13</v>
      </c>
    </row>
    <row r="414" spans="1:17" ht="75">
      <c r="A414" s="3">
        <v>30996</v>
      </c>
      <c r="B414" s="4" t="s">
        <v>1099</v>
      </c>
      <c r="C414" s="4" t="str">
        <f ca="1">"NM_002026"&amp;IF(INFO("system")="mac",CHAR(13),CHAR(10))&amp;"NM_212474"&amp;IF(INFO("system")="mac",CHAR(13),CHAR(10))&amp;"NM_212476"&amp;IF(INFO("system")="mac",CHAR(13),CHAR(10))&amp;"NM_212478"&amp;IF(INFO("system")="mac",CHAR(13),CHAR(10))&amp;"NM_212482"</f>
        <v>NM_002026_x000D_NM_212474_x000D_NM_212476_x000D_NM_212478_x000D_NM_212482</v>
      </c>
      <c r="D414" s="4">
        <v>2335</v>
      </c>
      <c r="E414" s="4" t="s">
        <v>19</v>
      </c>
      <c r="F414" s="5">
        <v>2638</v>
      </c>
      <c r="G414" s="5">
        <v>2372</v>
      </c>
      <c r="H414" s="5">
        <v>791</v>
      </c>
      <c r="I414" s="4" t="s">
        <v>175</v>
      </c>
      <c r="J414" s="4" t="s">
        <v>1055</v>
      </c>
      <c r="K414" s="4" t="s">
        <v>172</v>
      </c>
      <c r="L414" s="4">
        <v>216273077</v>
      </c>
      <c r="M414" s="4">
        <v>216273077</v>
      </c>
      <c r="N414" s="4" t="s">
        <v>23</v>
      </c>
      <c r="O414" s="4" t="s">
        <v>41</v>
      </c>
      <c r="P414" s="4" t="s">
        <v>46</v>
      </c>
      <c r="Q414" s="4">
        <v>13</v>
      </c>
    </row>
    <row r="415" spans="1:17">
      <c r="A415" s="3">
        <v>30996</v>
      </c>
      <c r="B415" s="4" t="s">
        <v>1100</v>
      </c>
      <c r="C415" s="4" t="s">
        <v>1101</v>
      </c>
      <c r="D415" s="4">
        <v>1593</v>
      </c>
      <c r="E415" s="4" t="s">
        <v>76</v>
      </c>
      <c r="F415" s="5">
        <v>1692</v>
      </c>
      <c r="G415" s="5">
        <v>1258</v>
      </c>
      <c r="H415" s="5">
        <v>420</v>
      </c>
      <c r="I415" s="4" t="s">
        <v>1102</v>
      </c>
      <c r="J415" s="4" t="s">
        <v>1103</v>
      </c>
      <c r="K415" s="4" t="s">
        <v>172</v>
      </c>
      <c r="L415" s="4">
        <v>219679176</v>
      </c>
      <c r="M415" s="4">
        <v>219679176</v>
      </c>
      <c r="N415" s="4" t="s">
        <v>23</v>
      </c>
      <c r="O415" s="4" t="s">
        <v>25</v>
      </c>
      <c r="P415" s="4" t="s">
        <v>41</v>
      </c>
      <c r="Q415" s="4">
        <v>5</v>
      </c>
    </row>
    <row r="416" spans="1:17">
      <c r="A416" s="3">
        <v>30996</v>
      </c>
      <c r="B416" s="4" t="s">
        <v>1104</v>
      </c>
      <c r="C416" s="4" t="s">
        <v>1105</v>
      </c>
      <c r="D416" s="4">
        <v>9427</v>
      </c>
      <c r="E416" s="4" t="s">
        <v>392</v>
      </c>
      <c r="F416" s="5">
        <v>2261</v>
      </c>
      <c r="G416" s="5">
        <v>2056</v>
      </c>
      <c r="H416" s="5">
        <v>686</v>
      </c>
      <c r="I416" s="4" t="s">
        <v>123</v>
      </c>
      <c r="J416" s="4" t="s">
        <v>256</v>
      </c>
      <c r="K416" s="4" t="s">
        <v>172</v>
      </c>
      <c r="L416" s="4">
        <v>233345523</v>
      </c>
      <c r="M416" s="4">
        <v>233345523</v>
      </c>
      <c r="N416" s="4" t="s">
        <v>23</v>
      </c>
      <c r="O416" s="4" t="s">
        <v>46</v>
      </c>
      <c r="P416" s="4" t="s">
        <v>25</v>
      </c>
      <c r="Q416" s="4">
        <v>17</v>
      </c>
    </row>
    <row r="417" spans="1:17" ht="30">
      <c r="A417" s="3">
        <v>30996</v>
      </c>
      <c r="B417" s="4" t="s">
        <v>1106</v>
      </c>
      <c r="C417" s="4" t="str">
        <f ca="1">"NM_016544"&amp;IF(INFO("system")="mac",CHAR(13),CHAR(10))&amp;"NM_001198559"</f>
        <v>NM_016544_x000D_NM_001198559</v>
      </c>
      <c r="D417" s="4">
        <v>51277</v>
      </c>
      <c r="E417" s="4" t="s">
        <v>76</v>
      </c>
      <c r="F417" s="5">
        <v>377</v>
      </c>
      <c r="G417" s="5">
        <v>187</v>
      </c>
      <c r="H417" s="5">
        <v>63</v>
      </c>
      <c r="I417" s="4" t="s">
        <v>102</v>
      </c>
      <c r="J417" s="4" t="s">
        <v>274</v>
      </c>
      <c r="K417" s="4" t="s">
        <v>172</v>
      </c>
      <c r="L417" s="4">
        <v>25186327</v>
      </c>
      <c r="M417" s="4">
        <v>25186327</v>
      </c>
      <c r="N417" s="4" t="s">
        <v>23</v>
      </c>
      <c r="O417" s="4" t="s">
        <v>41</v>
      </c>
      <c r="P417" s="4" t="s">
        <v>25</v>
      </c>
      <c r="Q417" s="4">
        <v>8</v>
      </c>
    </row>
    <row r="418" spans="1:17">
      <c r="A418" s="3">
        <v>30996</v>
      </c>
      <c r="B418" s="4" t="s">
        <v>1107</v>
      </c>
      <c r="C418" s="4" t="s">
        <v>1108</v>
      </c>
      <c r="D418" s="4">
        <v>11117</v>
      </c>
      <c r="E418" s="4" t="s">
        <v>19</v>
      </c>
      <c r="F418" s="5">
        <v>1334</v>
      </c>
      <c r="G418" s="5">
        <v>835</v>
      </c>
      <c r="H418" s="5">
        <v>279</v>
      </c>
      <c r="I418" s="4" t="s">
        <v>414</v>
      </c>
      <c r="J418" s="4" t="s">
        <v>423</v>
      </c>
      <c r="K418" s="4" t="s">
        <v>172</v>
      </c>
      <c r="L418" s="4">
        <v>27305274</v>
      </c>
      <c r="M418" s="4">
        <v>27305274</v>
      </c>
      <c r="N418" s="4" t="s">
        <v>23</v>
      </c>
      <c r="O418" s="4" t="s">
        <v>46</v>
      </c>
      <c r="P418" s="4" t="s">
        <v>41</v>
      </c>
      <c r="Q418" s="4">
        <v>3</v>
      </c>
    </row>
    <row r="419" spans="1:17">
      <c r="A419" s="3">
        <v>30996</v>
      </c>
      <c r="B419" s="4" t="s">
        <v>1109</v>
      </c>
      <c r="C419" s="4" t="s">
        <v>1110</v>
      </c>
      <c r="D419" s="4">
        <v>23559</v>
      </c>
      <c r="E419" s="4" t="s">
        <v>19</v>
      </c>
      <c r="F419" s="5">
        <v>937</v>
      </c>
      <c r="G419" s="5">
        <v>734</v>
      </c>
      <c r="H419" s="5">
        <v>245</v>
      </c>
      <c r="I419" s="4" t="s">
        <v>332</v>
      </c>
      <c r="J419" s="4" t="s">
        <v>365</v>
      </c>
      <c r="K419" s="4" t="s">
        <v>172</v>
      </c>
      <c r="L419" s="4">
        <v>74687732</v>
      </c>
      <c r="M419" s="4">
        <v>74687732</v>
      </c>
      <c r="N419" s="4" t="s">
        <v>23</v>
      </c>
      <c r="O419" s="4" t="s">
        <v>46</v>
      </c>
      <c r="P419" s="4" t="s">
        <v>41</v>
      </c>
      <c r="Q419" s="4">
        <v>4</v>
      </c>
    </row>
    <row r="420" spans="1:17" ht="30">
      <c r="A420" s="3">
        <v>30996</v>
      </c>
      <c r="B420" s="4" t="s">
        <v>1111</v>
      </c>
      <c r="C420" s="4" t="str">
        <f ca="1">"NM_003203"&amp;IF(INFO("system")="mac",CHAR(13),CHAR(10))&amp;"NM_001201334"</f>
        <v>NM_003203_x000D_NM_001201334</v>
      </c>
      <c r="D420" s="4">
        <v>6936</v>
      </c>
      <c r="E420" s="4" t="s">
        <v>19</v>
      </c>
      <c r="F420" s="5" t="str">
        <f ca="1">"1614"&amp;IF(INFO("system")="mac",CHAR(13),CHAR(10))&amp;"1382"</f>
        <v>1614_x000D_1382</v>
      </c>
      <c r="G420" s="5" t="str">
        <f ca="1">"1484"&amp;IF(INFO("system")="mac",CHAR(13),CHAR(10))&amp;"977"</f>
        <v>1484_x000D_977</v>
      </c>
      <c r="H420" s="5" t="str">
        <f ca="1">"495"&amp;IF(INFO("system")="mac",CHAR(13),CHAR(10))&amp;"326"</f>
        <v>495_x000D_326</v>
      </c>
      <c r="I420" s="4" t="s">
        <v>899</v>
      </c>
      <c r="J420" s="4" t="s">
        <v>900</v>
      </c>
      <c r="K420" s="4" t="s">
        <v>172</v>
      </c>
      <c r="L420" s="4">
        <v>75916207</v>
      </c>
      <c r="M420" s="4">
        <v>75916207</v>
      </c>
      <c r="N420" s="4" t="s">
        <v>23</v>
      </c>
      <c r="O420" s="4" t="s">
        <v>24</v>
      </c>
      <c r="P420" s="4" t="s">
        <v>41</v>
      </c>
      <c r="Q420" s="4">
        <v>6</v>
      </c>
    </row>
    <row r="421" spans="1:17">
      <c r="A421" s="3">
        <v>30996</v>
      </c>
      <c r="B421" s="4" t="s">
        <v>1112</v>
      </c>
      <c r="C421" s="4" t="s">
        <v>1113</v>
      </c>
      <c r="D421" s="4">
        <v>128859</v>
      </c>
      <c r="E421" s="4" t="s">
        <v>19</v>
      </c>
      <c r="F421" s="5">
        <v>1016</v>
      </c>
      <c r="G421" s="5">
        <v>1016</v>
      </c>
      <c r="H421" s="5">
        <v>339</v>
      </c>
      <c r="I421" s="4" t="s">
        <v>1114</v>
      </c>
      <c r="J421" s="4" t="s">
        <v>1115</v>
      </c>
      <c r="K421" s="4" t="s">
        <v>188</v>
      </c>
      <c r="L421" s="4">
        <v>31627268</v>
      </c>
      <c r="M421" s="4">
        <v>31627268</v>
      </c>
      <c r="N421" s="4" t="s">
        <v>23</v>
      </c>
      <c r="O421" s="4" t="s">
        <v>25</v>
      </c>
      <c r="P421" s="4" t="s">
        <v>41</v>
      </c>
      <c r="Q421" s="4">
        <v>7</v>
      </c>
    </row>
    <row r="422" spans="1:17">
      <c r="A422" s="3">
        <v>30996</v>
      </c>
      <c r="B422" s="4" t="s">
        <v>1116</v>
      </c>
      <c r="C422" s="4" t="s">
        <v>1117</v>
      </c>
      <c r="D422" s="4">
        <v>11317</v>
      </c>
      <c r="E422" s="4" t="s">
        <v>19</v>
      </c>
      <c r="F422" s="5">
        <v>1129</v>
      </c>
      <c r="G422" s="5">
        <v>1057</v>
      </c>
      <c r="H422" s="5">
        <v>353</v>
      </c>
      <c r="I422" s="4" t="s">
        <v>57</v>
      </c>
      <c r="J422" s="4" t="s">
        <v>1118</v>
      </c>
      <c r="K422" s="4" t="s">
        <v>188</v>
      </c>
      <c r="L422" s="4">
        <v>43944863</v>
      </c>
      <c r="M422" s="4">
        <v>43944863</v>
      </c>
      <c r="N422" s="4" t="s">
        <v>23</v>
      </c>
      <c r="O422" s="4" t="s">
        <v>46</v>
      </c>
      <c r="P422" s="4" t="s">
        <v>41</v>
      </c>
      <c r="Q422" s="4">
        <v>2</v>
      </c>
    </row>
    <row r="423" spans="1:17">
      <c r="A423" s="3">
        <v>30996</v>
      </c>
      <c r="B423" s="4" t="s">
        <v>1119</v>
      </c>
      <c r="C423" s="4" t="s">
        <v>1120</v>
      </c>
      <c r="D423" s="4">
        <v>150082</v>
      </c>
      <c r="E423" s="4" t="s">
        <v>19</v>
      </c>
      <c r="F423" s="5">
        <v>1719</v>
      </c>
      <c r="G423" s="5">
        <v>1406</v>
      </c>
      <c r="H423" s="5">
        <v>469</v>
      </c>
      <c r="I423" s="4" t="s">
        <v>332</v>
      </c>
      <c r="J423" s="4" t="s">
        <v>522</v>
      </c>
      <c r="K423" s="4" t="s">
        <v>193</v>
      </c>
      <c r="L423" s="4">
        <v>40778415</v>
      </c>
      <c r="M423" s="4">
        <v>40778415</v>
      </c>
      <c r="N423" s="4" t="s">
        <v>23</v>
      </c>
      <c r="O423" s="4" t="s">
        <v>24</v>
      </c>
      <c r="P423" s="4" t="s">
        <v>25</v>
      </c>
      <c r="Q423" s="4">
        <v>-1</v>
      </c>
    </row>
    <row r="424" spans="1:17">
      <c r="A424" s="3">
        <v>30996</v>
      </c>
      <c r="B424" s="4" t="s">
        <v>1121</v>
      </c>
      <c r="C424" s="4" t="s">
        <v>1122</v>
      </c>
      <c r="D424" s="4">
        <v>1291</v>
      </c>
      <c r="E424" s="4" t="s">
        <v>19</v>
      </c>
      <c r="F424" s="5">
        <v>1693</v>
      </c>
      <c r="G424" s="5">
        <v>1591</v>
      </c>
      <c r="H424" s="5">
        <v>531</v>
      </c>
      <c r="I424" s="4" t="s">
        <v>356</v>
      </c>
      <c r="J424" s="4" t="s">
        <v>446</v>
      </c>
      <c r="K424" s="4" t="s">
        <v>193</v>
      </c>
      <c r="L424" s="4">
        <v>47418327</v>
      </c>
      <c r="M424" s="4">
        <v>47418327</v>
      </c>
      <c r="N424" s="4" t="s">
        <v>23</v>
      </c>
      <c r="O424" s="4" t="s">
        <v>25</v>
      </c>
      <c r="P424" s="4" t="s">
        <v>24</v>
      </c>
      <c r="Q424" s="4">
        <v>-1</v>
      </c>
    </row>
    <row r="425" spans="1:17">
      <c r="A425" s="3">
        <v>30996</v>
      </c>
      <c r="B425" s="4" t="s">
        <v>1123</v>
      </c>
      <c r="C425" s="4" t="s">
        <v>1124</v>
      </c>
      <c r="D425" s="4">
        <v>128954</v>
      </c>
      <c r="E425" s="4" t="s">
        <v>19</v>
      </c>
      <c r="F425" s="5">
        <v>710</v>
      </c>
      <c r="G425" s="5">
        <v>602</v>
      </c>
      <c r="H425" s="5">
        <v>201</v>
      </c>
      <c r="I425" s="4" t="s">
        <v>1125</v>
      </c>
      <c r="J425" s="4" t="s">
        <v>1126</v>
      </c>
      <c r="K425" s="4" t="s">
        <v>197</v>
      </c>
      <c r="L425" s="4">
        <v>17468934</v>
      </c>
      <c r="M425" s="4">
        <v>17468934</v>
      </c>
      <c r="N425" s="4" t="s">
        <v>23</v>
      </c>
      <c r="O425" s="4" t="s">
        <v>46</v>
      </c>
      <c r="P425" s="4" t="s">
        <v>25</v>
      </c>
      <c r="Q425" s="4">
        <v>-2</v>
      </c>
    </row>
    <row r="426" spans="1:17">
      <c r="A426" s="3">
        <v>30996</v>
      </c>
      <c r="B426" s="4" t="s">
        <v>1127</v>
      </c>
      <c r="C426" s="4" t="s">
        <v>1128</v>
      </c>
      <c r="D426" s="4">
        <v>7290</v>
      </c>
      <c r="E426" s="4" t="s">
        <v>19</v>
      </c>
      <c r="F426" s="5">
        <v>738</v>
      </c>
      <c r="G426" s="5">
        <v>518</v>
      </c>
      <c r="H426" s="5">
        <v>173</v>
      </c>
      <c r="I426" s="4" t="s">
        <v>680</v>
      </c>
      <c r="J426" s="4" t="s">
        <v>681</v>
      </c>
      <c r="K426" s="4" t="s">
        <v>197</v>
      </c>
      <c r="L426" s="4">
        <v>19384446</v>
      </c>
      <c r="M426" s="4">
        <v>19384446</v>
      </c>
      <c r="N426" s="4" t="s">
        <v>23</v>
      </c>
      <c r="O426" s="4" t="s">
        <v>41</v>
      </c>
      <c r="P426" s="4" t="s">
        <v>46</v>
      </c>
      <c r="Q426" s="4">
        <v>17</v>
      </c>
    </row>
    <row r="427" spans="1:17">
      <c r="A427" s="3">
        <v>30996</v>
      </c>
      <c r="B427" s="4" t="s">
        <v>1129</v>
      </c>
      <c r="C427" s="4" t="s">
        <v>1130</v>
      </c>
      <c r="D427" s="4">
        <v>164592</v>
      </c>
      <c r="E427" s="4" t="s">
        <v>19</v>
      </c>
      <c r="F427" s="5">
        <v>928</v>
      </c>
      <c r="G427" s="5">
        <v>835</v>
      </c>
      <c r="H427" s="5">
        <v>279</v>
      </c>
      <c r="I427" s="4" t="s">
        <v>312</v>
      </c>
      <c r="J427" s="4" t="s">
        <v>1131</v>
      </c>
      <c r="K427" s="4" t="s">
        <v>197</v>
      </c>
      <c r="L427" s="4">
        <v>21989187</v>
      </c>
      <c r="M427" s="4">
        <v>21989187</v>
      </c>
      <c r="N427" s="4" t="s">
        <v>23</v>
      </c>
      <c r="O427" s="4" t="s">
        <v>41</v>
      </c>
      <c r="P427" s="4" t="s">
        <v>24</v>
      </c>
      <c r="Q427" s="4">
        <v>3</v>
      </c>
    </row>
    <row r="428" spans="1:17">
      <c r="A428" s="3">
        <v>30996</v>
      </c>
      <c r="B428" s="4" t="s">
        <v>1132</v>
      </c>
      <c r="C428" s="4" t="s">
        <v>1133</v>
      </c>
      <c r="D428" s="4">
        <v>388886</v>
      </c>
      <c r="E428" s="4" t="s">
        <v>19</v>
      </c>
      <c r="F428" s="5">
        <v>568</v>
      </c>
      <c r="G428" s="5">
        <v>539</v>
      </c>
      <c r="H428" s="5">
        <v>180</v>
      </c>
      <c r="I428" s="4" t="s">
        <v>529</v>
      </c>
      <c r="J428" s="4" t="s">
        <v>530</v>
      </c>
      <c r="K428" s="4" t="s">
        <v>197</v>
      </c>
      <c r="L428" s="4">
        <v>24982263</v>
      </c>
      <c r="M428" s="4">
        <v>24982263</v>
      </c>
      <c r="N428" s="4" t="s">
        <v>23</v>
      </c>
      <c r="O428" s="4" t="s">
        <v>24</v>
      </c>
      <c r="P428" s="4" t="s">
        <v>41</v>
      </c>
      <c r="Q428" s="4">
        <v>3</v>
      </c>
    </row>
    <row r="429" spans="1:17" ht="30">
      <c r="A429" s="3">
        <v>30996</v>
      </c>
      <c r="B429" s="4" t="s">
        <v>1134</v>
      </c>
      <c r="C429" s="4" t="str">
        <f ca="1">"NM_174977"&amp;IF(INFO("system")="mac",CHAR(13),CHAR(10))&amp;"NM_001161368"</f>
        <v>NM_174977_x000D_NM_001161368</v>
      </c>
      <c r="D429" s="4">
        <v>284904</v>
      </c>
      <c r="E429" s="4" t="s">
        <v>19</v>
      </c>
      <c r="F429" s="5">
        <v>362</v>
      </c>
      <c r="G429" s="5">
        <v>262</v>
      </c>
      <c r="H429" s="5">
        <v>88</v>
      </c>
      <c r="I429" s="4" t="s">
        <v>312</v>
      </c>
      <c r="J429" s="4" t="s">
        <v>313</v>
      </c>
      <c r="K429" s="4" t="s">
        <v>197</v>
      </c>
      <c r="L429" s="4">
        <v>30891402</v>
      </c>
      <c r="M429" s="4">
        <v>30891402</v>
      </c>
      <c r="N429" s="4" t="s">
        <v>23</v>
      </c>
      <c r="O429" s="4" t="s">
        <v>24</v>
      </c>
      <c r="P429" s="4" t="s">
        <v>46</v>
      </c>
      <c r="Q429" s="4">
        <v>5</v>
      </c>
    </row>
    <row r="430" spans="1:17">
      <c r="A430" s="3">
        <v>30996</v>
      </c>
      <c r="B430" s="4" t="s">
        <v>1135</v>
      </c>
      <c r="C430" s="4" t="s">
        <v>1136</v>
      </c>
      <c r="D430" s="4">
        <v>23762</v>
      </c>
      <c r="E430" s="4" t="s">
        <v>19</v>
      </c>
      <c r="F430" s="5">
        <v>2337</v>
      </c>
      <c r="G430" s="5">
        <v>2233</v>
      </c>
      <c r="H430" s="5">
        <v>745</v>
      </c>
      <c r="I430" s="4" t="s">
        <v>170</v>
      </c>
      <c r="J430" s="4" t="s">
        <v>171</v>
      </c>
      <c r="K430" s="4" t="s">
        <v>197</v>
      </c>
      <c r="L430" s="4">
        <v>31289846</v>
      </c>
      <c r="M430" s="4">
        <v>31289846</v>
      </c>
      <c r="N430" s="4" t="s">
        <v>23</v>
      </c>
      <c r="O430" s="4" t="s">
        <v>24</v>
      </c>
      <c r="P430" s="4" t="s">
        <v>25</v>
      </c>
      <c r="Q430" s="4">
        <v>17</v>
      </c>
    </row>
    <row r="431" spans="1:17" ht="45">
      <c r="A431" s="3">
        <v>30996</v>
      </c>
      <c r="B431" s="4" t="s">
        <v>1137</v>
      </c>
      <c r="C431" s="4" t="str">
        <f ca="1">"NM_001031801"&amp;IF(INFO("system")="mac",CHAR(13),CHAR(10))&amp;"NM_016733"&amp;IF(INFO("system")="mac",CHAR(13),CHAR(10))&amp;"NM_005569"</f>
        <v>NM_001031801_x000D_NM_016733_x000D_NM_005569</v>
      </c>
      <c r="D431" s="4">
        <v>3985</v>
      </c>
      <c r="E431" s="4" t="s">
        <v>31</v>
      </c>
      <c r="F431" s="5" t="str">
        <f ca="1">"1183"&amp;IF(INFO("system")="mac",CHAR(13),CHAR(10))&amp;"1183"&amp;IF(INFO("system")="mac",CHAR(13),CHAR(10))&amp;"1036"</f>
        <v>1183_x000D_1183_x000D_1036</v>
      </c>
      <c r="G431" s="5" t="str">
        <f ca="1">"828"&amp;IF(INFO("system")="mac",CHAR(13),CHAR(10))&amp;"828"&amp;IF(INFO("system")="mac",CHAR(13),CHAR(10))&amp;"891"</f>
        <v>828_x000D_828_x000D_891</v>
      </c>
      <c r="H431" s="5" t="str">
        <f ca="1">"276"&amp;IF(INFO("system")="mac",CHAR(13),CHAR(10))&amp;"276"&amp;IF(INFO("system")="mac",CHAR(13),CHAR(10))&amp;"297"</f>
        <v>276_x000D_276_x000D_297</v>
      </c>
      <c r="I431" s="4" t="s">
        <v>35</v>
      </c>
      <c r="J431" s="4" t="s">
        <v>35</v>
      </c>
      <c r="K431" s="4" t="s">
        <v>197</v>
      </c>
      <c r="L431" s="4">
        <v>31661968</v>
      </c>
      <c r="M431" s="4">
        <v>31661968</v>
      </c>
      <c r="N431" s="4" t="s">
        <v>36</v>
      </c>
      <c r="O431" s="4" t="s">
        <v>46</v>
      </c>
      <c r="P431" s="4"/>
      <c r="Q431" s="4">
        <v>2</v>
      </c>
    </row>
    <row r="432" spans="1:17">
      <c r="A432" s="3">
        <v>30996</v>
      </c>
      <c r="B432" s="4" t="s">
        <v>1138</v>
      </c>
      <c r="C432" s="4" t="s">
        <v>1139</v>
      </c>
      <c r="D432" s="4">
        <v>84692</v>
      </c>
      <c r="E432" s="4" t="s">
        <v>19</v>
      </c>
      <c r="F432" s="5">
        <v>1095</v>
      </c>
      <c r="G432" s="5">
        <v>848</v>
      </c>
      <c r="H432" s="5">
        <v>283</v>
      </c>
      <c r="I432" s="4" t="s">
        <v>332</v>
      </c>
      <c r="J432" s="4" t="s">
        <v>1140</v>
      </c>
      <c r="K432" s="4" t="s">
        <v>201</v>
      </c>
      <c r="L432" s="4">
        <v>107097282</v>
      </c>
      <c r="M432" s="4">
        <v>107097282</v>
      </c>
      <c r="N432" s="4" t="s">
        <v>23</v>
      </c>
      <c r="O432" s="4" t="s">
        <v>46</v>
      </c>
      <c r="P432" s="4" t="s">
        <v>41</v>
      </c>
      <c r="Q432" s="4">
        <v>3</v>
      </c>
    </row>
    <row r="433" spans="1:17" ht="75">
      <c r="A433" s="3">
        <v>30996</v>
      </c>
      <c r="B433" s="4" t="s">
        <v>1141</v>
      </c>
      <c r="C433" s="4" t="str">
        <f ca="1">"NM_001008487"&amp;IF(INFO("system")="mac",CHAR(13),CHAR(10))&amp;"NM_017836"&amp;IF(INFO("system")="mac",CHAR(13),CHAR(10))&amp;"NM_001164475"&amp;IF(INFO("system")="mac",CHAR(13),CHAR(10))&amp;"NM_001008485"&amp;IF(INFO("system")="mac",CHAR(13),CHAR(10))&amp;"NM_001008486"</f>
        <v>NM_001008487_x000D_NM_017836_x000D_NM_001164475_x000D_NM_001008485_x000D_NM_001008486</v>
      </c>
      <c r="D433" s="4">
        <v>54946</v>
      </c>
      <c r="E433" s="4" t="s">
        <v>19</v>
      </c>
      <c r="F433" s="5" t="str">
        <f ca="1">"608"&amp;IF(INFO("system")="mac",CHAR(13),CHAR(10))&amp;"689"&amp;IF(INFO("system")="mac",CHAR(13),CHAR(10))&amp;"310"&amp;IF(INFO("system")="mac",CHAR(13),CHAR(10))&amp;"689"&amp;IF(INFO("system")="mac",CHAR(13),CHAR(10))&amp;"581"</f>
        <v>608_x000D_689_x000D_310_x000D_689_x000D_581</v>
      </c>
      <c r="G433" s="5" t="str">
        <f ca="1">"385"&amp;IF(INFO("system")="mac",CHAR(13),CHAR(10))&amp;"463"&amp;IF(INFO("system")="mac",CHAR(13),CHAR(10))&amp;"112"&amp;IF(INFO("system")="mac",CHAR(13),CHAR(10))&amp;"463"&amp;IF(INFO("system")="mac",CHAR(13),CHAR(10))&amp;"355"</f>
        <v>385_x000D_463_x000D_112_x000D_463_x000D_355</v>
      </c>
      <c r="H433" s="5" t="str">
        <f ca="1">"129"&amp;IF(INFO("system")="mac",CHAR(13),CHAR(10))&amp;"155"&amp;IF(INFO("system")="mac",CHAR(13),CHAR(10))&amp;"38"&amp;IF(INFO("system")="mac",CHAR(13),CHAR(10))&amp;"155"&amp;IF(INFO("system")="mac",CHAR(13),CHAR(10))&amp;"119"</f>
        <v>129_x000D_155_x000D_38_x000D_155_x000D_119</v>
      </c>
      <c r="I433" s="4" t="s">
        <v>684</v>
      </c>
      <c r="J433" s="4" t="s">
        <v>1142</v>
      </c>
      <c r="K433" s="4" t="s">
        <v>201</v>
      </c>
      <c r="L433" s="4">
        <v>125745313</v>
      </c>
      <c r="M433" s="4">
        <v>125745313</v>
      </c>
      <c r="N433" s="4" t="s">
        <v>23</v>
      </c>
      <c r="O433" s="4" t="s">
        <v>41</v>
      </c>
      <c r="P433" s="4" t="s">
        <v>25</v>
      </c>
      <c r="Q433" s="4">
        <v>5</v>
      </c>
    </row>
    <row r="434" spans="1:17" ht="45">
      <c r="A434" s="3">
        <v>30996</v>
      </c>
      <c r="B434" s="4" t="s">
        <v>1143</v>
      </c>
      <c r="C434" s="4" t="str">
        <f ca="1">"NM_001165035"&amp;IF(INFO("system")="mac",CHAR(13),CHAR(10))&amp;"NM_001998"&amp;IF(INFO("system")="mac",CHAR(13),CHAR(10))&amp;"NM_001004019"</f>
        <v>NM_001165035_x000D_NM_001998_x000D_NM_001004019</v>
      </c>
      <c r="D434" s="4">
        <v>2199</v>
      </c>
      <c r="E434" s="4" t="s">
        <v>19</v>
      </c>
      <c r="F434" s="5" t="str">
        <f ca="1">"1590"&amp;IF(INFO("system")="mac",CHAR(13),CHAR(10))&amp;"1333"&amp;IF(INFO("system")="mac",CHAR(13),CHAR(10))&amp;"1333"</f>
        <v>1590_x000D_1333_x000D_1333</v>
      </c>
      <c r="G434" s="5">
        <v>1208</v>
      </c>
      <c r="H434" s="5">
        <v>403</v>
      </c>
      <c r="I434" s="4" t="s">
        <v>60</v>
      </c>
      <c r="J434" s="4" t="s">
        <v>577</v>
      </c>
      <c r="K434" s="4" t="s">
        <v>201</v>
      </c>
      <c r="L434" s="4">
        <v>13613063</v>
      </c>
      <c r="M434" s="4">
        <v>13613063</v>
      </c>
      <c r="N434" s="4" t="s">
        <v>23</v>
      </c>
      <c r="O434" s="4" t="s">
        <v>24</v>
      </c>
      <c r="P434" s="4" t="s">
        <v>25</v>
      </c>
      <c r="Q434" s="4">
        <v>4</v>
      </c>
    </row>
    <row r="435" spans="1:17">
      <c r="A435" s="3">
        <v>30996</v>
      </c>
      <c r="B435" s="4" t="s">
        <v>1144</v>
      </c>
      <c r="C435" s="4" t="s">
        <v>1145</v>
      </c>
      <c r="D435" s="4">
        <v>23473</v>
      </c>
      <c r="E435" s="4" t="s">
        <v>19</v>
      </c>
      <c r="F435" s="5">
        <v>298</v>
      </c>
      <c r="G435" s="5">
        <v>28</v>
      </c>
      <c r="H435" s="5">
        <v>10</v>
      </c>
      <c r="I435" s="4" t="s">
        <v>123</v>
      </c>
      <c r="J435" s="4" t="s">
        <v>481</v>
      </c>
      <c r="K435" s="4" t="s">
        <v>201</v>
      </c>
      <c r="L435" s="4">
        <v>15248030</v>
      </c>
      <c r="M435" s="4">
        <v>15248030</v>
      </c>
      <c r="N435" s="4" t="s">
        <v>23</v>
      </c>
      <c r="O435" s="4" t="s">
        <v>24</v>
      </c>
      <c r="P435" s="4" t="s">
        <v>41</v>
      </c>
      <c r="Q435" s="4">
        <v>9</v>
      </c>
    </row>
    <row r="436" spans="1:17">
      <c r="A436" s="3">
        <v>30996</v>
      </c>
      <c r="B436" s="4" t="s">
        <v>1146</v>
      </c>
      <c r="C436" s="4" t="s">
        <v>1147</v>
      </c>
      <c r="D436" s="4">
        <v>285349</v>
      </c>
      <c r="E436" s="4" t="s">
        <v>19</v>
      </c>
      <c r="F436" s="5">
        <v>599</v>
      </c>
      <c r="G436" s="5">
        <v>266</v>
      </c>
      <c r="H436" s="5">
        <v>89</v>
      </c>
      <c r="I436" s="4" t="s">
        <v>680</v>
      </c>
      <c r="J436" s="4" t="s">
        <v>681</v>
      </c>
      <c r="K436" s="4" t="s">
        <v>201</v>
      </c>
      <c r="L436" s="4">
        <v>44635951</v>
      </c>
      <c r="M436" s="4">
        <v>44635951</v>
      </c>
      <c r="N436" s="4" t="s">
        <v>23</v>
      </c>
      <c r="O436" s="4" t="s">
        <v>25</v>
      </c>
      <c r="P436" s="4" t="s">
        <v>24</v>
      </c>
      <c r="Q436" s="4">
        <v>4</v>
      </c>
    </row>
    <row r="437" spans="1:17" ht="30">
      <c r="A437" s="3">
        <v>30996</v>
      </c>
      <c r="B437" s="4" t="s">
        <v>1148</v>
      </c>
      <c r="C437" s="4" t="str">
        <f ca="1">"NM_014966"&amp;IF(INFO("system")="mac",CHAR(13),CHAR(10))&amp;"NM_138615"</f>
        <v>NM_014966_x000D_NM_138615</v>
      </c>
      <c r="D437" s="4">
        <v>22907</v>
      </c>
      <c r="E437" s="4" t="s">
        <v>19</v>
      </c>
      <c r="F437" s="5" t="str">
        <f ca="1">"2673"&amp;IF(INFO("system")="mac",CHAR(13),CHAR(10))&amp;"2644"</f>
        <v>2673_x000D_2644</v>
      </c>
      <c r="G437" s="5" t="str">
        <f ca="1">"2101"&amp;IF(INFO("system")="mac",CHAR(13),CHAR(10))&amp;"2218"</f>
        <v>2101_x000D_2218</v>
      </c>
      <c r="H437" s="5" t="str">
        <f ca="1">"701"&amp;IF(INFO("system")="mac",CHAR(13),CHAR(10))&amp;"740"</f>
        <v>701_x000D_740</v>
      </c>
      <c r="I437" s="4" t="s">
        <v>98</v>
      </c>
      <c r="J437" s="4" t="s">
        <v>673</v>
      </c>
      <c r="K437" s="4" t="s">
        <v>201</v>
      </c>
      <c r="L437" s="4">
        <v>47889378</v>
      </c>
      <c r="M437" s="4">
        <v>47889378</v>
      </c>
      <c r="N437" s="4" t="s">
        <v>23</v>
      </c>
      <c r="O437" s="4" t="s">
        <v>25</v>
      </c>
      <c r="P437" s="4" t="s">
        <v>24</v>
      </c>
      <c r="Q437" s="4">
        <v>4</v>
      </c>
    </row>
    <row r="438" spans="1:17" ht="30">
      <c r="A438" s="3">
        <v>30996</v>
      </c>
      <c r="B438" s="4" t="s">
        <v>1149</v>
      </c>
      <c r="C438" s="4" t="str">
        <f ca="1">"NM_002218"&amp;IF(INFO("system")="mac",CHAR(13),CHAR(10))&amp;"NM_001166449"</f>
        <v>NM_002218_x000D_NM_001166449</v>
      </c>
      <c r="D438" s="4">
        <v>3700</v>
      </c>
      <c r="E438" s="4" t="s">
        <v>19</v>
      </c>
      <c r="F438" s="5" t="str">
        <f ca="1">"2185"&amp;IF(INFO("system")="mac",CHAR(13),CHAR(10))&amp;"2095"</f>
        <v>2185_x000D_2095</v>
      </c>
      <c r="G438" s="5" t="str">
        <f ca="1">"2126"&amp;IF(INFO("system")="mac",CHAR(13),CHAR(10))&amp;"2036"</f>
        <v>2126_x000D_2036</v>
      </c>
      <c r="H438" s="5" t="str">
        <f ca="1">"709"&amp;IF(INFO("system")="mac",CHAR(13),CHAR(10))&amp;"679"</f>
        <v>709_x000D_679</v>
      </c>
      <c r="I438" s="4" t="s">
        <v>434</v>
      </c>
      <c r="J438" s="4" t="s">
        <v>435</v>
      </c>
      <c r="K438" s="4" t="s">
        <v>201</v>
      </c>
      <c r="L438" s="4">
        <v>52852504</v>
      </c>
      <c r="M438" s="4">
        <v>52852504</v>
      </c>
      <c r="N438" s="4" t="s">
        <v>23</v>
      </c>
      <c r="O438" s="4" t="s">
        <v>24</v>
      </c>
      <c r="P438" s="4" t="s">
        <v>46</v>
      </c>
      <c r="Q438" s="4">
        <v>15</v>
      </c>
    </row>
    <row r="439" spans="1:17">
      <c r="A439" s="3">
        <v>30996</v>
      </c>
      <c r="B439" s="4" t="s">
        <v>1150</v>
      </c>
      <c r="C439" s="4" t="s">
        <v>1151</v>
      </c>
      <c r="D439" s="4">
        <v>23231</v>
      </c>
      <c r="E439" s="4" t="s">
        <v>19</v>
      </c>
      <c r="F439" s="5">
        <v>2451</v>
      </c>
      <c r="G439" s="5">
        <v>2299</v>
      </c>
      <c r="H439" s="5">
        <v>767</v>
      </c>
      <c r="I439" s="4" t="s">
        <v>180</v>
      </c>
      <c r="J439" s="4" t="s">
        <v>181</v>
      </c>
      <c r="K439" s="4" t="s">
        <v>220</v>
      </c>
      <c r="L439" s="4">
        <v>25784022</v>
      </c>
      <c r="M439" s="4">
        <v>25784022</v>
      </c>
      <c r="N439" s="4" t="s">
        <v>23</v>
      </c>
      <c r="O439" s="4" t="s">
        <v>41</v>
      </c>
      <c r="P439" s="4" t="s">
        <v>24</v>
      </c>
      <c r="Q439" s="4">
        <v>7</v>
      </c>
    </row>
    <row r="440" spans="1:17" ht="30">
      <c r="A440" s="3">
        <v>30996</v>
      </c>
      <c r="B440" s="4" t="s">
        <v>1152</v>
      </c>
      <c r="C440" s="4" t="str">
        <f ca="1">"NM_001206995"&amp;IF(INFO("system")="mac",CHAR(13),CHAR(10))&amp;"NM_001206994"</f>
        <v>NM_001206995_x000D_NM_001206994</v>
      </c>
      <c r="D440" s="4">
        <v>5522</v>
      </c>
      <c r="E440" s="4" t="s">
        <v>19</v>
      </c>
      <c r="F440" s="5" t="str">
        <f ca="1">"228"&amp;IF(INFO("system")="mac",CHAR(13),CHAR(10))&amp;"124"</f>
        <v>228_x000D_124</v>
      </c>
      <c r="G440" s="5">
        <v>25</v>
      </c>
      <c r="H440" s="5">
        <v>9</v>
      </c>
      <c r="I440" s="4" t="s">
        <v>414</v>
      </c>
      <c r="J440" s="4" t="s">
        <v>423</v>
      </c>
      <c r="K440" s="4" t="s">
        <v>220</v>
      </c>
      <c r="L440" s="4">
        <v>6537022</v>
      </c>
      <c r="M440" s="4">
        <v>6537022</v>
      </c>
      <c r="N440" s="4" t="s">
        <v>23</v>
      </c>
      <c r="O440" s="4" t="s">
        <v>24</v>
      </c>
      <c r="P440" s="4" t="s">
        <v>25</v>
      </c>
      <c r="Q440" s="4">
        <v>9</v>
      </c>
    </row>
    <row r="441" spans="1:17" ht="30">
      <c r="A441" s="3">
        <v>30996</v>
      </c>
      <c r="B441" s="4" t="s">
        <v>1153</v>
      </c>
      <c r="C441" s="4" t="str">
        <f ca="1">"NM_001166133"&amp;IF(INFO("system")="mac",CHAR(13),CHAR(10))&amp;"NM_025074"</f>
        <v>NM_001166133_x000D_NM_025074</v>
      </c>
      <c r="D441" s="4">
        <v>80144</v>
      </c>
      <c r="E441" s="4" t="s">
        <v>19</v>
      </c>
      <c r="F441" s="5">
        <v>1900</v>
      </c>
      <c r="G441" s="5">
        <v>1460</v>
      </c>
      <c r="H441" s="5">
        <v>487</v>
      </c>
      <c r="I441" s="4" t="s">
        <v>142</v>
      </c>
      <c r="J441" s="4" t="s">
        <v>143</v>
      </c>
      <c r="K441" s="4" t="s">
        <v>220</v>
      </c>
      <c r="L441" s="4">
        <v>79207619</v>
      </c>
      <c r="M441" s="4">
        <v>79207619</v>
      </c>
      <c r="N441" s="4" t="s">
        <v>23</v>
      </c>
      <c r="O441" s="4" t="s">
        <v>46</v>
      </c>
      <c r="P441" s="4" t="s">
        <v>25</v>
      </c>
      <c r="Q441" s="4">
        <v>11</v>
      </c>
    </row>
    <row r="442" spans="1:17" ht="30">
      <c r="A442" s="3">
        <v>30996</v>
      </c>
      <c r="B442" s="4" t="s">
        <v>1154</v>
      </c>
      <c r="C442" s="4" t="str">
        <f ca="1">"NM_018914"&amp;IF(INFO("system")="mac",CHAR(13),CHAR(10))&amp;"NM_032091"</f>
        <v>NM_018914_x000D_NM_032091</v>
      </c>
      <c r="D442" s="4">
        <v>56105</v>
      </c>
      <c r="E442" s="4" t="s">
        <v>19</v>
      </c>
      <c r="F442" s="5">
        <v>2177</v>
      </c>
      <c r="G442" s="5">
        <v>1919</v>
      </c>
      <c r="H442" s="5">
        <v>640</v>
      </c>
      <c r="I442" s="4" t="s">
        <v>907</v>
      </c>
      <c r="J442" s="4" t="s">
        <v>908</v>
      </c>
      <c r="K442" s="4" t="s">
        <v>226</v>
      </c>
      <c r="L442" s="4">
        <v>140802713</v>
      </c>
      <c r="M442" s="4">
        <v>140802713</v>
      </c>
      <c r="N442" s="4" t="s">
        <v>23</v>
      </c>
      <c r="O442" s="4" t="s">
        <v>25</v>
      </c>
      <c r="P442" s="4" t="s">
        <v>24</v>
      </c>
      <c r="Q442" s="4">
        <v>6</v>
      </c>
    </row>
    <row r="443" spans="1:17">
      <c r="A443" s="3">
        <v>30996</v>
      </c>
      <c r="B443" s="4" t="s">
        <v>1155</v>
      </c>
      <c r="C443" s="4" t="s">
        <v>1156</v>
      </c>
      <c r="D443" s="4">
        <v>1794</v>
      </c>
      <c r="E443" s="4" t="s">
        <v>19</v>
      </c>
      <c r="F443" s="5">
        <v>1174</v>
      </c>
      <c r="G443" s="5">
        <v>1094</v>
      </c>
      <c r="H443" s="5">
        <v>365</v>
      </c>
      <c r="I443" s="4" t="s">
        <v>269</v>
      </c>
      <c r="J443" s="4" t="s">
        <v>710</v>
      </c>
      <c r="K443" s="4" t="s">
        <v>226</v>
      </c>
      <c r="L443" s="4">
        <v>169126424</v>
      </c>
      <c r="M443" s="4">
        <v>169126424</v>
      </c>
      <c r="N443" s="4" t="s">
        <v>23</v>
      </c>
      <c r="O443" s="4" t="s">
        <v>24</v>
      </c>
      <c r="P443" s="4" t="s">
        <v>41</v>
      </c>
      <c r="Q443" s="4">
        <v>10</v>
      </c>
    </row>
    <row r="444" spans="1:17">
      <c r="A444" s="3">
        <v>30996</v>
      </c>
      <c r="B444" s="4" t="s">
        <v>1157</v>
      </c>
      <c r="C444" s="4" t="s">
        <v>1158</v>
      </c>
      <c r="D444" s="4">
        <v>3937</v>
      </c>
      <c r="E444" s="4" t="s">
        <v>19</v>
      </c>
      <c r="F444" s="5">
        <v>852</v>
      </c>
      <c r="G444" s="5">
        <v>645</v>
      </c>
      <c r="H444" s="5">
        <v>215</v>
      </c>
      <c r="I444" s="4" t="s">
        <v>360</v>
      </c>
      <c r="J444" s="4" t="s">
        <v>783</v>
      </c>
      <c r="K444" s="4" t="s">
        <v>226</v>
      </c>
      <c r="L444" s="4">
        <v>169694056</v>
      </c>
      <c r="M444" s="4">
        <v>169694056</v>
      </c>
      <c r="N444" s="4" t="s">
        <v>23</v>
      </c>
      <c r="O444" s="4" t="s">
        <v>24</v>
      </c>
      <c r="P444" s="4" t="s">
        <v>41</v>
      </c>
      <c r="Q444" s="4">
        <v>4</v>
      </c>
    </row>
    <row r="445" spans="1:17" ht="150">
      <c r="A445" s="3">
        <v>30996</v>
      </c>
      <c r="B445" s="4" t="s">
        <v>1159</v>
      </c>
      <c r="C445" s="4" t="str">
        <f ca="1">"NM_000163"&amp;IF(INFO("system")="mac",CHAR(13),CHAR(10))&amp;"NM_001242400"&amp;IF(INFO("system")="mac",CHAR(13),CHAR(10))&amp;"NM_001242401"&amp;IF(INFO("system")="mac",CHAR(13),CHAR(10))&amp;"NM_001242399"&amp;IF(INFO("system")="mac",CHAR(13),CHAR(10))&amp;"NM_001242406"&amp;IF(INFO("system")="mac",CHAR(13),CHAR(10))&amp;"NM_001242403"&amp;IF(INFO("system")="mac",CHAR(13),CHAR(10))&amp;"NM_001242460"&amp;IF(INFO("system")="mac",CHAR(13),CHAR(10))&amp;"NM_001242405"&amp;IF(INFO("system")="mac",CHAR(13),CHAR(10))&amp;"NM_001242402"&amp;IF(INFO("system")="mac",CHAR(13),CHAR(10))&amp;"NM_001242404"</f>
        <v>NM_000163_x000D_NM_001242400_x000D_NM_001242401_x000D_NM_001242399_x000D_NM_001242406_x000D_NM_001242403_x000D_NM_001242460_x000D_NM_001242405_x000D_NM_001242402_x000D_NM_001242404</v>
      </c>
      <c r="D445" s="4">
        <v>2690</v>
      </c>
      <c r="E445" s="4" t="s">
        <v>19</v>
      </c>
      <c r="F445" s="5" t="str">
        <f ca="1">"1381"&amp;IF(INFO("system")="mac",CHAR(13),CHAR(10))&amp;"1632"&amp;IF(INFO("system")="mac",CHAR(13),CHAR(10))&amp;"1340"&amp;IF(INFO("system")="mac",CHAR(13),CHAR(10))&amp;"1347"&amp;IF(INFO("system")="mac",CHAR(13),CHAR(10))&amp;"1603"&amp;IF(INFO("system")="mac",CHAR(13),CHAR(10))&amp;"1517"&amp;IF(INFO("system")="mac",CHAR(13),CHAR(10))&amp;"1134"&amp;IF(INFO("system")="mac",CHAR(13),CHAR(10))&amp;"1237"&amp;IF(INFO("system")="mac",CHAR(13),CHAR(10))&amp;"1309"&amp;IF(INFO("system")="mac",CHAR(13),CHAR(10))&amp;"1342"</f>
        <v>1381_x000D_1632_x000D_1340_x000D_1347_x000D_1603_x000D_1517_x000D_1134_x000D_1237_x000D_1309_x000D_1342</v>
      </c>
      <c r="G445" s="5" t="str">
        <f ca="1">"1189"&amp;IF(INFO("system")="mac",CHAR(13),CHAR(10))&amp;"1189"&amp;IF(INFO("system")="mac",CHAR(13),CHAR(10))&amp;"1189"&amp;IF(INFO("system")="mac",CHAR(13),CHAR(10))&amp;"1210"&amp;IF(INFO("system")="mac",CHAR(13),CHAR(10))&amp;"1189"&amp;IF(INFO("system")="mac",CHAR(13),CHAR(10))&amp;"1189"&amp;IF(INFO("system")="mac",CHAR(13),CHAR(10))&amp;"1123"&amp;IF(INFO("system")="mac",CHAR(13),CHAR(10))&amp;"1189"&amp;IF(INFO("system")="mac",CHAR(13),CHAR(10))&amp;"1189"&amp;IF(INFO("system")="mac",CHAR(13),CHAR(10))&amp;"1189"</f>
        <v>1189_x000D_1189_x000D_1189_x000D_1210_x000D_1189_x000D_1189_x000D_1123_x000D_1189_x000D_1189_x000D_1189</v>
      </c>
      <c r="H445" s="5" t="str">
        <f ca="1">"397"&amp;IF(INFO("system")="mac",CHAR(13),CHAR(10))&amp;"397"&amp;IF(INFO("system")="mac",CHAR(13),CHAR(10))&amp;"397"&amp;IF(INFO("system")="mac",CHAR(13),CHAR(10))&amp;"404"&amp;IF(INFO("system")="mac",CHAR(13),CHAR(10))&amp;"397"&amp;IF(INFO("system")="mac",CHAR(13),CHAR(10))&amp;"397"&amp;IF(INFO("system")="mac",CHAR(13),CHAR(10))&amp;"375"&amp;IF(INFO("system")="mac",CHAR(13),CHAR(10))&amp;"397"&amp;IF(INFO("system")="mac",CHAR(13),CHAR(10))&amp;"397"&amp;IF(INFO("system")="mac",CHAR(13),CHAR(10))&amp;"397"</f>
        <v>397_x000D_397_x000D_397_x000D_404_x000D_397_x000D_397_x000D_375_x000D_397_x000D_397_x000D_397</v>
      </c>
      <c r="I445" s="4" t="s">
        <v>282</v>
      </c>
      <c r="J445" s="4" t="s">
        <v>1160</v>
      </c>
      <c r="K445" s="4" t="s">
        <v>226</v>
      </c>
      <c r="L445" s="4">
        <v>42718798</v>
      </c>
      <c r="M445" s="4">
        <v>42718798</v>
      </c>
      <c r="N445" s="4" t="s">
        <v>23</v>
      </c>
      <c r="O445" s="4" t="s">
        <v>25</v>
      </c>
      <c r="P445" s="4" t="s">
        <v>24</v>
      </c>
      <c r="Q445" s="4">
        <v>1</v>
      </c>
    </row>
    <row r="446" spans="1:17">
      <c r="A446" s="3">
        <v>30996</v>
      </c>
      <c r="B446" s="4" t="s">
        <v>1161</v>
      </c>
      <c r="C446" s="4" t="s">
        <v>1162</v>
      </c>
      <c r="D446" s="4">
        <v>348980</v>
      </c>
      <c r="E446" s="4" t="s">
        <v>19</v>
      </c>
      <c r="F446" s="5">
        <v>1460</v>
      </c>
      <c r="G446" s="5">
        <v>1435</v>
      </c>
      <c r="H446" s="5">
        <v>479</v>
      </c>
      <c r="I446" s="4" t="s">
        <v>123</v>
      </c>
      <c r="J446" s="4" t="s">
        <v>519</v>
      </c>
      <c r="K446" s="4" t="s">
        <v>226</v>
      </c>
      <c r="L446" s="4">
        <v>45303884</v>
      </c>
      <c r="M446" s="4">
        <v>45303884</v>
      </c>
      <c r="N446" s="4" t="s">
        <v>23</v>
      </c>
      <c r="O446" s="4" t="s">
        <v>46</v>
      </c>
      <c r="P446" s="4" t="s">
        <v>25</v>
      </c>
      <c r="Q446" s="4">
        <v>-4</v>
      </c>
    </row>
    <row r="447" spans="1:17">
      <c r="A447" s="3">
        <v>30996</v>
      </c>
      <c r="B447" s="4" t="s">
        <v>1163</v>
      </c>
      <c r="C447" s="4" t="s">
        <v>1164</v>
      </c>
      <c r="D447" s="4">
        <v>84059</v>
      </c>
      <c r="E447" s="4" t="s">
        <v>19</v>
      </c>
      <c r="F447" s="5">
        <v>15223</v>
      </c>
      <c r="G447" s="5">
        <v>15127</v>
      </c>
      <c r="H447" s="5">
        <v>5043</v>
      </c>
      <c r="I447" s="4" t="s">
        <v>601</v>
      </c>
      <c r="J447" s="4" t="s">
        <v>602</v>
      </c>
      <c r="K447" s="4" t="s">
        <v>226</v>
      </c>
      <c r="L447" s="4">
        <v>90106204</v>
      </c>
      <c r="M447" s="4">
        <v>90106204</v>
      </c>
      <c r="N447" s="4" t="s">
        <v>23</v>
      </c>
      <c r="O447" s="4" t="s">
        <v>46</v>
      </c>
      <c r="P447" s="4" t="s">
        <v>24</v>
      </c>
      <c r="Q447" s="4">
        <v>10</v>
      </c>
    </row>
    <row r="448" spans="1:17">
      <c r="A448" s="3">
        <v>30996</v>
      </c>
      <c r="B448" s="4" t="s">
        <v>1165</v>
      </c>
      <c r="C448" s="4" t="s">
        <v>1166</v>
      </c>
      <c r="D448" s="4">
        <v>2898</v>
      </c>
      <c r="E448" s="4" t="s">
        <v>1167</v>
      </c>
      <c r="F448" s="5">
        <v>2964</v>
      </c>
      <c r="G448" s="5">
        <v>2671</v>
      </c>
      <c r="H448" s="5">
        <v>891</v>
      </c>
      <c r="I448" s="4" t="s">
        <v>448</v>
      </c>
      <c r="J448" s="4" t="s">
        <v>1168</v>
      </c>
      <c r="K448" s="4" t="s">
        <v>237</v>
      </c>
      <c r="L448" s="4">
        <v>102513780</v>
      </c>
      <c r="M448" s="4">
        <v>102513780</v>
      </c>
      <c r="N448" s="4" t="s">
        <v>23</v>
      </c>
      <c r="O448" s="4" t="s">
        <v>41</v>
      </c>
      <c r="P448" s="4" t="s">
        <v>46</v>
      </c>
      <c r="Q448" s="4">
        <v>6</v>
      </c>
    </row>
    <row r="449" spans="1:17" ht="30">
      <c r="A449" s="3">
        <v>30996</v>
      </c>
      <c r="B449" s="4" t="s">
        <v>388</v>
      </c>
      <c r="C449" s="4" t="str">
        <f ca="1">"NM_000426"&amp;IF(INFO("system")="mac",CHAR(13),CHAR(10))&amp;"NM_001079823"</f>
        <v>NM_000426_x000D_NM_001079823</v>
      </c>
      <c r="D449" s="4">
        <v>3908</v>
      </c>
      <c r="E449" s="4" t="s">
        <v>816</v>
      </c>
      <c r="F449" s="5" t="s">
        <v>1169</v>
      </c>
      <c r="G449" s="5" t="s">
        <v>1170</v>
      </c>
      <c r="H449" s="5" t="s">
        <v>1171</v>
      </c>
      <c r="I449" s="4" t="s">
        <v>35</v>
      </c>
      <c r="J449" s="4" t="s">
        <v>35</v>
      </c>
      <c r="K449" s="4" t="s">
        <v>237</v>
      </c>
      <c r="L449" s="4">
        <v>129670444</v>
      </c>
      <c r="M449" s="4">
        <v>129670443</v>
      </c>
      <c r="N449" s="4" t="s">
        <v>110</v>
      </c>
      <c r="O449" s="4"/>
      <c r="P449" s="4" t="s">
        <v>24</v>
      </c>
      <c r="Q449" s="4">
        <v>4</v>
      </c>
    </row>
    <row r="450" spans="1:17" ht="120">
      <c r="A450" s="3">
        <v>30996</v>
      </c>
      <c r="B450" s="4" t="s">
        <v>1172</v>
      </c>
      <c r="C450" s="4" t="str">
        <f ca="1">"NM_001130173"&amp;IF(INFO("system")="mac",CHAR(13),CHAR(10))&amp;"NM_001161660"&amp;IF(INFO("system")="mac",CHAR(13),CHAR(10))&amp;"NM_005375"&amp;IF(INFO("system")="mac",CHAR(13),CHAR(10))&amp;"NM_001161657"&amp;IF(INFO("system")="mac",CHAR(13),CHAR(10))&amp;"NM_001161659"&amp;IF(INFO("system")="mac",CHAR(13),CHAR(10))&amp;"NM_001161656"&amp;IF(INFO("system")="mac",CHAR(13),CHAR(10))&amp;"NM_001130172"&amp;IF(INFO("system")="mac",CHAR(13),CHAR(10))&amp;"NM_001161658"</f>
        <v>NM_001130173_x000D_NM_001161660_x000D_NM_005375_x000D_NM_001161657_x000D_NM_001161659_x000D_NM_001161656_x000D_NM_001130172_x000D_NM_001161658</v>
      </c>
      <c r="D450" s="4">
        <v>4602</v>
      </c>
      <c r="E450" s="4" t="s">
        <v>19</v>
      </c>
      <c r="F450" s="5" t="str">
        <f ca="1">"1856"&amp;IF(INFO("system")="mac",CHAR(13),CHAR(10))&amp;"1388"&amp;IF(INFO("system")="mac",CHAR(13),CHAR(10))&amp;"1493"&amp;IF(INFO("system")="mac",CHAR(13),CHAR(10))&amp;"1238"&amp;IF(INFO("system")="mac",CHAR(13),CHAR(10))&amp;"1493"&amp;IF(INFO("system")="mac",CHAR(13),CHAR(10))&amp;"1847"&amp;IF(INFO("system")="mac",CHAR(13),CHAR(10))&amp;"1484"&amp;IF(INFO("system")="mac",CHAR(13),CHAR(10))&amp;"1808"</f>
        <v>1856_x000D_1388_x000D_1493_x000D_1238_x000D_1493_x000D_1847_x000D_1484_x000D_1808</v>
      </c>
      <c r="G450" s="5" t="str">
        <f ca="1">"1657"&amp;IF(INFO("system")="mac",CHAR(13),CHAR(10))&amp;"1189"&amp;IF(INFO("system")="mac",CHAR(13),CHAR(10))&amp;"1294"&amp;IF(INFO("system")="mac",CHAR(13),CHAR(10))&amp;"1039"&amp;IF(INFO("system")="mac",CHAR(13),CHAR(10))&amp;"1294"&amp;IF(INFO("system")="mac",CHAR(13),CHAR(10))&amp;"1648"&amp;IF(INFO("system")="mac",CHAR(13),CHAR(10))&amp;"1285"&amp;IF(INFO("system")="mac",CHAR(13),CHAR(10))&amp;"1609"</f>
        <v>1657_x000D_1189_x000D_1294_x000D_1039_x000D_1294_x000D_1648_x000D_1285_x000D_1609</v>
      </c>
      <c r="H450" s="5" t="str">
        <f ca="1">"553"&amp;IF(INFO("system")="mac",CHAR(13),CHAR(10))&amp;"397"&amp;IF(INFO("system")="mac",CHAR(13),CHAR(10))&amp;"432"&amp;IF(INFO("system")="mac",CHAR(13),CHAR(10))&amp;"347"&amp;IF(INFO("system")="mac",CHAR(13),CHAR(10))&amp;"432"&amp;IF(INFO("system")="mac",CHAR(13),CHAR(10))&amp;"550"&amp;IF(INFO("system")="mac",CHAR(13),CHAR(10))&amp;"429"&amp;IF(INFO("system")="mac",CHAR(13),CHAR(10))&amp;"537"</f>
        <v>553_x000D_397_x000D_432_x000D_347_x000D_432_x000D_550_x000D_429_x000D_537</v>
      </c>
      <c r="I450" s="4" t="s">
        <v>282</v>
      </c>
      <c r="J450" s="4" t="s">
        <v>319</v>
      </c>
      <c r="K450" s="4" t="s">
        <v>237</v>
      </c>
      <c r="L450" s="4">
        <v>135520136</v>
      </c>
      <c r="M450" s="4">
        <v>135520136</v>
      </c>
      <c r="N450" s="4" t="s">
        <v>23</v>
      </c>
      <c r="O450" s="4" t="s">
        <v>25</v>
      </c>
      <c r="P450" s="4" t="s">
        <v>24</v>
      </c>
      <c r="Q450" s="4">
        <v>8</v>
      </c>
    </row>
    <row r="451" spans="1:17" ht="30">
      <c r="A451" s="3">
        <v>30996</v>
      </c>
      <c r="B451" s="4" t="s">
        <v>1173</v>
      </c>
      <c r="C451" s="4" t="s">
        <v>1174</v>
      </c>
      <c r="D451" s="4">
        <v>401282</v>
      </c>
      <c r="E451" s="4" t="s">
        <v>1001</v>
      </c>
      <c r="F451" s="5">
        <v>911</v>
      </c>
      <c r="G451" s="5" t="s">
        <v>35</v>
      </c>
      <c r="H451" s="5" t="s">
        <v>35</v>
      </c>
      <c r="I451" s="4" t="s">
        <v>35</v>
      </c>
      <c r="J451" s="4" t="s">
        <v>35</v>
      </c>
      <c r="K451" s="4" t="s">
        <v>237</v>
      </c>
      <c r="L451" s="4">
        <v>163765749</v>
      </c>
      <c r="M451" s="4">
        <v>163765749</v>
      </c>
      <c r="N451" s="4" t="s">
        <v>23</v>
      </c>
      <c r="O451" s="4" t="s">
        <v>46</v>
      </c>
      <c r="P451" s="4" t="s">
        <v>25</v>
      </c>
      <c r="Q451" s="4">
        <v>5</v>
      </c>
    </row>
    <row r="452" spans="1:17">
      <c r="A452" s="3">
        <v>30996</v>
      </c>
      <c r="B452" s="4" t="s">
        <v>1175</v>
      </c>
      <c r="C452" s="4" t="s">
        <v>1176</v>
      </c>
      <c r="D452" s="4">
        <v>100507679</v>
      </c>
      <c r="E452" s="4" t="s">
        <v>19</v>
      </c>
      <c r="F452" s="5">
        <v>3262</v>
      </c>
      <c r="G452" s="5">
        <v>3043</v>
      </c>
      <c r="H452" s="5">
        <v>1015</v>
      </c>
      <c r="I452" s="4" t="s">
        <v>1177</v>
      </c>
      <c r="J452" s="4" t="s">
        <v>1178</v>
      </c>
      <c r="K452" s="4" t="s">
        <v>237</v>
      </c>
      <c r="L452" s="4">
        <v>30996251</v>
      </c>
      <c r="M452" s="4">
        <v>30996251</v>
      </c>
      <c r="N452" s="4" t="s">
        <v>23</v>
      </c>
      <c r="O452" s="4" t="s">
        <v>25</v>
      </c>
      <c r="P452" s="4" t="s">
        <v>46</v>
      </c>
      <c r="Q452" s="4">
        <v>6</v>
      </c>
    </row>
    <row r="453" spans="1:17" ht="30">
      <c r="A453" s="3">
        <v>30996</v>
      </c>
      <c r="B453" s="4" t="s">
        <v>1179</v>
      </c>
      <c r="C453" s="4" t="str">
        <f ca="1">"NM_007162"&amp;IF(INFO("system")="mac",CHAR(13),CHAR(10))&amp;"NM_001167827"</f>
        <v>NM_007162_x000D_NM_001167827</v>
      </c>
      <c r="D453" s="4">
        <v>7942</v>
      </c>
      <c r="E453" s="4" t="s">
        <v>19</v>
      </c>
      <c r="F453" s="5" t="str">
        <f ca="1">"1220"&amp;IF(INFO("system")="mac",CHAR(13),CHAR(10))&amp;"1054"</f>
        <v>1220_x000D_1054</v>
      </c>
      <c r="G453" s="5">
        <v>918</v>
      </c>
      <c r="H453" s="5">
        <v>306</v>
      </c>
      <c r="I453" s="4" t="s">
        <v>800</v>
      </c>
      <c r="J453" s="4" t="s">
        <v>1180</v>
      </c>
      <c r="K453" s="4" t="s">
        <v>237</v>
      </c>
      <c r="L453" s="4">
        <v>41653861</v>
      </c>
      <c r="M453" s="4">
        <v>41653861</v>
      </c>
      <c r="N453" s="4" t="s">
        <v>23</v>
      </c>
      <c r="O453" s="4" t="s">
        <v>46</v>
      </c>
      <c r="P453" s="4" t="s">
        <v>25</v>
      </c>
      <c r="Q453" s="4">
        <v>1</v>
      </c>
    </row>
    <row r="454" spans="1:17">
      <c r="A454" s="3">
        <v>30996</v>
      </c>
      <c r="B454" s="4" t="s">
        <v>1181</v>
      </c>
      <c r="C454" s="4" t="s">
        <v>1182</v>
      </c>
      <c r="D454" s="4">
        <v>54676</v>
      </c>
      <c r="E454" s="4" t="s">
        <v>19</v>
      </c>
      <c r="F454" s="5">
        <v>1046</v>
      </c>
      <c r="G454" s="5">
        <v>1009</v>
      </c>
      <c r="H454" s="5">
        <v>337</v>
      </c>
      <c r="I454" s="4" t="s">
        <v>57</v>
      </c>
      <c r="J454" s="4" t="s">
        <v>58</v>
      </c>
      <c r="K454" s="4" t="s">
        <v>237</v>
      </c>
      <c r="L454" s="4">
        <v>43592338</v>
      </c>
      <c r="M454" s="4">
        <v>43592338</v>
      </c>
      <c r="N454" s="4" t="s">
        <v>23</v>
      </c>
      <c r="O454" s="4" t="s">
        <v>24</v>
      </c>
      <c r="P454" s="4" t="s">
        <v>25</v>
      </c>
      <c r="Q454" s="4">
        <v>-3</v>
      </c>
    </row>
    <row r="455" spans="1:17">
      <c r="A455" s="3">
        <v>30996</v>
      </c>
      <c r="B455" s="4" t="s">
        <v>1183</v>
      </c>
      <c r="C455" s="4" t="s">
        <v>1184</v>
      </c>
      <c r="D455" s="4">
        <v>202559</v>
      </c>
      <c r="E455" s="4" t="s">
        <v>19</v>
      </c>
      <c r="F455" s="5">
        <v>734</v>
      </c>
      <c r="G455" s="5">
        <v>487</v>
      </c>
      <c r="H455" s="5">
        <v>163</v>
      </c>
      <c r="I455" s="4" t="s">
        <v>1185</v>
      </c>
      <c r="J455" s="4" t="s">
        <v>1186</v>
      </c>
      <c r="K455" s="4" t="s">
        <v>237</v>
      </c>
      <c r="L455" s="4">
        <v>62611273</v>
      </c>
      <c r="M455" s="4">
        <v>62611273</v>
      </c>
      <c r="N455" s="4" t="s">
        <v>23</v>
      </c>
      <c r="O455" s="4" t="s">
        <v>25</v>
      </c>
      <c r="P455" s="4" t="s">
        <v>41</v>
      </c>
      <c r="Q455" s="4">
        <v>1</v>
      </c>
    </row>
    <row r="456" spans="1:17">
      <c r="A456" s="3">
        <v>30996</v>
      </c>
      <c r="B456" s="4" t="s">
        <v>526</v>
      </c>
      <c r="C456" s="4" t="s">
        <v>527</v>
      </c>
      <c r="D456" s="4">
        <v>577</v>
      </c>
      <c r="E456" s="4" t="s">
        <v>19</v>
      </c>
      <c r="F456" s="5">
        <v>2006</v>
      </c>
      <c r="G456" s="5">
        <v>1558</v>
      </c>
      <c r="H456" s="5">
        <v>520</v>
      </c>
      <c r="I456" s="4" t="s">
        <v>791</v>
      </c>
      <c r="J456" s="4" t="s">
        <v>792</v>
      </c>
      <c r="K456" s="4" t="s">
        <v>237</v>
      </c>
      <c r="L456" s="4">
        <v>69684687</v>
      </c>
      <c r="M456" s="4">
        <v>69684687</v>
      </c>
      <c r="N456" s="4" t="s">
        <v>23</v>
      </c>
      <c r="O456" s="4" t="s">
        <v>25</v>
      </c>
      <c r="P456" s="4" t="s">
        <v>41</v>
      </c>
      <c r="Q456" s="4">
        <v>6</v>
      </c>
    </row>
    <row r="457" spans="1:17">
      <c r="A457" s="3">
        <v>30996</v>
      </c>
      <c r="B457" s="4" t="s">
        <v>1187</v>
      </c>
      <c r="C457" s="4" t="s">
        <v>1188</v>
      </c>
      <c r="D457" s="4">
        <v>10690</v>
      </c>
      <c r="E457" s="4" t="s">
        <v>19</v>
      </c>
      <c r="F457" s="5">
        <v>493</v>
      </c>
      <c r="G457" s="5">
        <v>152</v>
      </c>
      <c r="H457" s="5">
        <v>51</v>
      </c>
      <c r="I457" s="4" t="s">
        <v>907</v>
      </c>
      <c r="J457" s="4" t="s">
        <v>1043</v>
      </c>
      <c r="K457" s="4" t="s">
        <v>237</v>
      </c>
      <c r="L457" s="4">
        <v>96651183</v>
      </c>
      <c r="M457" s="4">
        <v>96651183</v>
      </c>
      <c r="N457" s="4" t="s">
        <v>23</v>
      </c>
      <c r="O457" s="4" t="s">
        <v>25</v>
      </c>
      <c r="P457" s="4" t="s">
        <v>24</v>
      </c>
      <c r="Q457" s="4">
        <v>5</v>
      </c>
    </row>
    <row r="458" spans="1:17">
      <c r="A458" s="3">
        <v>30996</v>
      </c>
      <c r="B458" s="4" t="s">
        <v>1189</v>
      </c>
      <c r="C458" s="4" t="s">
        <v>1190</v>
      </c>
      <c r="D458" s="4">
        <v>84553</v>
      </c>
      <c r="E458" s="4" t="s">
        <v>19</v>
      </c>
      <c r="F458" s="5">
        <v>829</v>
      </c>
      <c r="G458" s="5">
        <v>546</v>
      </c>
      <c r="H458" s="5">
        <v>182</v>
      </c>
      <c r="I458" s="4" t="s">
        <v>344</v>
      </c>
      <c r="J458" s="4" t="s">
        <v>1191</v>
      </c>
      <c r="K458" s="4" t="s">
        <v>237</v>
      </c>
      <c r="L458" s="4">
        <v>99781280</v>
      </c>
      <c r="M458" s="4">
        <v>99781280</v>
      </c>
      <c r="N458" s="4" t="s">
        <v>23</v>
      </c>
      <c r="O458" s="4" t="s">
        <v>25</v>
      </c>
      <c r="P458" s="4" t="s">
        <v>46</v>
      </c>
      <c r="Q458" s="4">
        <v>3</v>
      </c>
    </row>
    <row r="459" spans="1:17" ht="30">
      <c r="A459" s="3">
        <v>30996</v>
      </c>
      <c r="B459" s="4" t="s">
        <v>1192</v>
      </c>
      <c r="C459" s="4" t="str">
        <f ca="1">"NM_000245"&amp;IF(INFO("system")="mac",CHAR(13),CHAR(10))&amp;"NM_001127500"</f>
        <v>NM_000245_x000D_NM_001127500</v>
      </c>
      <c r="D459" s="4">
        <v>4233</v>
      </c>
      <c r="E459" s="4" t="s">
        <v>19</v>
      </c>
      <c r="F459" s="5">
        <v>503</v>
      </c>
      <c r="G459" s="5">
        <v>316</v>
      </c>
      <c r="H459" s="5">
        <v>106</v>
      </c>
      <c r="I459" s="4" t="s">
        <v>543</v>
      </c>
      <c r="J459" s="4" t="s">
        <v>544</v>
      </c>
      <c r="K459" s="4" t="s">
        <v>257</v>
      </c>
      <c r="L459" s="4">
        <v>116339454</v>
      </c>
      <c r="M459" s="4">
        <v>116339454</v>
      </c>
      <c r="N459" s="4" t="s">
        <v>23</v>
      </c>
      <c r="O459" s="4" t="s">
        <v>25</v>
      </c>
      <c r="P459" s="4" t="s">
        <v>24</v>
      </c>
      <c r="Q459" s="4">
        <v>7</v>
      </c>
    </row>
    <row r="460" spans="1:17">
      <c r="A460" s="3">
        <v>30996</v>
      </c>
      <c r="B460" s="4" t="s">
        <v>1193</v>
      </c>
      <c r="C460" s="4" t="s">
        <v>1194</v>
      </c>
      <c r="D460" s="4">
        <v>8976</v>
      </c>
      <c r="E460" s="4" t="s">
        <v>19</v>
      </c>
      <c r="F460" s="5">
        <v>1521</v>
      </c>
      <c r="G460" s="5">
        <v>1193</v>
      </c>
      <c r="H460" s="5">
        <v>398</v>
      </c>
      <c r="I460" s="4" t="s">
        <v>385</v>
      </c>
      <c r="J460" s="4" t="s">
        <v>386</v>
      </c>
      <c r="K460" s="4" t="s">
        <v>257</v>
      </c>
      <c r="L460" s="4">
        <v>123332555</v>
      </c>
      <c r="M460" s="4">
        <v>123332555</v>
      </c>
      <c r="N460" s="4" t="s">
        <v>23</v>
      </c>
      <c r="O460" s="4" t="s">
        <v>41</v>
      </c>
      <c r="P460" s="4" t="s">
        <v>46</v>
      </c>
      <c r="Q460" s="4">
        <v>-5</v>
      </c>
    </row>
    <row r="461" spans="1:17">
      <c r="A461" s="3">
        <v>30996</v>
      </c>
      <c r="B461" s="4" t="s">
        <v>1195</v>
      </c>
      <c r="C461" s="4" t="s">
        <v>1196</v>
      </c>
      <c r="D461" s="4">
        <v>23145</v>
      </c>
      <c r="E461" s="4" t="s">
        <v>19</v>
      </c>
      <c r="F461" s="5">
        <v>7768</v>
      </c>
      <c r="G461" s="5">
        <v>7768</v>
      </c>
      <c r="H461" s="5">
        <v>2590</v>
      </c>
      <c r="I461" s="4" t="s">
        <v>535</v>
      </c>
      <c r="J461" s="4" t="s">
        <v>536</v>
      </c>
      <c r="K461" s="4" t="s">
        <v>257</v>
      </c>
      <c r="L461" s="4">
        <v>149500142</v>
      </c>
      <c r="M461" s="4">
        <v>149500142</v>
      </c>
      <c r="N461" s="4" t="s">
        <v>23</v>
      </c>
      <c r="O461" s="4" t="s">
        <v>24</v>
      </c>
      <c r="P461" s="4" t="s">
        <v>25</v>
      </c>
      <c r="Q461" s="4">
        <v>5</v>
      </c>
    </row>
    <row r="462" spans="1:17" ht="30">
      <c r="A462" s="3">
        <v>30996</v>
      </c>
      <c r="B462" s="4" t="s">
        <v>1197</v>
      </c>
      <c r="C462" s="4" t="str">
        <f ca="1">"NM_207172"&amp;IF(INFO("system")="mac",CHAR(13),CHAR(10))&amp;"NM_207173"</f>
        <v>NM_207172_x000D_NM_207173</v>
      </c>
      <c r="D462" s="4">
        <v>387129</v>
      </c>
      <c r="E462" s="4" t="s">
        <v>19</v>
      </c>
      <c r="F462" s="5">
        <v>767</v>
      </c>
      <c r="G462" s="5">
        <v>639</v>
      </c>
      <c r="H462" s="5">
        <v>213</v>
      </c>
      <c r="I462" s="4" t="s">
        <v>303</v>
      </c>
      <c r="J462" s="4" t="s">
        <v>304</v>
      </c>
      <c r="K462" s="4" t="s">
        <v>257</v>
      </c>
      <c r="L462" s="4">
        <v>34867173</v>
      </c>
      <c r="M462" s="4">
        <v>34867173</v>
      </c>
      <c r="N462" s="4" t="s">
        <v>23</v>
      </c>
      <c r="O462" s="4" t="s">
        <v>46</v>
      </c>
      <c r="P462" s="4" t="s">
        <v>24</v>
      </c>
      <c r="Q462" s="4">
        <v>4</v>
      </c>
    </row>
    <row r="463" spans="1:17" ht="45">
      <c r="A463" s="3">
        <v>30996</v>
      </c>
      <c r="B463" s="4" t="s">
        <v>1198</v>
      </c>
      <c r="C463" s="4" t="str">
        <f ca="1">"NM_001077664"&amp;IF(INFO("system")="mac",CHAR(13),CHAR(10))&amp;"NM_001077663"&amp;IF(INFO("system")="mac",CHAR(13),CHAR(10))&amp;"NM_017920"</f>
        <v>NM_001077664_x000D_NM_001077663_x000D_NM_017920</v>
      </c>
      <c r="D463" s="4">
        <v>55665</v>
      </c>
      <c r="E463" s="4" t="s">
        <v>19</v>
      </c>
      <c r="F463" s="5" t="str">
        <f ca="1">"1259"&amp;IF(INFO("system")="mac",CHAR(13),CHAR(10))&amp;"1064"&amp;IF(INFO("system")="mac",CHAR(13),CHAR(10))&amp;"1037"</f>
        <v>1259_x000D_1064_x000D_1037</v>
      </c>
      <c r="G463" s="5" t="str">
        <f ca="1">"878"&amp;IF(INFO("system")="mac",CHAR(13),CHAR(10))&amp;"1007"&amp;IF(INFO("system")="mac",CHAR(13),CHAR(10))&amp;"980"</f>
        <v>878_x000D_1007_x000D_980</v>
      </c>
      <c r="H463" s="5" t="str">
        <f ca="1">"293"&amp;IF(INFO("system")="mac",CHAR(13),CHAR(10))&amp;"336"&amp;IF(INFO("system")="mac",CHAR(13),CHAR(10))&amp;"327"</f>
        <v>293_x000D_336_x000D_327</v>
      </c>
      <c r="I463" s="4" t="s">
        <v>374</v>
      </c>
      <c r="J463" s="4" t="s">
        <v>375</v>
      </c>
      <c r="K463" s="4" t="s">
        <v>257</v>
      </c>
      <c r="L463" s="4">
        <v>43918055</v>
      </c>
      <c r="M463" s="4">
        <v>43918055</v>
      </c>
      <c r="N463" s="4" t="s">
        <v>23</v>
      </c>
      <c r="O463" s="4" t="s">
        <v>41</v>
      </c>
      <c r="P463" s="4" t="s">
        <v>25</v>
      </c>
      <c r="Q463" s="4">
        <v>-2</v>
      </c>
    </row>
    <row r="464" spans="1:17">
      <c r="A464" s="3">
        <v>30996</v>
      </c>
      <c r="B464" s="4" t="s">
        <v>1199</v>
      </c>
      <c r="C464" s="4" t="s">
        <v>1200</v>
      </c>
      <c r="D464" s="4">
        <v>60</v>
      </c>
      <c r="E464" s="4" t="s">
        <v>19</v>
      </c>
      <c r="F464" s="5">
        <v>307</v>
      </c>
      <c r="G464" s="5">
        <v>223</v>
      </c>
      <c r="H464" s="5">
        <v>75</v>
      </c>
      <c r="I464" s="4" t="s">
        <v>98</v>
      </c>
      <c r="J464" s="4" t="s">
        <v>673</v>
      </c>
      <c r="K464" s="4" t="s">
        <v>257</v>
      </c>
      <c r="L464" s="4">
        <v>5568932</v>
      </c>
      <c r="M464" s="4">
        <v>5568932</v>
      </c>
      <c r="N464" s="4" t="s">
        <v>23</v>
      </c>
      <c r="O464" s="4" t="s">
        <v>41</v>
      </c>
      <c r="P464" s="4" t="s">
        <v>46</v>
      </c>
      <c r="Q464" s="4">
        <v>4</v>
      </c>
    </row>
    <row r="465" spans="1:17">
      <c r="A465" s="3">
        <v>30996</v>
      </c>
      <c r="B465" s="4" t="s">
        <v>1201</v>
      </c>
      <c r="C465" s="4" t="s">
        <v>1202</v>
      </c>
      <c r="D465" s="4">
        <v>135892</v>
      </c>
      <c r="E465" s="4" t="s">
        <v>19</v>
      </c>
      <c r="F465" s="5">
        <v>1059</v>
      </c>
      <c r="G465" s="5">
        <v>858</v>
      </c>
      <c r="H465" s="5">
        <v>286</v>
      </c>
      <c r="I465" s="4" t="s">
        <v>199</v>
      </c>
      <c r="J465" s="4" t="s">
        <v>326</v>
      </c>
      <c r="K465" s="4" t="s">
        <v>257</v>
      </c>
      <c r="L465" s="4">
        <v>72730580</v>
      </c>
      <c r="M465" s="4">
        <v>72730580</v>
      </c>
      <c r="N465" s="4" t="s">
        <v>23</v>
      </c>
      <c r="O465" s="4" t="s">
        <v>24</v>
      </c>
      <c r="P465" s="4" t="s">
        <v>41</v>
      </c>
      <c r="Q465" s="4">
        <v>4</v>
      </c>
    </row>
    <row r="466" spans="1:17" ht="30">
      <c r="A466" s="3">
        <v>30996</v>
      </c>
      <c r="B466" s="4" t="s">
        <v>1203</v>
      </c>
      <c r="C466" s="4" t="str">
        <f ca="1">"NM_198901"&amp;IF(INFO("system")="mac",CHAR(13),CHAR(10))&amp;"NM_003130"</f>
        <v>NM_198901_x000D_NM_003130</v>
      </c>
      <c r="D466" s="4">
        <v>6717</v>
      </c>
      <c r="E466" s="4" t="s">
        <v>19</v>
      </c>
      <c r="F466" s="5" t="str">
        <f ca="1">"203"&amp;IF(INFO("system")="mac",CHAR(13),CHAR(10))&amp;"221"</f>
        <v>203_x000D_221</v>
      </c>
      <c r="G466" s="5" t="str">
        <f ca="1">"124"&amp;IF(INFO("system")="mac",CHAR(13),CHAR(10))&amp;"169"</f>
        <v>124_x000D_169</v>
      </c>
      <c r="H466" s="5" t="str">
        <f ca="1">"42"&amp;IF(INFO("system")="mac",CHAR(13),CHAR(10))&amp;"57"</f>
        <v>42_x000D_57</v>
      </c>
      <c r="I466" s="4" t="s">
        <v>448</v>
      </c>
      <c r="J466" s="4" t="s">
        <v>1168</v>
      </c>
      <c r="K466" s="4" t="s">
        <v>257</v>
      </c>
      <c r="L466" s="4">
        <v>87846473</v>
      </c>
      <c r="M466" s="4">
        <v>87846473</v>
      </c>
      <c r="N466" s="4" t="s">
        <v>23</v>
      </c>
      <c r="O466" s="4" t="s">
        <v>25</v>
      </c>
      <c r="P466" s="4" t="s">
        <v>24</v>
      </c>
      <c r="Q466" s="4">
        <v>4</v>
      </c>
    </row>
    <row r="467" spans="1:17">
      <c r="A467" s="3">
        <v>30996</v>
      </c>
      <c r="B467" s="4" t="s">
        <v>1204</v>
      </c>
      <c r="C467" s="4" t="s">
        <v>1205</v>
      </c>
      <c r="D467" s="4">
        <v>219578</v>
      </c>
      <c r="E467" s="4" t="s">
        <v>19</v>
      </c>
      <c r="F467" s="5">
        <v>3051</v>
      </c>
      <c r="G467" s="5">
        <v>2513</v>
      </c>
      <c r="H467" s="5">
        <v>838</v>
      </c>
      <c r="I467" s="4" t="s">
        <v>493</v>
      </c>
      <c r="J467" s="4" t="s">
        <v>494</v>
      </c>
      <c r="K467" s="4" t="s">
        <v>257</v>
      </c>
      <c r="L467" s="4">
        <v>88964809</v>
      </c>
      <c r="M467" s="4">
        <v>88964809</v>
      </c>
      <c r="N467" s="4" t="s">
        <v>23</v>
      </c>
      <c r="O467" s="4" t="s">
        <v>24</v>
      </c>
      <c r="P467" s="4" t="s">
        <v>25</v>
      </c>
      <c r="Q467" s="4">
        <v>-1</v>
      </c>
    </row>
    <row r="468" spans="1:17">
      <c r="A468" s="3">
        <v>30996</v>
      </c>
      <c r="B468" s="4" t="s">
        <v>1206</v>
      </c>
      <c r="C468" s="4" t="s">
        <v>1207</v>
      </c>
      <c r="D468" s="4">
        <v>6713</v>
      </c>
      <c r="E468" s="4" t="s">
        <v>19</v>
      </c>
      <c r="F468" s="5">
        <v>2574</v>
      </c>
      <c r="G468" s="5">
        <v>1648</v>
      </c>
      <c r="H468" s="5">
        <v>550</v>
      </c>
      <c r="I468" s="4" t="s">
        <v>1208</v>
      </c>
      <c r="J468" s="4" t="s">
        <v>1209</v>
      </c>
      <c r="K468" s="4" t="s">
        <v>279</v>
      </c>
      <c r="L468" s="4">
        <v>126034110</v>
      </c>
      <c r="M468" s="4">
        <v>126034110</v>
      </c>
      <c r="N468" s="4" t="s">
        <v>23</v>
      </c>
      <c r="O468" s="4" t="s">
        <v>25</v>
      </c>
      <c r="P468" s="4" t="s">
        <v>24</v>
      </c>
      <c r="Q468" s="4">
        <v>1</v>
      </c>
    </row>
    <row r="469" spans="1:17">
      <c r="A469" s="3">
        <v>30996</v>
      </c>
      <c r="B469" s="4" t="s">
        <v>1210</v>
      </c>
      <c r="C469" s="4" t="s">
        <v>1211</v>
      </c>
      <c r="D469" s="4">
        <v>1306</v>
      </c>
      <c r="E469" s="4" t="s">
        <v>19</v>
      </c>
      <c r="F469" s="5">
        <v>2673</v>
      </c>
      <c r="G469" s="5">
        <v>2467</v>
      </c>
      <c r="H469" s="5">
        <v>823</v>
      </c>
      <c r="I469" s="4" t="s">
        <v>27</v>
      </c>
      <c r="J469" s="4" t="s">
        <v>28</v>
      </c>
      <c r="K469" s="4" t="s">
        <v>292</v>
      </c>
      <c r="L469" s="4">
        <v>101801007</v>
      </c>
      <c r="M469" s="4">
        <v>101801007</v>
      </c>
      <c r="N469" s="4" t="s">
        <v>23</v>
      </c>
      <c r="O469" s="4" t="s">
        <v>24</v>
      </c>
      <c r="P469" s="4" t="s">
        <v>25</v>
      </c>
      <c r="Q469" s="4">
        <v>1</v>
      </c>
    </row>
    <row r="470" spans="1:17">
      <c r="A470" s="3">
        <v>30996</v>
      </c>
      <c r="B470" s="4" t="s">
        <v>1212</v>
      </c>
      <c r="C470" s="4" t="s">
        <v>1213</v>
      </c>
      <c r="D470" s="4">
        <v>58499</v>
      </c>
      <c r="E470" s="4" t="s">
        <v>19</v>
      </c>
      <c r="F470" s="5">
        <v>990</v>
      </c>
      <c r="G470" s="5">
        <v>701</v>
      </c>
      <c r="H470" s="5">
        <v>234</v>
      </c>
      <c r="I470" s="4" t="s">
        <v>456</v>
      </c>
      <c r="J470" s="4" t="s">
        <v>457</v>
      </c>
      <c r="K470" s="4" t="s">
        <v>292</v>
      </c>
      <c r="L470" s="4">
        <v>109686894</v>
      </c>
      <c r="M470" s="4">
        <v>109686894</v>
      </c>
      <c r="N470" s="4" t="s">
        <v>23</v>
      </c>
      <c r="O470" s="4" t="s">
        <v>25</v>
      </c>
      <c r="P470" s="4" t="s">
        <v>41</v>
      </c>
      <c r="Q470" s="4">
        <v>8</v>
      </c>
    </row>
    <row r="471" spans="1:17">
      <c r="A471" s="3">
        <v>30996</v>
      </c>
      <c r="B471" s="4" t="s">
        <v>1214</v>
      </c>
      <c r="C471" s="4" t="s">
        <v>1215</v>
      </c>
      <c r="D471" s="4">
        <v>6461</v>
      </c>
      <c r="E471" s="4" t="s">
        <v>19</v>
      </c>
      <c r="F471" s="5">
        <v>927</v>
      </c>
      <c r="G471" s="5">
        <v>359</v>
      </c>
      <c r="H471" s="5">
        <v>120</v>
      </c>
      <c r="I471" s="4" t="s">
        <v>1114</v>
      </c>
      <c r="J471" s="4" t="s">
        <v>1115</v>
      </c>
      <c r="K471" s="4" t="s">
        <v>292</v>
      </c>
      <c r="L471" s="4">
        <v>38068284</v>
      </c>
      <c r="M471" s="4">
        <v>38068284</v>
      </c>
      <c r="N471" s="4" t="s">
        <v>23</v>
      </c>
      <c r="O471" s="4" t="s">
        <v>41</v>
      </c>
      <c r="P471" s="4" t="s">
        <v>25</v>
      </c>
      <c r="Q471" s="4">
        <v>-5</v>
      </c>
    </row>
    <row r="472" spans="1:17" ht="30">
      <c r="A472" s="3">
        <v>30996</v>
      </c>
      <c r="B472" s="4" t="s">
        <v>1216</v>
      </c>
      <c r="C472" s="4" t="str">
        <f ca="1">"NM_018360"&amp;IF(INFO("system")="mac",CHAR(13),CHAR(10))&amp;"NM_001168683"</f>
        <v>NM_018360_x000D_NM_001168683</v>
      </c>
      <c r="D472" s="4">
        <v>55787</v>
      </c>
      <c r="E472" s="4" t="s">
        <v>1217</v>
      </c>
      <c r="F472" s="5" t="str">
        <f ca="1">"1113"&amp;IF(INFO("system")="mac",CHAR(13),CHAR(10))&amp;"717"</f>
        <v>1113_x000D_717</v>
      </c>
      <c r="G472" s="5" t="str">
        <f ca="1">"1057"&amp;IF(INFO("system")="mac",CHAR(13),CHAR(10))&amp;"661"</f>
        <v>1057_x000D_661</v>
      </c>
      <c r="H472" s="5" t="str">
        <f ca="1">"353"&amp;IF(INFO("system")="mac",CHAR(13),CHAR(10))&amp;"221"</f>
        <v>353_x000D_221</v>
      </c>
      <c r="I472" s="4" t="s">
        <v>370</v>
      </c>
      <c r="J472" s="4" t="s">
        <v>371</v>
      </c>
      <c r="K472" s="4" t="s">
        <v>418</v>
      </c>
      <c r="L472" s="4">
        <v>16852478</v>
      </c>
      <c r="M472" s="4">
        <v>16852478</v>
      </c>
      <c r="N472" s="4" t="s">
        <v>23</v>
      </c>
      <c r="O472" s="4" t="s">
        <v>46</v>
      </c>
      <c r="P472" s="4" t="s">
        <v>41</v>
      </c>
      <c r="Q472" s="4">
        <v>21</v>
      </c>
    </row>
    <row r="473" spans="1:17">
      <c r="A473" s="3">
        <v>30996</v>
      </c>
      <c r="B473" s="4" t="s">
        <v>1218</v>
      </c>
      <c r="C473" s="4" t="s">
        <v>1219</v>
      </c>
      <c r="D473" s="4">
        <v>100130302</v>
      </c>
      <c r="E473" s="4" t="s">
        <v>19</v>
      </c>
      <c r="F473" s="5">
        <v>2191</v>
      </c>
      <c r="G473" s="5">
        <v>2191</v>
      </c>
      <c r="H473" s="5">
        <v>731</v>
      </c>
      <c r="I473" s="4" t="s">
        <v>1067</v>
      </c>
      <c r="J473" s="4" t="s">
        <v>1068</v>
      </c>
      <c r="K473" s="4" t="s">
        <v>418</v>
      </c>
      <c r="L473" s="4">
        <v>24383068</v>
      </c>
      <c r="M473" s="4">
        <v>24383068</v>
      </c>
      <c r="N473" s="4" t="s">
        <v>23</v>
      </c>
      <c r="O473" s="4" t="s">
        <v>24</v>
      </c>
      <c r="P473" s="4" t="s">
        <v>41</v>
      </c>
      <c r="Q473" s="4">
        <v>20</v>
      </c>
    </row>
    <row r="474" spans="1:17">
      <c r="A474" s="3">
        <v>30996</v>
      </c>
      <c r="B474" s="4" t="s">
        <v>1220</v>
      </c>
      <c r="C474" s="4" t="s">
        <v>1221</v>
      </c>
      <c r="D474" s="4">
        <v>286464</v>
      </c>
      <c r="E474" s="4" t="s">
        <v>1222</v>
      </c>
      <c r="F474" s="5" t="s">
        <v>35</v>
      </c>
      <c r="G474" s="5" t="s">
        <v>35</v>
      </c>
      <c r="H474" s="5" t="s">
        <v>35</v>
      </c>
      <c r="I474" s="4" t="s">
        <v>35</v>
      </c>
      <c r="J474" s="4" t="s">
        <v>35</v>
      </c>
      <c r="K474" s="4" t="s">
        <v>418</v>
      </c>
      <c r="L474" s="4">
        <v>36116907</v>
      </c>
      <c r="M474" s="4">
        <v>36116909</v>
      </c>
      <c r="N474" s="4" t="s">
        <v>149</v>
      </c>
      <c r="O474" s="4" t="s">
        <v>1223</v>
      </c>
      <c r="P474" s="4" t="s">
        <v>1224</v>
      </c>
      <c r="Q474" s="4">
        <v>-2</v>
      </c>
    </row>
    <row r="475" spans="1:17">
      <c r="A475" s="3">
        <v>30997</v>
      </c>
      <c r="B475" s="4" t="s">
        <v>1225</v>
      </c>
      <c r="C475" s="4" t="s">
        <v>1226</v>
      </c>
      <c r="D475" s="4">
        <v>128153</v>
      </c>
      <c r="E475" s="4" t="s">
        <v>76</v>
      </c>
      <c r="F475" s="5">
        <v>327</v>
      </c>
      <c r="G475" s="5">
        <v>301</v>
      </c>
      <c r="H475" s="5">
        <v>101</v>
      </c>
      <c r="I475" s="4" t="s">
        <v>102</v>
      </c>
      <c r="J475" s="4" t="s">
        <v>103</v>
      </c>
      <c r="K475" s="4" t="s">
        <v>22</v>
      </c>
      <c r="L475" s="4">
        <v>217856609</v>
      </c>
      <c r="M475" s="4">
        <v>217856609</v>
      </c>
      <c r="N475" s="4" t="s">
        <v>23</v>
      </c>
      <c r="O475" s="4" t="s">
        <v>46</v>
      </c>
      <c r="P475" s="4" t="s">
        <v>41</v>
      </c>
      <c r="Q475" s="4">
        <v>4</v>
      </c>
    </row>
    <row r="476" spans="1:17">
      <c r="A476" s="3">
        <v>30997</v>
      </c>
      <c r="B476" s="4" t="s">
        <v>1227</v>
      </c>
      <c r="C476" s="4" t="s">
        <v>1228</v>
      </c>
      <c r="D476" s="4">
        <v>9148</v>
      </c>
      <c r="E476" s="4" t="s">
        <v>19</v>
      </c>
      <c r="F476" s="5">
        <v>1767</v>
      </c>
      <c r="G476" s="5">
        <v>1357</v>
      </c>
      <c r="H476" s="5">
        <v>453</v>
      </c>
      <c r="I476" s="4" t="s">
        <v>563</v>
      </c>
      <c r="J476" s="4" t="s">
        <v>588</v>
      </c>
      <c r="K476" s="4" t="s">
        <v>69</v>
      </c>
      <c r="L476" s="4">
        <v>105349288</v>
      </c>
      <c r="M476" s="4">
        <v>105349288</v>
      </c>
      <c r="N476" s="4" t="s">
        <v>23</v>
      </c>
      <c r="O476" s="4" t="s">
        <v>24</v>
      </c>
      <c r="P476" s="4" t="s">
        <v>46</v>
      </c>
      <c r="Q476" s="4">
        <v>3</v>
      </c>
    </row>
    <row r="477" spans="1:17">
      <c r="A477" s="3">
        <v>30997</v>
      </c>
      <c r="B477" s="4" t="s">
        <v>1229</v>
      </c>
      <c r="C477" s="4" t="s">
        <v>1230</v>
      </c>
      <c r="D477" s="4">
        <v>118987</v>
      </c>
      <c r="E477" s="4" t="s">
        <v>19</v>
      </c>
      <c r="F477" s="5">
        <v>3454</v>
      </c>
      <c r="G477" s="5">
        <v>3255</v>
      </c>
      <c r="H477" s="5">
        <v>1085</v>
      </c>
      <c r="I477" s="4" t="s">
        <v>250</v>
      </c>
      <c r="J477" s="4" t="s">
        <v>1231</v>
      </c>
      <c r="K477" s="4" t="s">
        <v>69</v>
      </c>
      <c r="L477" s="4">
        <v>119042989</v>
      </c>
      <c r="M477" s="4">
        <v>119042989</v>
      </c>
      <c r="N477" s="4" t="s">
        <v>23</v>
      </c>
      <c r="O477" s="4" t="s">
        <v>41</v>
      </c>
      <c r="P477" s="4" t="s">
        <v>25</v>
      </c>
      <c r="Q477" s="4">
        <v>6</v>
      </c>
    </row>
    <row r="478" spans="1:17">
      <c r="A478" s="3">
        <v>30997</v>
      </c>
      <c r="B478" s="4" t="s">
        <v>1232</v>
      </c>
      <c r="C478" s="4" t="s">
        <v>1233</v>
      </c>
      <c r="D478" s="4">
        <v>119678</v>
      </c>
      <c r="E478" s="4" t="s">
        <v>19</v>
      </c>
      <c r="F478" s="5">
        <v>629</v>
      </c>
      <c r="G478" s="5">
        <v>629</v>
      </c>
      <c r="H478" s="5">
        <v>210</v>
      </c>
      <c r="I478" s="4" t="s">
        <v>1234</v>
      </c>
      <c r="J478" s="4" t="s">
        <v>1235</v>
      </c>
      <c r="K478" s="4" t="s">
        <v>83</v>
      </c>
      <c r="L478" s="4">
        <v>5080229</v>
      </c>
      <c r="M478" s="4">
        <v>5080229</v>
      </c>
      <c r="N478" s="4" t="s">
        <v>23</v>
      </c>
      <c r="O478" s="4" t="s">
        <v>25</v>
      </c>
      <c r="P478" s="4" t="s">
        <v>24</v>
      </c>
      <c r="Q478" s="4">
        <v>7</v>
      </c>
    </row>
    <row r="479" spans="1:17">
      <c r="A479" s="3">
        <v>30997</v>
      </c>
      <c r="B479" s="4" t="s">
        <v>1236</v>
      </c>
      <c r="C479" s="4" t="s">
        <v>1237</v>
      </c>
      <c r="D479" s="4">
        <v>390162</v>
      </c>
      <c r="E479" s="4" t="s">
        <v>19</v>
      </c>
      <c r="F479" s="5">
        <v>152</v>
      </c>
      <c r="G479" s="5">
        <v>152</v>
      </c>
      <c r="H479" s="5">
        <v>51</v>
      </c>
      <c r="I479" s="4" t="s">
        <v>332</v>
      </c>
      <c r="J479" s="4" t="s">
        <v>1140</v>
      </c>
      <c r="K479" s="4" t="s">
        <v>83</v>
      </c>
      <c r="L479" s="4">
        <v>56230726</v>
      </c>
      <c r="M479" s="4">
        <v>56230726</v>
      </c>
      <c r="N479" s="4" t="s">
        <v>23</v>
      </c>
      <c r="O479" s="4" t="s">
        <v>24</v>
      </c>
      <c r="P479" s="4" t="s">
        <v>25</v>
      </c>
      <c r="Q479" s="4">
        <v>5</v>
      </c>
    </row>
    <row r="480" spans="1:17">
      <c r="A480" s="3">
        <v>30997</v>
      </c>
      <c r="B480" s="4" t="s">
        <v>1238</v>
      </c>
      <c r="C480" s="4" t="s">
        <v>1239</v>
      </c>
      <c r="D480" s="4">
        <v>6564</v>
      </c>
      <c r="E480" s="4" t="s">
        <v>19</v>
      </c>
      <c r="F480" s="5">
        <v>852</v>
      </c>
      <c r="G480" s="5">
        <v>775</v>
      </c>
      <c r="H480" s="5">
        <v>259</v>
      </c>
      <c r="I480" s="4" t="s">
        <v>563</v>
      </c>
      <c r="J480" s="4" t="s">
        <v>588</v>
      </c>
      <c r="K480" s="4" t="s">
        <v>339</v>
      </c>
      <c r="L480" s="4">
        <v>99364787</v>
      </c>
      <c r="M480" s="4">
        <v>99364787</v>
      </c>
      <c r="N480" s="4" t="s">
        <v>23</v>
      </c>
      <c r="O480" s="4" t="s">
        <v>46</v>
      </c>
      <c r="P480" s="4" t="s">
        <v>24</v>
      </c>
      <c r="Q480" s="4">
        <v>6</v>
      </c>
    </row>
    <row r="481" spans="1:17">
      <c r="A481" s="3">
        <v>30997</v>
      </c>
      <c r="B481" s="4" t="s">
        <v>691</v>
      </c>
      <c r="C481" s="4" t="s">
        <v>692</v>
      </c>
      <c r="D481" s="4">
        <v>113146</v>
      </c>
      <c r="E481" s="4" t="s">
        <v>19</v>
      </c>
      <c r="F481" s="5">
        <v>10185</v>
      </c>
      <c r="G481" s="5">
        <v>10065</v>
      </c>
      <c r="H481" s="5">
        <v>3355</v>
      </c>
      <c r="I481" s="4" t="s">
        <v>246</v>
      </c>
      <c r="J481" s="4" t="s">
        <v>247</v>
      </c>
      <c r="K481" s="4" t="s">
        <v>118</v>
      </c>
      <c r="L481" s="4">
        <v>105411723</v>
      </c>
      <c r="M481" s="4">
        <v>105411723</v>
      </c>
      <c r="N481" s="4" t="s">
        <v>23</v>
      </c>
      <c r="O481" s="4" t="s">
        <v>24</v>
      </c>
      <c r="P481" s="4" t="s">
        <v>41</v>
      </c>
      <c r="Q481" s="4">
        <v>-1</v>
      </c>
    </row>
    <row r="482" spans="1:17">
      <c r="A482" s="3">
        <v>30997</v>
      </c>
      <c r="B482" s="4" t="s">
        <v>1240</v>
      </c>
      <c r="C482" s="4" t="s">
        <v>1241</v>
      </c>
      <c r="D482" s="4">
        <v>85446</v>
      </c>
      <c r="E482" s="4" t="s">
        <v>19</v>
      </c>
      <c r="F482" s="5">
        <v>7959</v>
      </c>
      <c r="G482" s="5">
        <v>7603</v>
      </c>
      <c r="H482" s="5">
        <v>2535</v>
      </c>
      <c r="I482" s="4" t="s">
        <v>684</v>
      </c>
      <c r="J482" s="4" t="s">
        <v>1242</v>
      </c>
      <c r="K482" s="4" t="s">
        <v>118</v>
      </c>
      <c r="L482" s="4">
        <v>23991287</v>
      </c>
      <c r="M482" s="4">
        <v>23991287</v>
      </c>
      <c r="N482" s="4" t="s">
        <v>23</v>
      </c>
      <c r="O482" s="4" t="s">
        <v>41</v>
      </c>
      <c r="P482" s="4" t="s">
        <v>25</v>
      </c>
      <c r="Q482" s="4">
        <v>12</v>
      </c>
    </row>
    <row r="483" spans="1:17" ht="30">
      <c r="A483" s="3">
        <v>30997</v>
      </c>
      <c r="B483" s="4" t="s">
        <v>566</v>
      </c>
      <c r="C483" s="4" t="str">
        <f ca="1">"NM_003502"&amp;IF(INFO("system")="mac",CHAR(13),CHAR(10))&amp;"NM_181050"</f>
        <v>NM_003502_x000D_NM_181050</v>
      </c>
      <c r="D483" s="4">
        <v>8312</v>
      </c>
      <c r="E483" s="4" t="s">
        <v>76</v>
      </c>
      <c r="F483" s="5">
        <v>1182</v>
      </c>
      <c r="G483" s="5">
        <v>793</v>
      </c>
      <c r="H483" s="5">
        <v>265</v>
      </c>
      <c r="I483" s="4" t="s">
        <v>1243</v>
      </c>
      <c r="J483" s="4" t="s">
        <v>1244</v>
      </c>
      <c r="K483" s="4" t="s">
        <v>129</v>
      </c>
      <c r="L483" s="4">
        <v>396233</v>
      </c>
      <c r="M483" s="4">
        <v>396233</v>
      </c>
      <c r="N483" s="4" t="s">
        <v>23</v>
      </c>
      <c r="O483" s="4" t="s">
        <v>46</v>
      </c>
      <c r="P483" s="4" t="s">
        <v>25</v>
      </c>
      <c r="Q483" s="4">
        <v>-4</v>
      </c>
    </row>
    <row r="484" spans="1:17">
      <c r="A484" s="3">
        <v>30997</v>
      </c>
      <c r="B484" s="4" t="s">
        <v>709</v>
      </c>
      <c r="C484" s="4" t="s">
        <v>1245</v>
      </c>
      <c r="D484" s="4">
        <v>4620</v>
      </c>
      <c r="E484" s="4" t="s">
        <v>68</v>
      </c>
      <c r="F484" s="5" t="s">
        <v>35</v>
      </c>
      <c r="G484" s="5" t="s">
        <v>35</v>
      </c>
      <c r="H484" s="5" t="s">
        <v>35</v>
      </c>
      <c r="I484" s="4" t="s">
        <v>35</v>
      </c>
      <c r="J484" s="4" t="s">
        <v>35</v>
      </c>
      <c r="K484" s="4" t="s">
        <v>133</v>
      </c>
      <c r="L484" s="4">
        <v>10452874</v>
      </c>
      <c r="M484" s="4">
        <v>10452874</v>
      </c>
      <c r="N484" s="4" t="s">
        <v>23</v>
      </c>
      <c r="O484" s="4" t="s">
        <v>25</v>
      </c>
      <c r="P484" s="4" t="s">
        <v>41</v>
      </c>
      <c r="Q484" s="4">
        <v>0</v>
      </c>
    </row>
    <row r="485" spans="1:17">
      <c r="A485" s="3">
        <v>30997</v>
      </c>
      <c r="B485" s="4" t="s">
        <v>1246</v>
      </c>
      <c r="C485" s="4" t="s">
        <v>1247</v>
      </c>
      <c r="D485" s="4">
        <v>1770</v>
      </c>
      <c r="E485" s="4" t="s">
        <v>19</v>
      </c>
      <c r="F485" s="5">
        <v>10836</v>
      </c>
      <c r="G485" s="5">
        <v>10768</v>
      </c>
      <c r="H485" s="5">
        <v>3590</v>
      </c>
      <c r="I485" s="4" t="s">
        <v>157</v>
      </c>
      <c r="J485" s="4" t="s">
        <v>1248</v>
      </c>
      <c r="K485" s="4" t="s">
        <v>133</v>
      </c>
      <c r="L485" s="4">
        <v>11784692</v>
      </c>
      <c r="M485" s="4">
        <v>11784692</v>
      </c>
      <c r="N485" s="4" t="s">
        <v>23</v>
      </c>
      <c r="O485" s="4" t="s">
        <v>24</v>
      </c>
      <c r="P485" s="4" t="s">
        <v>41</v>
      </c>
      <c r="Q485" s="4">
        <v>13</v>
      </c>
    </row>
    <row r="486" spans="1:17">
      <c r="A486" s="3">
        <v>30997</v>
      </c>
      <c r="B486" s="4" t="s">
        <v>1249</v>
      </c>
      <c r="C486" s="4" t="s">
        <v>1250</v>
      </c>
      <c r="D486" s="4">
        <v>80000</v>
      </c>
      <c r="E486" s="4" t="s">
        <v>232</v>
      </c>
      <c r="F486" s="5" t="s">
        <v>35</v>
      </c>
      <c r="G486" s="5" t="s">
        <v>35</v>
      </c>
      <c r="H486" s="5" t="s">
        <v>35</v>
      </c>
      <c r="I486" s="4" t="s">
        <v>35</v>
      </c>
      <c r="J486" s="4" t="s">
        <v>35</v>
      </c>
      <c r="K486" s="4" t="s">
        <v>135</v>
      </c>
      <c r="L486" s="4">
        <v>18963465</v>
      </c>
      <c r="M486" s="4">
        <v>18963465</v>
      </c>
      <c r="N486" s="4" t="s">
        <v>23</v>
      </c>
      <c r="O486" s="4" t="s">
        <v>24</v>
      </c>
      <c r="P486" s="4" t="s">
        <v>46</v>
      </c>
      <c r="Q486" s="4">
        <v>5</v>
      </c>
    </row>
    <row r="487" spans="1:17">
      <c r="A487" s="3">
        <v>30997</v>
      </c>
      <c r="B487" s="4" t="s">
        <v>1251</v>
      </c>
      <c r="C487" s="4" t="s">
        <v>1252</v>
      </c>
      <c r="D487" s="4">
        <v>79935</v>
      </c>
      <c r="E487" s="4" t="s">
        <v>19</v>
      </c>
      <c r="F487" s="5">
        <v>502</v>
      </c>
      <c r="G487" s="5">
        <v>453</v>
      </c>
      <c r="H487" s="5">
        <v>151</v>
      </c>
      <c r="I487" s="4" t="s">
        <v>250</v>
      </c>
      <c r="J487" s="4" t="s">
        <v>251</v>
      </c>
      <c r="K487" s="4" t="s">
        <v>139</v>
      </c>
      <c r="L487" s="4">
        <v>40730455</v>
      </c>
      <c r="M487" s="4">
        <v>40730455</v>
      </c>
      <c r="N487" s="4" t="s">
        <v>23</v>
      </c>
      <c r="O487" s="4" t="s">
        <v>46</v>
      </c>
      <c r="P487" s="4" t="s">
        <v>25</v>
      </c>
      <c r="Q487" s="4">
        <v>7</v>
      </c>
    </row>
    <row r="488" spans="1:17" ht="45">
      <c r="A488" s="3">
        <v>30997</v>
      </c>
      <c r="B488" s="4" t="s">
        <v>1253</v>
      </c>
      <c r="C488" s="4" t="str">
        <f ca="1">"NM_002698"&amp;IF(INFO("system")="mac",CHAR(13),CHAR(10))&amp;"NM_001207025"&amp;IF(INFO("system")="mac",CHAR(13),CHAR(10))&amp;"NM_001207026"</f>
        <v>NM_002698_x000D_NM_001207025_x000D_NM_001207026</v>
      </c>
      <c r="D488" s="4">
        <v>5452</v>
      </c>
      <c r="E488" s="4" t="s">
        <v>19</v>
      </c>
      <c r="F488" s="5" t="str">
        <f ca="1">"1254"&amp;IF(INFO("system")="mac",CHAR(13),CHAR(10))&amp;"1302"&amp;IF(INFO("system")="mac",CHAR(13),CHAR(10))&amp;"1302"</f>
        <v>1254_x000D_1302_x000D_1302</v>
      </c>
      <c r="G488" s="5" t="str">
        <f ca="1">"1192"&amp;IF(INFO("system")="mac",CHAR(13),CHAR(10))&amp;"1240"&amp;IF(INFO("system")="mac",CHAR(13),CHAR(10))&amp;"1240"</f>
        <v>1192_x000D_1240_x000D_1240</v>
      </c>
      <c r="H488" s="5" t="str">
        <f ca="1">"398"&amp;IF(INFO("system")="mac",CHAR(13),CHAR(10))&amp;"414"&amp;IF(INFO("system")="mac",CHAR(13),CHAR(10))&amp;"414"</f>
        <v>398_x000D_414_x000D_414</v>
      </c>
      <c r="I488" s="4" t="s">
        <v>91</v>
      </c>
      <c r="J488" s="4" t="s">
        <v>92</v>
      </c>
      <c r="K488" s="4" t="s">
        <v>139</v>
      </c>
      <c r="L488" s="4">
        <v>42596381</v>
      </c>
      <c r="M488" s="4">
        <v>42596381</v>
      </c>
      <c r="N488" s="4" t="s">
        <v>23</v>
      </c>
      <c r="O488" s="4" t="s">
        <v>24</v>
      </c>
      <c r="P488" s="4" t="s">
        <v>25</v>
      </c>
      <c r="Q488" s="4">
        <v>2</v>
      </c>
    </row>
    <row r="489" spans="1:17">
      <c r="A489" s="3">
        <v>30997</v>
      </c>
      <c r="B489" s="4" t="s">
        <v>1254</v>
      </c>
      <c r="C489" s="4" t="s">
        <v>1255</v>
      </c>
      <c r="D489" s="4">
        <v>5819</v>
      </c>
      <c r="E489" s="4" t="s">
        <v>19</v>
      </c>
      <c r="F489" s="5">
        <v>1478</v>
      </c>
      <c r="G489" s="5">
        <v>1088</v>
      </c>
      <c r="H489" s="5">
        <v>363</v>
      </c>
      <c r="I489" s="4" t="s">
        <v>269</v>
      </c>
      <c r="J489" s="4" t="s">
        <v>270</v>
      </c>
      <c r="K489" s="4" t="s">
        <v>139</v>
      </c>
      <c r="L489" s="4">
        <v>45381525</v>
      </c>
      <c r="M489" s="4">
        <v>45381525</v>
      </c>
      <c r="N489" s="4" t="s">
        <v>23</v>
      </c>
      <c r="O489" s="4" t="s">
        <v>24</v>
      </c>
      <c r="P489" s="4" t="s">
        <v>41</v>
      </c>
      <c r="Q489" s="4">
        <v>-4</v>
      </c>
    </row>
    <row r="490" spans="1:17">
      <c r="A490" s="3">
        <v>30997</v>
      </c>
      <c r="B490" s="4" t="s">
        <v>173</v>
      </c>
      <c r="C490" s="4" t="s">
        <v>174</v>
      </c>
      <c r="D490" s="4">
        <v>338</v>
      </c>
      <c r="E490" s="4" t="s">
        <v>31</v>
      </c>
      <c r="F490" s="5" t="s">
        <v>1256</v>
      </c>
      <c r="G490" s="5" t="s">
        <v>1257</v>
      </c>
      <c r="H490" s="5" t="s">
        <v>1258</v>
      </c>
      <c r="I490" s="4" t="s">
        <v>35</v>
      </c>
      <c r="J490" s="4" t="s">
        <v>35</v>
      </c>
      <c r="K490" s="4" t="s">
        <v>172</v>
      </c>
      <c r="L490" s="4">
        <v>21230195</v>
      </c>
      <c r="M490" s="4">
        <v>21230198</v>
      </c>
      <c r="N490" s="4" t="s">
        <v>36</v>
      </c>
      <c r="O490" s="4" t="s">
        <v>1259</v>
      </c>
      <c r="P490" s="4"/>
      <c r="Q490" s="4">
        <v>-3</v>
      </c>
    </row>
    <row r="491" spans="1:17">
      <c r="A491" s="3">
        <v>30997</v>
      </c>
      <c r="B491" s="4" t="s">
        <v>1260</v>
      </c>
      <c r="C491" s="4" t="s">
        <v>1261</v>
      </c>
      <c r="D491" s="4">
        <v>54910</v>
      </c>
      <c r="E491" s="4" t="s">
        <v>751</v>
      </c>
      <c r="F491" s="5">
        <v>793</v>
      </c>
      <c r="G491" s="5">
        <v>633</v>
      </c>
      <c r="H491" s="5">
        <v>211</v>
      </c>
      <c r="I491" s="4" t="s">
        <v>1262</v>
      </c>
      <c r="J491" s="4" t="s">
        <v>1263</v>
      </c>
      <c r="K491" s="4" t="s">
        <v>172</v>
      </c>
      <c r="L491" s="4">
        <v>97530942</v>
      </c>
      <c r="M491" s="4">
        <v>97530942</v>
      </c>
      <c r="N491" s="4" t="s">
        <v>23</v>
      </c>
      <c r="O491" s="4" t="s">
        <v>24</v>
      </c>
      <c r="P491" s="4" t="s">
        <v>25</v>
      </c>
      <c r="Q491" s="4">
        <v>8</v>
      </c>
    </row>
    <row r="492" spans="1:17">
      <c r="A492" s="3">
        <v>30997</v>
      </c>
      <c r="B492" s="4" t="s">
        <v>1264</v>
      </c>
      <c r="C492" s="4" t="s">
        <v>1265</v>
      </c>
      <c r="D492" s="4">
        <v>11078</v>
      </c>
      <c r="E492" s="4" t="s">
        <v>1167</v>
      </c>
      <c r="F492" s="5">
        <v>531</v>
      </c>
      <c r="G492" s="5">
        <v>260</v>
      </c>
      <c r="H492" s="5">
        <v>87</v>
      </c>
      <c r="I492" s="4" t="s">
        <v>332</v>
      </c>
      <c r="J492" s="4" t="s">
        <v>522</v>
      </c>
      <c r="K492" s="4" t="s">
        <v>197</v>
      </c>
      <c r="L492" s="4">
        <v>38109222</v>
      </c>
      <c r="M492" s="4">
        <v>38109222</v>
      </c>
      <c r="N492" s="4" t="s">
        <v>23</v>
      </c>
      <c r="O492" s="4" t="s">
        <v>46</v>
      </c>
      <c r="P492" s="4" t="s">
        <v>41</v>
      </c>
      <c r="Q492" s="4">
        <v>-1</v>
      </c>
    </row>
    <row r="493" spans="1:17">
      <c r="A493" s="3">
        <v>30997</v>
      </c>
      <c r="B493" s="4" t="s">
        <v>1266</v>
      </c>
      <c r="C493" s="4" t="s">
        <v>1267</v>
      </c>
      <c r="D493" s="4">
        <v>27255</v>
      </c>
      <c r="E493" s="4" t="s">
        <v>19</v>
      </c>
      <c r="F493" s="5">
        <v>1039</v>
      </c>
      <c r="G493" s="5">
        <v>772</v>
      </c>
      <c r="H493" s="5">
        <v>258</v>
      </c>
      <c r="I493" s="4" t="s">
        <v>462</v>
      </c>
      <c r="J493" s="4" t="s">
        <v>883</v>
      </c>
      <c r="K493" s="4" t="s">
        <v>201</v>
      </c>
      <c r="L493" s="4">
        <v>1363344</v>
      </c>
      <c r="M493" s="4">
        <v>1363344</v>
      </c>
      <c r="N493" s="4" t="s">
        <v>23</v>
      </c>
      <c r="O493" s="4" t="s">
        <v>24</v>
      </c>
      <c r="P493" s="4" t="s">
        <v>41</v>
      </c>
      <c r="Q493" s="4">
        <v>9</v>
      </c>
    </row>
    <row r="494" spans="1:17">
      <c r="A494" s="3">
        <v>30997</v>
      </c>
      <c r="B494" s="4" t="s">
        <v>1268</v>
      </c>
      <c r="C494" s="4" t="s">
        <v>1269</v>
      </c>
      <c r="D494" s="4">
        <v>1795</v>
      </c>
      <c r="E494" s="4" t="s">
        <v>19</v>
      </c>
      <c r="F494" s="5">
        <v>4453</v>
      </c>
      <c r="G494" s="5">
        <v>4430</v>
      </c>
      <c r="H494" s="5">
        <v>1477</v>
      </c>
      <c r="I494" s="4" t="s">
        <v>1270</v>
      </c>
      <c r="J494" s="4" t="s">
        <v>1271</v>
      </c>
      <c r="K494" s="4" t="s">
        <v>201</v>
      </c>
      <c r="L494" s="4">
        <v>51393851</v>
      </c>
      <c r="M494" s="4">
        <v>51393851</v>
      </c>
      <c r="N494" s="4" t="s">
        <v>23</v>
      </c>
      <c r="O494" s="4" t="s">
        <v>25</v>
      </c>
      <c r="P494" s="4" t="s">
        <v>46</v>
      </c>
      <c r="Q494" s="4">
        <v>4</v>
      </c>
    </row>
    <row r="495" spans="1:17">
      <c r="A495" s="3">
        <v>30997</v>
      </c>
      <c r="B495" s="4" t="s">
        <v>1272</v>
      </c>
      <c r="C495" s="4" t="s">
        <v>1273</v>
      </c>
      <c r="D495" s="4">
        <v>54848</v>
      </c>
      <c r="E495" s="4" t="s">
        <v>68</v>
      </c>
      <c r="F495" s="5" t="s">
        <v>35</v>
      </c>
      <c r="G495" s="5" t="s">
        <v>35</v>
      </c>
      <c r="H495" s="5" t="s">
        <v>35</v>
      </c>
      <c r="I495" s="4" t="s">
        <v>35</v>
      </c>
      <c r="J495" s="4" t="s">
        <v>35</v>
      </c>
      <c r="K495" s="4" t="s">
        <v>220</v>
      </c>
      <c r="L495" s="4">
        <v>106588861</v>
      </c>
      <c r="M495" s="4">
        <v>106588861</v>
      </c>
      <c r="N495" s="4" t="s">
        <v>23</v>
      </c>
      <c r="O495" s="4" t="s">
        <v>24</v>
      </c>
      <c r="P495" s="4" t="s">
        <v>46</v>
      </c>
      <c r="Q495" s="4">
        <v>6</v>
      </c>
    </row>
    <row r="496" spans="1:17" ht="45">
      <c r="A496" s="3">
        <v>30997</v>
      </c>
      <c r="B496" s="4" t="s">
        <v>1274</v>
      </c>
      <c r="C496" s="4" t="str">
        <f ca="1">"NM_172349"&amp;IF(INFO("system")="mac",CHAR(13),CHAR(10))&amp;"NM_022455"</f>
        <v>NM_172349_x000D_NM_022455</v>
      </c>
      <c r="D496" s="4">
        <v>64324</v>
      </c>
      <c r="E496" s="4" t="s">
        <v>19</v>
      </c>
      <c r="F496" s="5" t="str">
        <f ca="1">"6017-6018"&amp;IF(INFO("system")="mac",CHAR(13),CHAR(10))&amp;"6802-6803"</f>
        <v>6017-6018_x000D_6802-6803</v>
      </c>
      <c r="G496" s="5" t="str">
        <f ca="1">"5857-5858"&amp;IF(INFO("system")="mac",CHAR(13),CHAR(10))&amp;"6664-6665"</f>
        <v>5857-5858_x000D_6664-6665</v>
      </c>
      <c r="H496" s="5" t="str">
        <f ca="1">"1953"&amp;IF(INFO("system")="mac",CHAR(13),CHAR(10))&amp;"2222"</f>
        <v>1953_x000D_2222</v>
      </c>
      <c r="I496" s="4" t="s">
        <v>1275</v>
      </c>
      <c r="J496" s="4" t="s">
        <v>1276</v>
      </c>
      <c r="K496" s="4" t="s">
        <v>226</v>
      </c>
      <c r="L496" s="4">
        <v>176721034</v>
      </c>
      <c r="M496" s="4">
        <v>176721033</v>
      </c>
      <c r="N496" s="4" t="s">
        <v>110</v>
      </c>
      <c r="O496" s="4"/>
      <c r="P496" s="4" t="s">
        <v>1277</v>
      </c>
      <c r="Q496" s="4">
        <v>6</v>
      </c>
    </row>
    <row r="497" spans="1:17" ht="30">
      <c r="A497" s="3">
        <v>30997</v>
      </c>
      <c r="B497" s="4" t="s">
        <v>1278</v>
      </c>
      <c r="C497" s="4" t="str">
        <f ca="1">"NM_006350"&amp;IF(INFO("system")="mac",CHAR(13),CHAR(10))&amp;"NM_013409"</f>
        <v>NM_006350_x000D_NM_013409</v>
      </c>
      <c r="D497" s="4">
        <v>10468</v>
      </c>
      <c r="E497" s="4" t="s">
        <v>19</v>
      </c>
      <c r="F497" s="5">
        <v>642</v>
      </c>
      <c r="G497" s="5">
        <v>284</v>
      </c>
      <c r="H497" s="5">
        <v>95</v>
      </c>
      <c r="I497" s="4" t="s">
        <v>617</v>
      </c>
      <c r="J497" s="4" t="s">
        <v>618</v>
      </c>
      <c r="K497" s="4" t="s">
        <v>226</v>
      </c>
      <c r="L497" s="4">
        <v>52779340</v>
      </c>
      <c r="M497" s="4">
        <v>52779340</v>
      </c>
      <c r="N497" s="4" t="s">
        <v>23</v>
      </c>
      <c r="O497" s="4" t="s">
        <v>24</v>
      </c>
      <c r="P497" s="4" t="s">
        <v>25</v>
      </c>
      <c r="Q497" s="4">
        <v>4</v>
      </c>
    </row>
    <row r="498" spans="1:17">
      <c r="A498" s="3">
        <v>30997</v>
      </c>
      <c r="B498" s="4" t="s">
        <v>1279</v>
      </c>
      <c r="C498" s="4" t="s">
        <v>1280</v>
      </c>
      <c r="D498" s="4">
        <v>23379</v>
      </c>
      <c r="E498" s="4" t="s">
        <v>19</v>
      </c>
      <c r="F498" s="5">
        <v>2525</v>
      </c>
      <c r="G498" s="5">
        <v>2303</v>
      </c>
      <c r="H498" s="5">
        <v>768</v>
      </c>
      <c r="I498" s="4" t="s">
        <v>474</v>
      </c>
      <c r="J498" s="4" t="s">
        <v>1281</v>
      </c>
      <c r="K498" s="4" t="s">
        <v>226</v>
      </c>
      <c r="L498" s="4">
        <v>5461750</v>
      </c>
      <c r="M498" s="4">
        <v>5461750</v>
      </c>
      <c r="N498" s="4" t="s">
        <v>23</v>
      </c>
      <c r="O498" s="4" t="s">
        <v>41</v>
      </c>
      <c r="P498" s="4" t="s">
        <v>24</v>
      </c>
      <c r="Q498" s="4">
        <v>5</v>
      </c>
    </row>
    <row r="499" spans="1:17" ht="30">
      <c r="A499" s="3">
        <v>30997</v>
      </c>
      <c r="B499" s="4" t="s">
        <v>1282</v>
      </c>
      <c r="C499" s="4" t="str">
        <f ca="1">"NM_001112706"&amp;IF(INFO("system")="mac",CHAR(13),CHAR(10))&amp;"NM_033128"</f>
        <v>NM_001112706_x000D_NM_033128</v>
      </c>
      <c r="D499" s="4">
        <v>85477</v>
      </c>
      <c r="E499" s="4" t="s">
        <v>76</v>
      </c>
      <c r="F499" s="5" t="str">
        <f ca="1">"2061"&amp;IF(INFO("system")="mac",CHAR(13),CHAR(10))&amp;"1386"</f>
        <v>2061_x000D_1386</v>
      </c>
      <c r="G499" s="5" t="str">
        <f ca="1">"1851"&amp;IF(INFO("system")="mac",CHAR(13),CHAR(10))&amp;"1110"</f>
        <v>1851_x000D_1110</v>
      </c>
      <c r="H499" s="5" t="str">
        <f ca="1">"617"&amp;IF(INFO("system")="mac",CHAR(13),CHAR(10))&amp;"370"</f>
        <v>617_x000D_370</v>
      </c>
      <c r="I499" s="4" t="s">
        <v>746</v>
      </c>
      <c r="J499" s="4" t="s">
        <v>747</v>
      </c>
      <c r="K499" s="4" t="s">
        <v>257</v>
      </c>
      <c r="L499" s="4">
        <v>12684300</v>
      </c>
      <c r="M499" s="4">
        <v>12684300</v>
      </c>
      <c r="N499" s="4" t="s">
        <v>23</v>
      </c>
      <c r="O499" s="4" t="s">
        <v>46</v>
      </c>
      <c r="P499" s="4" t="s">
        <v>25</v>
      </c>
      <c r="Q499" s="4">
        <v>7</v>
      </c>
    </row>
    <row r="500" spans="1:17" ht="30">
      <c r="A500" s="3">
        <v>30997</v>
      </c>
      <c r="B500" s="4" t="s">
        <v>1283</v>
      </c>
      <c r="C500" s="4" t="str">
        <f ca="1">"NM_004458"&amp;IF(INFO("system")="mac",CHAR(13),CHAR(10))&amp;"NM_022977"</f>
        <v>NM_004458_x000D_NM_022977</v>
      </c>
      <c r="D500" s="4">
        <v>2182</v>
      </c>
      <c r="E500" s="4" t="s">
        <v>751</v>
      </c>
      <c r="F500" s="5" t="str">
        <f ca="1">"721"&amp;IF(INFO("system")="mac",CHAR(13),CHAR(10))&amp;"1033"</f>
        <v>721_x000D_1033</v>
      </c>
      <c r="G500" s="5" t="str">
        <f ca="1">"405"&amp;IF(INFO("system")="mac",CHAR(13),CHAR(10))&amp;"528"</f>
        <v>405_x000D_528</v>
      </c>
      <c r="H500" s="5" t="str">
        <f ca="1">"135"&amp;IF(INFO("system")="mac",CHAR(13),CHAR(10))&amp;"176"</f>
        <v>135_x000D_176</v>
      </c>
      <c r="I500" s="4" t="s">
        <v>926</v>
      </c>
      <c r="J500" s="4" t="s">
        <v>1284</v>
      </c>
      <c r="K500" s="4" t="s">
        <v>418</v>
      </c>
      <c r="L500" s="4">
        <v>108925949</v>
      </c>
      <c r="M500" s="4">
        <v>108925949</v>
      </c>
      <c r="N500" s="4" t="s">
        <v>23</v>
      </c>
      <c r="O500" s="4" t="s">
        <v>25</v>
      </c>
      <c r="P500" s="4" t="s">
        <v>46</v>
      </c>
      <c r="Q500" s="4">
        <v>-4</v>
      </c>
    </row>
    <row r="501" spans="1:17" ht="45">
      <c r="A501" s="3">
        <v>30997</v>
      </c>
      <c r="B501" s="4" t="s">
        <v>1285</v>
      </c>
      <c r="C501" s="4" t="str">
        <f ca="1">"NM_201599"&amp;IF(INFO("system")="mac",CHAR(13),CHAR(10))&amp;"NM_005096"&amp;IF(INFO("system")="mac",CHAR(13),CHAR(10))&amp;"NM_001171162"</f>
        <v>NM_201599_x000D_NM_005096_x000D_NM_001171162</v>
      </c>
      <c r="D501" s="4">
        <v>9203</v>
      </c>
      <c r="E501" s="4" t="s">
        <v>68</v>
      </c>
      <c r="F501" s="5" t="s">
        <v>35</v>
      </c>
      <c r="G501" s="5" t="s">
        <v>35</v>
      </c>
      <c r="H501" s="5" t="s">
        <v>35</v>
      </c>
      <c r="I501" s="4" t="s">
        <v>35</v>
      </c>
      <c r="J501" s="4" t="s">
        <v>35</v>
      </c>
      <c r="K501" s="4" t="s">
        <v>418</v>
      </c>
      <c r="L501" s="4">
        <v>70464639</v>
      </c>
      <c r="M501" s="4">
        <v>70464639</v>
      </c>
      <c r="N501" s="4" t="s">
        <v>23</v>
      </c>
      <c r="O501" s="4" t="s">
        <v>46</v>
      </c>
      <c r="P501" s="4" t="s">
        <v>24</v>
      </c>
      <c r="Q501" s="4">
        <v>5</v>
      </c>
    </row>
    <row r="502" spans="1:17">
      <c r="A502" s="3">
        <v>31119</v>
      </c>
      <c r="B502" s="4" t="s">
        <v>1286</v>
      </c>
      <c r="C502" s="4" t="s">
        <v>1287</v>
      </c>
      <c r="D502" s="4">
        <v>462</v>
      </c>
      <c r="E502" s="4" t="s">
        <v>19</v>
      </c>
      <c r="F502" s="5">
        <v>385</v>
      </c>
      <c r="G502" s="5">
        <v>266</v>
      </c>
      <c r="H502" s="5">
        <v>89</v>
      </c>
      <c r="I502" s="4" t="s">
        <v>137</v>
      </c>
      <c r="J502" s="4" t="s">
        <v>1288</v>
      </c>
      <c r="K502" s="4" t="s">
        <v>22</v>
      </c>
      <c r="L502" s="4">
        <v>173883833</v>
      </c>
      <c r="M502" s="4">
        <v>173883833</v>
      </c>
      <c r="N502" s="4" t="s">
        <v>23</v>
      </c>
      <c r="O502" s="4" t="s">
        <v>46</v>
      </c>
      <c r="P502" s="4" t="s">
        <v>25</v>
      </c>
      <c r="Q502" s="4">
        <v>2</v>
      </c>
    </row>
    <row r="503" spans="1:17" ht="45">
      <c r="A503" s="3">
        <v>31119</v>
      </c>
      <c r="B503" s="4" t="s">
        <v>1289</v>
      </c>
      <c r="C503" s="4" t="str">
        <f ca="1">"NM_000721"&amp;IF(INFO("system")="mac",CHAR(13),CHAR(10))&amp;"NM_001205293"&amp;IF(INFO("system")="mac",CHAR(13),CHAR(10))&amp;"NM_001205294"</f>
        <v>NM_000721_x000D_NM_001205293_x000D_NM_001205294</v>
      </c>
      <c r="D503" s="4">
        <v>777</v>
      </c>
      <c r="E503" s="4" t="s">
        <v>19</v>
      </c>
      <c r="F503" s="5" t="str">
        <f ca="1">"6148"&amp;IF(INFO("system")="mac",CHAR(13),CHAR(10))&amp;"6277"&amp;IF(INFO("system")="mac",CHAR(13),CHAR(10))&amp;"6091"</f>
        <v>6148_x000D_6277_x000D_6091</v>
      </c>
      <c r="G503" s="5" t="str">
        <f ca="1">"5953"&amp;IF(INFO("system")="mac",CHAR(13),CHAR(10))&amp;"6082"&amp;IF(INFO("system")="mac",CHAR(13),CHAR(10))&amp;"5896"</f>
        <v>5953_x000D_6082_x000D_5896</v>
      </c>
      <c r="H503" s="5" t="str">
        <f ca="1">"1985"&amp;IF(INFO("system")="mac",CHAR(13),CHAR(10))&amp;"2028"&amp;IF(INFO("system")="mac",CHAR(13),CHAR(10))&amp;"1966"</f>
        <v>1985_x000D_2028_x000D_1966</v>
      </c>
      <c r="I503" s="4" t="s">
        <v>404</v>
      </c>
      <c r="J503" s="4" t="s">
        <v>1290</v>
      </c>
      <c r="K503" s="4" t="s">
        <v>22</v>
      </c>
      <c r="L503" s="4">
        <v>181764054</v>
      </c>
      <c r="M503" s="4">
        <v>181764054</v>
      </c>
      <c r="N503" s="4" t="s">
        <v>23</v>
      </c>
      <c r="O503" s="4" t="s">
        <v>46</v>
      </c>
      <c r="P503" s="4" t="s">
        <v>25</v>
      </c>
      <c r="Q503" s="4">
        <v>1</v>
      </c>
    </row>
    <row r="504" spans="1:17">
      <c r="A504" s="3">
        <v>31119</v>
      </c>
      <c r="B504" s="4" t="s">
        <v>1291</v>
      </c>
      <c r="C504" s="4" t="s">
        <v>1292</v>
      </c>
      <c r="D504" s="4">
        <v>375790</v>
      </c>
      <c r="E504" s="4" t="s">
        <v>232</v>
      </c>
      <c r="F504" s="5" t="s">
        <v>35</v>
      </c>
      <c r="G504" s="5" t="s">
        <v>35</v>
      </c>
      <c r="H504" s="5" t="s">
        <v>35</v>
      </c>
      <c r="I504" s="4" t="s">
        <v>35</v>
      </c>
      <c r="J504" s="4" t="s">
        <v>35</v>
      </c>
      <c r="K504" s="4" t="s">
        <v>22</v>
      </c>
      <c r="L504" s="4">
        <v>979199</v>
      </c>
      <c r="M504" s="4">
        <v>979199</v>
      </c>
      <c r="N504" s="4" t="s">
        <v>23</v>
      </c>
      <c r="O504" s="4" t="s">
        <v>24</v>
      </c>
      <c r="P504" s="4" t="s">
        <v>41</v>
      </c>
      <c r="Q504" s="4">
        <v>2</v>
      </c>
    </row>
    <row r="505" spans="1:17">
      <c r="A505" s="3">
        <v>31119</v>
      </c>
      <c r="B505" s="4" t="s">
        <v>1291</v>
      </c>
      <c r="C505" s="4" t="s">
        <v>1292</v>
      </c>
      <c r="D505" s="4">
        <v>375790</v>
      </c>
      <c r="E505" s="4" t="s">
        <v>19</v>
      </c>
      <c r="F505" s="5">
        <v>1896</v>
      </c>
      <c r="G505" s="5">
        <v>1846</v>
      </c>
      <c r="H505" s="5">
        <v>616</v>
      </c>
      <c r="I505" s="4" t="s">
        <v>131</v>
      </c>
      <c r="J505" s="4" t="s">
        <v>132</v>
      </c>
      <c r="K505" s="4" t="s">
        <v>22</v>
      </c>
      <c r="L505" s="4">
        <v>979250</v>
      </c>
      <c r="M505" s="4">
        <v>979250</v>
      </c>
      <c r="N505" s="4" t="s">
        <v>23</v>
      </c>
      <c r="O505" s="4" t="s">
        <v>24</v>
      </c>
      <c r="P505" s="4" t="s">
        <v>41</v>
      </c>
      <c r="Q505" s="4">
        <v>5</v>
      </c>
    </row>
    <row r="506" spans="1:17">
      <c r="A506" s="3">
        <v>31119</v>
      </c>
      <c r="B506" s="4" t="s">
        <v>1293</v>
      </c>
      <c r="C506" s="4" t="s">
        <v>1294</v>
      </c>
      <c r="D506" s="4">
        <v>150</v>
      </c>
      <c r="E506" s="4" t="s">
        <v>19</v>
      </c>
      <c r="F506" s="5">
        <v>1071</v>
      </c>
      <c r="G506" s="5">
        <v>106</v>
      </c>
      <c r="H506" s="5">
        <v>36</v>
      </c>
      <c r="I506" s="4" t="s">
        <v>535</v>
      </c>
      <c r="J506" s="4" t="s">
        <v>536</v>
      </c>
      <c r="K506" s="4" t="s">
        <v>69</v>
      </c>
      <c r="L506" s="4">
        <v>112837860</v>
      </c>
      <c r="M506" s="4">
        <v>112837860</v>
      </c>
      <c r="N506" s="4" t="s">
        <v>23</v>
      </c>
      <c r="O506" s="4" t="s">
        <v>24</v>
      </c>
      <c r="P506" s="4" t="s">
        <v>25</v>
      </c>
      <c r="Q506" s="4">
        <v>6</v>
      </c>
    </row>
    <row r="507" spans="1:17">
      <c r="A507" s="3">
        <v>31119</v>
      </c>
      <c r="B507" s="4" t="s">
        <v>1295</v>
      </c>
      <c r="C507" s="4" t="s">
        <v>1296</v>
      </c>
      <c r="D507" s="4">
        <v>5728</v>
      </c>
      <c r="E507" s="4" t="s">
        <v>816</v>
      </c>
      <c r="F507" s="5" t="s">
        <v>1297</v>
      </c>
      <c r="G507" s="5" t="s">
        <v>1298</v>
      </c>
      <c r="H507" s="5">
        <v>211</v>
      </c>
      <c r="I507" s="4" t="s">
        <v>35</v>
      </c>
      <c r="J507" s="4" t="s">
        <v>35</v>
      </c>
      <c r="K507" s="4" t="s">
        <v>69</v>
      </c>
      <c r="L507" s="4">
        <v>89712014</v>
      </c>
      <c r="M507" s="4">
        <v>89712015</v>
      </c>
      <c r="N507" s="4" t="s">
        <v>36</v>
      </c>
      <c r="O507" s="4" t="s">
        <v>1299</v>
      </c>
      <c r="P507" s="4"/>
      <c r="Q507" s="4">
        <v>0</v>
      </c>
    </row>
    <row r="508" spans="1:17">
      <c r="A508" s="3">
        <v>31119</v>
      </c>
      <c r="B508" s="4" t="s">
        <v>1300</v>
      </c>
      <c r="C508" s="4" t="s">
        <v>1301</v>
      </c>
      <c r="D508" s="4">
        <v>54733</v>
      </c>
      <c r="E508" s="4" t="s">
        <v>19</v>
      </c>
      <c r="F508" s="5">
        <v>1508</v>
      </c>
      <c r="G508" s="5">
        <v>1087</v>
      </c>
      <c r="H508" s="5">
        <v>363</v>
      </c>
      <c r="I508" s="4" t="s">
        <v>165</v>
      </c>
      <c r="J508" s="4" t="s">
        <v>166</v>
      </c>
      <c r="K508" s="4" t="s">
        <v>83</v>
      </c>
      <c r="L508" s="4">
        <v>107663379</v>
      </c>
      <c r="M508" s="4">
        <v>107663379</v>
      </c>
      <c r="N508" s="4" t="s">
        <v>23</v>
      </c>
      <c r="O508" s="4" t="s">
        <v>46</v>
      </c>
      <c r="P508" s="4" t="s">
        <v>41</v>
      </c>
      <c r="Q508" s="4">
        <v>-2</v>
      </c>
    </row>
    <row r="509" spans="1:17">
      <c r="A509" s="3">
        <v>31119</v>
      </c>
      <c r="B509" s="4" t="s">
        <v>1302</v>
      </c>
      <c r="C509" s="4" t="s">
        <v>1303</v>
      </c>
      <c r="D509" s="4">
        <v>493860</v>
      </c>
      <c r="E509" s="4" t="s">
        <v>19</v>
      </c>
      <c r="F509" s="5">
        <v>3256</v>
      </c>
      <c r="G509" s="5">
        <v>3212</v>
      </c>
      <c r="H509" s="5">
        <v>1071</v>
      </c>
      <c r="I509" s="4" t="s">
        <v>218</v>
      </c>
      <c r="J509" s="4" t="s">
        <v>1304</v>
      </c>
      <c r="K509" s="4" t="s">
        <v>83</v>
      </c>
      <c r="L509" s="4">
        <v>32624385</v>
      </c>
      <c r="M509" s="4">
        <v>32624385</v>
      </c>
      <c r="N509" s="4" t="s">
        <v>23</v>
      </c>
      <c r="O509" s="4" t="s">
        <v>24</v>
      </c>
      <c r="P509" s="4" t="s">
        <v>41</v>
      </c>
      <c r="Q509" s="4">
        <v>6</v>
      </c>
    </row>
    <row r="510" spans="1:17">
      <c r="A510" s="3">
        <v>31119</v>
      </c>
      <c r="B510" s="4" t="s">
        <v>1305</v>
      </c>
      <c r="C510" s="4" t="s">
        <v>1306</v>
      </c>
      <c r="D510" s="4">
        <v>338707</v>
      </c>
      <c r="E510" s="4" t="s">
        <v>19</v>
      </c>
      <c r="F510" s="5">
        <v>951</v>
      </c>
      <c r="G510" s="5">
        <v>942</v>
      </c>
      <c r="H510" s="5">
        <v>314</v>
      </c>
      <c r="I510" s="4" t="s">
        <v>315</v>
      </c>
      <c r="J510" s="4" t="s">
        <v>316</v>
      </c>
      <c r="K510" s="4" t="s">
        <v>83</v>
      </c>
      <c r="L510" s="4">
        <v>375730</v>
      </c>
      <c r="M510" s="4">
        <v>375730</v>
      </c>
      <c r="N510" s="4" t="s">
        <v>23</v>
      </c>
      <c r="O510" s="4" t="s">
        <v>46</v>
      </c>
      <c r="P510" s="4" t="s">
        <v>25</v>
      </c>
      <c r="Q510" s="4">
        <v>7</v>
      </c>
    </row>
    <row r="511" spans="1:17">
      <c r="A511" s="3">
        <v>31119</v>
      </c>
      <c r="B511" s="4" t="s">
        <v>1307</v>
      </c>
      <c r="C511" s="4" t="s">
        <v>1308</v>
      </c>
      <c r="D511" s="4">
        <v>390191</v>
      </c>
      <c r="E511" s="4" t="s">
        <v>19</v>
      </c>
      <c r="F511" s="5">
        <v>594</v>
      </c>
      <c r="G511" s="5">
        <v>572</v>
      </c>
      <c r="H511" s="5">
        <v>191</v>
      </c>
      <c r="I511" s="4" t="s">
        <v>175</v>
      </c>
      <c r="J511" s="4" t="s">
        <v>176</v>
      </c>
      <c r="K511" s="4" t="s">
        <v>83</v>
      </c>
      <c r="L511" s="4">
        <v>58207053</v>
      </c>
      <c r="M511" s="4">
        <v>58207053</v>
      </c>
      <c r="N511" s="4" t="s">
        <v>23</v>
      </c>
      <c r="O511" s="4" t="s">
        <v>41</v>
      </c>
      <c r="P511" s="4" t="s">
        <v>46</v>
      </c>
      <c r="Q511" s="4">
        <v>2</v>
      </c>
    </row>
    <row r="512" spans="1:17">
      <c r="A512" s="3">
        <v>31119</v>
      </c>
      <c r="B512" s="4" t="s">
        <v>1309</v>
      </c>
      <c r="C512" s="4" t="s">
        <v>1310</v>
      </c>
      <c r="D512" s="4">
        <v>56673</v>
      </c>
      <c r="E512" s="4" t="s">
        <v>76</v>
      </c>
      <c r="F512" s="5">
        <v>1270</v>
      </c>
      <c r="G512" s="5">
        <v>1146</v>
      </c>
      <c r="H512" s="5">
        <v>382</v>
      </c>
      <c r="I512" s="4" t="s">
        <v>208</v>
      </c>
      <c r="J512" s="4" t="s">
        <v>209</v>
      </c>
      <c r="K512" s="4" t="s">
        <v>83</v>
      </c>
      <c r="L512" s="4">
        <v>8947068</v>
      </c>
      <c r="M512" s="4">
        <v>8947068</v>
      </c>
      <c r="N512" s="4" t="s">
        <v>23</v>
      </c>
      <c r="O512" s="4" t="s">
        <v>24</v>
      </c>
      <c r="P512" s="4" t="s">
        <v>41</v>
      </c>
      <c r="Q512" s="4">
        <v>7</v>
      </c>
    </row>
    <row r="513" spans="1:17">
      <c r="A513" s="3">
        <v>31119</v>
      </c>
      <c r="B513" s="4" t="s">
        <v>1311</v>
      </c>
      <c r="C513" s="4" t="s">
        <v>1312</v>
      </c>
      <c r="D513" s="4">
        <v>283450</v>
      </c>
      <c r="E513" s="4" t="s">
        <v>19</v>
      </c>
      <c r="F513" s="5">
        <v>8026</v>
      </c>
      <c r="G513" s="5">
        <v>7630</v>
      </c>
      <c r="H513" s="5">
        <v>2544</v>
      </c>
      <c r="I513" s="4" t="s">
        <v>123</v>
      </c>
      <c r="J513" s="4" t="s">
        <v>256</v>
      </c>
      <c r="K513" s="4" t="s">
        <v>104</v>
      </c>
      <c r="L513" s="4">
        <v>112642413</v>
      </c>
      <c r="M513" s="4">
        <v>112642413</v>
      </c>
      <c r="N513" s="4" t="s">
        <v>23</v>
      </c>
      <c r="O513" s="4" t="s">
        <v>46</v>
      </c>
      <c r="P513" s="4" t="s">
        <v>25</v>
      </c>
      <c r="Q513" s="4">
        <v>4</v>
      </c>
    </row>
    <row r="514" spans="1:17">
      <c r="A514" s="3">
        <v>31119</v>
      </c>
      <c r="B514" s="4" t="s">
        <v>1313</v>
      </c>
      <c r="C514" s="4" t="s">
        <v>1314</v>
      </c>
      <c r="D514" s="4">
        <v>8408</v>
      </c>
      <c r="E514" s="4" t="s">
        <v>19</v>
      </c>
      <c r="F514" s="5">
        <v>1596</v>
      </c>
      <c r="G514" s="5">
        <v>1328</v>
      </c>
      <c r="H514" s="5">
        <v>443</v>
      </c>
      <c r="I514" s="4" t="s">
        <v>137</v>
      </c>
      <c r="J514" s="4" t="s">
        <v>1288</v>
      </c>
      <c r="K514" s="4" t="s">
        <v>104</v>
      </c>
      <c r="L514" s="4">
        <v>132398977</v>
      </c>
      <c r="M514" s="4">
        <v>132398977</v>
      </c>
      <c r="N514" s="4" t="s">
        <v>23</v>
      </c>
      <c r="O514" s="4" t="s">
        <v>24</v>
      </c>
      <c r="P514" s="4" t="s">
        <v>41</v>
      </c>
      <c r="Q514" s="4">
        <v>6</v>
      </c>
    </row>
    <row r="515" spans="1:17">
      <c r="A515" s="3">
        <v>31119</v>
      </c>
      <c r="B515" s="4" t="s">
        <v>1315</v>
      </c>
      <c r="C515" s="4" t="s">
        <v>1316</v>
      </c>
      <c r="D515" s="4">
        <v>55711</v>
      </c>
      <c r="E515" s="4" t="s">
        <v>19</v>
      </c>
      <c r="F515" s="5">
        <v>1500</v>
      </c>
      <c r="G515" s="5">
        <v>1232</v>
      </c>
      <c r="H515" s="5">
        <v>411</v>
      </c>
      <c r="I515" s="4" t="s">
        <v>434</v>
      </c>
      <c r="J515" s="4" t="s">
        <v>435</v>
      </c>
      <c r="K515" s="4" t="s">
        <v>104</v>
      </c>
      <c r="L515" s="4">
        <v>29474832</v>
      </c>
      <c r="M515" s="4">
        <v>29474832</v>
      </c>
      <c r="N515" s="4" t="s">
        <v>23</v>
      </c>
      <c r="O515" s="4" t="s">
        <v>46</v>
      </c>
      <c r="P515" s="4" t="s">
        <v>24</v>
      </c>
      <c r="Q515" s="4">
        <v>2</v>
      </c>
    </row>
    <row r="516" spans="1:17" ht="45">
      <c r="A516" s="3">
        <v>31119</v>
      </c>
      <c r="B516" s="4" t="s">
        <v>1317</v>
      </c>
      <c r="C516" s="4" t="str">
        <f ca="1">"NM_201441"&amp;IF(INFO("system")="mac",CHAR(13),CHAR(10))&amp;"NM_003213"&amp;IF(INFO("system")="mac",CHAR(13),CHAR(10))&amp;"NM_201443"</f>
        <v>NM_201441_x000D_NM_003213_x000D_NM_201443</v>
      </c>
      <c r="D516" s="4">
        <v>7004</v>
      </c>
      <c r="E516" s="4" t="s">
        <v>1318</v>
      </c>
      <c r="F516" s="5" t="str">
        <f ca="1">"262"&amp;IF(INFO("system")="mac",CHAR(13),CHAR(10))&amp;"262"&amp;IF(INFO("system")="mac",CHAR(13),CHAR(10))&amp;"458"</f>
        <v>262_x000D_262_x000D_458</v>
      </c>
      <c r="G516" s="5" t="s">
        <v>35</v>
      </c>
      <c r="H516" s="5" t="s">
        <v>35</v>
      </c>
      <c r="I516" s="4" t="s">
        <v>35</v>
      </c>
      <c r="J516" s="4" t="s">
        <v>35</v>
      </c>
      <c r="K516" s="4" t="s">
        <v>104</v>
      </c>
      <c r="L516" s="4">
        <v>3069205</v>
      </c>
      <c r="M516" s="4">
        <v>3069205</v>
      </c>
      <c r="N516" s="4" t="s">
        <v>23</v>
      </c>
      <c r="O516" s="4" t="s">
        <v>46</v>
      </c>
      <c r="P516" s="4" t="s">
        <v>24</v>
      </c>
      <c r="Q516" s="4">
        <v>-1</v>
      </c>
    </row>
    <row r="517" spans="1:17">
      <c r="A517" s="3">
        <v>31119</v>
      </c>
      <c r="B517" s="4" t="s">
        <v>1319</v>
      </c>
      <c r="C517" s="4" t="s">
        <v>1320</v>
      </c>
      <c r="D517" s="4">
        <v>79962</v>
      </c>
      <c r="E517" s="4" t="s">
        <v>19</v>
      </c>
      <c r="F517" s="5">
        <v>807</v>
      </c>
      <c r="G517" s="5">
        <v>406</v>
      </c>
      <c r="H517" s="5">
        <v>136</v>
      </c>
      <c r="I517" s="4" t="s">
        <v>27</v>
      </c>
      <c r="J517" s="4" t="s">
        <v>1321</v>
      </c>
      <c r="K517" s="4" t="s">
        <v>104</v>
      </c>
      <c r="L517" s="4">
        <v>49743061</v>
      </c>
      <c r="M517" s="4">
        <v>49743061</v>
      </c>
      <c r="N517" s="4" t="s">
        <v>23</v>
      </c>
      <c r="O517" s="4" t="s">
        <v>24</v>
      </c>
      <c r="P517" s="4" t="s">
        <v>46</v>
      </c>
      <c r="Q517" s="4">
        <v>5</v>
      </c>
    </row>
    <row r="518" spans="1:17">
      <c r="A518" s="3">
        <v>31119</v>
      </c>
      <c r="B518" s="4" t="s">
        <v>1322</v>
      </c>
      <c r="C518" s="4" t="s">
        <v>1323</v>
      </c>
      <c r="D518" s="4">
        <v>5858</v>
      </c>
      <c r="E518" s="4" t="s">
        <v>19</v>
      </c>
      <c r="F518" s="5">
        <v>41</v>
      </c>
      <c r="G518" s="5">
        <v>12</v>
      </c>
      <c r="H518" s="5">
        <v>4</v>
      </c>
      <c r="I518" s="4" t="s">
        <v>246</v>
      </c>
      <c r="J518" s="4" t="s">
        <v>247</v>
      </c>
      <c r="K518" s="4" t="s">
        <v>104</v>
      </c>
      <c r="L518" s="4">
        <v>9360926</v>
      </c>
      <c r="M518" s="4">
        <v>9360926</v>
      </c>
      <c r="N518" s="4" t="s">
        <v>23</v>
      </c>
      <c r="O518" s="4" t="s">
        <v>24</v>
      </c>
      <c r="P518" s="4" t="s">
        <v>41</v>
      </c>
      <c r="Q518" s="4">
        <v>1</v>
      </c>
    </row>
    <row r="519" spans="1:17" ht="30">
      <c r="A519" s="3">
        <v>31119</v>
      </c>
      <c r="B519" s="4" t="s">
        <v>1324</v>
      </c>
      <c r="C519" s="4" t="str">
        <f ca="1">"NM_145286"&amp;IF(INFO("system")="mac",CHAR(13),CHAR(10))&amp;"NM_001144033"</f>
        <v>NM_145286_x000D_NM_001144033</v>
      </c>
      <c r="D519" s="4">
        <v>161003</v>
      </c>
      <c r="E519" s="4" t="s">
        <v>19</v>
      </c>
      <c r="F519" s="5" t="str">
        <f ca="1">"770"&amp;IF(INFO("system")="mac",CHAR(13),CHAR(10))&amp;"854"</f>
        <v>770_x000D_854</v>
      </c>
      <c r="G519" s="5" t="str">
        <f ca="1">"632"&amp;IF(INFO("system")="mac",CHAR(13),CHAR(10))&amp;"605"</f>
        <v>632_x000D_605</v>
      </c>
      <c r="H519" s="5" t="str">
        <f ca="1">"211"&amp;IF(INFO("system")="mac",CHAR(13),CHAR(10))&amp;"202"</f>
        <v>211_x000D_202</v>
      </c>
      <c r="I519" s="4" t="s">
        <v>95</v>
      </c>
      <c r="J519" s="4" t="s">
        <v>1325</v>
      </c>
      <c r="K519" s="4" t="s">
        <v>339</v>
      </c>
      <c r="L519" s="4">
        <v>39542556</v>
      </c>
      <c r="M519" s="4">
        <v>39542556</v>
      </c>
      <c r="N519" s="4" t="s">
        <v>23</v>
      </c>
      <c r="O519" s="4" t="s">
        <v>24</v>
      </c>
      <c r="P519" s="4" t="s">
        <v>25</v>
      </c>
      <c r="Q519" s="4">
        <v>10</v>
      </c>
    </row>
    <row r="520" spans="1:17">
      <c r="A520" s="3">
        <v>31119</v>
      </c>
      <c r="B520" s="4" t="s">
        <v>1326</v>
      </c>
      <c r="C520" s="4" t="s">
        <v>1327</v>
      </c>
      <c r="D520" s="4">
        <v>64112</v>
      </c>
      <c r="E520" s="4" t="s">
        <v>19</v>
      </c>
      <c r="F520" s="5">
        <v>1266</v>
      </c>
      <c r="G520" s="5">
        <v>896</v>
      </c>
      <c r="H520" s="5">
        <v>299</v>
      </c>
      <c r="I520" s="4" t="s">
        <v>44</v>
      </c>
      <c r="J520" s="4" t="s">
        <v>1328</v>
      </c>
      <c r="K520" s="4" t="s">
        <v>118</v>
      </c>
      <c r="L520" s="4">
        <v>93649692</v>
      </c>
      <c r="M520" s="4">
        <v>93649692</v>
      </c>
      <c r="N520" s="4" t="s">
        <v>23</v>
      </c>
      <c r="O520" s="4" t="s">
        <v>25</v>
      </c>
      <c r="P520" s="4" t="s">
        <v>46</v>
      </c>
      <c r="Q520" s="4">
        <v>6</v>
      </c>
    </row>
    <row r="521" spans="1:17">
      <c r="A521" s="3">
        <v>31119</v>
      </c>
      <c r="B521" s="4" t="s">
        <v>1329</v>
      </c>
      <c r="C521" s="4" t="s">
        <v>1330</v>
      </c>
      <c r="D521" s="4">
        <v>116179</v>
      </c>
      <c r="E521" s="4" t="s">
        <v>232</v>
      </c>
      <c r="F521" s="5" t="s">
        <v>35</v>
      </c>
      <c r="G521" s="5" t="s">
        <v>35</v>
      </c>
      <c r="H521" s="5" t="s">
        <v>35</v>
      </c>
      <c r="I521" s="4" t="s">
        <v>35</v>
      </c>
      <c r="J521" s="4" t="s">
        <v>35</v>
      </c>
      <c r="K521" s="4" t="s">
        <v>120</v>
      </c>
      <c r="L521" s="4">
        <v>43571816</v>
      </c>
      <c r="M521" s="4">
        <v>43571816</v>
      </c>
      <c r="N521" s="4" t="s">
        <v>23</v>
      </c>
      <c r="O521" s="4" t="s">
        <v>46</v>
      </c>
      <c r="P521" s="4" t="s">
        <v>41</v>
      </c>
      <c r="Q521" s="4">
        <v>2</v>
      </c>
    </row>
    <row r="522" spans="1:17">
      <c r="A522" s="3">
        <v>31119</v>
      </c>
      <c r="B522" s="4" t="s">
        <v>1331</v>
      </c>
      <c r="C522" s="4" t="s">
        <v>1332</v>
      </c>
      <c r="D522" s="4">
        <v>646892</v>
      </c>
      <c r="E522" s="4" t="s">
        <v>19</v>
      </c>
      <c r="F522" s="5">
        <v>211</v>
      </c>
      <c r="G522" s="5">
        <v>211</v>
      </c>
      <c r="H522" s="5">
        <v>71</v>
      </c>
      <c r="I522" s="4" t="s">
        <v>535</v>
      </c>
      <c r="J522" s="4" t="s">
        <v>878</v>
      </c>
      <c r="K522" s="4" t="s">
        <v>120</v>
      </c>
      <c r="L522" s="4">
        <v>78386488</v>
      </c>
      <c r="M522" s="4">
        <v>78386488</v>
      </c>
      <c r="N522" s="4" t="s">
        <v>23</v>
      </c>
      <c r="O522" s="4" t="s">
        <v>24</v>
      </c>
      <c r="P522" s="4" t="s">
        <v>25</v>
      </c>
      <c r="Q522" s="4">
        <v>11</v>
      </c>
    </row>
    <row r="523" spans="1:17">
      <c r="A523" s="3">
        <v>31119</v>
      </c>
      <c r="B523" s="4" t="s">
        <v>1333</v>
      </c>
      <c r="C523" s="4" t="s">
        <v>1334</v>
      </c>
      <c r="D523" s="4">
        <v>1009</v>
      </c>
      <c r="E523" s="4" t="s">
        <v>19</v>
      </c>
      <c r="F523" s="5">
        <v>2223</v>
      </c>
      <c r="G523" s="5">
        <v>1789</v>
      </c>
      <c r="H523" s="5">
        <v>597</v>
      </c>
      <c r="I523" s="4" t="s">
        <v>170</v>
      </c>
      <c r="J523" s="4" t="s">
        <v>171</v>
      </c>
      <c r="K523" s="4" t="s">
        <v>129</v>
      </c>
      <c r="L523" s="4">
        <v>64984775</v>
      </c>
      <c r="M523" s="4">
        <v>64984775</v>
      </c>
      <c r="N523" s="4" t="s">
        <v>23</v>
      </c>
      <c r="O523" s="4" t="s">
        <v>46</v>
      </c>
      <c r="P523" s="4" t="s">
        <v>41</v>
      </c>
      <c r="Q523" s="4">
        <v>1</v>
      </c>
    </row>
    <row r="524" spans="1:17">
      <c r="A524" s="3">
        <v>31119</v>
      </c>
      <c r="B524" s="4" t="s">
        <v>1335</v>
      </c>
      <c r="C524" s="4" t="s">
        <v>1336</v>
      </c>
      <c r="D524" s="4">
        <v>6117</v>
      </c>
      <c r="E524" s="4" t="s">
        <v>19</v>
      </c>
      <c r="F524" s="5">
        <v>1682</v>
      </c>
      <c r="G524" s="5">
        <v>1567</v>
      </c>
      <c r="H524" s="5">
        <v>523</v>
      </c>
      <c r="I524" s="4" t="s">
        <v>1337</v>
      </c>
      <c r="J524" s="4" t="s">
        <v>1338</v>
      </c>
      <c r="K524" s="4" t="s">
        <v>133</v>
      </c>
      <c r="L524" s="4">
        <v>1795142</v>
      </c>
      <c r="M524" s="4">
        <v>1795142</v>
      </c>
      <c r="N524" s="4" t="s">
        <v>23</v>
      </c>
      <c r="O524" s="4" t="s">
        <v>41</v>
      </c>
      <c r="P524" s="4" t="s">
        <v>25</v>
      </c>
      <c r="Q524" s="4">
        <v>18</v>
      </c>
    </row>
    <row r="525" spans="1:17">
      <c r="A525" s="3">
        <v>31119</v>
      </c>
      <c r="B525" s="4" t="s">
        <v>1339</v>
      </c>
      <c r="C525" s="4" t="s">
        <v>1340</v>
      </c>
      <c r="D525" s="4">
        <v>100132476</v>
      </c>
      <c r="E525" s="4" t="s">
        <v>19</v>
      </c>
      <c r="F525" s="5">
        <v>428</v>
      </c>
      <c r="G525" s="5">
        <v>428</v>
      </c>
      <c r="H525" s="5">
        <v>143</v>
      </c>
      <c r="I525" s="4" t="s">
        <v>684</v>
      </c>
      <c r="J525" s="4" t="s">
        <v>1341</v>
      </c>
      <c r="K525" s="4" t="s">
        <v>133</v>
      </c>
      <c r="L525" s="4">
        <v>39240886</v>
      </c>
      <c r="M525" s="4">
        <v>39240886</v>
      </c>
      <c r="N525" s="4" t="s">
        <v>23</v>
      </c>
      <c r="O525" s="4" t="s">
        <v>46</v>
      </c>
      <c r="P525" s="4" t="s">
        <v>24</v>
      </c>
      <c r="Q525" s="4">
        <v>3</v>
      </c>
    </row>
    <row r="526" spans="1:17">
      <c r="A526" s="3">
        <v>31119</v>
      </c>
      <c r="B526" s="4" t="s">
        <v>1342</v>
      </c>
      <c r="C526" s="4" t="s">
        <v>1343</v>
      </c>
      <c r="D526" s="4">
        <v>8161</v>
      </c>
      <c r="E526" s="4" t="s">
        <v>19</v>
      </c>
      <c r="F526" s="5">
        <v>1281</v>
      </c>
      <c r="G526" s="5">
        <v>1250</v>
      </c>
      <c r="H526" s="5">
        <v>417</v>
      </c>
      <c r="I526" s="4" t="s">
        <v>439</v>
      </c>
      <c r="J526" s="4" t="s">
        <v>440</v>
      </c>
      <c r="K526" s="4" t="s">
        <v>133</v>
      </c>
      <c r="L526" s="4">
        <v>55027353</v>
      </c>
      <c r="M526" s="4">
        <v>55027353</v>
      </c>
      <c r="N526" s="4" t="s">
        <v>23</v>
      </c>
      <c r="O526" s="4" t="s">
        <v>46</v>
      </c>
      <c r="P526" s="4" t="s">
        <v>24</v>
      </c>
      <c r="Q526" s="4">
        <v>6</v>
      </c>
    </row>
    <row r="527" spans="1:17">
      <c r="A527" s="3">
        <v>31119</v>
      </c>
      <c r="B527" s="4" t="s">
        <v>1344</v>
      </c>
      <c r="C527" s="4" t="s">
        <v>1345</v>
      </c>
      <c r="D527" s="4">
        <v>55771</v>
      </c>
      <c r="E527" s="4" t="s">
        <v>232</v>
      </c>
      <c r="F527" s="5" t="s">
        <v>35</v>
      </c>
      <c r="G527" s="5" t="s">
        <v>35</v>
      </c>
      <c r="H527" s="5" t="s">
        <v>35</v>
      </c>
      <c r="I527" s="4" t="s">
        <v>35</v>
      </c>
      <c r="J527" s="4" t="s">
        <v>35</v>
      </c>
      <c r="K527" s="4" t="s">
        <v>133</v>
      </c>
      <c r="L527" s="4">
        <v>57275157</v>
      </c>
      <c r="M527" s="4">
        <v>57275157</v>
      </c>
      <c r="N527" s="4" t="s">
        <v>23</v>
      </c>
      <c r="O527" s="4" t="s">
        <v>46</v>
      </c>
      <c r="P527" s="4" t="s">
        <v>24</v>
      </c>
      <c r="Q527" s="4">
        <v>1</v>
      </c>
    </row>
    <row r="528" spans="1:17" ht="105">
      <c r="A528" s="3">
        <v>31119</v>
      </c>
      <c r="B528" s="4" t="s">
        <v>130</v>
      </c>
      <c r="C528" s="4" t="str">
        <f ca="1">"NM_001126117"&amp;IF(INFO("system")="mac",CHAR(13),CHAR(10))&amp;"NM_001126115"&amp;IF(INFO("system")="mac",CHAR(13),CHAR(10))&amp;"NM_001126113"&amp;IF(INFO("system")="mac",CHAR(13),CHAR(10))&amp;"NM_001126116"&amp;IF(INFO("system")="mac",CHAR(13),CHAR(10))&amp;"NM_001126112"&amp;IF(INFO("system")="mac",CHAR(13),CHAR(10))&amp;"NM_001126114"&amp;IF(INFO("system")="mac",CHAR(13),CHAR(10))&amp;"NM_000546"</f>
        <v>NM_001126117_x000D_NM_001126115_x000D_NM_001126113_x000D_NM_001126116_x000D_NM_001126112_x000D_NM_001126114_x000D_NM_000546</v>
      </c>
      <c r="D528" s="4">
        <v>7157</v>
      </c>
      <c r="E528" s="4" t="str">
        <f ca="1">"NMD_TRANSCRIPT,NON_SYNONYMOUS_CODING"&amp;IF(INFO("system")="mac",CHAR(13),CHAR(10))&amp;"NON_SYNONYMOUS_CODING"&amp;IF(INFO("system")="mac",CHAR(13),CHAR(10))&amp;"NMD_TRANSCRIPT,NON_SYNONYMOUS_CODING"&amp;IF(INFO("system")="mac",CHAR(13),CHAR(10))&amp;"NMD_TRANSCRIPT,NON_SYNONYMOUS_CODING"&amp;IF(INFO("system")="mac",CHAR(13),CHAR(10))&amp;"NON_SYNONYMOUS_CODING"&amp;IF(INFO("system")="mac",CHAR(13),CHAR(10))&amp;"NMD_TRANSCRIPT,NON_SYNONYMOUS_CODING"&amp;IF(INFO("system")="mac",CHAR(13),CHAR(10))&amp;"NON_SYNONYMOUS_CODING"</f>
        <v>NMD_TRANSCRIPT,NON_SYNONYMOUS_CODING_x000D_NON_SYNONYMOUS_CODING_x000D_NMD_TRANSCRIPT,NON_SYNONYMOUS_CODING_x000D_NMD_TRANSCRIPT,NON_SYNONYMOUS_CODING_x000D_NON_SYNONYMOUS_CODING_x000D_NMD_TRANSCRIPT,NON_SYNONYMOUS_CODING_x000D_NON_SYNONYMOUS_CODING</v>
      </c>
      <c r="F528" s="5" t="str">
        <f ca="1">"629"&amp;IF(INFO("system")="mac",CHAR(13),CHAR(10))&amp;"629"&amp;IF(INFO("system")="mac",CHAR(13),CHAR(10))&amp;"944"&amp;IF(INFO("system")="mac",CHAR(13),CHAR(10))&amp;"629"&amp;IF(INFO("system")="mac",CHAR(13),CHAR(10))&amp;"941"&amp;IF(INFO("system")="mac",CHAR(13),CHAR(10))&amp;"944"&amp;IF(INFO("system")="mac",CHAR(13),CHAR(10))&amp;"944"</f>
        <v>629_x000D_629_x000D_944_x000D_629_x000D_941_x000D_944_x000D_944</v>
      </c>
      <c r="G528" s="5" t="str">
        <f ca="1">"351"&amp;IF(INFO("system")="mac",CHAR(13),CHAR(10))&amp;"351"&amp;IF(INFO("system")="mac",CHAR(13),CHAR(10))&amp;"747"&amp;IF(INFO("system")="mac",CHAR(13),CHAR(10))&amp;"351"&amp;IF(INFO("system")="mac",CHAR(13),CHAR(10))&amp;"747"&amp;IF(INFO("system")="mac",CHAR(13),CHAR(10))&amp;"747"&amp;IF(INFO("system")="mac",CHAR(13),CHAR(10))&amp;"747"</f>
        <v>351_x000D_351_x000D_747_x000D_351_x000D_747_x000D_747_x000D_747</v>
      </c>
      <c r="H528" s="5" t="str">
        <f ca="1">"117"&amp;IF(INFO("system")="mac",CHAR(13),CHAR(10))&amp;"117"&amp;IF(INFO("system")="mac",CHAR(13),CHAR(10))&amp;"249"&amp;IF(INFO("system")="mac",CHAR(13),CHAR(10))&amp;"117"&amp;IF(INFO("system")="mac",CHAR(13),CHAR(10))&amp;"249"&amp;IF(INFO("system")="mac",CHAR(13),CHAR(10))&amp;"249"&amp;IF(INFO("system")="mac",CHAR(13),CHAR(10))&amp;"249"</f>
        <v>117_x000D_117_x000D_249_x000D_117_x000D_249_x000D_249_x000D_249</v>
      </c>
      <c r="I528" s="4" t="s">
        <v>404</v>
      </c>
      <c r="J528" s="4" t="s">
        <v>553</v>
      </c>
      <c r="K528" s="4" t="s">
        <v>133</v>
      </c>
      <c r="L528" s="4">
        <v>7577534</v>
      </c>
      <c r="M528" s="4">
        <v>7577534</v>
      </c>
      <c r="N528" s="4" t="s">
        <v>23</v>
      </c>
      <c r="O528" s="4" t="s">
        <v>46</v>
      </c>
      <c r="P528" s="4" t="s">
        <v>25</v>
      </c>
      <c r="Q528" s="4">
        <v>13</v>
      </c>
    </row>
    <row r="529" spans="1:17">
      <c r="A529" s="3">
        <v>31119</v>
      </c>
      <c r="B529" s="4" t="s">
        <v>1346</v>
      </c>
      <c r="C529" s="4" t="s">
        <v>1347</v>
      </c>
      <c r="D529" s="4">
        <v>284217</v>
      </c>
      <c r="E529" s="4" t="s">
        <v>19</v>
      </c>
      <c r="F529" s="5">
        <v>7367</v>
      </c>
      <c r="G529" s="5">
        <v>7273</v>
      </c>
      <c r="H529" s="5">
        <v>2425</v>
      </c>
      <c r="I529" s="4" t="s">
        <v>462</v>
      </c>
      <c r="J529" s="4" t="s">
        <v>463</v>
      </c>
      <c r="K529" s="4" t="s">
        <v>135</v>
      </c>
      <c r="L529" s="4">
        <v>6964725</v>
      </c>
      <c r="M529" s="4">
        <v>6964725</v>
      </c>
      <c r="N529" s="4" t="s">
        <v>23</v>
      </c>
      <c r="O529" s="4" t="s">
        <v>46</v>
      </c>
      <c r="P529" s="4" t="s">
        <v>25</v>
      </c>
      <c r="Q529" s="4">
        <v>3</v>
      </c>
    </row>
    <row r="530" spans="1:17">
      <c r="A530" s="3">
        <v>31119</v>
      </c>
      <c r="B530" s="4" t="s">
        <v>1348</v>
      </c>
      <c r="C530" s="4" t="s">
        <v>1349</v>
      </c>
      <c r="D530" s="4">
        <v>7757</v>
      </c>
      <c r="E530" s="4" t="s">
        <v>19</v>
      </c>
      <c r="F530" s="5">
        <v>3751</v>
      </c>
      <c r="G530" s="5">
        <v>3602</v>
      </c>
      <c r="H530" s="5">
        <v>1201</v>
      </c>
      <c r="I530" s="4" t="s">
        <v>1270</v>
      </c>
      <c r="J530" s="4" t="s">
        <v>1271</v>
      </c>
      <c r="K530" s="4" t="s">
        <v>139</v>
      </c>
      <c r="L530" s="4">
        <v>22154234</v>
      </c>
      <c r="M530" s="4">
        <v>22154234</v>
      </c>
      <c r="N530" s="4" t="s">
        <v>23</v>
      </c>
      <c r="O530" s="4" t="s">
        <v>41</v>
      </c>
      <c r="P530" s="4" t="s">
        <v>24</v>
      </c>
      <c r="Q530" s="4">
        <v>-4</v>
      </c>
    </row>
    <row r="531" spans="1:17">
      <c r="A531" s="3">
        <v>31119</v>
      </c>
      <c r="B531" s="4" t="s">
        <v>1350</v>
      </c>
      <c r="C531" s="4" t="s">
        <v>1351</v>
      </c>
      <c r="D531" s="4">
        <v>7652</v>
      </c>
      <c r="E531" s="4" t="s">
        <v>76</v>
      </c>
      <c r="F531" s="5">
        <v>163</v>
      </c>
      <c r="G531" s="5">
        <v>8</v>
      </c>
      <c r="H531" s="5">
        <v>3</v>
      </c>
      <c r="I531" s="4" t="s">
        <v>77</v>
      </c>
      <c r="J531" s="4" t="s">
        <v>78</v>
      </c>
      <c r="K531" s="4" t="s">
        <v>139</v>
      </c>
      <c r="L531" s="4">
        <v>22952122</v>
      </c>
      <c r="M531" s="4">
        <v>22952122</v>
      </c>
      <c r="N531" s="4" t="s">
        <v>23</v>
      </c>
      <c r="O531" s="4" t="s">
        <v>24</v>
      </c>
      <c r="P531" s="4" t="s">
        <v>41</v>
      </c>
      <c r="Q531" s="4">
        <v>10</v>
      </c>
    </row>
    <row r="532" spans="1:17">
      <c r="A532" s="3">
        <v>31119</v>
      </c>
      <c r="B532" s="4" t="s">
        <v>1352</v>
      </c>
      <c r="C532" s="4" t="s">
        <v>1353</v>
      </c>
      <c r="D532" s="4">
        <v>91646</v>
      </c>
      <c r="E532" s="4" t="s">
        <v>19</v>
      </c>
      <c r="F532" s="5">
        <v>767</v>
      </c>
      <c r="G532" s="5">
        <v>467</v>
      </c>
      <c r="H532" s="5">
        <v>156</v>
      </c>
      <c r="I532" s="4" t="s">
        <v>529</v>
      </c>
      <c r="J532" s="4" t="s">
        <v>530</v>
      </c>
      <c r="K532" s="4" t="s">
        <v>139</v>
      </c>
      <c r="L532" s="4">
        <v>33239408</v>
      </c>
      <c r="M532" s="4">
        <v>33239408</v>
      </c>
      <c r="N532" s="4" t="s">
        <v>23</v>
      </c>
      <c r="O532" s="4" t="s">
        <v>46</v>
      </c>
      <c r="P532" s="4" t="s">
        <v>25</v>
      </c>
      <c r="Q532" s="4">
        <v>2</v>
      </c>
    </row>
    <row r="533" spans="1:17" ht="30">
      <c r="A533" s="3">
        <v>31119</v>
      </c>
      <c r="B533" s="4" t="s">
        <v>1354</v>
      </c>
      <c r="C533" s="4" t="str">
        <f ca="1">"NM_001130917"&amp;IF(INFO("system")="mac",CHAR(13),CHAR(10))&amp;"NM_006866"</f>
        <v>NM_001130917_x000D_NM_006866</v>
      </c>
      <c r="D533" s="4">
        <v>11027</v>
      </c>
      <c r="E533" s="4" t="s">
        <v>232</v>
      </c>
      <c r="F533" s="5" t="s">
        <v>35</v>
      </c>
      <c r="G533" s="5" t="s">
        <v>35</v>
      </c>
      <c r="H533" s="5" t="s">
        <v>35</v>
      </c>
      <c r="I533" s="4" t="s">
        <v>35</v>
      </c>
      <c r="J533" s="4" t="s">
        <v>35</v>
      </c>
      <c r="K533" s="4" t="s">
        <v>139</v>
      </c>
      <c r="L533" s="4">
        <v>55087269</v>
      </c>
      <c r="M533" s="4">
        <v>55087269</v>
      </c>
      <c r="N533" s="4" t="s">
        <v>23</v>
      </c>
      <c r="O533" s="4" t="s">
        <v>41</v>
      </c>
      <c r="P533" s="4" t="s">
        <v>46</v>
      </c>
      <c r="Q533" s="4">
        <v>6</v>
      </c>
    </row>
    <row r="534" spans="1:17">
      <c r="A534" s="3">
        <v>31119</v>
      </c>
      <c r="B534" s="4" t="s">
        <v>1355</v>
      </c>
      <c r="C534" s="4" t="s">
        <v>1356</v>
      </c>
      <c r="D534" s="4">
        <v>256949</v>
      </c>
      <c r="E534" s="4" t="s">
        <v>19</v>
      </c>
      <c r="F534" s="5">
        <v>1112</v>
      </c>
      <c r="G534" s="5">
        <v>1046</v>
      </c>
      <c r="H534" s="5">
        <v>349</v>
      </c>
      <c r="I534" s="4" t="s">
        <v>442</v>
      </c>
      <c r="J534" s="4" t="s">
        <v>1357</v>
      </c>
      <c r="K534" s="4" t="s">
        <v>139</v>
      </c>
      <c r="L534" s="4">
        <v>8399665</v>
      </c>
      <c r="M534" s="4">
        <v>8399665</v>
      </c>
      <c r="N534" s="4" t="s">
        <v>23</v>
      </c>
      <c r="O534" s="4" t="s">
        <v>24</v>
      </c>
      <c r="P534" s="4" t="s">
        <v>46</v>
      </c>
      <c r="Q534" s="4">
        <v>-3</v>
      </c>
    </row>
    <row r="535" spans="1:17" ht="30">
      <c r="A535" s="3">
        <v>31119</v>
      </c>
      <c r="B535" s="4" t="s">
        <v>1358</v>
      </c>
      <c r="C535" s="4" t="str">
        <f ca="1">"NM_182847"&amp;IF(INFO("system")="mac",CHAR(13),CHAR(10))&amp;"NM_018674"</f>
        <v>NM_182847_x000D_NM_018674</v>
      </c>
      <c r="D535" s="4">
        <v>55515</v>
      </c>
      <c r="E535" s="4" t="s">
        <v>19</v>
      </c>
      <c r="F535" s="5">
        <v>1120</v>
      </c>
      <c r="G535" s="5">
        <v>946</v>
      </c>
      <c r="H535" s="5">
        <v>316</v>
      </c>
      <c r="I535" s="4" t="s">
        <v>154</v>
      </c>
      <c r="J535" s="4" t="s">
        <v>155</v>
      </c>
      <c r="K535" s="4" t="s">
        <v>172</v>
      </c>
      <c r="L535" s="4">
        <v>220380011</v>
      </c>
      <c r="M535" s="4">
        <v>220380011</v>
      </c>
      <c r="N535" s="4" t="s">
        <v>23</v>
      </c>
      <c r="O535" s="4" t="s">
        <v>24</v>
      </c>
      <c r="P535" s="4" t="s">
        <v>25</v>
      </c>
      <c r="Q535" s="4">
        <v>4</v>
      </c>
    </row>
    <row r="536" spans="1:17">
      <c r="A536" s="3">
        <v>31119</v>
      </c>
      <c r="B536" s="4" t="s">
        <v>1359</v>
      </c>
      <c r="C536" s="4" t="s">
        <v>1360</v>
      </c>
      <c r="D536" s="4">
        <v>3667</v>
      </c>
      <c r="E536" s="4" t="s">
        <v>19</v>
      </c>
      <c r="F536" s="5">
        <v>3722</v>
      </c>
      <c r="G536" s="5">
        <v>3670</v>
      </c>
      <c r="H536" s="5">
        <v>1224</v>
      </c>
      <c r="I536" s="4" t="s">
        <v>563</v>
      </c>
      <c r="J536" s="4" t="s">
        <v>588</v>
      </c>
      <c r="K536" s="4" t="s">
        <v>172</v>
      </c>
      <c r="L536" s="4">
        <v>227659785</v>
      </c>
      <c r="M536" s="4">
        <v>227659785</v>
      </c>
      <c r="N536" s="4" t="s">
        <v>23</v>
      </c>
      <c r="O536" s="4" t="s">
        <v>46</v>
      </c>
      <c r="P536" s="4" t="s">
        <v>24</v>
      </c>
      <c r="Q536" s="4">
        <v>1</v>
      </c>
    </row>
    <row r="537" spans="1:17">
      <c r="A537" s="3">
        <v>31119</v>
      </c>
      <c r="B537" s="4" t="s">
        <v>1361</v>
      </c>
      <c r="C537" s="4" t="s">
        <v>1362</v>
      </c>
      <c r="D537" s="4">
        <v>375316</v>
      </c>
      <c r="E537" s="4" t="s">
        <v>19</v>
      </c>
      <c r="F537" s="5">
        <v>1537</v>
      </c>
      <c r="G537" s="5">
        <v>1405</v>
      </c>
      <c r="H537" s="5">
        <v>469</v>
      </c>
      <c r="I537" s="4" t="s">
        <v>157</v>
      </c>
      <c r="J537" s="4" t="s">
        <v>158</v>
      </c>
      <c r="K537" s="4" t="s">
        <v>172</v>
      </c>
      <c r="L537" s="4">
        <v>238726964</v>
      </c>
      <c r="M537" s="4">
        <v>238726964</v>
      </c>
      <c r="N537" s="4" t="s">
        <v>23</v>
      </c>
      <c r="O537" s="4" t="s">
        <v>24</v>
      </c>
      <c r="P537" s="4" t="s">
        <v>46</v>
      </c>
      <c r="Q537" s="4">
        <v>-3</v>
      </c>
    </row>
    <row r="538" spans="1:17" ht="30">
      <c r="A538" s="3">
        <v>31119</v>
      </c>
      <c r="B538" s="4" t="s">
        <v>1363</v>
      </c>
      <c r="C538" s="4" t="str">
        <f ca="1">"NM_144949"&amp;IF(INFO("system")="mac",CHAR(13),CHAR(10))&amp;"NM_014011"</f>
        <v>NM_144949_x000D_NM_014011</v>
      </c>
      <c r="D538" s="4">
        <v>9655</v>
      </c>
      <c r="E538" s="4" t="s">
        <v>76</v>
      </c>
      <c r="F538" s="5" t="str">
        <f ca="1">"1315"&amp;IF(INFO("system")="mac",CHAR(13),CHAR(10))&amp;"1227"</f>
        <v>1315_x000D_1227</v>
      </c>
      <c r="G538" s="5">
        <v>1063</v>
      </c>
      <c r="H538" s="5">
        <v>355</v>
      </c>
      <c r="I538" s="4" t="s">
        <v>1243</v>
      </c>
      <c r="J538" s="4" t="s">
        <v>1244</v>
      </c>
      <c r="K538" s="4" t="s">
        <v>172</v>
      </c>
      <c r="L538" s="4">
        <v>46986732</v>
      </c>
      <c r="M538" s="4">
        <v>46986732</v>
      </c>
      <c r="N538" s="4" t="s">
        <v>23</v>
      </c>
      <c r="O538" s="4" t="s">
        <v>24</v>
      </c>
      <c r="P538" s="4" t="s">
        <v>41</v>
      </c>
      <c r="Q538" s="4">
        <v>3</v>
      </c>
    </row>
    <row r="539" spans="1:17" ht="30">
      <c r="A539" s="3">
        <v>31119</v>
      </c>
      <c r="B539" s="4" t="s">
        <v>922</v>
      </c>
      <c r="C539" s="4" t="str">
        <f ca="1">"NM_001039348"&amp;IF(INFO("system")="mac",CHAR(13),CHAR(10))&amp;"NM_001039349"</f>
        <v>NM_001039348_x000D_NM_001039349</v>
      </c>
      <c r="D539" s="4">
        <v>2202</v>
      </c>
      <c r="E539" s="4" t="s">
        <v>19</v>
      </c>
      <c r="F539" s="5" t="str">
        <f ca="1">"1792"&amp;IF(INFO("system")="mac",CHAR(13),CHAR(10))&amp;"1751"</f>
        <v>1792_x000D_1751</v>
      </c>
      <c r="G539" s="5">
        <v>1291</v>
      </c>
      <c r="H539" s="5">
        <v>431</v>
      </c>
      <c r="I539" s="4" t="s">
        <v>27</v>
      </c>
      <c r="J539" s="4" t="s">
        <v>1364</v>
      </c>
      <c r="K539" s="4" t="s">
        <v>172</v>
      </c>
      <c r="L539" s="4">
        <v>56097884</v>
      </c>
      <c r="M539" s="4">
        <v>56097884</v>
      </c>
      <c r="N539" s="4" t="s">
        <v>23</v>
      </c>
      <c r="O539" s="4" t="s">
        <v>46</v>
      </c>
      <c r="P539" s="4" t="s">
        <v>41</v>
      </c>
      <c r="Q539" s="4">
        <v>6</v>
      </c>
    </row>
    <row r="540" spans="1:17">
      <c r="A540" s="3">
        <v>31119</v>
      </c>
      <c r="B540" s="4" t="s">
        <v>1365</v>
      </c>
      <c r="C540" s="4" t="s">
        <v>1366</v>
      </c>
      <c r="D540" s="4">
        <v>30818</v>
      </c>
      <c r="E540" s="4" t="s">
        <v>19</v>
      </c>
      <c r="F540" s="5">
        <v>222</v>
      </c>
      <c r="G540" s="5">
        <v>107</v>
      </c>
      <c r="H540" s="5">
        <v>36</v>
      </c>
      <c r="I540" s="4" t="s">
        <v>1367</v>
      </c>
      <c r="J540" s="4" t="s">
        <v>1368</v>
      </c>
      <c r="K540" s="4" t="s">
        <v>172</v>
      </c>
      <c r="L540" s="4">
        <v>95976194</v>
      </c>
      <c r="M540" s="4">
        <v>95976194</v>
      </c>
      <c r="N540" s="4" t="s">
        <v>23</v>
      </c>
      <c r="O540" s="4" t="s">
        <v>24</v>
      </c>
      <c r="P540" s="4" t="s">
        <v>41</v>
      </c>
      <c r="Q540" s="4">
        <v>3</v>
      </c>
    </row>
    <row r="541" spans="1:17">
      <c r="A541" s="3">
        <v>31119</v>
      </c>
      <c r="B541" s="4" t="s">
        <v>1369</v>
      </c>
      <c r="C541" s="4" t="s">
        <v>1370</v>
      </c>
      <c r="D541" s="4">
        <v>4923</v>
      </c>
      <c r="E541" s="4" t="s">
        <v>19</v>
      </c>
      <c r="F541" s="5">
        <v>1417</v>
      </c>
      <c r="G541" s="5">
        <v>1046</v>
      </c>
      <c r="H541" s="5">
        <v>349</v>
      </c>
      <c r="I541" s="4" t="s">
        <v>64</v>
      </c>
      <c r="J541" s="4" t="s">
        <v>65</v>
      </c>
      <c r="K541" s="4" t="s">
        <v>188</v>
      </c>
      <c r="L541" s="4">
        <v>61391408</v>
      </c>
      <c r="M541" s="4">
        <v>61391408</v>
      </c>
      <c r="N541" s="4" t="s">
        <v>23</v>
      </c>
      <c r="O541" s="4" t="s">
        <v>46</v>
      </c>
      <c r="P541" s="4" t="s">
        <v>25</v>
      </c>
      <c r="Q541" s="4">
        <v>7</v>
      </c>
    </row>
    <row r="542" spans="1:17">
      <c r="A542" s="3">
        <v>31119</v>
      </c>
      <c r="B542" s="4" t="s">
        <v>1371</v>
      </c>
      <c r="C542" s="4" t="s">
        <v>1372</v>
      </c>
      <c r="D542" s="4">
        <v>170572</v>
      </c>
      <c r="E542" s="4" t="s">
        <v>232</v>
      </c>
      <c r="F542" s="5" t="s">
        <v>35</v>
      </c>
      <c r="G542" s="5" t="s">
        <v>35</v>
      </c>
      <c r="H542" s="5" t="s">
        <v>35</v>
      </c>
      <c r="I542" s="4" t="s">
        <v>35</v>
      </c>
      <c r="J542" s="4" t="s">
        <v>35</v>
      </c>
      <c r="K542" s="4" t="s">
        <v>201</v>
      </c>
      <c r="L542" s="4">
        <v>183772503</v>
      </c>
      <c r="M542" s="4">
        <v>183772503</v>
      </c>
      <c r="N542" s="4" t="s">
        <v>23</v>
      </c>
      <c r="O542" s="4" t="s">
        <v>46</v>
      </c>
      <c r="P542" s="4" t="s">
        <v>41</v>
      </c>
      <c r="Q542" s="4">
        <v>2</v>
      </c>
    </row>
    <row r="543" spans="1:17">
      <c r="A543" s="3">
        <v>31119</v>
      </c>
      <c r="B543" s="4" t="s">
        <v>1373</v>
      </c>
      <c r="C543" s="4" t="s">
        <v>1374</v>
      </c>
      <c r="D543" s="4">
        <v>57599</v>
      </c>
      <c r="E543" s="4" t="s">
        <v>76</v>
      </c>
      <c r="F543" s="5">
        <v>1016</v>
      </c>
      <c r="G543" s="5">
        <v>1006</v>
      </c>
      <c r="H543" s="5">
        <v>336</v>
      </c>
      <c r="I543" s="4" t="s">
        <v>1243</v>
      </c>
      <c r="J543" s="4" t="s">
        <v>1244</v>
      </c>
      <c r="K543" s="4" t="s">
        <v>201</v>
      </c>
      <c r="L543" s="4">
        <v>39119661</v>
      </c>
      <c r="M543" s="4">
        <v>39119661</v>
      </c>
      <c r="N543" s="4" t="s">
        <v>23</v>
      </c>
      <c r="O543" s="4" t="s">
        <v>24</v>
      </c>
      <c r="P543" s="4" t="s">
        <v>41</v>
      </c>
      <c r="Q543" s="4">
        <v>9</v>
      </c>
    </row>
    <row r="544" spans="1:17" ht="75">
      <c r="A544" s="3">
        <v>31119</v>
      </c>
      <c r="B544" s="4" t="s">
        <v>1375</v>
      </c>
      <c r="C544" s="4" t="str">
        <f ca="1">"NM_001206942"&amp;IF(INFO("system")="mac",CHAR(13),CHAR(10))&amp;"NM_001206945"&amp;IF(INFO("system")="mac",CHAR(13),CHAR(10))&amp;"NM_001206944"&amp;IF(INFO("system")="mac",CHAR(13),CHAR(10))&amp;"NM_006574"&amp;IF(INFO("system")="mac",CHAR(13),CHAR(10))&amp;"NM_001206943"</f>
        <v>NM_001206942_x000D_NM_001206945_x000D_NM_001206944_x000D_NM_006574_x000D_NM_001206943</v>
      </c>
      <c r="D544" s="4">
        <v>10675</v>
      </c>
      <c r="E544" s="4" t="s">
        <v>19</v>
      </c>
      <c r="F544" s="5" t="str">
        <f ca="1">"1192"&amp;IF(INFO("system")="mac",CHAR(13),CHAR(10))&amp;"1192"&amp;IF(INFO("system")="mac",CHAR(13),CHAR(10))&amp;"1114"&amp;IF(INFO("system")="mac",CHAR(13),CHAR(10))&amp;"1114"&amp;IF(INFO("system")="mac",CHAR(13),CHAR(10))&amp;"1114"</f>
        <v>1192_x000D_1192_x000D_1114_x000D_1114_x000D_1114</v>
      </c>
      <c r="G544" s="5" t="str">
        <f ca="1">"524"&amp;IF(INFO("system")="mac",CHAR(13),CHAR(10))&amp;"524"&amp;IF(INFO("system")="mac",CHAR(13),CHAR(10))&amp;"938"&amp;IF(INFO("system")="mac",CHAR(13),CHAR(10))&amp;"938"&amp;IF(INFO("system")="mac",CHAR(13),CHAR(10))&amp;"938"</f>
        <v>524_x000D_524_x000D_938_x000D_938_x000D_938</v>
      </c>
      <c r="H544" s="5" t="str">
        <f ca="1">"175"&amp;IF(INFO("system")="mac",CHAR(13),CHAR(10))&amp;"175"&amp;IF(INFO("system")="mac",CHAR(13),CHAR(10))&amp;"313"&amp;IF(INFO("system")="mac",CHAR(13),CHAR(10))&amp;"313"&amp;IF(INFO("system")="mac",CHAR(13),CHAR(10))&amp;"313"</f>
        <v>175_x000D_175_x000D_313_x000D_313_x000D_313</v>
      </c>
      <c r="I544" s="4" t="s">
        <v>1376</v>
      </c>
      <c r="J544" s="4" t="s">
        <v>1377</v>
      </c>
      <c r="K544" s="4" t="s">
        <v>201</v>
      </c>
      <c r="L544" s="4">
        <v>47618578</v>
      </c>
      <c r="M544" s="4">
        <v>47618578</v>
      </c>
      <c r="N544" s="4" t="s">
        <v>23</v>
      </c>
      <c r="O544" s="4" t="s">
        <v>24</v>
      </c>
      <c r="P544" s="4" t="s">
        <v>46</v>
      </c>
      <c r="Q544" s="4">
        <v>-1</v>
      </c>
    </row>
    <row r="545" spans="1:17" ht="75">
      <c r="A545" s="3">
        <v>31119</v>
      </c>
      <c r="B545" s="4" t="s">
        <v>1375</v>
      </c>
      <c r="C545" s="4" t="str">
        <f ca="1">"NM_001206942"&amp;IF(INFO("system")="mac",CHAR(13),CHAR(10))&amp;"NM_001206945"&amp;IF(INFO("system")="mac",CHAR(13),CHAR(10))&amp;"NM_001206944"&amp;IF(INFO("system")="mac",CHAR(13),CHAR(10))&amp;"NM_006574"&amp;IF(INFO("system")="mac",CHAR(13),CHAR(10))&amp;"NM_001206943"</f>
        <v>NM_001206942_x000D_NM_001206945_x000D_NM_001206944_x000D_NM_006574_x000D_NM_001206943</v>
      </c>
      <c r="D545" s="4">
        <v>10675</v>
      </c>
      <c r="E545" s="4" t="s">
        <v>19</v>
      </c>
      <c r="F545" s="5" t="str">
        <f ca="1">"1188"&amp;IF(INFO("system")="mac",CHAR(13),CHAR(10))&amp;"1188"&amp;IF(INFO("system")="mac",CHAR(13),CHAR(10))&amp;"1110"&amp;IF(INFO("system")="mac",CHAR(13),CHAR(10))&amp;"1110"&amp;IF(INFO("system")="mac",CHAR(13),CHAR(10))&amp;"1110"</f>
        <v>1188_x000D_1188_x000D_1110_x000D_1110_x000D_1110</v>
      </c>
      <c r="G545" s="5" t="str">
        <f ca="1">"520"&amp;IF(INFO("system")="mac",CHAR(13),CHAR(10))&amp;"520"&amp;IF(INFO("system")="mac",CHAR(13),CHAR(10))&amp;"934"&amp;IF(INFO("system")="mac",CHAR(13),CHAR(10))&amp;"934"&amp;IF(INFO("system")="mac",CHAR(13),CHAR(10))&amp;"934"</f>
        <v>520_x000D_520_x000D_934_x000D_934_x000D_934</v>
      </c>
      <c r="H545" s="5" t="str">
        <f ca="1">"174"&amp;IF(INFO("system")="mac",CHAR(13),CHAR(10))&amp;"174"&amp;IF(INFO("system")="mac",CHAR(13),CHAR(10))&amp;"312"&amp;IF(INFO("system")="mac",CHAR(13),CHAR(10))&amp;"312"&amp;IF(INFO("system")="mac",CHAR(13),CHAR(10))&amp;"312"</f>
        <v>174_x000D_174_x000D_312_x000D_312_x000D_312</v>
      </c>
      <c r="I545" s="4" t="s">
        <v>27</v>
      </c>
      <c r="J545" s="4" t="s">
        <v>28</v>
      </c>
      <c r="K545" s="4" t="s">
        <v>201</v>
      </c>
      <c r="L545" s="4">
        <v>47618582</v>
      </c>
      <c r="M545" s="4">
        <v>47618582</v>
      </c>
      <c r="N545" s="4" t="s">
        <v>23</v>
      </c>
      <c r="O545" s="4" t="s">
        <v>46</v>
      </c>
      <c r="P545" s="4" t="s">
        <v>41</v>
      </c>
      <c r="Q545" s="4">
        <v>-4</v>
      </c>
    </row>
    <row r="546" spans="1:17" ht="30">
      <c r="A546" s="3">
        <v>31119</v>
      </c>
      <c r="B546" s="4" t="s">
        <v>1378</v>
      </c>
      <c r="C546" s="4" t="str">
        <f ca="1">"NM_178173"&amp;IF(INFO("system")="mac",CHAR(13),CHAR(10))&amp;"NM_001135197"</f>
        <v>NM_178173_x000D_NM_001135197</v>
      </c>
      <c r="D546" s="4">
        <v>339834</v>
      </c>
      <c r="E546" s="4" t="s">
        <v>232</v>
      </c>
      <c r="F546" s="5" t="s">
        <v>35</v>
      </c>
      <c r="G546" s="5" t="s">
        <v>35</v>
      </c>
      <c r="H546" s="5" t="s">
        <v>35</v>
      </c>
      <c r="I546" s="4" t="s">
        <v>35</v>
      </c>
      <c r="J546" s="4" t="s">
        <v>35</v>
      </c>
      <c r="K546" s="4" t="s">
        <v>201</v>
      </c>
      <c r="L546" s="4">
        <v>49293562</v>
      </c>
      <c r="M546" s="4">
        <v>49293562</v>
      </c>
      <c r="N546" s="4" t="s">
        <v>23</v>
      </c>
      <c r="O546" s="4" t="s">
        <v>46</v>
      </c>
      <c r="P546" s="4" t="s">
        <v>24</v>
      </c>
      <c r="Q546" s="4">
        <v>6</v>
      </c>
    </row>
    <row r="547" spans="1:17" ht="45">
      <c r="A547" s="3">
        <v>31119</v>
      </c>
      <c r="B547" s="4" t="s">
        <v>1379</v>
      </c>
      <c r="C547" s="4" t="str">
        <f ca="1">"NM_001127493"&amp;IF(INFO("system")="mac",CHAR(13),CHAR(10))&amp;"NM_020977"&amp;IF(INFO("system")="mac",CHAR(13),CHAR(10))&amp;"NM_001148"</f>
        <v>NM_001127493_x000D_NM_020977_x000D_NM_001148</v>
      </c>
      <c r="D547" s="4">
        <v>287</v>
      </c>
      <c r="E547" s="4" t="s">
        <v>19</v>
      </c>
      <c r="F547" s="5" t="str">
        <f ca="1">"4727"&amp;IF(INFO("system")="mac",CHAR(13),CHAR(10))&amp;"4633"&amp;IF(INFO("system")="mac",CHAR(13),CHAR(10))&amp;"10888"</f>
        <v>4727_x000D_4633_x000D_10888</v>
      </c>
      <c r="G547" s="5" t="str">
        <f ca="1">"4506"&amp;IF(INFO("system")="mac",CHAR(13),CHAR(10))&amp;"4533"&amp;IF(INFO("system")="mac",CHAR(13),CHAR(10))&amp;"10788"</f>
        <v>4506_x000D_4533_x000D_10788</v>
      </c>
      <c r="H547" s="5" t="str">
        <f ca="1">"1502"&amp;IF(INFO("system")="mac",CHAR(13),CHAR(10))&amp;"1511"&amp;IF(INFO("system")="mac",CHAR(13),CHAR(10))&amp;"3596"</f>
        <v>1502_x000D_1511_x000D_3596</v>
      </c>
      <c r="I547" s="4" t="s">
        <v>800</v>
      </c>
      <c r="J547" s="4" t="s">
        <v>1380</v>
      </c>
      <c r="K547" s="4" t="s">
        <v>220</v>
      </c>
      <c r="L547" s="4">
        <v>114284525</v>
      </c>
      <c r="M547" s="4">
        <v>114284525</v>
      </c>
      <c r="N547" s="4" t="s">
        <v>23</v>
      </c>
      <c r="O547" s="4" t="s">
        <v>24</v>
      </c>
      <c r="P547" s="4" t="s">
        <v>46</v>
      </c>
      <c r="Q547" s="4">
        <v>16</v>
      </c>
    </row>
    <row r="548" spans="1:17" ht="30">
      <c r="A548" s="3">
        <v>31119</v>
      </c>
      <c r="B548" s="4" t="s">
        <v>1381</v>
      </c>
      <c r="C548" s="4" t="s">
        <v>1382</v>
      </c>
      <c r="D548" s="4">
        <v>285527</v>
      </c>
      <c r="E548" s="4" t="s">
        <v>31</v>
      </c>
      <c r="F548" s="5" t="s">
        <v>1383</v>
      </c>
      <c r="G548" s="5" t="s">
        <v>1384</v>
      </c>
      <c r="H548" s="5" t="s">
        <v>1385</v>
      </c>
      <c r="I548" s="4" t="s">
        <v>35</v>
      </c>
      <c r="J548" s="4" t="s">
        <v>35</v>
      </c>
      <c r="K548" s="4" t="s">
        <v>220</v>
      </c>
      <c r="L548" s="4">
        <v>48514677</v>
      </c>
      <c r="M548" s="4">
        <v>48514692</v>
      </c>
      <c r="N548" s="4" t="s">
        <v>36</v>
      </c>
      <c r="O548" s="4" t="s">
        <v>1386</v>
      </c>
      <c r="P548" s="4"/>
      <c r="Q548" s="4">
        <v>1</v>
      </c>
    </row>
    <row r="549" spans="1:17">
      <c r="A549" s="3">
        <v>31119</v>
      </c>
      <c r="B549" s="4" t="s">
        <v>1387</v>
      </c>
      <c r="C549" s="4" t="s">
        <v>1388</v>
      </c>
      <c r="D549" s="4">
        <v>54360</v>
      </c>
      <c r="E549" s="4" t="s">
        <v>19</v>
      </c>
      <c r="F549" s="5">
        <v>131</v>
      </c>
      <c r="G549" s="5">
        <v>106</v>
      </c>
      <c r="H549" s="5">
        <v>36</v>
      </c>
      <c r="I549" s="4" t="s">
        <v>53</v>
      </c>
      <c r="J549" s="4" t="s">
        <v>54</v>
      </c>
      <c r="K549" s="4" t="s">
        <v>220</v>
      </c>
      <c r="L549" s="4">
        <v>5021067</v>
      </c>
      <c r="M549" s="4">
        <v>5021067</v>
      </c>
      <c r="N549" s="4" t="s">
        <v>23</v>
      </c>
      <c r="O549" s="4" t="s">
        <v>24</v>
      </c>
      <c r="P549" s="4" t="s">
        <v>41</v>
      </c>
      <c r="Q549" s="4">
        <v>16</v>
      </c>
    </row>
    <row r="550" spans="1:17">
      <c r="A550" s="3">
        <v>31119</v>
      </c>
      <c r="B550" s="4" t="s">
        <v>1389</v>
      </c>
      <c r="C550" s="4" t="s">
        <v>1390</v>
      </c>
      <c r="D550" s="4">
        <v>1834</v>
      </c>
      <c r="E550" s="4" t="s">
        <v>76</v>
      </c>
      <c r="F550" s="5">
        <v>2035</v>
      </c>
      <c r="G550" s="5">
        <v>1915</v>
      </c>
      <c r="H550" s="5">
        <v>639</v>
      </c>
      <c r="I550" s="4" t="s">
        <v>1102</v>
      </c>
      <c r="J550" s="4" t="s">
        <v>1103</v>
      </c>
      <c r="K550" s="4" t="s">
        <v>220</v>
      </c>
      <c r="L550" s="4">
        <v>88535729</v>
      </c>
      <c r="M550" s="4">
        <v>88535729</v>
      </c>
      <c r="N550" s="4" t="s">
        <v>23</v>
      </c>
      <c r="O550" s="4" t="s">
        <v>25</v>
      </c>
      <c r="P550" s="4" t="s">
        <v>41</v>
      </c>
      <c r="Q550" s="4">
        <v>7</v>
      </c>
    </row>
    <row r="551" spans="1:17">
      <c r="A551" s="3">
        <v>31119</v>
      </c>
      <c r="B551" s="4" t="s">
        <v>860</v>
      </c>
      <c r="C551" s="4" t="s">
        <v>861</v>
      </c>
      <c r="D551" s="4">
        <v>80315</v>
      </c>
      <c r="E551" s="4" t="s">
        <v>19</v>
      </c>
      <c r="F551" s="5">
        <v>2053</v>
      </c>
      <c r="G551" s="5">
        <v>647</v>
      </c>
      <c r="H551" s="5">
        <v>216</v>
      </c>
      <c r="I551" s="4" t="s">
        <v>332</v>
      </c>
      <c r="J551" s="4" t="s">
        <v>1140</v>
      </c>
      <c r="K551" s="4" t="s">
        <v>226</v>
      </c>
      <c r="L551" s="4">
        <v>173317383</v>
      </c>
      <c r="M551" s="4">
        <v>173317383</v>
      </c>
      <c r="N551" s="4" t="s">
        <v>23</v>
      </c>
      <c r="O551" s="4" t="s">
        <v>46</v>
      </c>
      <c r="P551" s="4" t="s">
        <v>41</v>
      </c>
      <c r="Q551" s="4">
        <v>6</v>
      </c>
    </row>
    <row r="552" spans="1:17">
      <c r="A552" s="3">
        <v>31119</v>
      </c>
      <c r="B552" s="4" t="s">
        <v>1391</v>
      </c>
      <c r="C552" s="4" t="s">
        <v>1392</v>
      </c>
      <c r="D552" s="4">
        <v>389434</v>
      </c>
      <c r="E552" s="4" t="s">
        <v>1167</v>
      </c>
      <c r="F552" s="5">
        <v>872</v>
      </c>
      <c r="G552" s="5">
        <v>732</v>
      </c>
      <c r="H552" s="5">
        <v>244</v>
      </c>
      <c r="I552" s="4" t="s">
        <v>199</v>
      </c>
      <c r="J552" s="4" t="s">
        <v>347</v>
      </c>
      <c r="K552" s="4" t="s">
        <v>237</v>
      </c>
      <c r="L552" s="4">
        <v>150716574</v>
      </c>
      <c r="M552" s="4">
        <v>150716574</v>
      </c>
      <c r="N552" s="4" t="s">
        <v>23</v>
      </c>
      <c r="O552" s="4" t="s">
        <v>46</v>
      </c>
      <c r="P552" s="4" t="s">
        <v>24</v>
      </c>
      <c r="Q552" s="4">
        <v>1</v>
      </c>
    </row>
    <row r="553" spans="1:17" ht="195">
      <c r="A553" s="3">
        <v>31119</v>
      </c>
      <c r="B553" s="4" t="s">
        <v>1393</v>
      </c>
      <c r="C553" s="4" t="str">
        <f ca="1">"NM_001145279"&amp;IF(INFO("system")="mac",CHAR(13),CHAR(10))&amp;"NM_001145280"&amp;IF(INFO("system")="mac",CHAR(13),CHAR(10))&amp;"NM_001008504"&amp;IF(INFO("system")="mac",CHAR(13),CHAR(10))&amp;"NM_000914"&amp;IF(INFO("system")="mac",CHAR(13),CHAR(10))&amp;"NM_001145281"&amp;IF(INFO("system")="mac",CHAR(13),CHAR(10))&amp;"NM_001145286"&amp;IF(INFO("system")="mac",CHAR(13),CHAR(10))&amp;"NM_001008503"&amp;IF(INFO("system")="mac",CHAR(13),CHAR(10))&amp;"NM_001145287"&amp;IF(INFO("system")="mac",CHAR(13),CHAR(10))&amp;"NM_001145283"&amp;IF(INFO("system")="mac",CHAR(13),CHAR(10))&amp;"NM_001145284"&amp;IF(INFO("system")="mac",CHAR(13),CHAR(10))&amp;"NM_001145285"&amp;IF(INFO("system")="mac",CHAR(13),CHAR(10))&amp;"NM_001145282"&amp;IF(INFO("system")="mac",CHAR(13),CHAR(10))&amp;"NM_001008505"</f>
        <v>NM_001145279_x000D_NM_001145280_x000D_NM_001008504_x000D_NM_000914_x000D_NM_001145281_x000D_NM_001145286_x000D_NM_001008503_x000D_NM_001145287_x000D_NM_001145283_x000D_NM_001145284_x000D_NM_001145285_x000D_NM_001145282_x000D_NM_001008505</v>
      </c>
      <c r="D553" s="4">
        <v>4988</v>
      </c>
      <c r="E553" s="4" t="s">
        <v>19</v>
      </c>
      <c r="F553" s="5" t="str">
        <f ca="1">"1376"&amp;IF(INFO("system")="mac",CHAR(13),CHAR(10))&amp;"807"&amp;IF(INFO("system")="mac",CHAR(13),CHAR(10))&amp;"816"&amp;IF(INFO("system")="mac",CHAR(13),CHAR(10))&amp;"816"&amp;IF(INFO("system")="mac",CHAR(13),CHAR(10))&amp;"348"&amp;IF(INFO("system")="mac",CHAR(13),CHAR(10))&amp;"816"&amp;IF(INFO("system")="mac",CHAR(13),CHAR(10))&amp;"816"&amp;IF(INFO("system")="mac",CHAR(13),CHAR(10))&amp;"1587"&amp;IF(INFO("system")="mac",CHAR(13),CHAR(10))&amp;"816"&amp;IF(INFO("system")="mac",CHAR(13),CHAR(10))&amp;"713"&amp;IF(INFO("system")="mac",CHAR(13),CHAR(10))&amp;"816"&amp;IF(INFO("system")="mac",CHAR(13),CHAR(10))&amp;"816"&amp;IF(INFO("system")="mac",CHAR(13),CHAR(10))&amp;"816"</f>
        <v>1376_x000D_807_x000D_816_x000D_816_x000D_348_x000D_816_x000D_816_x000D_1587_x000D_816_x000D_713_x000D_816_x000D_816_x000D_816</v>
      </c>
      <c r="G553" s="5" t="str">
        <f ca="1">"858"&amp;IF(INFO("system")="mac",CHAR(13),CHAR(10))&amp;"279"&amp;IF(INFO("system")="mac",CHAR(13),CHAR(10))&amp;"579"&amp;IF(INFO("system")="mac",CHAR(13),CHAR(10))&amp;"579"&amp;IF(INFO("system")="mac",CHAR(13),CHAR(10))&amp;"336"&amp;IF(INFO("system")="mac",CHAR(13),CHAR(10))&amp;"579"&amp;IF(INFO("system")="mac",CHAR(13),CHAR(10))&amp;"579"&amp;IF(INFO("system")="mac",CHAR(13),CHAR(10))&amp;"279"&amp;IF(INFO("system")="mac",CHAR(13),CHAR(10))&amp;"579"&amp;IF(INFO("system")="mac",CHAR(13),CHAR(10))&amp;"579"&amp;IF(INFO("system")="mac",CHAR(13),CHAR(10))&amp;"579"&amp;IF(INFO("system")="mac",CHAR(13),CHAR(10))&amp;"579"&amp;IF(INFO("system")="mac",CHAR(13),CHAR(10))&amp;"579"</f>
        <v>858_x000D_279_x000D_579_x000D_579_x000D_336_x000D_579_x000D_579_x000D_279_x000D_579_x000D_579_x000D_579_x000D_579_x000D_579</v>
      </c>
      <c r="H553" s="5" t="str">
        <f ca="1">"286"&amp;IF(INFO("system")="mac",CHAR(13),CHAR(10))&amp;"93"&amp;IF(INFO("system")="mac",CHAR(13),CHAR(10))&amp;"193"&amp;IF(INFO("system")="mac",CHAR(13),CHAR(10))&amp;"193"&amp;IF(INFO("system")="mac",CHAR(13),CHAR(10))&amp;"112"&amp;IF(INFO("system")="mac",CHAR(13),CHAR(10))&amp;"193"&amp;IF(INFO("system")="mac",CHAR(13),CHAR(10))&amp;"193"&amp;IF(INFO("system")="mac",CHAR(13),CHAR(10))&amp;"93"&amp;IF(INFO("system")="mac",CHAR(13),CHAR(10))&amp;"193"&amp;IF(INFO("system")="mac",CHAR(13),CHAR(10))&amp;"193"&amp;IF(INFO("system")="mac",CHAR(13),CHAR(10))&amp;"193"&amp;IF(INFO("system")="mac",CHAR(13),CHAR(10))&amp;"193"&amp;IF(INFO("system")="mac",CHAR(13),CHAR(10))&amp;"193"</f>
        <v>286_x000D_93_x000D_193_x000D_193_x000D_112_x000D_193_x000D_193_x000D_93_x000D_193_x000D_193_x000D_193_x000D_193_x000D_193</v>
      </c>
      <c r="I553" s="4" t="s">
        <v>360</v>
      </c>
      <c r="J553" s="4" t="s">
        <v>783</v>
      </c>
      <c r="K553" s="4" t="s">
        <v>237</v>
      </c>
      <c r="L553" s="4">
        <v>154411249</v>
      </c>
      <c r="M553" s="4">
        <v>154411249</v>
      </c>
      <c r="N553" s="4" t="s">
        <v>23</v>
      </c>
      <c r="O553" s="4" t="s">
        <v>46</v>
      </c>
      <c r="P553" s="4" t="s">
        <v>25</v>
      </c>
      <c r="Q553" s="4">
        <v>15</v>
      </c>
    </row>
    <row r="554" spans="1:17">
      <c r="A554" s="3">
        <v>31119</v>
      </c>
      <c r="B554" s="4" t="s">
        <v>1394</v>
      </c>
      <c r="C554" s="4" t="s">
        <v>1395</v>
      </c>
      <c r="D554" s="4">
        <v>8367</v>
      </c>
      <c r="E554" s="4" t="s">
        <v>19</v>
      </c>
      <c r="F554" s="5">
        <v>253</v>
      </c>
      <c r="G554" s="5">
        <v>253</v>
      </c>
      <c r="H554" s="5">
        <v>85</v>
      </c>
      <c r="I554" s="4" t="s">
        <v>791</v>
      </c>
      <c r="J554" s="4" t="s">
        <v>792</v>
      </c>
      <c r="K554" s="4" t="s">
        <v>237</v>
      </c>
      <c r="L554" s="4">
        <v>26205125</v>
      </c>
      <c r="M554" s="4">
        <v>26205125</v>
      </c>
      <c r="N554" s="4" t="s">
        <v>23</v>
      </c>
      <c r="O554" s="4" t="s">
        <v>25</v>
      </c>
      <c r="P554" s="4" t="s">
        <v>41</v>
      </c>
      <c r="Q554" s="4">
        <v>7</v>
      </c>
    </row>
    <row r="555" spans="1:17" ht="30">
      <c r="A555" s="3">
        <v>31119</v>
      </c>
      <c r="B555" s="4" t="s">
        <v>1396</v>
      </c>
      <c r="C555" s="4" t="str">
        <f ca="1">"NM_025263"&amp;IF(INFO("system")="mac",CHAR(13),CHAR(10))&amp;"NM_001077497"</f>
        <v>NM_025263_x000D_NM_001077497</v>
      </c>
      <c r="D555" s="4">
        <v>80742</v>
      </c>
      <c r="E555" s="4" t="s">
        <v>19</v>
      </c>
      <c r="F555" s="5" t="str">
        <f ca="1">"968"&amp;IF(INFO("system")="mac",CHAR(13),CHAR(10))&amp;"905"</f>
        <v>968_x000D_905</v>
      </c>
      <c r="G555" s="5" t="str">
        <f ca="1">"332"&amp;IF(INFO("system")="mac",CHAR(13),CHAR(10))&amp;"269"</f>
        <v>332_x000D_269</v>
      </c>
      <c r="H555" s="5" t="str">
        <f ca="1">"111"&amp;IF(INFO("system")="mac",CHAR(13),CHAR(10))&amp;"90"</f>
        <v>111_x000D_90</v>
      </c>
      <c r="I555" s="4" t="s">
        <v>332</v>
      </c>
      <c r="J555" s="4" t="s">
        <v>365</v>
      </c>
      <c r="K555" s="4" t="s">
        <v>237</v>
      </c>
      <c r="L555" s="4">
        <v>30529773</v>
      </c>
      <c r="M555" s="4">
        <v>30529773</v>
      </c>
      <c r="N555" s="4" t="s">
        <v>23</v>
      </c>
      <c r="O555" s="4" t="s">
        <v>46</v>
      </c>
      <c r="P555" s="4" t="s">
        <v>41</v>
      </c>
      <c r="Q555" s="4">
        <v>5</v>
      </c>
    </row>
    <row r="556" spans="1:17">
      <c r="A556" s="3">
        <v>31119</v>
      </c>
      <c r="B556" s="4" t="s">
        <v>1397</v>
      </c>
      <c r="C556" s="4" t="s">
        <v>1398</v>
      </c>
      <c r="D556" s="4">
        <v>4855</v>
      </c>
      <c r="E556" s="4" t="s">
        <v>19</v>
      </c>
      <c r="F556" s="5">
        <v>5508</v>
      </c>
      <c r="G556" s="5">
        <v>5369</v>
      </c>
      <c r="H556" s="5">
        <v>1790</v>
      </c>
      <c r="I556" s="4" t="s">
        <v>493</v>
      </c>
      <c r="J556" s="4" t="s">
        <v>1399</v>
      </c>
      <c r="K556" s="4" t="s">
        <v>237</v>
      </c>
      <c r="L556" s="4">
        <v>32163857</v>
      </c>
      <c r="M556" s="4">
        <v>32163857</v>
      </c>
      <c r="N556" s="4" t="s">
        <v>23</v>
      </c>
      <c r="O556" s="4" t="s">
        <v>46</v>
      </c>
      <c r="P556" s="4" t="s">
        <v>41</v>
      </c>
      <c r="Q556" s="4">
        <v>-3</v>
      </c>
    </row>
    <row r="557" spans="1:17" ht="45">
      <c r="A557" s="3">
        <v>31119</v>
      </c>
      <c r="B557" s="4" t="s">
        <v>1400</v>
      </c>
      <c r="C557" s="4" t="str">
        <f ca="1">"NM_014841"&amp;IF(INFO("system")="mac",CHAR(13),CHAR(10))&amp;"NM_001242792"&amp;IF(INFO("system")="mac",CHAR(13),CHAR(10))&amp;"NM_001242793"</f>
        <v>NM_014841_x000D_NM_001242792_x000D_NM_001242793</v>
      </c>
      <c r="D557" s="4">
        <v>9892</v>
      </c>
      <c r="E557" s="4" t="str">
        <f ca="1">"NON_SYNONYMOUS_CODING"&amp;IF(INFO("system")="mac",CHAR(13),CHAR(10))&amp;"NMD_TRANSCRIPT,NON_SYNONYMOUS_CODING"&amp;IF(INFO("system")="mac",CHAR(13),CHAR(10))&amp;"NMD_TRANSCRIPT,NON_SYNONYMOUS_CODING"</f>
        <v>NON_SYNONYMOUS_CODING_x000D_NMD_TRANSCRIPT,NON_SYNONYMOUS_CODING_x000D_NMD_TRANSCRIPT,NON_SYNONYMOUS_CODING</v>
      </c>
      <c r="F557" s="5" t="str">
        <f ca="1">"2041"&amp;IF(INFO("system")="mac",CHAR(13),CHAR(10))&amp;"2038"&amp;IF(INFO("system")="mac",CHAR(13),CHAR(10))&amp;"1831"</f>
        <v>2041_x000D_2038_x000D_1831</v>
      </c>
      <c r="G557" s="5" t="str">
        <f ca="1">"1724"&amp;IF(INFO("system")="mac",CHAR(13),CHAR(10))&amp;"1724"&amp;IF(INFO("system")="mac",CHAR(13),CHAR(10))&amp;"1718"</f>
        <v>1724_x000D_1724_x000D_1718</v>
      </c>
      <c r="H557" s="5" t="str">
        <f ca="1">"575"&amp;IF(INFO("system")="mac",CHAR(13),CHAR(10))&amp;"575"&amp;IF(INFO("system")="mac",CHAR(13),CHAR(10))&amp;"573"</f>
        <v>575_x000D_575_x000D_573</v>
      </c>
      <c r="I557" s="4" t="s">
        <v>229</v>
      </c>
      <c r="J557" s="4" t="s">
        <v>389</v>
      </c>
      <c r="K557" s="4" t="s">
        <v>237</v>
      </c>
      <c r="L557" s="4">
        <v>84302951</v>
      </c>
      <c r="M557" s="4">
        <v>84302951</v>
      </c>
      <c r="N557" s="4" t="s">
        <v>23</v>
      </c>
      <c r="O557" s="4" t="s">
        <v>24</v>
      </c>
      <c r="P557" s="4" t="s">
        <v>25</v>
      </c>
      <c r="Q557" s="4">
        <v>14</v>
      </c>
    </row>
    <row r="558" spans="1:17">
      <c r="A558" s="3">
        <v>31119</v>
      </c>
      <c r="B558" s="4" t="s">
        <v>402</v>
      </c>
      <c r="C558" s="4" t="s">
        <v>403</v>
      </c>
      <c r="D558" s="4">
        <v>168667</v>
      </c>
      <c r="E558" s="4" t="s">
        <v>19</v>
      </c>
      <c r="F558" s="5">
        <v>506</v>
      </c>
      <c r="G558" s="5">
        <v>392</v>
      </c>
      <c r="H558" s="5">
        <v>131</v>
      </c>
      <c r="I558" s="4" t="s">
        <v>137</v>
      </c>
      <c r="J558" s="4" t="s">
        <v>1288</v>
      </c>
      <c r="K558" s="4" t="s">
        <v>257</v>
      </c>
      <c r="L558" s="4">
        <v>34006163</v>
      </c>
      <c r="M558" s="4">
        <v>34006163</v>
      </c>
      <c r="N558" s="4" t="s">
        <v>23</v>
      </c>
      <c r="O558" s="4" t="s">
        <v>24</v>
      </c>
      <c r="P558" s="4" t="s">
        <v>41</v>
      </c>
      <c r="Q558" s="4">
        <v>5</v>
      </c>
    </row>
    <row r="559" spans="1:17">
      <c r="A559" s="3">
        <v>31119</v>
      </c>
      <c r="B559" s="4" t="s">
        <v>1401</v>
      </c>
      <c r="C559" s="4" t="s">
        <v>1402</v>
      </c>
      <c r="D559" s="4">
        <v>23414</v>
      </c>
      <c r="E559" s="4" t="s">
        <v>19</v>
      </c>
      <c r="F559" s="5">
        <v>2844</v>
      </c>
      <c r="G559" s="5">
        <v>2821</v>
      </c>
      <c r="H559" s="5">
        <v>941</v>
      </c>
      <c r="I559" s="4" t="s">
        <v>1067</v>
      </c>
      <c r="J559" s="4" t="s">
        <v>1088</v>
      </c>
      <c r="K559" s="4" t="s">
        <v>279</v>
      </c>
      <c r="L559" s="4">
        <v>106815131</v>
      </c>
      <c r="M559" s="4">
        <v>106815131</v>
      </c>
      <c r="N559" s="4" t="s">
        <v>23</v>
      </c>
      <c r="O559" s="4" t="s">
        <v>24</v>
      </c>
      <c r="P559" s="4" t="s">
        <v>41</v>
      </c>
      <c r="Q559" s="4">
        <v>7</v>
      </c>
    </row>
    <row r="560" spans="1:17" ht="60">
      <c r="A560" s="3">
        <v>31119</v>
      </c>
      <c r="B560" s="4" t="s">
        <v>1403</v>
      </c>
      <c r="C560" s="4" t="str">
        <f ca="1">"NM_018002"&amp;IF(INFO("system")="mac",CHAR(13),CHAR(10))&amp;"NM_001198533"&amp;IF(INFO("system")="mac",CHAR(13),CHAR(10))&amp;"NM_181354"&amp;IF(INFO("system")="mac",CHAR(13),CHAR(10))&amp;"NM_001198532"</f>
        <v>NM_018002_x000D_NM_001198533_x000D_NM_181354_x000D_NM_001198532</v>
      </c>
      <c r="D560" s="4">
        <v>55074</v>
      </c>
      <c r="E560" s="4" t="s">
        <v>19</v>
      </c>
      <c r="F560" s="5" t="str">
        <f ca="1">"2214"&amp;IF(INFO("system")="mac",CHAR(13),CHAR(10))&amp;"2214"&amp;IF(INFO("system")="mac",CHAR(13),CHAR(10))&amp;"2044"&amp;IF(INFO("system")="mac",CHAR(13),CHAR(10))&amp;"1988"</f>
        <v>2214_x000D_2214_x000D_2044_x000D_1988</v>
      </c>
      <c r="G560" s="5" t="str">
        <f ca="1">"1886"&amp;IF(INFO("system")="mac",CHAR(13),CHAR(10))&amp;"1886"&amp;IF(INFO("system")="mac",CHAR(13),CHAR(10))&amp;"1865"&amp;IF(INFO("system")="mac",CHAR(13),CHAR(10))&amp;"1889"</f>
        <v>1886_x000D_1886_x000D_1865_x000D_1889</v>
      </c>
      <c r="H560" s="5" t="str">
        <f ca="1">"629"&amp;IF(INFO("system")="mac",CHAR(13),CHAR(10))&amp;"629"&amp;IF(INFO("system")="mac",CHAR(13),CHAR(10))&amp;"622"&amp;IF(INFO("system")="mac",CHAR(13),CHAR(10))&amp;"630"</f>
        <v>629_x000D_629_x000D_622_x000D_630</v>
      </c>
      <c r="I560" s="4" t="s">
        <v>1404</v>
      </c>
      <c r="J560" s="4" t="s">
        <v>1405</v>
      </c>
      <c r="K560" s="4" t="s">
        <v>279</v>
      </c>
      <c r="L560" s="4">
        <v>107726143</v>
      </c>
      <c r="M560" s="4">
        <v>107726143</v>
      </c>
      <c r="N560" s="4" t="s">
        <v>23</v>
      </c>
      <c r="O560" s="4" t="s">
        <v>41</v>
      </c>
      <c r="P560" s="4" t="s">
        <v>24</v>
      </c>
      <c r="Q560" s="4">
        <v>-5</v>
      </c>
    </row>
    <row r="561" spans="1:17">
      <c r="A561" s="3">
        <v>31119</v>
      </c>
      <c r="B561" s="4" t="s">
        <v>1406</v>
      </c>
      <c r="C561" s="4" t="s">
        <v>1407</v>
      </c>
      <c r="D561" s="4">
        <v>54932</v>
      </c>
      <c r="E561" s="4" t="s">
        <v>76</v>
      </c>
      <c r="F561" s="5">
        <v>2396</v>
      </c>
      <c r="G561" s="5">
        <v>2200</v>
      </c>
      <c r="H561" s="5">
        <v>734</v>
      </c>
      <c r="I561" s="4" t="s">
        <v>370</v>
      </c>
      <c r="J561" s="4" t="s">
        <v>371</v>
      </c>
      <c r="K561" s="4" t="s">
        <v>292</v>
      </c>
      <c r="L561" s="4">
        <v>140204137</v>
      </c>
      <c r="M561" s="4">
        <v>140204137</v>
      </c>
      <c r="N561" s="4" t="s">
        <v>23</v>
      </c>
      <c r="O561" s="4" t="s">
        <v>24</v>
      </c>
      <c r="P561" s="4" t="s">
        <v>25</v>
      </c>
      <c r="Q561" s="4">
        <v>1</v>
      </c>
    </row>
    <row r="562" spans="1:17">
      <c r="A562" s="3">
        <v>31119</v>
      </c>
      <c r="B562" s="4" t="s">
        <v>1408</v>
      </c>
      <c r="C562" s="4" t="s">
        <v>1409</v>
      </c>
      <c r="D562" s="4">
        <v>53358</v>
      </c>
      <c r="E562" s="4" t="s">
        <v>19</v>
      </c>
      <c r="F562" s="5">
        <v>1166</v>
      </c>
      <c r="G562" s="5">
        <v>859</v>
      </c>
      <c r="H562" s="5">
        <v>287</v>
      </c>
      <c r="I562" s="4" t="s">
        <v>127</v>
      </c>
      <c r="J562" s="4" t="s">
        <v>1410</v>
      </c>
      <c r="K562" s="4" t="s">
        <v>292</v>
      </c>
      <c r="L562" s="4">
        <v>91667055</v>
      </c>
      <c r="M562" s="4">
        <v>91667055</v>
      </c>
      <c r="N562" s="4" t="s">
        <v>23</v>
      </c>
      <c r="O562" s="4" t="s">
        <v>46</v>
      </c>
      <c r="P562" s="4" t="s">
        <v>24</v>
      </c>
      <c r="Q562" s="4">
        <v>6</v>
      </c>
    </row>
    <row r="563" spans="1:17">
      <c r="A563" s="3">
        <v>31119</v>
      </c>
      <c r="B563" s="4" t="s">
        <v>1411</v>
      </c>
      <c r="C563" s="4" t="s">
        <v>1412</v>
      </c>
      <c r="D563" s="4">
        <v>154796</v>
      </c>
      <c r="E563" s="4" t="s">
        <v>19</v>
      </c>
      <c r="F563" s="5">
        <v>983</v>
      </c>
      <c r="G563" s="5">
        <v>983</v>
      </c>
      <c r="H563" s="5">
        <v>328</v>
      </c>
      <c r="I563" s="4" t="s">
        <v>116</v>
      </c>
      <c r="J563" s="4" t="s">
        <v>309</v>
      </c>
      <c r="K563" s="4" t="s">
        <v>418</v>
      </c>
      <c r="L563" s="4">
        <v>112058995</v>
      </c>
      <c r="M563" s="4">
        <v>112058995</v>
      </c>
      <c r="N563" s="4" t="s">
        <v>23</v>
      </c>
      <c r="O563" s="4" t="s">
        <v>24</v>
      </c>
      <c r="P563" s="4" t="s">
        <v>25</v>
      </c>
      <c r="Q563" s="4">
        <v>6</v>
      </c>
    </row>
    <row r="564" spans="1:17">
      <c r="A564" s="3">
        <v>31119</v>
      </c>
      <c r="B564" s="4" t="s">
        <v>1413</v>
      </c>
      <c r="C564" s="4" t="s">
        <v>1414</v>
      </c>
      <c r="D564" s="4">
        <v>139378</v>
      </c>
      <c r="E564" s="4" t="s">
        <v>19</v>
      </c>
      <c r="F564" s="5">
        <v>521</v>
      </c>
      <c r="G564" s="5">
        <v>230</v>
      </c>
      <c r="H564" s="5">
        <v>77</v>
      </c>
      <c r="I564" s="4" t="s">
        <v>1415</v>
      </c>
      <c r="J564" s="4" t="s">
        <v>1416</v>
      </c>
      <c r="K564" s="4" t="s">
        <v>418</v>
      </c>
      <c r="L564" s="4">
        <v>135405096</v>
      </c>
      <c r="M564" s="4">
        <v>135405096</v>
      </c>
      <c r="N564" s="4" t="s">
        <v>23</v>
      </c>
      <c r="O564" s="4" t="s">
        <v>41</v>
      </c>
      <c r="P564" s="4" t="s">
        <v>25</v>
      </c>
      <c r="Q564" s="4">
        <v>2</v>
      </c>
    </row>
    <row r="565" spans="1:17">
      <c r="A565" s="3">
        <v>31119</v>
      </c>
      <c r="B565" s="4" t="s">
        <v>1417</v>
      </c>
      <c r="C565" s="4" t="s">
        <v>1418</v>
      </c>
      <c r="D565" s="4">
        <v>9248</v>
      </c>
      <c r="E565" s="4" t="s">
        <v>19</v>
      </c>
      <c r="F565" s="5">
        <v>1198</v>
      </c>
      <c r="G565" s="5">
        <v>1060</v>
      </c>
      <c r="H565" s="5">
        <v>354</v>
      </c>
      <c r="I565" s="4" t="s">
        <v>123</v>
      </c>
      <c r="J565" s="4" t="s">
        <v>256</v>
      </c>
      <c r="K565" s="4" t="s">
        <v>418</v>
      </c>
      <c r="L565" s="4">
        <v>150349115</v>
      </c>
      <c r="M565" s="4">
        <v>150349115</v>
      </c>
      <c r="N565" s="4" t="s">
        <v>23</v>
      </c>
      <c r="O565" s="4" t="s">
        <v>24</v>
      </c>
      <c r="P565" s="4" t="s">
        <v>41</v>
      </c>
      <c r="Q565" s="4">
        <v>2</v>
      </c>
    </row>
    <row r="566" spans="1:17">
      <c r="A566" s="3">
        <v>31119</v>
      </c>
      <c r="B566" s="4" t="s">
        <v>1419</v>
      </c>
      <c r="C566" s="4" t="s">
        <v>1420</v>
      </c>
      <c r="D566" s="4">
        <v>158809</v>
      </c>
      <c r="E566" s="4" t="s">
        <v>19</v>
      </c>
      <c r="F566" s="5">
        <v>322</v>
      </c>
      <c r="G566" s="5">
        <v>173</v>
      </c>
      <c r="H566" s="5">
        <v>58</v>
      </c>
      <c r="I566" s="4" t="s">
        <v>229</v>
      </c>
      <c r="J566" s="4" t="s">
        <v>1421</v>
      </c>
      <c r="K566" s="4" t="s">
        <v>418</v>
      </c>
      <c r="L566" s="4">
        <v>26212136</v>
      </c>
      <c r="M566" s="4">
        <v>26212136</v>
      </c>
      <c r="N566" s="4" t="s">
        <v>23</v>
      </c>
      <c r="O566" s="4" t="s">
        <v>46</v>
      </c>
      <c r="P566" s="4" t="s">
        <v>41</v>
      </c>
      <c r="Q566" s="4">
        <v>5</v>
      </c>
    </row>
    <row r="567" spans="1:17" ht="30">
      <c r="A567" s="3">
        <v>31119</v>
      </c>
      <c r="B567" s="4" t="s">
        <v>1422</v>
      </c>
      <c r="C567" s="4" t="str">
        <f ca="1">"NM_001039590"&amp;IF(INFO("system")="mac",CHAR(13),CHAR(10))&amp;"NM_001039591"</f>
        <v>NM_001039590_x000D_NM_001039591</v>
      </c>
      <c r="D567" s="4">
        <v>8239</v>
      </c>
      <c r="E567" s="4" t="s">
        <v>19</v>
      </c>
      <c r="F567" s="5">
        <v>2654</v>
      </c>
      <c r="G567" s="5">
        <v>2021</v>
      </c>
      <c r="H567" s="5">
        <v>674</v>
      </c>
      <c r="I567" s="4" t="s">
        <v>229</v>
      </c>
      <c r="J567" s="4" t="s">
        <v>389</v>
      </c>
      <c r="K567" s="4" t="s">
        <v>418</v>
      </c>
      <c r="L567" s="4">
        <v>41025160</v>
      </c>
      <c r="M567" s="4">
        <v>41025160</v>
      </c>
      <c r="N567" s="4" t="s">
        <v>23</v>
      </c>
      <c r="O567" s="4" t="s">
        <v>46</v>
      </c>
      <c r="P567" s="4" t="s">
        <v>41</v>
      </c>
      <c r="Q567" s="4">
        <v>12</v>
      </c>
    </row>
    <row r="568" spans="1:17">
      <c r="A568" s="3">
        <v>31119</v>
      </c>
      <c r="B568" s="4" t="s">
        <v>1423</v>
      </c>
      <c r="C568" s="4" t="s">
        <v>1424</v>
      </c>
      <c r="D568" s="4">
        <v>3750</v>
      </c>
      <c r="E568" s="4" t="s">
        <v>19</v>
      </c>
      <c r="F568" s="5">
        <v>1722</v>
      </c>
      <c r="G568" s="5">
        <v>149</v>
      </c>
      <c r="H568" s="5">
        <v>50</v>
      </c>
      <c r="I568" s="4" t="s">
        <v>137</v>
      </c>
      <c r="J568" s="4" t="s">
        <v>1288</v>
      </c>
      <c r="K568" s="4" t="s">
        <v>418</v>
      </c>
      <c r="L568" s="4">
        <v>48826530</v>
      </c>
      <c r="M568" s="4">
        <v>48826530</v>
      </c>
      <c r="N568" s="4" t="s">
        <v>23</v>
      </c>
      <c r="O568" s="4" t="s">
        <v>46</v>
      </c>
      <c r="P568" s="4" t="s">
        <v>25</v>
      </c>
      <c r="Q568" s="4">
        <v>5</v>
      </c>
    </row>
    <row r="569" spans="1:17" ht="60">
      <c r="A569" s="3">
        <v>31119</v>
      </c>
      <c r="B569" s="4" t="s">
        <v>1425</v>
      </c>
      <c r="C569" s="4" t="str">
        <f ca="1">"NM_024859"&amp;IF(INFO("system")="mac",CHAR(13),CHAR(10))&amp;"NM_001099681"&amp;IF(INFO("system")="mac",CHAR(13),CHAR(10))&amp;"NM_001099680"&amp;IF(INFO("system")="mac",CHAR(13),CHAR(10))&amp;"NM_001099682"</f>
        <v>NM_024859_x000D_NM_001099681_x000D_NM_001099680_x000D_NM_001099682</v>
      </c>
      <c r="D569" s="4">
        <v>79917</v>
      </c>
      <c r="E569" s="4" t="s">
        <v>19</v>
      </c>
      <c r="F569" s="5" t="str">
        <f ca="1">"592"&amp;IF(INFO("system")="mac",CHAR(13),CHAR(10))&amp;"364"&amp;IF(INFO("system")="mac",CHAR(13),CHAR(10))&amp;"1079"&amp;IF(INFO("system")="mac",CHAR(13),CHAR(10))&amp;"364"</f>
        <v>592_x000D_364_x000D_1079_x000D_364</v>
      </c>
      <c r="G569" s="5" t="str">
        <f ca="1">"545"&amp;IF(INFO("system")="mac",CHAR(13),CHAR(10))&amp;"317"&amp;IF(INFO("system")="mac",CHAR(13),CHAR(10))&amp;"344"&amp;IF(INFO("system")="mac",CHAR(13),CHAR(10))&amp;"317"</f>
        <v>545_x000D_317_x000D_344_x000D_317</v>
      </c>
      <c r="H569" s="5" t="str">
        <f ca="1">"182"&amp;IF(INFO("system")="mac",CHAR(13),CHAR(10))&amp;"106"&amp;IF(INFO("system")="mac",CHAR(13),CHAR(10))&amp;"115"&amp;IF(INFO("system")="mac",CHAR(13),CHAR(10))&amp;"106"</f>
        <v>182_x000D_106_x000D_115_x000D_106</v>
      </c>
      <c r="I569" s="4" t="s">
        <v>740</v>
      </c>
      <c r="J569" s="4" t="s">
        <v>741</v>
      </c>
      <c r="K569" s="4" t="s">
        <v>418</v>
      </c>
      <c r="L569" s="4">
        <v>49021565</v>
      </c>
      <c r="M569" s="4">
        <v>49021565</v>
      </c>
      <c r="N569" s="4" t="s">
        <v>23</v>
      </c>
      <c r="O569" s="4" t="s">
        <v>46</v>
      </c>
      <c r="P569" s="4" t="s">
        <v>41</v>
      </c>
      <c r="Q569" s="4">
        <v>-2</v>
      </c>
    </row>
    <row r="570" spans="1:17" ht="30">
      <c r="A570" s="3">
        <v>31119</v>
      </c>
      <c r="B570" s="4" t="s">
        <v>1426</v>
      </c>
      <c r="C570" s="4" t="str">
        <f ca="1">"NR_030774"&amp;IF(INFO("system")="mac",CHAR(13),CHAR(10))&amp;"NM_145052"</f>
        <v>NR_030774_x000D_NM_145052</v>
      </c>
      <c r="D570" s="4">
        <v>139596</v>
      </c>
      <c r="E570" s="4" t="str">
        <f ca="1">"SPLICE_SITE,WITHIN_NON_CODING_GENE"&amp;IF(INFO("system")="mac",CHAR(13),CHAR(10))&amp;"NON_SYNONYMOUS_CODING,SPLICE_SITE"</f>
        <v>SPLICE_SITE,WITHIN_NON_CODING_GENE_x000D_NON_SYNONYMOUS_CODING,SPLICE_SITE</v>
      </c>
      <c r="F570" s="5" t="str">
        <f ca="1">"754"&amp;IF(INFO("system")="mac",CHAR(13),CHAR(10))&amp;"696"</f>
        <v>754_x000D_696</v>
      </c>
      <c r="G570" s="5" t="str">
        <f ca="1">"-"&amp;IF(INFO("system")="mac",CHAR(13),CHAR(10))&amp;"500"</f>
        <v>-_x000D_500</v>
      </c>
      <c r="H570" s="5" t="str">
        <f ca="1">"-"&amp;IF(INFO("system")="mac",CHAR(13),CHAR(10))&amp;"167"</f>
        <v>-_x000D_167</v>
      </c>
      <c r="I570" s="4" t="str">
        <f ca="1">"-"&amp;IF(INFO("system")="mac",CHAR(13),CHAR(10))&amp;"G/V"</f>
        <v>-_x000D_G/V</v>
      </c>
      <c r="J570" s="4" t="str">
        <f ca="1">"-"&amp;IF(INFO("system")="mac",CHAR(13),CHAR(10))&amp;"gGg/gTg"</f>
        <v>-_x000D_gGg/gTg</v>
      </c>
      <c r="K570" s="4" t="s">
        <v>418</v>
      </c>
      <c r="L570" s="4">
        <v>74517326</v>
      </c>
      <c r="M570" s="4">
        <v>74517326</v>
      </c>
      <c r="N570" s="4" t="s">
        <v>23</v>
      </c>
      <c r="O570" s="4" t="s">
        <v>24</v>
      </c>
      <c r="P570" s="4" t="s">
        <v>41</v>
      </c>
      <c r="Q570" s="4">
        <v>3</v>
      </c>
    </row>
    <row r="571" spans="1:17">
      <c r="A571" s="3" t="s">
        <v>1427</v>
      </c>
      <c r="B571" s="4" t="s">
        <v>1428</v>
      </c>
      <c r="C571" s="4" t="s">
        <v>1429</v>
      </c>
      <c r="D571" s="4">
        <v>339479</v>
      </c>
      <c r="E571" s="4" t="s">
        <v>76</v>
      </c>
      <c r="F571" s="5">
        <v>2410</v>
      </c>
      <c r="G571" s="5">
        <v>2178</v>
      </c>
      <c r="H571" s="5">
        <v>726</v>
      </c>
      <c r="I571" s="4" t="s">
        <v>208</v>
      </c>
      <c r="J571" s="4" t="s">
        <v>209</v>
      </c>
      <c r="K571" s="4" t="s">
        <v>22</v>
      </c>
      <c r="L571" s="4">
        <v>190067271</v>
      </c>
      <c r="M571" s="4">
        <v>190067271</v>
      </c>
      <c r="N571" s="4" t="s">
        <v>23</v>
      </c>
      <c r="O571" s="4" t="s">
        <v>24</v>
      </c>
      <c r="P571" s="4" t="s">
        <v>41</v>
      </c>
      <c r="Q571" s="4">
        <v>3</v>
      </c>
    </row>
    <row r="572" spans="1:17" ht="90">
      <c r="A572" s="3" t="s">
        <v>1427</v>
      </c>
      <c r="B572" s="4" t="s">
        <v>1430</v>
      </c>
      <c r="C572" s="4" t="str">
        <f ca="1">"NM_015090"&amp;IF(INFO("system")="mac",CHAR(13),CHAR(10))&amp;"NM_001005388"&amp;IF(INFO("system")="mac",CHAR(13),CHAR(10))&amp;"NM_001005389"&amp;IF(INFO("system")="mac",CHAR(13),CHAR(10))&amp;"NM_001160332"&amp;IF(INFO("system")="mac",CHAR(13),CHAR(10))&amp;"NM_001160333"&amp;IF(INFO("system")="mac",CHAR(13),CHAR(10))&amp;"NM_001160331"</f>
        <v>NM_015090_x000D_NM_001005388_x000D_NM_001005389_x000D_NM_001160332_x000D_NM_001160333_x000D_NM_001160331</v>
      </c>
      <c r="D572" s="4">
        <v>23114</v>
      </c>
      <c r="E572" s="4" t="s">
        <v>68</v>
      </c>
      <c r="F572" s="5" t="s">
        <v>35</v>
      </c>
      <c r="G572" s="5" t="s">
        <v>35</v>
      </c>
      <c r="H572" s="5" t="s">
        <v>35</v>
      </c>
      <c r="I572" s="4" t="s">
        <v>35</v>
      </c>
      <c r="J572" s="4" t="s">
        <v>35</v>
      </c>
      <c r="K572" s="4" t="s">
        <v>22</v>
      </c>
      <c r="L572" s="4">
        <v>204937489</v>
      </c>
      <c r="M572" s="4">
        <v>204937489</v>
      </c>
      <c r="N572" s="4" t="s">
        <v>23</v>
      </c>
      <c r="O572" s="4" t="s">
        <v>24</v>
      </c>
      <c r="P572" s="4" t="s">
        <v>41</v>
      </c>
      <c r="Q572" s="4">
        <v>4</v>
      </c>
    </row>
    <row r="573" spans="1:17">
      <c r="A573" s="3" t="s">
        <v>1427</v>
      </c>
      <c r="B573" s="4" t="s">
        <v>1431</v>
      </c>
      <c r="C573" s="4" t="s">
        <v>1432</v>
      </c>
      <c r="D573" s="4">
        <v>2701</v>
      </c>
      <c r="E573" s="4" t="s">
        <v>76</v>
      </c>
      <c r="F573" s="5">
        <v>392</v>
      </c>
      <c r="G573" s="5">
        <v>304</v>
      </c>
      <c r="H573" s="5">
        <v>102</v>
      </c>
      <c r="I573" s="4" t="s">
        <v>102</v>
      </c>
      <c r="J573" s="4" t="s">
        <v>103</v>
      </c>
      <c r="K573" s="4" t="s">
        <v>22</v>
      </c>
      <c r="L573" s="4">
        <v>35260118</v>
      </c>
      <c r="M573" s="4">
        <v>35260118</v>
      </c>
      <c r="N573" s="4" t="s">
        <v>23</v>
      </c>
      <c r="O573" s="4" t="s">
        <v>46</v>
      </c>
      <c r="P573" s="4" t="s">
        <v>41</v>
      </c>
      <c r="Q573" s="4">
        <v>8</v>
      </c>
    </row>
    <row r="574" spans="1:17">
      <c r="A574" s="3" t="s">
        <v>1427</v>
      </c>
      <c r="B574" s="4" t="s">
        <v>1433</v>
      </c>
      <c r="C574" s="4" t="s">
        <v>1434</v>
      </c>
      <c r="D574" s="4">
        <v>54933</v>
      </c>
      <c r="E574" s="4" t="s">
        <v>19</v>
      </c>
      <c r="F574" s="5">
        <v>292</v>
      </c>
      <c r="G574" s="5">
        <v>64</v>
      </c>
      <c r="H574" s="5">
        <v>22</v>
      </c>
      <c r="I574" s="4" t="s">
        <v>165</v>
      </c>
      <c r="J574" s="4" t="s">
        <v>758</v>
      </c>
      <c r="K574" s="4" t="s">
        <v>22</v>
      </c>
      <c r="L574" s="4">
        <v>39384821</v>
      </c>
      <c r="M574" s="4">
        <v>39384821</v>
      </c>
      <c r="N574" s="4" t="s">
        <v>23</v>
      </c>
      <c r="O574" s="4" t="s">
        <v>46</v>
      </c>
      <c r="P574" s="4" t="s">
        <v>41</v>
      </c>
      <c r="Q574" s="4">
        <v>11</v>
      </c>
    </row>
    <row r="575" spans="1:17" ht="30">
      <c r="A575" s="3" t="s">
        <v>1427</v>
      </c>
      <c r="B575" s="4" t="s">
        <v>308</v>
      </c>
      <c r="C575" s="4" t="s">
        <v>1435</v>
      </c>
      <c r="D575" s="4">
        <v>23499</v>
      </c>
      <c r="E575" s="4" t="s">
        <v>1436</v>
      </c>
      <c r="F575" s="5" t="s">
        <v>35</v>
      </c>
      <c r="G575" s="5" t="s">
        <v>35</v>
      </c>
      <c r="H575" s="5" t="s">
        <v>35</v>
      </c>
      <c r="I575" s="4" t="s">
        <v>35</v>
      </c>
      <c r="J575" s="4" t="s">
        <v>35</v>
      </c>
      <c r="K575" s="4" t="s">
        <v>22</v>
      </c>
      <c r="L575" s="4">
        <v>39776498</v>
      </c>
      <c r="M575" s="4">
        <v>39776507</v>
      </c>
      <c r="N575" s="4" t="s">
        <v>36</v>
      </c>
      <c r="O575" s="4" t="s">
        <v>1437</v>
      </c>
      <c r="P575" s="4"/>
      <c r="Q575" s="4">
        <v>4</v>
      </c>
    </row>
    <row r="576" spans="1:17">
      <c r="A576" s="3" t="s">
        <v>1427</v>
      </c>
      <c r="B576" s="4" t="s">
        <v>1438</v>
      </c>
      <c r="C576" s="4" t="s">
        <v>1439</v>
      </c>
      <c r="D576" s="4">
        <v>8028</v>
      </c>
      <c r="E576" s="4" t="s">
        <v>19</v>
      </c>
      <c r="F576" s="5">
        <v>605</v>
      </c>
      <c r="G576" s="5">
        <v>256</v>
      </c>
      <c r="H576" s="5">
        <v>86</v>
      </c>
      <c r="I576" s="4" t="s">
        <v>20</v>
      </c>
      <c r="J576" s="4" t="s">
        <v>1440</v>
      </c>
      <c r="K576" s="4" t="s">
        <v>69</v>
      </c>
      <c r="L576" s="4">
        <v>21840760</v>
      </c>
      <c r="M576" s="4">
        <v>21840760</v>
      </c>
      <c r="N576" s="4" t="s">
        <v>23</v>
      </c>
      <c r="O576" s="4" t="s">
        <v>24</v>
      </c>
      <c r="P576" s="4" t="s">
        <v>25</v>
      </c>
      <c r="Q576" s="4">
        <v>3</v>
      </c>
    </row>
    <row r="577" spans="1:17">
      <c r="A577" s="3" t="s">
        <v>1427</v>
      </c>
      <c r="B577" s="4" t="s">
        <v>1441</v>
      </c>
      <c r="C577" s="4" t="s">
        <v>1442</v>
      </c>
      <c r="D577" s="4">
        <v>2352</v>
      </c>
      <c r="E577" s="4" t="s">
        <v>19</v>
      </c>
      <c r="F577" s="5">
        <v>253</v>
      </c>
      <c r="G577" s="5">
        <v>203</v>
      </c>
      <c r="H577" s="5">
        <v>68</v>
      </c>
      <c r="I577" s="4" t="s">
        <v>229</v>
      </c>
      <c r="J577" s="4" t="s">
        <v>1421</v>
      </c>
      <c r="K577" s="4" t="s">
        <v>83</v>
      </c>
      <c r="L577" s="4">
        <v>71850041</v>
      </c>
      <c r="M577" s="4">
        <v>71850041</v>
      </c>
      <c r="N577" s="4" t="s">
        <v>23</v>
      </c>
      <c r="O577" s="4" t="s">
        <v>46</v>
      </c>
      <c r="P577" s="4" t="s">
        <v>41</v>
      </c>
      <c r="Q577" s="4">
        <v>11</v>
      </c>
    </row>
    <row r="578" spans="1:17">
      <c r="A578" s="3" t="s">
        <v>1427</v>
      </c>
      <c r="B578" s="4" t="s">
        <v>1443</v>
      </c>
      <c r="C578" s="4" t="s">
        <v>1444</v>
      </c>
      <c r="D578" s="4">
        <v>4940</v>
      </c>
      <c r="E578" s="4" t="s">
        <v>76</v>
      </c>
      <c r="F578" s="5">
        <v>2656</v>
      </c>
      <c r="G578" s="5">
        <v>2569</v>
      </c>
      <c r="H578" s="5">
        <v>857</v>
      </c>
      <c r="I578" s="4" t="s">
        <v>262</v>
      </c>
      <c r="J578" s="4" t="s">
        <v>263</v>
      </c>
      <c r="K578" s="4" t="s">
        <v>104</v>
      </c>
      <c r="L578" s="4">
        <v>113403714</v>
      </c>
      <c r="M578" s="4">
        <v>113403714</v>
      </c>
      <c r="N578" s="4" t="s">
        <v>23</v>
      </c>
      <c r="O578" s="4" t="s">
        <v>24</v>
      </c>
      <c r="P578" s="4" t="s">
        <v>41</v>
      </c>
      <c r="Q578" s="4">
        <v>1</v>
      </c>
    </row>
    <row r="579" spans="1:17">
      <c r="A579" s="3" t="s">
        <v>1427</v>
      </c>
      <c r="B579" s="4" t="s">
        <v>1445</v>
      </c>
      <c r="C579" s="4" t="s">
        <v>1446</v>
      </c>
      <c r="D579" s="4">
        <v>115811</v>
      </c>
      <c r="E579" s="4" t="s">
        <v>19</v>
      </c>
      <c r="F579" s="5">
        <v>866</v>
      </c>
      <c r="G579" s="5">
        <v>694</v>
      </c>
      <c r="H579" s="5">
        <v>232</v>
      </c>
      <c r="I579" s="4" t="s">
        <v>165</v>
      </c>
      <c r="J579" s="4" t="s">
        <v>758</v>
      </c>
      <c r="K579" s="4" t="s">
        <v>104</v>
      </c>
      <c r="L579" s="4">
        <v>113645278</v>
      </c>
      <c r="M579" s="4">
        <v>113645278</v>
      </c>
      <c r="N579" s="4" t="s">
        <v>23</v>
      </c>
      <c r="O579" s="4" t="s">
        <v>46</v>
      </c>
      <c r="P579" s="4" t="s">
        <v>41</v>
      </c>
      <c r="Q579" s="4">
        <v>6</v>
      </c>
    </row>
    <row r="580" spans="1:17" ht="30">
      <c r="A580" s="3" t="s">
        <v>1427</v>
      </c>
      <c r="B580" s="4" t="s">
        <v>1447</v>
      </c>
      <c r="C580" s="4" t="str">
        <f ca="1">"NM_033624"&amp;IF(INFO("system")="mac",CHAR(13),CHAR(10))&amp;"NM_015002"</f>
        <v>NM_033624_x000D_NM_015002</v>
      </c>
      <c r="D580" s="4">
        <v>23014</v>
      </c>
      <c r="E580" s="4" t="s">
        <v>19</v>
      </c>
      <c r="F580" s="5">
        <v>659</v>
      </c>
      <c r="G580" s="5">
        <v>620</v>
      </c>
      <c r="H580" s="5">
        <v>207</v>
      </c>
      <c r="I580" s="4" t="s">
        <v>393</v>
      </c>
      <c r="J580" s="4" t="s">
        <v>955</v>
      </c>
      <c r="K580" s="4" t="s">
        <v>104</v>
      </c>
      <c r="L580" s="4">
        <v>117612575</v>
      </c>
      <c r="M580" s="4">
        <v>117612575</v>
      </c>
      <c r="N580" s="4" t="s">
        <v>23</v>
      </c>
      <c r="O580" s="4" t="s">
        <v>41</v>
      </c>
      <c r="P580" s="4" t="s">
        <v>46</v>
      </c>
      <c r="Q580" s="4">
        <v>4</v>
      </c>
    </row>
    <row r="581" spans="1:17" ht="45">
      <c r="A581" s="3" t="s">
        <v>1427</v>
      </c>
      <c r="B581" s="4" t="s">
        <v>1448</v>
      </c>
      <c r="C581" s="4" t="str">
        <f ca="1">"NM_001082972"&amp;IF(INFO("system")="mac",CHAR(13),CHAR(10))&amp;"NM_001204102"&amp;IF(INFO("system")="mac",CHAR(13),CHAR(10))&amp;"NM_018272"</f>
        <v>NM_001082972_x000D_NM_001204102_x000D_NM_018272</v>
      </c>
      <c r="D581" s="4">
        <v>55259</v>
      </c>
      <c r="E581" s="4" t="s">
        <v>232</v>
      </c>
      <c r="F581" s="5" t="s">
        <v>35</v>
      </c>
      <c r="G581" s="5" t="s">
        <v>35</v>
      </c>
      <c r="H581" s="5" t="s">
        <v>35</v>
      </c>
      <c r="I581" s="4" t="s">
        <v>35</v>
      </c>
      <c r="J581" s="4" t="s">
        <v>35</v>
      </c>
      <c r="K581" s="4" t="s">
        <v>104</v>
      </c>
      <c r="L581" s="4">
        <v>25343568</v>
      </c>
      <c r="M581" s="4">
        <v>25343568</v>
      </c>
      <c r="N581" s="4" t="s">
        <v>23</v>
      </c>
      <c r="O581" s="4" t="s">
        <v>25</v>
      </c>
      <c r="P581" s="4" t="s">
        <v>24</v>
      </c>
      <c r="Q581" s="4">
        <v>9</v>
      </c>
    </row>
    <row r="582" spans="1:17">
      <c r="A582" s="3" t="s">
        <v>1427</v>
      </c>
      <c r="B582" s="4" t="s">
        <v>1449</v>
      </c>
      <c r="C582" s="4" t="s">
        <v>1450</v>
      </c>
      <c r="D582" s="4">
        <v>100506072</v>
      </c>
      <c r="E582" s="4" t="s">
        <v>19</v>
      </c>
      <c r="F582" s="5">
        <v>1126</v>
      </c>
      <c r="G582" s="5">
        <v>822</v>
      </c>
      <c r="H582" s="5">
        <v>274</v>
      </c>
      <c r="I582" s="4" t="s">
        <v>315</v>
      </c>
      <c r="J582" s="4" t="s">
        <v>316</v>
      </c>
      <c r="K582" s="4" t="s">
        <v>104</v>
      </c>
      <c r="L582" s="4">
        <v>40951929</v>
      </c>
      <c r="M582" s="4">
        <v>40951929</v>
      </c>
      <c r="N582" s="4" t="s">
        <v>23</v>
      </c>
      <c r="O582" s="4" t="s">
        <v>46</v>
      </c>
      <c r="P582" s="4" t="s">
        <v>25</v>
      </c>
      <c r="Q582" s="4">
        <v>18</v>
      </c>
    </row>
    <row r="583" spans="1:17">
      <c r="A583" s="3" t="s">
        <v>1427</v>
      </c>
      <c r="B583" s="4" t="s">
        <v>1451</v>
      </c>
      <c r="C583" s="4" t="s">
        <v>1452</v>
      </c>
      <c r="D583" s="4">
        <v>9107</v>
      </c>
      <c r="E583" s="4" t="s">
        <v>232</v>
      </c>
      <c r="F583" s="5" t="s">
        <v>35</v>
      </c>
      <c r="G583" s="5" t="s">
        <v>35</v>
      </c>
      <c r="H583" s="5" t="s">
        <v>35</v>
      </c>
      <c r="I583" s="4" t="s">
        <v>35</v>
      </c>
      <c r="J583" s="4" t="s">
        <v>35</v>
      </c>
      <c r="K583" s="4" t="s">
        <v>339</v>
      </c>
      <c r="L583" s="4">
        <v>25835948</v>
      </c>
      <c r="M583" s="4">
        <v>25835948</v>
      </c>
      <c r="N583" s="4" t="s">
        <v>23</v>
      </c>
      <c r="O583" s="4" t="s">
        <v>41</v>
      </c>
      <c r="P583" s="4" t="s">
        <v>24</v>
      </c>
      <c r="Q583" s="4">
        <v>16</v>
      </c>
    </row>
    <row r="584" spans="1:17">
      <c r="A584" s="3" t="s">
        <v>1427</v>
      </c>
      <c r="B584" s="4" t="s">
        <v>1453</v>
      </c>
      <c r="C584" s="4" t="s">
        <v>1454</v>
      </c>
      <c r="D584" s="4">
        <v>23077</v>
      </c>
      <c r="E584" s="4" t="s">
        <v>19</v>
      </c>
      <c r="F584" s="5">
        <v>4394</v>
      </c>
      <c r="G584" s="5">
        <v>4127</v>
      </c>
      <c r="H584" s="5">
        <v>1376</v>
      </c>
      <c r="I584" s="4" t="s">
        <v>229</v>
      </c>
      <c r="J584" s="4" t="s">
        <v>230</v>
      </c>
      <c r="K584" s="4" t="s">
        <v>339</v>
      </c>
      <c r="L584" s="4">
        <v>77764414</v>
      </c>
      <c r="M584" s="4">
        <v>77764414</v>
      </c>
      <c r="N584" s="4" t="s">
        <v>23</v>
      </c>
      <c r="O584" s="4" t="s">
        <v>24</v>
      </c>
      <c r="P584" s="4" t="s">
        <v>25</v>
      </c>
      <c r="Q584" s="4">
        <v>1</v>
      </c>
    </row>
    <row r="585" spans="1:17">
      <c r="A585" s="3" t="s">
        <v>1427</v>
      </c>
      <c r="B585" s="4" t="s">
        <v>1455</v>
      </c>
      <c r="C585" s="4" t="s">
        <v>1456</v>
      </c>
      <c r="D585" s="4">
        <v>79596</v>
      </c>
      <c r="E585" s="4" t="s">
        <v>19</v>
      </c>
      <c r="F585" s="5">
        <v>2025</v>
      </c>
      <c r="G585" s="5">
        <v>1966</v>
      </c>
      <c r="H585" s="5">
        <v>656</v>
      </c>
      <c r="I585" s="4" t="s">
        <v>312</v>
      </c>
      <c r="J585" s="4" t="s">
        <v>1131</v>
      </c>
      <c r="K585" s="4" t="s">
        <v>339</v>
      </c>
      <c r="L585" s="4">
        <v>79189930</v>
      </c>
      <c r="M585" s="4">
        <v>79189930</v>
      </c>
      <c r="N585" s="4" t="s">
        <v>23</v>
      </c>
      <c r="O585" s="4" t="s">
        <v>25</v>
      </c>
      <c r="P585" s="4" t="s">
        <v>46</v>
      </c>
      <c r="Q585" s="4">
        <v>12</v>
      </c>
    </row>
    <row r="586" spans="1:17">
      <c r="A586" s="3" t="s">
        <v>1427</v>
      </c>
      <c r="B586" s="4" t="s">
        <v>1457</v>
      </c>
      <c r="C586" s="4" t="s">
        <v>1458</v>
      </c>
      <c r="D586" s="4">
        <v>388015</v>
      </c>
      <c r="E586" s="4" t="s">
        <v>19</v>
      </c>
      <c r="F586" s="5">
        <v>3901</v>
      </c>
      <c r="G586" s="5">
        <v>3842</v>
      </c>
      <c r="H586" s="5">
        <v>1281</v>
      </c>
      <c r="I586" s="4" t="s">
        <v>137</v>
      </c>
      <c r="J586" s="4" t="s">
        <v>1288</v>
      </c>
      <c r="K586" s="4" t="s">
        <v>118</v>
      </c>
      <c r="L586" s="4">
        <v>101347284</v>
      </c>
      <c r="M586" s="4">
        <v>101347284</v>
      </c>
      <c r="N586" s="4" t="s">
        <v>23</v>
      </c>
      <c r="O586" s="4" t="s">
        <v>46</v>
      </c>
      <c r="P586" s="4" t="s">
        <v>25</v>
      </c>
      <c r="Q586" s="4">
        <v>11</v>
      </c>
    </row>
    <row r="587" spans="1:17">
      <c r="A587" s="3" t="s">
        <v>1427</v>
      </c>
      <c r="B587" s="4" t="s">
        <v>1459</v>
      </c>
      <c r="C587" s="4" t="s">
        <v>1460</v>
      </c>
      <c r="D587" s="4">
        <v>663</v>
      </c>
      <c r="E587" s="4" t="s">
        <v>19</v>
      </c>
      <c r="F587" s="5">
        <v>1238</v>
      </c>
      <c r="G587" s="5">
        <v>1235</v>
      </c>
      <c r="H587" s="5">
        <v>412</v>
      </c>
      <c r="I587" s="4" t="s">
        <v>408</v>
      </c>
      <c r="J587" s="4" t="s">
        <v>409</v>
      </c>
      <c r="K587" s="4" t="s">
        <v>120</v>
      </c>
      <c r="L587" s="4">
        <v>59961112</v>
      </c>
      <c r="M587" s="4">
        <v>59961112</v>
      </c>
      <c r="N587" s="4" t="s">
        <v>23</v>
      </c>
      <c r="O587" s="4" t="s">
        <v>46</v>
      </c>
      <c r="P587" s="4" t="s">
        <v>24</v>
      </c>
      <c r="Q587" s="4">
        <v>9</v>
      </c>
    </row>
    <row r="588" spans="1:17">
      <c r="A588" s="3" t="s">
        <v>1427</v>
      </c>
      <c r="B588" s="4" t="s">
        <v>1461</v>
      </c>
      <c r="C588" s="4" t="s">
        <v>1462</v>
      </c>
      <c r="D588" s="4">
        <v>161502</v>
      </c>
      <c r="E588" s="4" t="s">
        <v>19</v>
      </c>
      <c r="F588" s="5">
        <v>593</v>
      </c>
      <c r="G588" s="5">
        <v>566</v>
      </c>
      <c r="H588" s="5">
        <v>189</v>
      </c>
      <c r="I588" s="4" t="s">
        <v>680</v>
      </c>
      <c r="J588" s="4" t="s">
        <v>681</v>
      </c>
      <c r="K588" s="4" t="s">
        <v>120</v>
      </c>
      <c r="L588" s="4">
        <v>81436091</v>
      </c>
      <c r="M588" s="4">
        <v>81436091</v>
      </c>
      <c r="N588" s="4" t="s">
        <v>23</v>
      </c>
      <c r="O588" s="4" t="s">
        <v>25</v>
      </c>
      <c r="P588" s="4" t="s">
        <v>24</v>
      </c>
      <c r="Q588" s="4">
        <v>5</v>
      </c>
    </row>
    <row r="589" spans="1:17">
      <c r="A589" s="3" t="s">
        <v>1427</v>
      </c>
      <c r="B589" s="4" t="s">
        <v>1463</v>
      </c>
      <c r="C589" s="4" t="s">
        <v>1464</v>
      </c>
      <c r="D589" s="4">
        <v>342125</v>
      </c>
      <c r="E589" s="4" t="s">
        <v>19</v>
      </c>
      <c r="F589" s="5">
        <v>2264</v>
      </c>
      <c r="G589" s="5">
        <v>2264</v>
      </c>
      <c r="H589" s="5">
        <v>755</v>
      </c>
      <c r="I589" s="4" t="s">
        <v>707</v>
      </c>
      <c r="J589" s="4" t="s">
        <v>708</v>
      </c>
      <c r="K589" s="4" t="s">
        <v>120</v>
      </c>
      <c r="L589" s="4">
        <v>81627256</v>
      </c>
      <c r="M589" s="4">
        <v>81627256</v>
      </c>
      <c r="N589" s="4" t="s">
        <v>23</v>
      </c>
      <c r="O589" s="4" t="s">
        <v>46</v>
      </c>
      <c r="P589" s="4" t="s">
        <v>41</v>
      </c>
      <c r="Q589" s="4">
        <v>2</v>
      </c>
    </row>
    <row r="590" spans="1:17" ht="30">
      <c r="A590" s="3" t="s">
        <v>1427</v>
      </c>
      <c r="B590" s="4" t="s">
        <v>1465</v>
      </c>
      <c r="C590" s="4" t="s">
        <v>1466</v>
      </c>
      <c r="D590" s="4">
        <v>100144604</v>
      </c>
      <c r="E590" s="4" t="s">
        <v>1001</v>
      </c>
      <c r="F590" s="5">
        <v>1291</v>
      </c>
      <c r="G590" s="5" t="s">
        <v>35</v>
      </c>
      <c r="H590" s="5" t="s">
        <v>35</v>
      </c>
      <c r="I590" s="4" t="s">
        <v>35</v>
      </c>
      <c r="J590" s="4" t="s">
        <v>35</v>
      </c>
      <c r="K590" s="4" t="s">
        <v>120</v>
      </c>
      <c r="L590" s="4">
        <v>93111519</v>
      </c>
      <c r="M590" s="4">
        <v>93111519</v>
      </c>
      <c r="N590" s="4" t="s">
        <v>23</v>
      </c>
      <c r="O590" s="4" t="s">
        <v>24</v>
      </c>
      <c r="P590" s="4" t="s">
        <v>46</v>
      </c>
      <c r="Q590" s="4">
        <v>4</v>
      </c>
    </row>
    <row r="591" spans="1:17">
      <c r="A591" s="3" t="s">
        <v>1427</v>
      </c>
      <c r="B591" s="4" t="s">
        <v>1467</v>
      </c>
      <c r="C591" s="4" t="s">
        <v>1468</v>
      </c>
      <c r="D591" s="4">
        <v>4261</v>
      </c>
      <c r="E591" s="4" t="s">
        <v>19</v>
      </c>
      <c r="F591" s="5">
        <v>3473</v>
      </c>
      <c r="G591" s="5">
        <v>3340</v>
      </c>
      <c r="H591" s="5">
        <v>1114</v>
      </c>
      <c r="I591" s="4" t="s">
        <v>199</v>
      </c>
      <c r="J591" s="4" t="s">
        <v>266</v>
      </c>
      <c r="K591" s="4" t="s">
        <v>129</v>
      </c>
      <c r="L591" s="4">
        <v>11017107</v>
      </c>
      <c r="M591" s="4">
        <v>11017107</v>
      </c>
      <c r="N591" s="4" t="s">
        <v>23</v>
      </c>
      <c r="O591" s="4" t="s">
        <v>41</v>
      </c>
      <c r="P591" s="4" t="s">
        <v>46</v>
      </c>
      <c r="Q591" s="4">
        <v>1</v>
      </c>
    </row>
    <row r="592" spans="1:17" ht="30">
      <c r="A592" s="3" t="s">
        <v>1427</v>
      </c>
      <c r="B592" s="4" t="s">
        <v>566</v>
      </c>
      <c r="C592" s="4" t="str">
        <f ca="1">"NM_003502"&amp;IF(INFO("system")="mac",CHAR(13),CHAR(10))&amp;"NM_181050"</f>
        <v>NM_003502_x000D_NM_181050</v>
      </c>
      <c r="D592" s="4">
        <v>8312</v>
      </c>
      <c r="E592" s="4" t="s">
        <v>1217</v>
      </c>
      <c r="F592" s="5">
        <v>1644</v>
      </c>
      <c r="G592" s="5">
        <v>1255</v>
      </c>
      <c r="H592" s="5">
        <v>419</v>
      </c>
      <c r="I592" s="4" t="s">
        <v>262</v>
      </c>
      <c r="J592" s="4" t="s">
        <v>263</v>
      </c>
      <c r="K592" s="4" t="s">
        <v>129</v>
      </c>
      <c r="L592" s="4">
        <v>348251</v>
      </c>
      <c r="M592" s="4">
        <v>348251</v>
      </c>
      <c r="N592" s="4" t="s">
        <v>23</v>
      </c>
      <c r="O592" s="4" t="s">
        <v>46</v>
      </c>
      <c r="P592" s="4" t="s">
        <v>25</v>
      </c>
      <c r="Q592" s="4">
        <v>4</v>
      </c>
    </row>
    <row r="593" spans="1:17" ht="30">
      <c r="A593" s="3" t="s">
        <v>1427</v>
      </c>
      <c r="B593" s="4" t="s">
        <v>1469</v>
      </c>
      <c r="C593" s="4" t="str">
        <f ca="1">"NM_016284"&amp;IF(INFO("system")="mac",CHAR(13),CHAR(10))&amp;"NM_206999"</f>
        <v>NM_016284_x000D_NM_206999</v>
      </c>
      <c r="D593" s="4">
        <v>23019</v>
      </c>
      <c r="E593" s="4" t="s">
        <v>19</v>
      </c>
      <c r="F593" s="5">
        <v>4177</v>
      </c>
      <c r="G593" s="5">
        <v>3884</v>
      </c>
      <c r="H593" s="5">
        <v>1295</v>
      </c>
      <c r="I593" s="4" t="s">
        <v>393</v>
      </c>
      <c r="J593" s="4" t="s">
        <v>955</v>
      </c>
      <c r="K593" s="4" t="s">
        <v>129</v>
      </c>
      <c r="L593" s="4">
        <v>58580347</v>
      </c>
      <c r="M593" s="4">
        <v>58580347</v>
      </c>
      <c r="N593" s="4" t="s">
        <v>23</v>
      </c>
      <c r="O593" s="4" t="s">
        <v>41</v>
      </c>
      <c r="P593" s="4" t="s">
        <v>46</v>
      </c>
      <c r="Q593" s="4">
        <v>13</v>
      </c>
    </row>
    <row r="594" spans="1:17">
      <c r="A594" s="3" t="s">
        <v>1427</v>
      </c>
      <c r="B594" s="4" t="s">
        <v>1470</v>
      </c>
      <c r="C594" s="4" t="s">
        <v>1471</v>
      </c>
      <c r="D594" s="4">
        <v>9091</v>
      </c>
      <c r="E594" s="4" t="s">
        <v>19</v>
      </c>
      <c r="F594" s="5">
        <v>1637</v>
      </c>
      <c r="G594" s="5">
        <v>1535</v>
      </c>
      <c r="H594" s="5">
        <v>512</v>
      </c>
      <c r="I594" s="4" t="s">
        <v>204</v>
      </c>
      <c r="J594" s="4" t="s">
        <v>205</v>
      </c>
      <c r="K594" s="4" t="s">
        <v>129</v>
      </c>
      <c r="L594" s="4">
        <v>632251</v>
      </c>
      <c r="M594" s="4">
        <v>632251</v>
      </c>
      <c r="N594" s="4" t="s">
        <v>23</v>
      </c>
      <c r="O594" s="4" t="s">
        <v>24</v>
      </c>
      <c r="P594" s="4" t="s">
        <v>25</v>
      </c>
      <c r="Q594" s="4">
        <v>10</v>
      </c>
    </row>
    <row r="595" spans="1:17" ht="75">
      <c r="A595" s="3" t="s">
        <v>1427</v>
      </c>
      <c r="B595" s="4" t="s">
        <v>1472</v>
      </c>
      <c r="C595" s="4" t="str">
        <f ca="1">"NR_023316"&amp;IF(INFO("system")="mac",CHAR(13),CHAR(10))&amp;"NM_001243279"&amp;IF(INFO("system")="mac",CHAR(13),CHAR(10))&amp;"NM_001127214"&amp;IF(INFO("system")="mac",CHAR(13),CHAR(10))&amp;"NM_174917"</f>
        <v>NR_023316_x000D_NM_001243279_x000D_NM_001127214_x000D_NM_174917</v>
      </c>
      <c r="D595" s="4">
        <v>197322</v>
      </c>
      <c r="E595" s="4" t="str">
        <f ca="1">"WITHIN_NON_CODING_GENE,ESSENTIAL_SPLICE_SITE"&amp;IF(INFO("system")="mac",CHAR(13),CHAR(10))&amp;"ESSENTIAL_SPLICE_SITE"&amp;IF(INFO("system")="mac",CHAR(13),CHAR(10))&amp;"ESSENTIAL_SPLICE_SITE"&amp;IF(INFO("system")="mac",CHAR(13),CHAR(10))&amp;"ESSENTIAL_SPLICE_SITE"</f>
        <v>WITHIN_NON_CODING_GENE,ESSENTIAL_SPLICE_SITE_x000D_ESSENTIAL_SPLICE_SITE_x000D_ESSENTIAL_SPLICE_SITE_x000D_ESSENTIAL_SPLICE_SITE</v>
      </c>
      <c r="F595" s="5" t="s">
        <v>35</v>
      </c>
      <c r="G595" s="5" t="s">
        <v>35</v>
      </c>
      <c r="H595" s="5" t="s">
        <v>35</v>
      </c>
      <c r="I595" s="4" t="s">
        <v>35</v>
      </c>
      <c r="J595" s="4" t="s">
        <v>35</v>
      </c>
      <c r="K595" s="4" t="s">
        <v>129</v>
      </c>
      <c r="L595" s="4">
        <v>89178498</v>
      </c>
      <c r="M595" s="4">
        <v>89178498</v>
      </c>
      <c r="N595" s="4" t="s">
        <v>23</v>
      </c>
      <c r="O595" s="4" t="s">
        <v>25</v>
      </c>
      <c r="P595" s="4" t="s">
        <v>24</v>
      </c>
      <c r="Q595" s="4">
        <v>3</v>
      </c>
    </row>
    <row r="596" spans="1:17">
      <c r="A596" s="3" t="s">
        <v>1427</v>
      </c>
      <c r="B596" s="4" t="s">
        <v>1473</v>
      </c>
      <c r="C596" s="4" t="s">
        <v>1474</v>
      </c>
      <c r="D596" s="4">
        <v>147011</v>
      </c>
      <c r="E596" s="4" t="s">
        <v>19</v>
      </c>
      <c r="F596" s="5">
        <v>540</v>
      </c>
      <c r="G596" s="5">
        <v>346</v>
      </c>
      <c r="H596" s="5">
        <v>116</v>
      </c>
      <c r="I596" s="4" t="s">
        <v>91</v>
      </c>
      <c r="J596" s="4" t="s">
        <v>92</v>
      </c>
      <c r="K596" s="4" t="s">
        <v>133</v>
      </c>
      <c r="L596" s="4">
        <v>27031335</v>
      </c>
      <c r="M596" s="4">
        <v>27031335</v>
      </c>
      <c r="N596" s="4" t="s">
        <v>23</v>
      </c>
      <c r="O596" s="4" t="s">
        <v>24</v>
      </c>
      <c r="P596" s="4" t="s">
        <v>25</v>
      </c>
      <c r="Q596" s="4">
        <v>0</v>
      </c>
    </row>
    <row r="597" spans="1:17">
      <c r="A597" s="3" t="s">
        <v>1427</v>
      </c>
      <c r="B597" s="4" t="s">
        <v>1475</v>
      </c>
      <c r="C597" s="4" t="s">
        <v>1476</v>
      </c>
      <c r="D597" s="4">
        <v>30837</v>
      </c>
      <c r="E597" s="4" t="s">
        <v>31</v>
      </c>
      <c r="F597" s="5" t="s">
        <v>1477</v>
      </c>
      <c r="G597" s="5" t="s">
        <v>1478</v>
      </c>
      <c r="H597" s="5" t="s">
        <v>1479</v>
      </c>
      <c r="I597" s="4" t="s">
        <v>35</v>
      </c>
      <c r="J597" s="4" t="s">
        <v>35</v>
      </c>
      <c r="K597" s="4" t="s">
        <v>133</v>
      </c>
      <c r="L597" s="4">
        <v>36508560</v>
      </c>
      <c r="M597" s="4">
        <v>36508563</v>
      </c>
      <c r="N597" s="4" t="s">
        <v>36</v>
      </c>
      <c r="O597" s="4" t="s">
        <v>1480</v>
      </c>
      <c r="P597" s="4"/>
      <c r="Q597" s="4">
        <v>-4</v>
      </c>
    </row>
    <row r="598" spans="1:17">
      <c r="A598" s="3" t="s">
        <v>1427</v>
      </c>
      <c r="B598" s="4" t="s">
        <v>1481</v>
      </c>
      <c r="C598" s="4" t="s">
        <v>1482</v>
      </c>
      <c r="D598" s="4">
        <v>23140</v>
      </c>
      <c r="E598" s="4" t="s">
        <v>19</v>
      </c>
      <c r="F598" s="5">
        <v>111</v>
      </c>
      <c r="G598" s="5">
        <v>47</v>
      </c>
      <c r="H598" s="5">
        <v>16</v>
      </c>
      <c r="I598" s="4" t="s">
        <v>442</v>
      </c>
      <c r="J598" s="4" t="s">
        <v>478</v>
      </c>
      <c r="K598" s="4" t="s">
        <v>133</v>
      </c>
      <c r="L598" s="4">
        <v>4046143</v>
      </c>
      <c r="M598" s="4">
        <v>4046143</v>
      </c>
      <c r="N598" s="4" t="s">
        <v>23</v>
      </c>
      <c r="O598" s="4" t="s">
        <v>24</v>
      </c>
      <c r="P598" s="4" t="s">
        <v>46</v>
      </c>
      <c r="Q598" s="4">
        <v>-2</v>
      </c>
    </row>
    <row r="599" spans="1:17">
      <c r="A599" s="3" t="s">
        <v>1427</v>
      </c>
      <c r="B599" s="4" t="s">
        <v>1483</v>
      </c>
      <c r="C599" s="4" t="s">
        <v>1484</v>
      </c>
      <c r="D599" s="4">
        <v>1277</v>
      </c>
      <c r="E599" s="4" t="s">
        <v>31</v>
      </c>
      <c r="F599" s="5" t="s">
        <v>1485</v>
      </c>
      <c r="G599" s="5" t="s">
        <v>1486</v>
      </c>
      <c r="H599" s="5">
        <v>918</v>
      </c>
      <c r="I599" s="4" t="s">
        <v>35</v>
      </c>
      <c r="J599" s="4" t="s">
        <v>35</v>
      </c>
      <c r="K599" s="4" t="s">
        <v>133</v>
      </c>
      <c r="L599" s="4">
        <v>48266813</v>
      </c>
      <c r="M599" s="4">
        <v>48266814</v>
      </c>
      <c r="N599" s="4" t="s">
        <v>36</v>
      </c>
      <c r="O599" s="4" t="s">
        <v>1487</v>
      </c>
      <c r="P599" s="4"/>
      <c r="Q599" s="4">
        <v>-5</v>
      </c>
    </row>
    <row r="600" spans="1:17" ht="105">
      <c r="A600" s="3" t="s">
        <v>1427</v>
      </c>
      <c r="B600" s="4" t="s">
        <v>130</v>
      </c>
      <c r="C600" s="4" t="str">
        <f ca="1">"NM_001126114"&amp;IF(INFO("system")="mac",CHAR(13),CHAR(10))&amp;"NM_001126112"&amp;IF(INFO("system")="mac",CHAR(13),CHAR(10))&amp;"NM_001126115"&amp;IF(INFO("system")="mac",CHAR(13),CHAR(10))&amp;"NM_001126113"&amp;IF(INFO("system")="mac",CHAR(13),CHAR(10))&amp;"NM_001126117"&amp;IF(INFO("system")="mac",CHAR(13),CHAR(10))&amp;"NM_001126116"&amp;IF(INFO("system")="mac",CHAR(13),CHAR(10))&amp;"NM_000546"</f>
        <v>NM_001126114_x000D_NM_001126112_x000D_NM_001126115_x000D_NM_001126113_x000D_NM_001126117_x000D_NM_001126116_x000D_NM_000546</v>
      </c>
      <c r="D600" s="4">
        <v>7157</v>
      </c>
      <c r="E600" s="4" t="str">
        <f ca="1">"NMD_TRANSCRIPT,NON_SYNONYMOUS_CODING"&amp;IF(INFO("system")="mac",CHAR(13),CHAR(10))&amp;"NON_SYNONYMOUS_CODING"&amp;IF(INFO("system")="mac",CHAR(13),CHAR(10))&amp;"NON_SYNONYMOUS_CODING"&amp;IF(INFO("system")="mac",CHAR(13),CHAR(10))&amp;"NMD_TRANSCRIPT,NON_SYNONYMOUS_CODING"&amp;IF(INFO("system")="mac",CHAR(13),CHAR(10))&amp;"NMD_TRANSCRIPT,NON_SYNONYMOUS_CODING"&amp;IF(INFO("system")="mac",CHAR(13),CHAR(10))&amp;"NMD_TRANSCRIPT,NON_SYNONYMOUS_CODING"&amp;IF(INFO("system")="mac",CHAR(13),CHAR(10))&amp;"NON_SYNONYMOUS_CODING"</f>
        <v>NMD_TRANSCRIPT,NON_SYNONYMOUS_CODING_x000D_NON_SYNONYMOUS_CODING_x000D_NON_SYNONYMOUS_CODING_x000D_NMD_TRANSCRIPT,NON_SYNONYMOUS_CODING_x000D_NMD_TRANSCRIPT,NON_SYNONYMOUS_CODING_x000D_NMD_TRANSCRIPT,NON_SYNONYMOUS_CODING_x000D_NON_SYNONYMOUS_CODING</v>
      </c>
      <c r="F600" s="5" t="str">
        <f ca="1">"944"&amp;IF(INFO("system")="mac",CHAR(13),CHAR(10))&amp;"941"&amp;IF(INFO("system")="mac",CHAR(13),CHAR(10))&amp;"629"&amp;IF(INFO("system")="mac",CHAR(13),CHAR(10))&amp;"944"&amp;IF(INFO("system")="mac",CHAR(13),CHAR(10))&amp;"629"&amp;IF(INFO("system")="mac",CHAR(13),CHAR(10))&amp;"629"&amp;IF(INFO("system")="mac",CHAR(13),CHAR(10))&amp;"944"</f>
        <v>944_x000D_941_x000D_629_x000D_944_x000D_629_x000D_629_x000D_944</v>
      </c>
      <c r="G600" s="5" t="str">
        <f ca="1">"747"&amp;IF(INFO("system")="mac",CHAR(13),CHAR(10))&amp;"747"&amp;IF(INFO("system")="mac",CHAR(13),CHAR(10))&amp;"351"&amp;IF(INFO("system")="mac",CHAR(13),CHAR(10))&amp;"747"&amp;IF(INFO("system")="mac",CHAR(13),CHAR(10))&amp;"351"&amp;IF(INFO("system")="mac",CHAR(13),CHAR(10))&amp;"351"&amp;IF(INFO("system")="mac",CHAR(13),CHAR(10))&amp;"747"</f>
        <v>747_x000D_747_x000D_351_x000D_747_x000D_351_x000D_351_x000D_747</v>
      </c>
      <c r="H600" s="5" t="str">
        <f ca="1">"249"&amp;IF(INFO("system")="mac",CHAR(13),CHAR(10))&amp;"249"&amp;IF(INFO("system")="mac",CHAR(13),CHAR(10))&amp;"117"&amp;IF(INFO("system")="mac",CHAR(13),CHAR(10))&amp;"249"&amp;IF(INFO("system")="mac",CHAR(13),CHAR(10))&amp;"117"&amp;IF(INFO("system")="mac",CHAR(13),CHAR(10))&amp;"117"&amp;IF(INFO("system")="mac",CHAR(13),CHAR(10))&amp;"249"</f>
        <v>249_x000D_249_x000D_117_x000D_249_x000D_117_x000D_117_x000D_249</v>
      </c>
      <c r="I600" s="4" t="s">
        <v>404</v>
      </c>
      <c r="J600" s="4" t="s">
        <v>553</v>
      </c>
      <c r="K600" s="4" t="s">
        <v>133</v>
      </c>
      <c r="L600" s="4">
        <v>7577534</v>
      </c>
      <c r="M600" s="4">
        <v>7577534</v>
      </c>
      <c r="N600" s="4" t="s">
        <v>23</v>
      </c>
      <c r="O600" s="4" t="s">
        <v>46</v>
      </c>
      <c r="P600" s="4" t="s">
        <v>25</v>
      </c>
      <c r="Q600" s="4">
        <v>19</v>
      </c>
    </row>
    <row r="601" spans="1:17" ht="30">
      <c r="A601" s="3" t="s">
        <v>1427</v>
      </c>
      <c r="B601" s="4" t="s">
        <v>1488</v>
      </c>
      <c r="C601" s="4" t="str">
        <f ca="1">"XM_001715409"&amp;IF(INFO("system")="mac",CHAR(13),CHAR(10))&amp;"XM_001714096"</f>
        <v>XM_001715409_x000D_XM_001714096</v>
      </c>
      <c r="D601" s="4">
        <v>100130370</v>
      </c>
      <c r="E601" s="4" t="s">
        <v>19</v>
      </c>
      <c r="F601" s="5" t="str">
        <f ca="1">"364"&amp;IF(INFO("system")="mac",CHAR(13),CHAR(10))&amp;"388"</f>
        <v>364_x000D_388</v>
      </c>
      <c r="G601" s="5" t="str">
        <f ca="1">"364"&amp;IF(INFO("system")="mac",CHAR(13),CHAR(10))&amp;"388"</f>
        <v>364_x000D_388</v>
      </c>
      <c r="H601" s="5" t="str">
        <f ca="1">"122"&amp;IF(INFO("system")="mac",CHAR(13),CHAR(10))&amp;"130"</f>
        <v>122_x000D_130</v>
      </c>
      <c r="I601" s="4" t="s">
        <v>299</v>
      </c>
      <c r="J601" s="4" t="s">
        <v>1489</v>
      </c>
      <c r="K601" s="4" t="s">
        <v>133</v>
      </c>
      <c r="L601" s="4">
        <v>79353341</v>
      </c>
      <c r="M601" s="4">
        <v>79353341</v>
      </c>
      <c r="N601" s="4" t="s">
        <v>23</v>
      </c>
      <c r="O601" s="4" t="s">
        <v>25</v>
      </c>
      <c r="P601" s="4" t="s">
        <v>24</v>
      </c>
      <c r="Q601" s="4">
        <v>5</v>
      </c>
    </row>
    <row r="602" spans="1:17" ht="30">
      <c r="A602" s="3" t="s">
        <v>1427</v>
      </c>
      <c r="B602" s="4" t="s">
        <v>1490</v>
      </c>
      <c r="C602" s="4" t="str">
        <f ca="1">"NM_001105528"&amp;IF(INFO("system")="mac",CHAR(13),CHAR(10))&amp;"NM_198995"</f>
        <v>NM_001105528_x000D_NM_198995</v>
      </c>
      <c r="D602" s="4">
        <v>374864</v>
      </c>
      <c r="E602" s="4" t="s">
        <v>19</v>
      </c>
      <c r="F602" s="5" t="str">
        <f ca="1">"2658"&amp;IF(INFO("system")="mac",CHAR(13),CHAR(10))&amp;"2613"</f>
        <v>2658_x000D_2613</v>
      </c>
      <c r="G602" s="5" t="str">
        <f ca="1">"2516"&amp;IF(INFO("system")="mac",CHAR(13),CHAR(10))&amp;"2402"</f>
        <v>2516_x000D_2402</v>
      </c>
      <c r="H602" s="5" t="str">
        <f ca="1">"839"&amp;IF(INFO("system")="mac",CHAR(13),CHAR(10))&amp;"801"</f>
        <v>839_x000D_801</v>
      </c>
      <c r="I602" s="4" t="s">
        <v>529</v>
      </c>
      <c r="J602" s="4" t="s">
        <v>530</v>
      </c>
      <c r="K602" s="4" t="s">
        <v>135</v>
      </c>
      <c r="L602" s="4">
        <v>30554518</v>
      </c>
      <c r="M602" s="4">
        <v>30554518</v>
      </c>
      <c r="N602" s="4" t="s">
        <v>23</v>
      </c>
      <c r="O602" s="4" t="s">
        <v>24</v>
      </c>
      <c r="P602" s="4" t="s">
        <v>41</v>
      </c>
      <c r="Q602" s="4">
        <v>4</v>
      </c>
    </row>
    <row r="603" spans="1:17">
      <c r="A603" s="3" t="s">
        <v>1427</v>
      </c>
      <c r="B603" s="4" t="s">
        <v>1491</v>
      </c>
      <c r="C603" s="4" t="s">
        <v>1492</v>
      </c>
      <c r="D603" s="4">
        <v>80206</v>
      </c>
      <c r="E603" s="4" t="s">
        <v>19</v>
      </c>
      <c r="F603" s="5">
        <v>3344</v>
      </c>
      <c r="G603" s="5">
        <v>3247</v>
      </c>
      <c r="H603" s="5">
        <v>1083</v>
      </c>
      <c r="I603" s="4" t="s">
        <v>378</v>
      </c>
      <c r="J603" s="4" t="s">
        <v>379</v>
      </c>
      <c r="K603" s="4" t="s">
        <v>135</v>
      </c>
      <c r="L603" s="4">
        <v>34322712</v>
      </c>
      <c r="M603" s="4">
        <v>34322712</v>
      </c>
      <c r="N603" s="4" t="s">
        <v>23</v>
      </c>
      <c r="O603" s="4" t="s">
        <v>46</v>
      </c>
      <c r="P603" s="4" t="s">
        <v>25</v>
      </c>
      <c r="Q603" s="4">
        <v>3</v>
      </c>
    </row>
    <row r="604" spans="1:17">
      <c r="A604" s="3" t="s">
        <v>1427</v>
      </c>
      <c r="B604" s="4" t="s">
        <v>1493</v>
      </c>
      <c r="C604" s="4" t="s">
        <v>1494</v>
      </c>
      <c r="D604" s="4">
        <v>4160</v>
      </c>
      <c r="E604" s="4" t="s">
        <v>19</v>
      </c>
      <c r="F604" s="5">
        <v>508</v>
      </c>
      <c r="G604" s="5">
        <v>89</v>
      </c>
      <c r="H604" s="5">
        <v>30</v>
      </c>
      <c r="I604" s="4" t="s">
        <v>636</v>
      </c>
      <c r="J604" s="4" t="s">
        <v>637</v>
      </c>
      <c r="K604" s="4" t="s">
        <v>135</v>
      </c>
      <c r="L604" s="4">
        <v>58039494</v>
      </c>
      <c r="M604" s="4">
        <v>58039494</v>
      </c>
      <c r="N604" s="4" t="s">
        <v>23</v>
      </c>
      <c r="O604" s="4" t="s">
        <v>24</v>
      </c>
      <c r="P604" s="4" t="s">
        <v>41</v>
      </c>
      <c r="Q604" s="4">
        <v>2</v>
      </c>
    </row>
    <row r="605" spans="1:17">
      <c r="A605" s="3" t="s">
        <v>1427</v>
      </c>
      <c r="B605" s="4" t="s">
        <v>1495</v>
      </c>
      <c r="C605" s="4" t="s">
        <v>1496</v>
      </c>
      <c r="D605" s="4">
        <v>27106</v>
      </c>
      <c r="E605" s="4" t="s">
        <v>31</v>
      </c>
      <c r="F605" s="5">
        <v>407</v>
      </c>
      <c r="G605" s="5">
        <v>264</v>
      </c>
      <c r="H605" s="5">
        <v>88</v>
      </c>
      <c r="I605" s="4" t="s">
        <v>35</v>
      </c>
      <c r="J605" s="4" t="s">
        <v>35</v>
      </c>
      <c r="K605" s="4" t="s">
        <v>139</v>
      </c>
      <c r="L605" s="4">
        <v>18119383</v>
      </c>
      <c r="M605" s="4">
        <v>18119383</v>
      </c>
      <c r="N605" s="4" t="s">
        <v>36</v>
      </c>
      <c r="O605" s="4" t="s">
        <v>46</v>
      </c>
      <c r="P605" s="4"/>
      <c r="Q605" s="4">
        <v>-3</v>
      </c>
    </row>
    <row r="606" spans="1:17">
      <c r="A606" s="3" t="s">
        <v>1427</v>
      </c>
      <c r="B606" s="4" t="s">
        <v>1497</v>
      </c>
      <c r="C606" s="4" t="s">
        <v>1498</v>
      </c>
      <c r="D606" s="4">
        <v>90649</v>
      </c>
      <c r="E606" s="4" t="s">
        <v>19</v>
      </c>
      <c r="F606" s="5">
        <v>1091</v>
      </c>
      <c r="G606" s="5">
        <v>1034</v>
      </c>
      <c r="H606" s="5">
        <v>345</v>
      </c>
      <c r="I606" s="4" t="s">
        <v>218</v>
      </c>
      <c r="J606" s="4" t="s">
        <v>1304</v>
      </c>
      <c r="K606" s="4" t="s">
        <v>139</v>
      </c>
      <c r="L606" s="4">
        <v>20308553</v>
      </c>
      <c r="M606" s="4">
        <v>20308553</v>
      </c>
      <c r="N606" s="4" t="s">
        <v>23</v>
      </c>
      <c r="O606" s="4" t="s">
        <v>46</v>
      </c>
      <c r="P606" s="4" t="s">
        <v>25</v>
      </c>
      <c r="Q606" s="4">
        <v>0</v>
      </c>
    </row>
    <row r="607" spans="1:17">
      <c r="A607" s="3" t="s">
        <v>1427</v>
      </c>
      <c r="B607" s="4" t="s">
        <v>1499</v>
      </c>
      <c r="C607" s="4" t="s">
        <v>1500</v>
      </c>
      <c r="D607" s="4">
        <v>3938</v>
      </c>
      <c r="E607" s="4" t="s">
        <v>232</v>
      </c>
      <c r="F607" s="5" t="s">
        <v>35</v>
      </c>
      <c r="G607" s="5" t="s">
        <v>35</v>
      </c>
      <c r="H607" s="5" t="s">
        <v>35</v>
      </c>
      <c r="I607" s="4" t="s">
        <v>35</v>
      </c>
      <c r="J607" s="4" t="s">
        <v>35</v>
      </c>
      <c r="K607" s="4" t="s">
        <v>172</v>
      </c>
      <c r="L607" s="4">
        <v>136566007</v>
      </c>
      <c r="M607" s="4">
        <v>136566007</v>
      </c>
      <c r="N607" s="4" t="s">
        <v>23</v>
      </c>
      <c r="O607" s="4" t="s">
        <v>25</v>
      </c>
      <c r="P607" s="4" t="s">
        <v>24</v>
      </c>
      <c r="Q607" s="4">
        <v>4</v>
      </c>
    </row>
    <row r="608" spans="1:17" ht="30">
      <c r="A608" s="3" t="s">
        <v>1427</v>
      </c>
      <c r="B608" s="4" t="s">
        <v>1501</v>
      </c>
      <c r="C608" s="4" t="str">
        <f ca="1">"NM_033394"&amp;IF(INFO("system")="mac",CHAR(13),CHAR(10))&amp;"NM_001145909"</f>
        <v>NM_033394_x000D_NM_001145909</v>
      </c>
      <c r="D608" s="4">
        <v>85461</v>
      </c>
      <c r="E608" s="4" t="s">
        <v>392</v>
      </c>
      <c r="F608" s="5" t="str">
        <f ca="1">"2174"&amp;IF(INFO("system")="mac",CHAR(13),CHAR(10))&amp;"2150"</f>
        <v>2174_x000D_2150</v>
      </c>
      <c r="G608" s="5" t="str">
        <f ca="1">"1900"&amp;IF(INFO("system")="mac",CHAR(13),CHAR(10))&amp;"1876"</f>
        <v>1900_x000D_1876</v>
      </c>
      <c r="H608" s="5" t="str">
        <f ca="1">"634"&amp;IF(INFO("system")="mac",CHAR(13),CHAR(10))&amp;"626"</f>
        <v>634_x000D_626</v>
      </c>
      <c r="I608" s="4" t="s">
        <v>601</v>
      </c>
      <c r="J608" s="4" t="s">
        <v>602</v>
      </c>
      <c r="K608" s="4" t="s">
        <v>172</v>
      </c>
      <c r="L608" s="4">
        <v>160033027</v>
      </c>
      <c r="M608" s="4">
        <v>160033027</v>
      </c>
      <c r="N608" s="4" t="s">
        <v>23</v>
      </c>
      <c r="O608" s="4" t="s">
        <v>46</v>
      </c>
      <c r="P608" s="4" t="s">
        <v>24</v>
      </c>
      <c r="Q608" s="4">
        <v>14</v>
      </c>
    </row>
    <row r="609" spans="1:17">
      <c r="A609" s="3" t="s">
        <v>1427</v>
      </c>
      <c r="B609" s="4" t="s">
        <v>1502</v>
      </c>
      <c r="C609" s="4" t="s">
        <v>1503</v>
      </c>
      <c r="D609" s="4">
        <v>1286</v>
      </c>
      <c r="E609" s="4" t="s">
        <v>232</v>
      </c>
      <c r="F609" s="5" t="s">
        <v>35</v>
      </c>
      <c r="G609" s="5" t="s">
        <v>35</v>
      </c>
      <c r="H609" s="5" t="s">
        <v>35</v>
      </c>
      <c r="I609" s="4" t="s">
        <v>35</v>
      </c>
      <c r="J609" s="4" t="s">
        <v>35</v>
      </c>
      <c r="K609" s="4" t="s">
        <v>172</v>
      </c>
      <c r="L609" s="4">
        <v>227973343</v>
      </c>
      <c r="M609" s="4">
        <v>227973343</v>
      </c>
      <c r="N609" s="4" t="s">
        <v>23</v>
      </c>
      <c r="O609" s="4" t="s">
        <v>24</v>
      </c>
      <c r="P609" s="4" t="s">
        <v>46</v>
      </c>
      <c r="Q609" s="4">
        <v>0</v>
      </c>
    </row>
    <row r="610" spans="1:17" ht="30">
      <c r="A610" s="3" t="s">
        <v>1427</v>
      </c>
      <c r="B610" s="4" t="s">
        <v>1504</v>
      </c>
      <c r="C610" s="4" t="str">
        <f ca="1">"NM_006569"&amp;IF(INFO("system")="mac",CHAR(13),CHAR(10))&amp;"NM_001166239"</f>
        <v>NM_006569_x000D_NM_001166239</v>
      </c>
      <c r="D610" s="4">
        <v>10669</v>
      </c>
      <c r="E610" s="4" t="s">
        <v>19</v>
      </c>
      <c r="F610" s="5" t="str">
        <f ca="1">"997"&amp;IF(INFO("system")="mac",CHAR(13),CHAR(10))&amp;"846"</f>
        <v>997_x000D_846</v>
      </c>
      <c r="G610" s="5">
        <v>704</v>
      </c>
      <c r="H610" s="5">
        <v>235</v>
      </c>
      <c r="I610" s="4" t="s">
        <v>442</v>
      </c>
      <c r="J610" s="4" t="s">
        <v>478</v>
      </c>
      <c r="K610" s="4" t="s">
        <v>172</v>
      </c>
      <c r="L610" s="4">
        <v>27324395</v>
      </c>
      <c r="M610" s="4">
        <v>27324395</v>
      </c>
      <c r="N610" s="4" t="s">
        <v>23</v>
      </c>
      <c r="O610" s="4" t="s">
        <v>24</v>
      </c>
      <c r="P610" s="4" t="s">
        <v>46</v>
      </c>
      <c r="Q610" s="4">
        <v>10</v>
      </c>
    </row>
    <row r="611" spans="1:17" ht="30">
      <c r="A611" s="3" t="s">
        <v>1427</v>
      </c>
      <c r="B611" s="4" t="s">
        <v>1505</v>
      </c>
      <c r="C611" s="4" t="str">
        <f ca="1">"NM_024027"&amp;IF(INFO("system")="mac",CHAR(13),CHAR(10))&amp;"NM_199235"</f>
        <v>NM_024027_x000D_NM_199235</v>
      </c>
      <c r="D611" s="4">
        <v>78989</v>
      </c>
      <c r="E611" s="4" t="s">
        <v>19</v>
      </c>
      <c r="F611" s="5" t="str">
        <f ca="1">"644"&amp;IF(INFO("system")="mac",CHAR(13),CHAR(10))&amp;"723"</f>
        <v>644_x000D_723</v>
      </c>
      <c r="G611" s="5" t="str">
        <f ca="1">"496"&amp;IF(INFO("system")="mac",CHAR(13),CHAR(10))&amp;"487"</f>
        <v>496_x000D_487</v>
      </c>
      <c r="H611" s="5" t="str">
        <f ca="1">"166"&amp;IF(INFO("system")="mac",CHAR(13),CHAR(10))&amp;"163"</f>
        <v>166_x000D_163</v>
      </c>
      <c r="I611" s="4" t="s">
        <v>154</v>
      </c>
      <c r="J611" s="4" t="s">
        <v>155</v>
      </c>
      <c r="K611" s="4" t="s">
        <v>172</v>
      </c>
      <c r="L611" s="4">
        <v>3691388</v>
      </c>
      <c r="M611" s="4">
        <v>3691388</v>
      </c>
      <c r="N611" s="4" t="s">
        <v>23</v>
      </c>
      <c r="O611" s="4" t="s">
        <v>24</v>
      </c>
      <c r="P611" s="4" t="s">
        <v>25</v>
      </c>
      <c r="Q611" s="4">
        <v>0</v>
      </c>
    </row>
    <row r="612" spans="1:17">
      <c r="A612" s="3" t="s">
        <v>1427</v>
      </c>
      <c r="B612" s="4" t="s">
        <v>1506</v>
      </c>
      <c r="C612" s="4" t="s">
        <v>1507</v>
      </c>
      <c r="D612" s="4">
        <v>57644</v>
      </c>
      <c r="E612" s="4" t="s">
        <v>19</v>
      </c>
      <c r="F612" s="5">
        <v>4768</v>
      </c>
      <c r="G612" s="5">
        <v>4451</v>
      </c>
      <c r="H612" s="5">
        <v>1484</v>
      </c>
      <c r="I612" s="4" t="s">
        <v>229</v>
      </c>
      <c r="J612" s="4" t="s">
        <v>230</v>
      </c>
      <c r="K612" s="4" t="s">
        <v>188</v>
      </c>
      <c r="L612" s="4">
        <v>33586993</v>
      </c>
      <c r="M612" s="4">
        <v>33586993</v>
      </c>
      <c r="N612" s="4" t="s">
        <v>23</v>
      </c>
      <c r="O612" s="4" t="s">
        <v>46</v>
      </c>
      <c r="P612" s="4" t="s">
        <v>41</v>
      </c>
      <c r="Q612" s="4">
        <v>4</v>
      </c>
    </row>
    <row r="613" spans="1:17" ht="30">
      <c r="A613" s="3" t="s">
        <v>1427</v>
      </c>
      <c r="B613" s="4" t="s">
        <v>1508</v>
      </c>
      <c r="C613" s="4" t="str">
        <f ca="1">"NM_199181"&amp;IF(INFO("system")="mac",CHAR(13),CHAR(10))&amp;"NM_080627"</f>
        <v>NM_199181_x000D_NM_080627</v>
      </c>
      <c r="D613" s="4">
        <v>140710</v>
      </c>
      <c r="E613" s="4" t="s">
        <v>19</v>
      </c>
      <c r="F613" s="5" t="str">
        <f ca="1">"2852"&amp;IF(INFO("system")="mac",CHAR(13),CHAR(10))&amp;"3579"</f>
        <v>2852_x000D_3579</v>
      </c>
      <c r="G613" s="5" t="str">
        <f ca="1">"2525"&amp;IF(INFO("system")="mac",CHAR(13),CHAR(10))&amp;"3239"</f>
        <v>2525_x000D_3239</v>
      </c>
      <c r="H613" s="5" t="str">
        <f ca="1">"842"&amp;IF(INFO("system")="mac",CHAR(13),CHAR(10))&amp;"1080"</f>
        <v>842_x000D_1080</v>
      </c>
      <c r="I613" s="4" t="s">
        <v>137</v>
      </c>
      <c r="J613" s="4" t="s">
        <v>1288</v>
      </c>
      <c r="K613" s="4" t="s">
        <v>188</v>
      </c>
      <c r="L613" s="4">
        <v>35431359</v>
      </c>
      <c r="M613" s="4">
        <v>35431359</v>
      </c>
      <c r="N613" s="4" t="s">
        <v>23</v>
      </c>
      <c r="O613" s="4" t="s">
        <v>46</v>
      </c>
      <c r="P613" s="4" t="s">
        <v>25</v>
      </c>
      <c r="Q613" s="4">
        <v>5</v>
      </c>
    </row>
    <row r="614" spans="1:17">
      <c r="A614" s="3" t="s">
        <v>1427</v>
      </c>
      <c r="B614" s="4" t="s">
        <v>1509</v>
      </c>
      <c r="C614" s="4" t="s">
        <v>1510</v>
      </c>
      <c r="D614" s="4">
        <v>116154</v>
      </c>
      <c r="E614" s="4" t="s">
        <v>232</v>
      </c>
      <c r="F614" s="5" t="s">
        <v>35</v>
      </c>
      <c r="G614" s="5" t="s">
        <v>35</v>
      </c>
      <c r="H614" s="5" t="s">
        <v>35</v>
      </c>
      <c r="I614" s="4" t="s">
        <v>35</v>
      </c>
      <c r="J614" s="4" t="s">
        <v>35</v>
      </c>
      <c r="K614" s="4" t="s">
        <v>188</v>
      </c>
      <c r="L614" s="4">
        <v>58152678</v>
      </c>
      <c r="M614" s="4">
        <v>58152678</v>
      </c>
      <c r="N614" s="4" t="s">
        <v>23</v>
      </c>
      <c r="O614" s="4" t="s">
        <v>46</v>
      </c>
      <c r="P614" s="4" t="s">
        <v>25</v>
      </c>
      <c r="Q614" s="4">
        <v>-4</v>
      </c>
    </row>
    <row r="615" spans="1:17">
      <c r="A615" s="3" t="s">
        <v>1427</v>
      </c>
      <c r="B615" s="4" t="s">
        <v>1511</v>
      </c>
      <c r="C615" s="4" t="s">
        <v>1512</v>
      </c>
      <c r="D615" s="4">
        <v>256076</v>
      </c>
      <c r="E615" s="4" t="s">
        <v>19</v>
      </c>
      <c r="F615" s="5">
        <v>5466</v>
      </c>
      <c r="G615" s="5">
        <v>4972</v>
      </c>
      <c r="H615" s="5">
        <v>1658</v>
      </c>
      <c r="I615" s="4" t="s">
        <v>932</v>
      </c>
      <c r="J615" s="4" t="s">
        <v>1513</v>
      </c>
      <c r="K615" s="4" t="s">
        <v>201</v>
      </c>
      <c r="L615" s="4">
        <v>130140018</v>
      </c>
      <c r="M615" s="4">
        <v>130140018</v>
      </c>
      <c r="N615" s="4" t="s">
        <v>23</v>
      </c>
      <c r="O615" s="4" t="s">
        <v>41</v>
      </c>
      <c r="P615" s="4" t="s">
        <v>46</v>
      </c>
      <c r="Q615" s="4">
        <v>4</v>
      </c>
    </row>
    <row r="616" spans="1:17">
      <c r="A616" s="3" t="s">
        <v>1427</v>
      </c>
      <c r="B616" s="4" t="s">
        <v>1514</v>
      </c>
      <c r="C616" s="4" t="s">
        <v>1515</v>
      </c>
      <c r="D616" s="4">
        <v>131096</v>
      </c>
      <c r="E616" s="4" t="s">
        <v>19</v>
      </c>
      <c r="F616" s="5">
        <v>1204</v>
      </c>
      <c r="G616" s="5">
        <v>1009</v>
      </c>
      <c r="H616" s="5">
        <v>337</v>
      </c>
      <c r="I616" s="4" t="s">
        <v>404</v>
      </c>
      <c r="J616" s="4" t="s">
        <v>1290</v>
      </c>
      <c r="K616" s="4" t="s">
        <v>201</v>
      </c>
      <c r="L616" s="4">
        <v>19436635</v>
      </c>
      <c r="M616" s="4">
        <v>19436635</v>
      </c>
      <c r="N616" s="4" t="s">
        <v>23</v>
      </c>
      <c r="O616" s="4" t="s">
        <v>46</v>
      </c>
      <c r="P616" s="4" t="s">
        <v>25</v>
      </c>
      <c r="Q616" s="4">
        <v>-4</v>
      </c>
    </row>
    <row r="617" spans="1:17">
      <c r="A617" s="3" t="s">
        <v>1427</v>
      </c>
      <c r="B617" s="4" t="s">
        <v>1516</v>
      </c>
      <c r="C617" s="4" t="s">
        <v>1517</v>
      </c>
      <c r="D617" s="4">
        <v>389118</v>
      </c>
      <c r="E617" s="4" t="s">
        <v>392</v>
      </c>
      <c r="F617" s="5">
        <v>1491</v>
      </c>
      <c r="G617" s="5">
        <v>1482</v>
      </c>
      <c r="H617" s="5">
        <v>494</v>
      </c>
      <c r="I617" s="4" t="s">
        <v>315</v>
      </c>
      <c r="J617" s="4" t="s">
        <v>316</v>
      </c>
      <c r="K617" s="4" t="s">
        <v>201</v>
      </c>
      <c r="L617" s="4">
        <v>49831237</v>
      </c>
      <c r="M617" s="4">
        <v>49831237</v>
      </c>
      <c r="N617" s="4" t="s">
        <v>23</v>
      </c>
      <c r="O617" s="4" t="s">
        <v>24</v>
      </c>
      <c r="P617" s="4" t="s">
        <v>41</v>
      </c>
      <c r="Q617" s="4">
        <v>15</v>
      </c>
    </row>
    <row r="618" spans="1:17" ht="30">
      <c r="A618" s="3" t="s">
        <v>1427</v>
      </c>
      <c r="B618" s="4" t="s">
        <v>1518</v>
      </c>
      <c r="C618" s="4" t="str">
        <f ca="1">"NM_001243736"&amp;IF(INFO("system")="mac",CHAR(13),CHAR(10))&amp;"NM_021970"</f>
        <v>NM_001243736_x000D_NM_021970</v>
      </c>
      <c r="D618" s="4">
        <v>8649</v>
      </c>
      <c r="E618" s="4" t="s">
        <v>19</v>
      </c>
      <c r="F618" s="5" t="str">
        <f ca="1">"379"&amp;IF(INFO("system")="mac",CHAR(13),CHAR(10))&amp;"400"</f>
        <v>379_x000D_400</v>
      </c>
      <c r="G618" s="5" t="str">
        <f ca="1">"130"&amp;IF(INFO("system")="mac",CHAR(13),CHAR(10))&amp;"151"</f>
        <v>130_x000D_151</v>
      </c>
      <c r="H618" s="5" t="str">
        <f ca="1">"44"&amp;IF(INFO("system")="mac",CHAR(13),CHAR(10))&amp;"51"</f>
        <v>44_x000D_51</v>
      </c>
      <c r="I618" s="4" t="s">
        <v>299</v>
      </c>
      <c r="J618" s="4" t="s">
        <v>300</v>
      </c>
      <c r="K618" s="4" t="s">
        <v>220</v>
      </c>
      <c r="L618" s="4">
        <v>100806785</v>
      </c>
      <c r="M618" s="4">
        <v>100806785</v>
      </c>
      <c r="N618" s="4" t="s">
        <v>23</v>
      </c>
      <c r="O618" s="4" t="s">
        <v>25</v>
      </c>
      <c r="P618" s="4" t="s">
        <v>24</v>
      </c>
      <c r="Q618" s="4">
        <v>13</v>
      </c>
    </row>
    <row r="619" spans="1:17" ht="45">
      <c r="A619" s="3" t="s">
        <v>1427</v>
      </c>
      <c r="B619" s="4" t="s">
        <v>1519</v>
      </c>
      <c r="C619" s="4" t="str">
        <f ca="1">"NM_024873"&amp;IF(INFO("system")="mac",CHAR(13),CHAR(10))&amp;"NM_001244764"&amp;IF(INFO("system")="mac",CHAR(13),CHAR(10))&amp;"NM_001128843"</f>
        <v>NM_024873_x000D_NM_001244764_x000D_NM_001128843</v>
      </c>
      <c r="D619" s="4">
        <v>79931</v>
      </c>
      <c r="E619" s="4" t="s">
        <v>19</v>
      </c>
      <c r="F619" s="5" t="str">
        <f ca="1">"466"&amp;IF(INFO("system")="mac",CHAR(13),CHAR(10))&amp;"580"&amp;IF(INFO("system")="mac",CHAR(13),CHAR(10))&amp;"498"</f>
        <v>466_x000D_580_x000D_498</v>
      </c>
      <c r="G619" s="5" t="str">
        <f ca="1">"270"&amp;IF(INFO("system")="mac",CHAR(13),CHAR(10))&amp;"501"&amp;IF(INFO("system")="mac",CHAR(13),CHAR(10))&amp;"270"</f>
        <v>270_x000D_501_x000D_270</v>
      </c>
      <c r="H619" s="5" t="str">
        <f ca="1">"90"&amp;IF(INFO("system")="mac",CHAR(13),CHAR(10))&amp;"167"&amp;IF(INFO("system")="mac",CHAR(13),CHAR(10))&amp;"90"</f>
        <v>90_x000D_167_x000D_90</v>
      </c>
      <c r="I619" s="4" t="s">
        <v>800</v>
      </c>
      <c r="J619" s="4" t="s">
        <v>1180</v>
      </c>
      <c r="K619" s="4" t="s">
        <v>220</v>
      </c>
      <c r="L619" s="4">
        <v>122078342</v>
      </c>
      <c r="M619" s="4">
        <v>122078342</v>
      </c>
      <c r="N619" s="4" t="s">
        <v>23</v>
      </c>
      <c r="O619" s="4" t="s">
        <v>46</v>
      </c>
      <c r="P619" s="4" t="s">
        <v>25</v>
      </c>
      <c r="Q619" s="4">
        <v>3</v>
      </c>
    </row>
    <row r="620" spans="1:17" ht="30">
      <c r="A620" s="3" t="s">
        <v>1427</v>
      </c>
      <c r="B620" s="4" t="s">
        <v>1520</v>
      </c>
      <c r="C620" s="4" t="str">
        <f ca="1">"NM_015115"&amp;IF(INFO("system")="mac",CHAR(13),CHAR(10))&amp;"NM_001040402"</f>
        <v>NM_015115_x000D_NM_001040402</v>
      </c>
      <c r="D620" s="4">
        <v>23142</v>
      </c>
      <c r="E620" s="4" t="s">
        <v>19</v>
      </c>
      <c r="F620" s="5">
        <v>666</v>
      </c>
      <c r="G620" s="5">
        <v>533</v>
      </c>
      <c r="H620" s="5">
        <v>178</v>
      </c>
      <c r="I620" s="4" t="s">
        <v>393</v>
      </c>
      <c r="J620" s="4" t="s">
        <v>955</v>
      </c>
      <c r="K620" s="4" t="s">
        <v>220</v>
      </c>
      <c r="L620" s="4">
        <v>52765462</v>
      </c>
      <c r="M620" s="4">
        <v>52765462</v>
      </c>
      <c r="N620" s="4" t="s">
        <v>23</v>
      </c>
      <c r="O620" s="4" t="s">
        <v>25</v>
      </c>
      <c r="P620" s="4" t="s">
        <v>24</v>
      </c>
      <c r="Q620" s="4">
        <v>4</v>
      </c>
    </row>
    <row r="621" spans="1:17">
      <c r="A621" s="3" t="s">
        <v>1427</v>
      </c>
      <c r="B621" s="4" t="s">
        <v>1521</v>
      </c>
      <c r="C621" s="4" t="s">
        <v>1522</v>
      </c>
      <c r="D621" s="4">
        <v>132884</v>
      </c>
      <c r="E621" s="4" t="s">
        <v>19</v>
      </c>
      <c r="F621" s="5">
        <v>227</v>
      </c>
      <c r="G621" s="5">
        <v>173</v>
      </c>
      <c r="H621" s="5">
        <v>58</v>
      </c>
      <c r="I621" s="4" t="s">
        <v>142</v>
      </c>
      <c r="J621" s="4" t="s">
        <v>143</v>
      </c>
      <c r="K621" s="4" t="s">
        <v>220</v>
      </c>
      <c r="L621" s="4">
        <v>5710068</v>
      </c>
      <c r="M621" s="4">
        <v>5710068</v>
      </c>
      <c r="N621" s="4" t="s">
        <v>23</v>
      </c>
      <c r="O621" s="4" t="s">
        <v>24</v>
      </c>
      <c r="P621" s="4" t="s">
        <v>41</v>
      </c>
      <c r="Q621" s="4">
        <v>6</v>
      </c>
    </row>
    <row r="622" spans="1:17" ht="30">
      <c r="A622" s="3" t="s">
        <v>1427</v>
      </c>
      <c r="B622" s="4" t="s">
        <v>1523</v>
      </c>
      <c r="C622" s="4" t="str">
        <f ca="1">"NM_005935"&amp;IF(INFO("system")="mac",CHAR(13),CHAR(10))&amp;"NM_001166693"</f>
        <v>NM_005935_x000D_NM_001166693</v>
      </c>
      <c r="D622" s="4">
        <v>4299</v>
      </c>
      <c r="E622" s="4" t="s">
        <v>19</v>
      </c>
      <c r="F622" s="5" t="str">
        <f ca="1">"642"&amp;IF(INFO("system")="mac",CHAR(13),CHAR(10))&amp;"531"</f>
        <v>642_x000D_531</v>
      </c>
      <c r="G622" s="5" t="str">
        <f ca="1">"235"&amp;IF(INFO("system")="mac",CHAR(13),CHAR(10))&amp;"256"</f>
        <v>235_x000D_256</v>
      </c>
      <c r="H622" s="5" t="str">
        <f ca="1">"79"&amp;IF(INFO("system")="mac",CHAR(13),CHAR(10))&amp;"86"</f>
        <v>79_x000D_86</v>
      </c>
      <c r="I622" s="4" t="s">
        <v>559</v>
      </c>
      <c r="J622" s="4" t="s">
        <v>560</v>
      </c>
      <c r="K622" s="4" t="s">
        <v>220</v>
      </c>
      <c r="L622" s="4">
        <v>87967943</v>
      </c>
      <c r="M622" s="4">
        <v>87967943</v>
      </c>
      <c r="N622" s="4" t="s">
        <v>23</v>
      </c>
      <c r="O622" s="4" t="s">
        <v>46</v>
      </c>
      <c r="P622" s="4" t="s">
        <v>41</v>
      </c>
      <c r="Q622" s="4">
        <v>3</v>
      </c>
    </row>
    <row r="623" spans="1:17" ht="30">
      <c r="A623" s="3" t="s">
        <v>1427</v>
      </c>
      <c r="B623" s="4" t="s">
        <v>1524</v>
      </c>
      <c r="C623" s="4" t="str">
        <f ca="1">"NM_032086"&amp;IF(INFO("system")="mac",CHAR(13),CHAR(10))&amp;"NM_018919"</f>
        <v>NM_032086_x000D_NM_018919</v>
      </c>
      <c r="D623" s="4">
        <v>56109</v>
      </c>
      <c r="E623" s="4" t="s">
        <v>19</v>
      </c>
      <c r="F623" s="5">
        <v>626</v>
      </c>
      <c r="G623" s="5">
        <v>626</v>
      </c>
      <c r="H623" s="5">
        <v>209</v>
      </c>
      <c r="I623" s="4" t="s">
        <v>137</v>
      </c>
      <c r="J623" s="4" t="s">
        <v>1288</v>
      </c>
      <c r="K623" s="4" t="s">
        <v>226</v>
      </c>
      <c r="L623" s="4">
        <v>140754276</v>
      </c>
      <c r="M623" s="4">
        <v>140754276</v>
      </c>
      <c r="N623" s="4" t="s">
        <v>23</v>
      </c>
      <c r="O623" s="4" t="s">
        <v>24</v>
      </c>
      <c r="P623" s="4" t="s">
        <v>41</v>
      </c>
      <c r="Q623" s="4">
        <v>6</v>
      </c>
    </row>
    <row r="624" spans="1:17" ht="30">
      <c r="A624" s="3" t="s">
        <v>1427</v>
      </c>
      <c r="B624" s="4" t="s">
        <v>1525</v>
      </c>
      <c r="C624" s="4" t="str">
        <f ca="1">"NM_001146040"&amp;IF(INFO("system")="mac",CHAR(13),CHAR(10))&amp;"NM_000171"</f>
        <v>NM_001146040_x000D_NM_000171</v>
      </c>
      <c r="D624" s="4">
        <v>2741</v>
      </c>
      <c r="E624" s="4" t="s">
        <v>19</v>
      </c>
      <c r="F624" s="5">
        <v>419</v>
      </c>
      <c r="G624" s="5">
        <v>132</v>
      </c>
      <c r="H624" s="5">
        <v>44</v>
      </c>
      <c r="I624" s="4" t="s">
        <v>235</v>
      </c>
      <c r="J624" s="4" t="s">
        <v>490</v>
      </c>
      <c r="K624" s="4" t="s">
        <v>226</v>
      </c>
      <c r="L624" s="4">
        <v>151271924</v>
      </c>
      <c r="M624" s="4">
        <v>151271924</v>
      </c>
      <c r="N624" s="4" t="s">
        <v>23</v>
      </c>
      <c r="O624" s="4" t="s">
        <v>46</v>
      </c>
      <c r="P624" s="4" t="s">
        <v>25</v>
      </c>
      <c r="Q624" s="4">
        <v>5</v>
      </c>
    </row>
    <row r="625" spans="1:17">
      <c r="A625" s="3" t="s">
        <v>1427</v>
      </c>
      <c r="B625" s="4" t="s">
        <v>1526</v>
      </c>
      <c r="C625" s="4" t="s">
        <v>1527</v>
      </c>
      <c r="D625" s="4">
        <v>408263</v>
      </c>
      <c r="E625" s="4" t="s">
        <v>19</v>
      </c>
      <c r="F625" s="5">
        <v>471</v>
      </c>
      <c r="G625" s="5">
        <v>283</v>
      </c>
      <c r="H625" s="5">
        <v>95</v>
      </c>
      <c r="I625" s="4" t="s">
        <v>597</v>
      </c>
      <c r="J625" s="4" t="s">
        <v>598</v>
      </c>
      <c r="K625" s="4" t="s">
        <v>226</v>
      </c>
      <c r="L625" s="4">
        <v>156770262</v>
      </c>
      <c r="M625" s="4">
        <v>156770262</v>
      </c>
      <c r="N625" s="4" t="s">
        <v>23</v>
      </c>
      <c r="O625" s="4" t="s">
        <v>24</v>
      </c>
      <c r="P625" s="4" t="s">
        <v>41</v>
      </c>
      <c r="Q625" s="4">
        <v>4</v>
      </c>
    </row>
    <row r="626" spans="1:17">
      <c r="A626" s="3" t="s">
        <v>1427</v>
      </c>
      <c r="B626" s="4" t="s">
        <v>1528</v>
      </c>
      <c r="C626" s="4" t="s">
        <v>1529</v>
      </c>
      <c r="D626" s="4">
        <v>256006</v>
      </c>
      <c r="E626" s="4" t="s">
        <v>19</v>
      </c>
      <c r="F626" s="5">
        <v>1432</v>
      </c>
      <c r="G626" s="5">
        <v>1240</v>
      </c>
      <c r="H626" s="5">
        <v>414</v>
      </c>
      <c r="I626" s="4" t="s">
        <v>414</v>
      </c>
      <c r="J626" s="4" t="s">
        <v>423</v>
      </c>
      <c r="K626" s="4" t="s">
        <v>226</v>
      </c>
      <c r="L626" s="4">
        <v>74489194</v>
      </c>
      <c r="M626" s="4">
        <v>74489194</v>
      </c>
      <c r="N626" s="4" t="s">
        <v>23</v>
      </c>
      <c r="O626" s="4" t="s">
        <v>24</v>
      </c>
      <c r="P626" s="4" t="s">
        <v>25</v>
      </c>
      <c r="Q626" s="4">
        <v>-1</v>
      </c>
    </row>
    <row r="627" spans="1:17" ht="30">
      <c r="A627" s="3" t="s">
        <v>1427</v>
      </c>
      <c r="B627" s="4" t="s">
        <v>1530</v>
      </c>
      <c r="C627" s="4" t="str">
        <f ca="1">"NM_002844"&amp;IF(INFO("system")="mac",CHAR(13),CHAR(10))&amp;"NM_001135648"</f>
        <v>NM_002844_x000D_NM_001135648</v>
      </c>
      <c r="D627" s="4">
        <v>5796</v>
      </c>
      <c r="E627" s="4" t="s">
        <v>232</v>
      </c>
      <c r="F627" s="5" t="s">
        <v>35</v>
      </c>
      <c r="G627" s="5" t="s">
        <v>35</v>
      </c>
      <c r="H627" s="5" t="s">
        <v>35</v>
      </c>
      <c r="I627" s="4" t="s">
        <v>35</v>
      </c>
      <c r="J627" s="4" t="s">
        <v>35</v>
      </c>
      <c r="K627" s="4" t="s">
        <v>237</v>
      </c>
      <c r="L627" s="4">
        <v>128307024</v>
      </c>
      <c r="M627" s="4">
        <v>128307024</v>
      </c>
      <c r="N627" s="4" t="s">
        <v>23</v>
      </c>
      <c r="O627" s="4" t="s">
        <v>41</v>
      </c>
      <c r="P627" s="4" t="s">
        <v>25</v>
      </c>
      <c r="Q627" s="4">
        <v>10</v>
      </c>
    </row>
    <row r="628" spans="1:17" ht="30">
      <c r="A628" s="3" t="s">
        <v>1427</v>
      </c>
      <c r="B628" s="4" t="s">
        <v>1531</v>
      </c>
      <c r="C628" s="4" t="str">
        <f ca="1">"NM_033071"&amp;IF(INFO("system")="mac",CHAR(13),CHAR(10))&amp;"NM_182961"</f>
        <v>NM_033071_x000D_NM_182961</v>
      </c>
      <c r="D628" s="4">
        <v>23345</v>
      </c>
      <c r="E628" s="4" t="s">
        <v>19</v>
      </c>
      <c r="F628" s="5" t="str">
        <f ca="1">"624"&amp;IF(INFO("system")="mac",CHAR(13),CHAR(10))&amp;"789"</f>
        <v>624_x000D_789</v>
      </c>
      <c r="G628" s="5">
        <v>187</v>
      </c>
      <c r="H628" s="5">
        <v>63</v>
      </c>
      <c r="I628" s="4" t="s">
        <v>597</v>
      </c>
      <c r="J628" s="4" t="s">
        <v>598</v>
      </c>
      <c r="K628" s="4" t="s">
        <v>237</v>
      </c>
      <c r="L628" s="4">
        <v>152847253</v>
      </c>
      <c r="M628" s="4">
        <v>152847253</v>
      </c>
      <c r="N628" s="4" t="s">
        <v>23</v>
      </c>
      <c r="O628" s="4" t="s">
        <v>24</v>
      </c>
      <c r="P628" s="4" t="s">
        <v>41</v>
      </c>
      <c r="Q628" s="4">
        <v>6</v>
      </c>
    </row>
    <row r="629" spans="1:17">
      <c r="A629" s="3" t="s">
        <v>1427</v>
      </c>
      <c r="B629" s="4" t="s">
        <v>1532</v>
      </c>
      <c r="C629" s="4" t="s">
        <v>1533</v>
      </c>
      <c r="D629" s="4">
        <v>7058</v>
      </c>
      <c r="E629" s="4" t="s">
        <v>1217</v>
      </c>
      <c r="F629" s="5">
        <v>1141</v>
      </c>
      <c r="G629" s="5">
        <v>893</v>
      </c>
      <c r="H629" s="5">
        <v>298</v>
      </c>
      <c r="I629" s="4" t="s">
        <v>77</v>
      </c>
      <c r="J629" s="4" t="s">
        <v>78</v>
      </c>
      <c r="K629" s="4" t="s">
        <v>237</v>
      </c>
      <c r="L629" s="4">
        <v>169640686</v>
      </c>
      <c r="M629" s="4">
        <v>169640686</v>
      </c>
      <c r="N629" s="4" t="s">
        <v>23</v>
      </c>
      <c r="O629" s="4" t="s">
        <v>24</v>
      </c>
      <c r="P629" s="4" t="s">
        <v>41</v>
      </c>
      <c r="Q629" s="4">
        <v>7</v>
      </c>
    </row>
    <row r="630" spans="1:17">
      <c r="A630" s="3" t="s">
        <v>1427</v>
      </c>
      <c r="B630" s="4" t="s">
        <v>1534</v>
      </c>
      <c r="C630" s="4" t="s">
        <v>1535</v>
      </c>
      <c r="D630" s="4">
        <v>1769</v>
      </c>
      <c r="E630" s="4" t="s">
        <v>19</v>
      </c>
      <c r="F630" s="5">
        <v>3594</v>
      </c>
      <c r="G630" s="5">
        <v>3485</v>
      </c>
      <c r="H630" s="5">
        <v>1162</v>
      </c>
      <c r="I630" s="4" t="s">
        <v>95</v>
      </c>
      <c r="J630" s="4" t="s">
        <v>1325</v>
      </c>
      <c r="K630" s="4" t="s">
        <v>237</v>
      </c>
      <c r="L630" s="4">
        <v>38783395</v>
      </c>
      <c r="M630" s="4">
        <v>38783395</v>
      </c>
      <c r="N630" s="4" t="s">
        <v>23</v>
      </c>
      <c r="O630" s="4" t="s">
        <v>46</v>
      </c>
      <c r="P630" s="4" t="s">
        <v>41</v>
      </c>
      <c r="Q630" s="4">
        <v>5</v>
      </c>
    </row>
    <row r="631" spans="1:17">
      <c r="A631" s="3" t="s">
        <v>1427</v>
      </c>
      <c r="B631" s="4" t="s">
        <v>1536</v>
      </c>
      <c r="C631" s="4" t="s">
        <v>1537</v>
      </c>
      <c r="D631" s="4">
        <v>55809</v>
      </c>
      <c r="E631" s="4" t="s">
        <v>19</v>
      </c>
      <c r="F631" s="5">
        <v>2715</v>
      </c>
      <c r="G631" s="5">
        <v>2152</v>
      </c>
      <c r="H631" s="5">
        <v>718</v>
      </c>
      <c r="I631" s="4" t="s">
        <v>356</v>
      </c>
      <c r="J631" s="4" t="s">
        <v>357</v>
      </c>
      <c r="K631" s="4" t="s">
        <v>237</v>
      </c>
      <c r="L631" s="4">
        <v>42227194</v>
      </c>
      <c r="M631" s="4">
        <v>42227194</v>
      </c>
      <c r="N631" s="4" t="s">
        <v>23</v>
      </c>
      <c r="O631" s="4" t="s">
        <v>24</v>
      </c>
      <c r="P631" s="4" t="s">
        <v>46</v>
      </c>
      <c r="Q631" s="4">
        <v>5</v>
      </c>
    </row>
    <row r="632" spans="1:17" ht="45">
      <c r="A632" s="3" t="s">
        <v>1427</v>
      </c>
      <c r="B632" s="4" t="s">
        <v>1538</v>
      </c>
      <c r="C632" s="4" t="str">
        <f ca="1">"NM_001105531"&amp;IF(INFO("system")="mac",CHAR(13),CHAR(10))&amp;"NM_001162529"&amp;IF(INFO("system")="mac",CHAR(13),CHAR(10))&amp;"NM_020819"</f>
        <v>NM_001105531_x000D_NM_001162529_x000D_NM_020819</v>
      </c>
      <c r="D632" s="4">
        <v>57579</v>
      </c>
      <c r="E632" s="4" t="s">
        <v>19</v>
      </c>
      <c r="F632" s="5" t="str">
        <f ca="1">"1065"&amp;IF(INFO("system")="mac",CHAR(13),CHAR(10))&amp;"680"&amp;IF(INFO("system")="mac",CHAR(13),CHAR(10))&amp;"850"</f>
        <v>1065_x000D_680_x000D_850</v>
      </c>
      <c r="G632" s="5" t="str">
        <f ca="1">"547"&amp;IF(INFO("system")="mac",CHAR(13),CHAR(10))&amp;"547"&amp;IF(INFO("system")="mac",CHAR(13),CHAR(10))&amp;"418"</f>
        <v>547_x000D_547_x000D_418</v>
      </c>
      <c r="H632" s="5" t="str">
        <f ca="1">"183"&amp;IF(INFO("system")="mac",CHAR(13),CHAR(10))&amp;"183"&amp;IF(INFO("system")="mac",CHAR(13),CHAR(10))&amp;"140"</f>
        <v>183_x000D_183_x000D_140</v>
      </c>
      <c r="I632" s="4" t="s">
        <v>414</v>
      </c>
      <c r="J632" s="4" t="s">
        <v>415</v>
      </c>
      <c r="K632" s="4" t="s">
        <v>237</v>
      </c>
      <c r="L632" s="4">
        <v>71190608</v>
      </c>
      <c r="M632" s="4">
        <v>71190608</v>
      </c>
      <c r="N632" s="4" t="s">
        <v>23</v>
      </c>
      <c r="O632" s="4" t="s">
        <v>46</v>
      </c>
      <c r="P632" s="4" t="s">
        <v>41</v>
      </c>
      <c r="Q632" s="4">
        <v>-5</v>
      </c>
    </row>
    <row r="633" spans="1:17" ht="30">
      <c r="A633" s="3" t="s">
        <v>1427</v>
      </c>
      <c r="B633" s="4" t="s">
        <v>1539</v>
      </c>
      <c r="C633" s="4" t="str">
        <f ca="1">"NM_007252"&amp;IF(INFO("system")="mac",CHAR(13),CHAR(10))&amp;"NM_001166018"</f>
        <v>NM_007252_x000D_NM_001166018</v>
      </c>
      <c r="D633" s="4">
        <v>11281</v>
      </c>
      <c r="E633" s="4" t="s">
        <v>19</v>
      </c>
      <c r="F633" s="5">
        <v>412</v>
      </c>
      <c r="G633" s="5">
        <v>269</v>
      </c>
      <c r="H633" s="5">
        <v>90</v>
      </c>
      <c r="I633" s="4" t="s">
        <v>899</v>
      </c>
      <c r="J633" s="4" t="s">
        <v>900</v>
      </c>
      <c r="K633" s="4" t="s">
        <v>257</v>
      </c>
      <c r="L633" s="4">
        <v>39243912</v>
      </c>
      <c r="M633" s="4">
        <v>39243912</v>
      </c>
      <c r="N633" s="4" t="s">
        <v>23</v>
      </c>
      <c r="O633" s="4" t="s">
        <v>46</v>
      </c>
      <c r="P633" s="4" t="s">
        <v>25</v>
      </c>
      <c r="Q633" s="4">
        <v>5</v>
      </c>
    </row>
    <row r="634" spans="1:17">
      <c r="A634" s="3" t="s">
        <v>1427</v>
      </c>
      <c r="B634" s="4" t="s">
        <v>1540</v>
      </c>
      <c r="C634" s="4" t="s">
        <v>1541</v>
      </c>
      <c r="D634" s="4">
        <v>1365</v>
      </c>
      <c r="E634" s="4" t="s">
        <v>19</v>
      </c>
      <c r="F634" s="5">
        <v>739</v>
      </c>
      <c r="G634" s="5">
        <v>518</v>
      </c>
      <c r="H634" s="5">
        <v>173</v>
      </c>
      <c r="I634" s="4" t="s">
        <v>385</v>
      </c>
      <c r="J634" s="4" t="s">
        <v>386</v>
      </c>
      <c r="K634" s="4" t="s">
        <v>257</v>
      </c>
      <c r="L634" s="4">
        <v>73183862</v>
      </c>
      <c r="M634" s="4">
        <v>73183862</v>
      </c>
      <c r="N634" s="4" t="s">
        <v>23</v>
      </c>
      <c r="O634" s="4" t="s">
        <v>41</v>
      </c>
      <c r="P634" s="4" t="s">
        <v>46</v>
      </c>
      <c r="Q634" s="4">
        <v>-1</v>
      </c>
    </row>
    <row r="635" spans="1:17">
      <c r="A635" s="3" t="s">
        <v>1427</v>
      </c>
      <c r="B635" s="4" t="s">
        <v>1542</v>
      </c>
      <c r="C635" s="4" t="s">
        <v>1543</v>
      </c>
      <c r="D635" s="4">
        <v>11033</v>
      </c>
      <c r="E635" s="4" t="s">
        <v>19</v>
      </c>
      <c r="F635" s="5">
        <v>670</v>
      </c>
      <c r="G635" s="5">
        <v>494</v>
      </c>
      <c r="H635" s="5">
        <v>165</v>
      </c>
      <c r="I635" s="4" t="s">
        <v>184</v>
      </c>
      <c r="J635" s="4" t="s">
        <v>185</v>
      </c>
      <c r="K635" s="4" t="s">
        <v>257</v>
      </c>
      <c r="L635" s="4">
        <v>944704</v>
      </c>
      <c r="M635" s="4">
        <v>944704</v>
      </c>
      <c r="N635" s="4" t="s">
        <v>23</v>
      </c>
      <c r="O635" s="4" t="s">
        <v>46</v>
      </c>
      <c r="P635" s="4" t="s">
        <v>25</v>
      </c>
      <c r="Q635" s="4">
        <v>5</v>
      </c>
    </row>
    <row r="636" spans="1:17">
      <c r="A636" s="3" t="s">
        <v>1427</v>
      </c>
      <c r="B636" s="4" t="s">
        <v>1544</v>
      </c>
      <c r="C636" s="4" t="s">
        <v>1545</v>
      </c>
      <c r="D636" s="4">
        <v>64478</v>
      </c>
      <c r="E636" s="4" t="s">
        <v>76</v>
      </c>
      <c r="F636" s="5">
        <v>2245</v>
      </c>
      <c r="G636" s="5">
        <v>1855</v>
      </c>
      <c r="H636" s="5">
        <v>619</v>
      </c>
      <c r="I636" s="4" t="s">
        <v>1243</v>
      </c>
      <c r="J636" s="4" t="s">
        <v>1244</v>
      </c>
      <c r="K636" s="4" t="s">
        <v>279</v>
      </c>
      <c r="L636" s="4">
        <v>3265637</v>
      </c>
      <c r="M636" s="4">
        <v>3265637</v>
      </c>
      <c r="N636" s="4" t="s">
        <v>23</v>
      </c>
      <c r="O636" s="4" t="s">
        <v>46</v>
      </c>
      <c r="P636" s="4" t="s">
        <v>25</v>
      </c>
      <c r="Q636" s="4">
        <v>8</v>
      </c>
    </row>
    <row r="637" spans="1:17">
      <c r="A637" s="3" t="s">
        <v>1427</v>
      </c>
      <c r="B637" s="4" t="s">
        <v>1546</v>
      </c>
      <c r="C637" s="4" t="s">
        <v>1547</v>
      </c>
      <c r="D637" s="4">
        <v>4325</v>
      </c>
      <c r="E637" s="4" t="s">
        <v>19</v>
      </c>
      <c r="F637" s="5">
        <v>1552</v>
      </c>
      <c r="G637" s="5">
        <v>1270</v>
      </c>
      <c r="H637" s="5">
        <v>424</v>
      </c>
      <c r="I637" s="4" t="s">
        <v>1548</v>
      </c>
      <c r="J637" s="4" t="s">
        <v>1549</v>
      </c>
      <c r="K637" s="4" t="s">
        <v>279</v>
      </c>
      <c r="L637" s="4">
        <v>89068459</v>
      </c>
      <c r="M637" s="4">
        <v>89068459</v>
      </c>
      <c r="N637" s="4" t="s">
        <v>23</v>
      </c>
      <c r="O637" s="4" t="s">
        <v>24</v>
      </c>
      <c r="P637" s="4" t="s">
        <v>46</v>
      </c>
      <c r="Q637" s="4">
        <v>13</v>
      </c>
    </row>
    <row r="638" spans="1:17">
      <c r="A638" s="3" t="s">
        <v>1427</v>
      </c>
      <c r="B638" s="4" t="s">
        <v>1550</v>
      </c>
      <c r="C638" s="4" t="s">
        <v>1551</v>
      </c>
      <c r="D638" s="4">
        <v>392255</v>
      </c>
      <c r="E638" s="4" t="s">
        <v>19</v>
      </c>
      <c r="F638" s="5">
        <v>1173</v>
      </c>
      <c r="G638" s="5">
        <v>1073</v>
      </c>
      <c r="H638" s="5">
        <v>358</v>
      </c>
      <c r="I638" s="4" t="s">
        <v>142</v>
      </c>
      <c r="J638" s="4" t="s">
        <v>143</v>
      </c>
      <c r="K638" s="4" t="s">
        <v>279</v>
      </c>
      <c r="L638" s="4">
        <v>97157086</v>
      </c>
      <c r="M638" s="4">
        <v>97157086</v>
      </c>
      <c r="N638" s="4" t="s">
        <v>23</v>
      </c>
      <c r="O638" s="4" t="s">
        <v>24</v>
      </c>
      <c r="P638" s="4" t="s">
        <v>41</v>
      </c>
      <c r="Q638" s="4">
        <v>15</v>
      </c>
    </row>
    <row r="639" spans="1:17">
      <c r="A639" s="3" t="s">
        <v>1427</v>
      </c>
      <c r="B639" s="4" t="s">
        <v>1552</v>
      </c>
      <c r="C639" s="4" t="s">
        <v>1553</v>
      </c>
      <c r="D639" s="4">
        <v>389715</v>
      </c>
      <c r="E639" s="4" t="s">
        <v>1001</v>
      </c>
      <c r="F639" s="5">
        <v>346</v>
      </c>
      <c r="G639" s="5" t="s">
        <v>35</v>
      </c>
      <c r="H639" s="5" t="s">
        <v>35</v>
      </c>
      <c r="I639" s="4" t="s">
        <v>35</v>
      </c>
      <c r="J639" s="4" t="s">
        <v>35</v>
      </c>
      <c r="K639" s="4" t="s">
        <v>292</v>
      </c>
      <c r="L639" s="4">
        <v>34836048</v>
      </c>
      <c r="M639" s="4">
        <v>34836048</v>
      </c>
      <c r="N639" s="4" t="s">
        <v>23</v>
      </c>
      <c r="O639" s="4" t="s">
        <v>24</v>
      </c>
      <c r="P639" s="4" t="s">
        <v>25</v>
      </c>
      <c r="Q639" s="4">
        <v>3</v>
      </c>
    </row>
    <row r="640" spans="1:17" ht="60">
      <c r="A640" s="3" t="s">
        <v>1554</v>
      </c>
      <c r="B640" s="4" t="s">
        <v>867</v>
      </c>
      <c r="C640" s="4" t="str">
        <f ca="1">"NM_001854"&amp;IF(INFO("system")="mac",CHAR(13),CHAR(10))&amp;"NM_080629"&amp;IF(INFO("system")="mac",CHAR(13),CHAR(10))&amp;"NM_001190709"&amp;IF(INFO("system")="mac",CHAR(13),CHAR(10))&amp;"NM_080630"</f>
        <v>NM_001854_x000D_NM_080629_x000D_NM_001190709_x000D_NM_080630</v>
      </c>
      <c r="D640" s="4">
        <v>1301</v>
      </c>
      <c r="E640" s="4" t="s">
        <v>19</v>
      </c>
      <c r="F640" s="5" t="str">
        <f ca="1">"3308"&amp;IF(INFO("system")="mac",CHAR(13),CHAR(10))&amp;"3344"&amp;IF(INFO("system")="mac",CHAR(13),CHAR(10))&amp;"3191"&amp;IF(INFO("system")="mac",CHAR(13),CHAR(10))&amp;"2960"</f>
        <v>3308_x000D_3344_x000D_3191_x000D_2960</v>
      </c>
      <c r="G640" s="5" t="str">
        <f ca="1">"2990"&amp;IF(INFO("system")="mac",CHAR(13),CHAR(10))&amp;"3026"&amp;IF(INFO("system")="mac",CHAR(13),CHAR(10))&amp;"2873"&amp;IF(INFO("system")="mac",CHAR(13),CHAR(10))&amp;"2642"</f>
        <v>2990_x000D_3026_x000D_2873_x000D_2642</v>
      </c>
      <c r="H640" s="5" t="str">
        <f ca="1">"997"&amp;IF(INFO("system")="mac",CHAR(13),CHAR(10))&amp;"1009"&amp;IF(INFO("system")="mac",CHAR(13),CHAR(10))&amp;"958"&amp;IF(INFO("system")="mac",CHAR(13),CHAR(10))&amp;"881"</f>
        <v>997_x000D_1009_x000D_958_x000D_881</v>
      </c>
      <c r="I640" s="4" t="s">
        <v>269</v>
      </c>
      <c r="J640" s="4" t="s">
        <v>1555</v>
      </c>
      <c r="K640" s="4" t="s">
        <v>22</v>
      </c>
      <c r="L640" s="4">
        <v>103428243</v>
      </c>
      <c r="M640" s="4">
        <v>103428243</v>
      </c>
      <c r="N640" s="4" t="s">
        <v>23</v>
      </c>
      <c r="O640" s="4" t="s">
        <v>46</v>
      </c>
      <c r="P640" s="4" t="s">
        <v>25</v>
      </c>
      <c r="Q640" s="4">
        <v>8</v>
      </c>
    </row>
    <row r="641" spans="1:17">
      <c r="A641" s="3" t="s">
        <v>1554</v>
      </c>
      <c r="B641" s="4" t="s">
        <v>1556</v>
      </c>
      <c r="C641" s="4" t="s">
        <v>1557</v>
      </c>
      <c r="D641" s="4">
        <v>388698</v>
      </c>
      <c r="E641" s="4" t="s">
        <v>19</v>
      </c>
      <c r="F641" s="5">
        <v>6911</v>
      </c>
      <c r="G641" s="5">
        <v>6838</v>
      </c>
      <c r="H641" s="5">
        <v>2280</v>
      </c>
      <c r="I641" s="4" t="s">
        <v>27</v>
      </c>
      <c r="J641" s="4" t="s">
        <v>1364</v>
      </c>
      <c r="K641" s="4" t="s">
        <v>22</v>
      </c>
      <c r="L641" s="4">
        <v>152323424</v>
      </c>
      <c r="M641" s="4">
        <v>152323424</v>
      </c>
      <c r="N641" s="4" t="s">
        <v>23</v>
      </c>
      <c r="O641" s="4" t="s">
        <v>46</v>
      </c>
      <c r="P641" s="4" t="s">
        <v>41</v>
      </c>
      <c r="Q641" s="4">
        <v>1</v>
      </c>
    </row>
    <row r="642" spans="1:17">
      <c r="A642" s="3" t="s">
        <v>1554</v>
      </c>
      <c r="B642" s="4" t="s">
        <v>1558</v>
      </c>
      <c r="C642" s="4" t="s">
        <v>1559</v>
      </c>
      <c r="D642" s="4">
        <v>2331</v>
      </c>
      <c r="E642" s="4" t="s">
        <v>19</v>
      </c>
      <c r="F642" s="5">
        <v>284</v>
      </c>
      <c r="G642" s="5">
        <v>148</v>
      </c>
      <c r="H642" s="5">
        <v>50</v>
      </c>
      <c r="I642" s="4" t="s">
        <v>1185</v>
      </c>
      <c r="J642" s="4" t="s">
        <v>1186</v>
      </c>
      <c r="K642" s="4" t="s">
        <v>22</v>
      </c>
      <c r="L642" s="4">
        <v>203317251</v>
      </c>
      <c r="M642" s="4">
        <v>203317251</v>
      </c>
      <c r="N642" s="4" t="s">
        <v>23</v>
      </c>
      <c r="O642" s="4" t="s">
        <v>25</v>
      </c>
      <c r="P642" s="4" t="s">
        <v>41</v>
      </c>
      <c r="Q642" s="4">
        <v>8</v>
      </c>
    </row>
    <row r="643" spans="1:17">
      <c r="A643" s="3" t="s">
        <v>1554</v>
      </c>
      <c r="B643" s="4" t="s">
        <v>1560</v>
      </c>
      <c r="C643" s="4" t="s">
        <v>1561</v>
      </c>
      <c r="D643" s="4">
        <v>83667</v>
      </c>
      <c r="E643" s="4" t="s">
        <v>19</v>
      </c>
      <c r="F643" s="5">
        <v>614</v>
      </c>
      <c r="G643" s="5">
        <v>218</v>
      </c>
      <c r="H643" s="5">
        <v>73</v>
      </c>
      <c r="I643" s="4" t="s">
        <v>434</v>
      </c>
      <c r="J643" s="4" t="s">
        <v>435</v>
      </c>
      <c r="K643" s="4" t="s">
        <v>22</v>
      </c>
      <c r="L643" s="4">
        <v>28598246</v>
      </c>
      <c r="M643" s="4">
        <v>28598246</v>
      </c>
      <c r="N643" s="4" t="s">
        <v>23</v>
      </c>
      <c r="O643" s="4" t="s">
        <v>46</v>
      </c>
      <c r="P643" s="4" t="s">
        <v>24</v>
      </c>
      <c r="Q643" s="4">
        <v>4</v>
      </c>
    </row>
    <row r="644" spans="1:17" ht="60">
      <c r="A644" s="3" t="s">
        <v>1554</v>
      </c>
      <c r="B644" s="4" t="s">
        <v>1562</v>
      </c>
      <c r="C644" s="4" t="str">
        <f ca="1">"NM_001193434"&amp;IF(INFO("system")="mac",CHAR(13),CHAR(10))&amp;"NM_024889"&amp;IF(INFO("system")="mac",CHAR(13),CHAR(10))&amp;"NM_182601"&amp;IF(INFO("system")="mac",CHAR(13),CHAR(10))&amp;"NM_001193435"</f>
        <v>NM_001193434_x000D_NM_024889_x000D_NM_182601_x000D_NM_001193435</v>
      </c>
      <c r="D644" s="4">
        <v>79949</v>
      </c>
      <c r="E644" s="4" t="s">
        <v>19</v>
      </c>
      <c r="F644" s="5" t="str">
        <f ca="1">"1124"&amp;IF(INFO("system")="mac",CHAR(13),CHAR(10))&amp;"1024"&amp;IF(INFO("system")="mac",CHAR(13),CHAR(10))&amp;"1241"&amp;IF(INFO("system")="mac",CHAR(13),CHAR(10))&amp;"928"</f>
        <v>1124_x000D_1024_x000D_1241_x000D_928</v>
      </c>
      <c r="G644" s="5" t="str">
        <f ca="1">"433"&amp;IF(INFO("system")="mac",CHAR(13),CHAR(10))&amp;"697"&amp;IF(INFO("system")="mac",CHAR(13),CHAR(10))&amp;"679"&amp;IF(INFO("system")="mac",CHAR(13),CHAR(10))&amp;"433"</f>
        <v>433_x000D_697_x000D_679_x000D_433</v>
      </c>
      <c r="H644" s="5" t="str">
        <f ca="1">"145"&amp;IF(INFO("system")="mac",CHAR(13),CHAR(10))&amp;"233"&amp;IF(INFO("system")="mac",CHAR(13),CHAR(10))&amp;"227"&amp;IF(INFO("system")="mac",CHAR(13),CHAR(10))&amp;"145"</f>
        <v>145_x000D_233_x000D_227_x000D_145</v>
      </c>
      <c r="I644" s="4" t="s">
        <v>462</v>
      </c>
      <c r="J644" s="4" t="s">
        <v>883</v>
      </c>
      <c r="K644" s="4" t="s">
        <v>69</v>
      </c>
      <c r="L644" s="4">
        <v>115534010</v>
      </c>
      <c r="M644" s="4">
        <v>115534010</v>
      </c>
      <c r="N644" s="4" t="s">
        <v>23</v>
      </c>
      <c r="O644" s="4" t="s">
        <v>24</v>
      </c>
      <c r="P644" s="4" t="s">
        <v>41</v>
      </c>
      <c r="Q644" s="4">
        <v>1</v>
      </c>
    </row>
    <row r="645" spans="1:17">
      <c r="A645" s="3" t="s">
        <v>1554</v>
      </c>
      <c r="B645" s="4" t="s">
        <v>829</v>
      </c>
      <c r="C645" s="4" t="s">
        <v>830</v>
      </c>
      <c r="D645" s="4">
        <v>119587</v>
      </c>
      <c r="E645" s="4" t="s">
        <v>19</v>
      </c>
      <c r="F645" s="5">
        <v>519</v>
      </c>
      <c r="G645" s="5">
        <v>194</v>
      </c>
      <c r="H645" s="5">
        <v>65</v>
      </c>
      <c r="I645" s="4" t="s">
        <v>332</v>
      </c>
      <c r="J645" s="4" t="s">
        <v>333</v>
      </c>
      <c r="K645" s="4" t="s">
        <v>69</v>
      </c>
      <c r="L645" s="4">
        <v>125650982</v>
      </c>
      <c r="M645" s="4">
        <v>125650982</v>
      </c>
      <c r="N645" s="4" t="s">
        <v>23</v>
      </c>
      <c r="O645" s="4" t="s">
        <v>24</v>
      </c>
      <c r="P645" s="4" t="s">
        <v>25</v>
      </c>
      <c r="Q645" s="4">
        <v>5</v>
      </c>
    </row>
    <row r="646" spans="1:17" ht="60">
      <c r="A646" s="3" t="s">
        <v>1554</v>
      </c>
      <c r="B646" s="4" t="str">
        <f ca="1">"LOC100652979"&amp;IF(INFO("system")="mac",CHAR(13),CHAR(10))&amp;"HGNC=LOC100653216"</f>
        <v>LOC100652979_x000D_HGNC=LOC100653216</v>
      </c>
      <c r="C646" s="4" t="str">
        <f ca="1">"XM_003403449"&amp;IF(INFO("system")="mac",CHAR(13),CHAR(10))&amp;"XM_003403620"</f>
        <v>XM_003403449_x000D_XM_003403620</v>
      </c>
      <c r="D646" s="4" t="str">
        <f ca="1">"100652979"&amp;IF(INFO("system")="mac",CHAR(13),CHAR(10))&amp;"100653216"</f>
        <v>100652979_x000D_100653216</v>
      </c>
      <c r="E646" s="4" t="s">
        <v>19</v>
      </c>
      <c r="F646" s="5">
        <v>2050</v>
      </c>
      <c r="G646" s="5">
        <v>2050</v>
      </c>
      <c r="H646" s="5">
        <v>684</v>
      </c>
      <c r="I646" s="4" t="s">
        <v>154</v>
      </c>
      <c r="J646" s="4" t="s">
        <v>768</v>
      </c>
      <c r="K646" s="4" t="s">
        <v>69</v>
      </c>
      <c r="L646" s="4">
        <v>19494029</v>
      </c>
      <c r="M646" s="4">
        <v>19494029</v>
      </c>
      <c r="N646" s="4" t="s">
        <v>23</v>
      </c>
      <c r="O646" s="4" t="s">
        <v>24</v>
      </c>
      <c r="P646" s="4" t="s">
        <v>25</v>
      </c>
      <c r="Q646" s="4">
        <v>7</v>
      </c>
    </row>
    <row r="647" spans="1:17">
      <c r="A647" s="3" t="s">
        <v>1554</v>
      </c>
      <c r="B647" s="4" t="s">
        <v>1563</v>
      </c>
      <c r="C647" s="4" t="s">
        <v>1564</v>
      </c>
      <c r="D647" s="4">
        <v>26128</v>
      </c>
      <c r="E647" s="4" t="s">
        <v>19</v>
      </c>
      <c r="F647" s="5">
        <v>1274</v>
      </c>
      <c r="G647" s="5">
        <v>1162</v>
      </c>
      <c r="H647" s="5">
        <v>388</v>
      </c>
      <c r="I647" s="4" t="s">
        <v>484</v>
      </c>
      <c r="J647" s="4" t="s">
        <v>557</v>
      </c>
      <c r="K647" s="4" t="s">
        <v>69</v>
      </c>
      <c r="L647" s="4">
        <v>70775468</v>
      </c>
      <c r="M647" s="4">
        <v>70775468</v>
      </c>
      <c r="N647" s="4" t="s">
        <v>23</v>
      </c>
      <c r="O647" s="4" t="s">
        <v>24</v>
      </c>
      <c r="P647" s="4" t="s">
        <v>25</v>
      </c>
      <c r="Q647" s="4">
        <v>7</v>
      </c>
    </row>
    <row r="648" spans="1:17" ht="30">
      <c r="A648" s="3" t="s">
        <v>1554</v>
      </c>
      <c r="B648" s="4" t="s">
        <v>1565</v>
      </c>
      <c r="C648" s="4" t="str">
        <f ca="1">"NM_032592"&amp;IF(INFO("system")="mac",CHAR(13),CHAR(10))&amp;"NM_001127219"</f>
        <v>NM_032592_x000D_NM_001127219</v>
      </c>
      <c r="D648" s="4">
        <v>84680</v>
      </c>
      <c r="E648" s="4" t="s">
        <v>232</v>
      </c>
      <c r="F648" s="5" t="s">
        <v>35</v>
      </c>
      <c r="G648" s="5" t="s">
        <v>35</v>
      </c>
      <c r="H648" s="5" t="s">
        <v>35</v>
      </c>
      <c r="I648" s="4" t="s">
        <v>35</v>
      </c>
      <c r="J648" s="4" t="s">
        <v>35</v>
      </c>
      <c r="K648" s="4" t="s">
        <v>83</v>
      </c>
      <c r="L648" s="4">
        <v>44095071</v>
      </c>
      <c r="M648" s="4">
        <v>44095071</v>
      </c>
      <c r="N648" s="4" t="s">
        <v>23</v>
      </c>
      <c r="O648" s="4" t="s">
        <v>25</v>
      </c>
      <c r="P648" s="4" t="s">
        <v>24</v>
      </c>
      <c r="Q648" s="4">
        <v>7</v>
      </c>
    </row>
    <row r="649" spans="1:17" ht="30">
      <c r="A649" s="3" t="s">
        <v>1554</v>
      </c>
      <c r="B649" s="4" t="s">
        <v>1565</v>
      </c>
      <c r="C649" s="4" t="str">
        <f ca="1">"NM_032592"&amp;IF(INFO("system")="mac",CHAR(13),CHAR(10))&amp;"NM_001127219"</f>
        <v>NM_032592_x000D_NM_001127219</v>
      </c>
      <c r="D649" s="4">
        <v>84680</v>
      </c>
      <c r="E649" s="4" t="s">
        <v>232</v>
      </c>
      <c r="F649" s="5" t="s">
        <v>35</v>
      </c>
      <c r="G649" s="5" t="s">
        <v>35</v>
      </c>
      <c r="H649" s="5" t="s">
        <v>35</v>
      </c>
      <c r="I649" s="4" t="s">
        <v>35</v>
      </c>
      <c r="J649" s="4" t="s">
        <v>35</v>
      </c>
      <c r="K649" s="4" t="s">
        <v>83</v>
      </c>
      <c r="L649" s="4">
        <v>44095074</v>
      </c>
      <c r="M649" s="4">
        <v>44095074</v>
      </c>
      <c r="N649" s="4" t="s">
        <v>23</v>
      </c>
      <c r="O649" s="4" t="s">
        <v>25</v>
      </c>
      <c r="P649" s="4" t="s">
        <v>41</v>
      </c>
      <c r="Q649" s="4">
        <v>2</v>
      </c>
    </row>
    <row r="650" spans="1:17" ht="30">
      <c r="A650" s="3" t="s">
        <v>1554</v>
      </c>
      <c r="B650" s="4" t="s">
        <v>1566</v>
      </c>
      <c r="C650" s="4" t="str">
        <f ca="1">"NM_015080"&amp;IF(INFO("system")="mac",CHAR(13),CHAR(10))&amp;"NM_138732"</f>
        <v>NM_015080_x000D_NM_138732</v>
      </c>
      <c r="D650" s="4">
        <v>9379</v>
      </c>
      <c r="E650" s="4" t="s">
        <v>392</v>
      </c>
      <c r="F650" s="5" t="str">
        <f ca="1">"2997"&amp;IF(INFO("system")="mac",CHAR(13),CHAR(10))&amp;"2877"</f>
        <v>2997_x000D_2877</v>
      </c>
      <c r="G650" s="5" t="str">
        <f ca="1">"2535"&amp;IF(INFO("system")="mac",CHAR(13),CHAR(10))&amp;"2415"</f>
        <v>2535_x000D_2415</v>
      </c>
      <c r="H650" s="5" t="str">
        <f ca="1">"845"&amp;IF(INFO("system")="mac",CHAR(13),CHAR(10))&amp;"805"</f>
        <v>845_x000D_805</v>
      </c>
      <c r="I650" s="4" t="s">
        <v>800</v>
      </c>
      <c r="J650" s="4" t="s">
        <v>1180</v>
      </c>
      <c r="K650" s="4" t="s">
        <v>83</v>
      </c>
      <c r="L650" s="4">
        <v>64419508</v>
      </c>
      <c r="M650" s="4">
        <v>64419508</v>
      </c>
      <c r="N650" s="4" t="s">
        <v>23</v>
      </c>
      <c r="O650" s="4" t="s">
        <v>46</v>
      </c>
      <c r="P650" s="4" t="s">
        <v>25</v>
      </c>
      <c r="Q650" s="4">
        <v>5</v>
      </c>
    </row>
    <row r="651" spans="1:17" ht="30">
      <c r="A651" s="3" t="s">
        <v>1554</v>
      </c>
      <c r="B651" s="4" t="s">
        <v>1567</v>
      </c>
      <c r="C651" s="4" t="str">
        <f ca="1">"NM_001243254"&amp;IF(INFO("system")="mac",CHAR(13),CHAR(10))&amp;"NM_015213"</f>
        <v>NM_001243254_x000D_NM_015213</v>
      </c>
      <c r="D651" s="4">
        <v>23258</v>
      </c>
      <c r="E651" s="4" t="s">
        <v>19</v>
      </c>
      <c r="F651" s="5" t="str">
        <f ca="1">"1811"&amp;IF(INFO("system")="mac",CHAR(13),CHAR(10))&amp;"1809"</f>
        <v>1811_x000D_1809</v>
      </c>
      <c r="G651" s="5">
        <v>1554</v>
      </c>
      <c r="H651" s="5">
        <v>518</v>
      </c>
      <c r="I651" s="4" t="s">
        <v>800</v>
      </c>
      <c r="J651" s="4" t="s">
        <v>1568</v>
      </c>
      <c r="K651" s="4" t="s">
        <v>83</v>
      </c>
      <c r="L651" s="4">
        <v>9200522</v>
      </c>
      <c r="M651" s="4">
        <v>9200522</v>
      </c>
      <c r="N651" s="4" t="s">
        <v>23</v>
      </c>
      <c r="O651" s="4" t="s">
        <v>41</v>
      </c>
      <c r="P651" s="4" t="s">
        <v>24</v>
      </c>
      <c r="Q651" s="4">
        <v>6</v>
      </c>
    </row>
    <row r="652" spans="1:17">
      <c r="A652" s="3" t="s">
        <v>1554</v>
      </c>
      <c r="B652" s="4" t="s">
        <v>1569</v>
      </c>
      <c r="C652" s="4" t="s">
        <v>1570</v>
      </c>
      <c r="D652" s="4">
        <v>32</v>
      </c>
      <c r="E652" s="4" t="s">
        <v>19</v>
      </c>
      <c r="F652" s="5">
        <v>5743</v>
      </c>
      <c r="G652" s="5">
        <v>5734</v>
      </c>
      <c r="H652" s="5">
        <v>1912</v>
      </c>
      <c r="I652" s="4" t="s">
        <v>1067</v>
      </c>
      <c r="J652" s="4" t="s">
        <v>1088</v>
      </c>
      <c r="K652" s="4" t="s">
        <v>104</v>
      </c>
      <c r="L652" s="4">
        <v>109687853</v>
      </c>
      <c r="M652" s="4">
        <v>109687853</v>
      </c>
      <c r="N652" s="4" t="s">
        <v>23</v>
      </c>
      <c r="O652" s="4" t="s">
        <v>24</v>
      </c>
      <c r="P652" s="4" t="s">
        <v>41</v>
      </c>
      <c r="Q652" s="4">
        <v>6</v>
      </c>
    </row>
    <row r="653" spans="1:17">
      <c r="A653" s="3" t="s">
        <v>1554</v>
      </c>
      <c r="B653" s="4" t="s">
        <v>1571</v>
      </c>
      <c r="C653" s="4" t="s">
        <v>1572</v>
      </c>
      <c r="D653" s="4">
        <v>254783</v>
      </c>
      <c r="E653" s="4" t="s">
        <v>19</v>
      </c>
      <c r="F653" s="5">
        <v>34</v>
      </c>
      <c r="G653" s="5">
        <v>34</v>
      </c>
      <c r="H653" s="5">
        <v>12</v>
      </c>
      <c r="I653" s="4" t="s">
        <v>312</v>
      </c>
      <c r="J653" s="4" t="s">
        <v>313</v>
      </c>
      <c r="K653" s="4" t="s">
        <v>104</v>
      </c>
      <c r="L653" s="4">
        <v>55641105</v>
      </c>
      <c r="M653" s="4">
        <v>55641105</v>
      </c>
      <c r="N653" s="4" t="s">
        <v>23</v>
      </c>
      <c r="O653" s="4" t="s">
        <v>46</v>
      </c>
      <c r="P653" s="4" t="s">
        <v>24</v>
      </c>
      <c r="Q653" s="4">
        <v>4</v>
      </c>
    </row>
    <row r="654" spans="1:17">
      <c r="A654" s="3" t="s">
        <v>1554</v>
      </c>
      <c r="B654" s="4" t="s">
        <v>1573</v>
      </c>
      <c r="C654" s="4" t="s">
        <v>1574</v>
      </c>
      <c r="D654" s="4">
        <v>121793</v>
      </c>
      <c r="E654" s="4" t="s">
        <v>19</v>
      </c>
      <c r="F654" s="5">
        <v>582</v>
      </c>
      <c r="G654" s="5">
        <v>453</v>
      </c>
      <c r="H654" s="5">
        <v>151</v>
      </c>
      <c r="I654" s="4" t="s">
        <v>246</v>
      </c>
      <c r="J654" s="4" t="s">
        <v>247</v>
      </c>
      <c r="K654" s="4" t="s">
        <v>339</v>
      </c>
      <c r="L654" s="4">
        <v>111996467</v>
      </c>
      <c r="M654" s="4">
        <v>111996467</v>
      </c>
      <c r="N654" s="4" t="s">
        <v>23</v>
      </c>
      <c r="O654" s="4" t="s">
        <v>46</v>
      </c>
      <c r="P654" s="4" t="s">
        <v>25</v>
      </c>
      <c r="Q654" s="4">
        <v>7</v>
      </c>
    </row>
    <row r="655" spans="1:17">
      <c r="A655" s="3" t="s">
        <v>1554</v>
      </c>
      <c r="B655" s="4" t="s">
        <v>1575</v>
      </c>
      <c r="C655" s="4" t="s">
        <v>1576</v>
      </c>
      <c r="D655" s="4">
        <v>122740</v>
      </c>
      <c r="E655" s="4" t="s">
        <v>19</v>
      </c>
      <c r="F655" s="5">
        <v>335</v>
      </c>
      <c r="G655" s="5">
        <v>335</v>
      </c>
      <c r="H655" s="5">
        <v>112</v>
      </c>
      <c r="I655" s="4" t="s">
        <v>1114</v>
      </c>
      <c r="J655" s="4" t="s">
        <v>1115</v>
      </c>
      <c r="K655" s="4" t="s">
        <v>118</v>
      </c>
      <c r="L655" s="4">
        <v>20483018</v>
      </c>
      <c r="M655" s="4">
        <v>20483018</v>
      </c>
      <c r="N655" s="4" t="s">
        <v>23</v>
      </c>
      <c r="O655" s="4" t="s">
        <v>41</v>
      </c>
      <c r="P655" s="4" t="s">
        <v>25</v>
      </c>
      <c r="Q655" s="4">
        <v>2</v>
      </c>
    </row>
    <row r="656" spans="1:17" ht="120">
      <c r="A656" s="3" t="s">
        <v>1554</v>
      </c>
      <c r="B656" s="4" t="s">
        <v>1577</v>
      </c>
      <c r="C656" s="4" t="str">
        <f ca="1">"NM_201535"&amp;IF(INFO("system")="mac",CHAR(13),CHAR(10))&amp;"NM_201536"&amp;IF(INFO("system")="mac",CHAR(13),CHAR(10))&amp;"NM_201541"&amp;IF(INFO("system")="mac",CHAR(13),CHAR(10))&amp;"NM_201539"&amp;IF(INFO("system")="mac",CHAR(13),CHAR(10))&amp;"NM_016250"&amp;IF(INFO("system")="mac",CHAR(13),CHAR(10))&amp;"NM_201537"&amp;IF(INFO("system")="mac",CHAR(13),CHAR(10))&amp;"NM_201540"&amp;IF(INFO("system")="mac",CHAR(13),CHAR(10))&amp;"NM_201538"</f>
        <v>NM_201535_x000D_NM_201536_x000D_NM_201541_x000D_NM_201539_x000D_NM_016250_x000D_NM_201537_x000D_NM_201540_x000D_NM_201538</v>
      </c>
      <c r="D656" s="4">
        <v>57447</v>
      </c>
      <c r="E656" s="4" t="s">
        <v>1222</v>
      </c>
      <c r="F656" s="5" t="s">
        <v>35</v>
      </c>
      <c r="G656" s="5" t="s">
        <v>35</v>
      </c>
      <c r="H656" s="5" t="s">
        <v>35</v>
      </c>
      <c r="I656" s="4" t="s">
        <v>35</v>
      </c>
      <c r="J656" s="4" t="s">
        <v>35</v>
      </c>
      <c r="K656" s="4" t="s">
        <v>118</v>
      </c>
      <c r="L656" s="4">
        <v>21490214</v>
      </c>
      <c r="M656" s="4">
        <v>21490220</v>
      </c>
      <c r="N656" s="4" t="s">
        <v>36</v>
      </c>
      <c r="O656" s="4" t="s">
        <v>1578</v>
      </c>
      <c r="P656" s="4"/>
      <c r="Q656" s="4">
        <v>4</v>
      </c>
    </row>
    <row r="657" spans="1:17">
      <c r="A657" s="3" t="s">
        <v>1554</v>
      </c>
      <c r="B657" s="4" t="s">
        <v>1579</v>
      </c>
      <c r="C657" s="4" t="s">
        <v>1580</v>
      </c>
      <c r="D657" s="4">
        <v>4948</v>
      </c>
      <c r="E657" s="4" t="s">
        <v>76</v>
      </c>
      <c r="F657" s="5">
        <v>2223</v>
      </c>
      <c r="G657" s="5">
        <v>2113</v>
      </c>
      <c r="H657" s="5">
        <v>705</v>
      </c>
      <c r="I657" s="4" t="s">
        <v>1243</v>
      </c>
      <c r="J657" s="4" t="s">
        <v>1244</v>
      </c>
      <c r="K657" s="4" t="s">
        <v>120</v>
      </c>
      <c r="L657" s="4">
        <v>28117035</v>
      </c>
      <c r="M657" s="4">
        <v>28117035</v>
      </c>
      <c r="N657" s="4" t="s">
        <v>23</v>
      </c>
      <c r="O657" s="4" t="s">
        <v>46</v>
      </c>
      <c r="P657" s="4" t="s">
        <v>25</v>
      </c>
      <c r="Q657" s="4">
        <v>13</v>
      </c>
    </row>
    <row r="658" spans="1:17" ht="45">
      <c r="A658" s="3" t="s">
        <v>1554</v>
      </c>
      <c r="B658" s="4" t="s">
        <v>1581</v>
      </c>
      <c r="C658" s="4" t="s">
        <v>1582</v>
      </c>
      <c r="D658" s="4">
        <v>260434</v>
      </c>
      <c r="E658" s="4" t="s">
        <v>19</v>
      </c>
      <c r="F658" s="5" t="s">
        <v>1583</v>
      </c>
      <c r="G658" s="5" t="s">
        <v>1584</v>
      </c>
      <c r="H658" s="5" t="s">
        <v>1585</v>
      </c>
      <c r="I658" s="4" t="s">
        <v>1586</v>
      </c>
      <c r="J658" s="4" t="s">
        <v>1587</v>
      </c>
      <c r="K658" s="4" t="s">
        <v>129</v>
      </c>
      <c r="L658" s="4">
        <v>31228275</v>
      </c>
      <c r="M658" s="4">
        <v>31228295</v>
      </c>
      <c r="N658" s="4" t="s">
        <v>36</v>
      </c>
      <c r="O658" s="4" t="s">
        <v>1588</v>
      </c>
      <c r="P658" s="4"/>
      <c r="Q658" s="4">
        <v>8</v>
      </c>
    </row>
    <row r="659" spans="1:17">
      <c r="A659" s="3" t="s">
        <v>1554</v>
      </c>
      <c r="B659" s="4" t="s">
        <v>1589</v>
      </c>
      <c r="C659" s="4" t="s">
        <v>1590</v>
      </c>
      <c r="D659" s="4">
        <v>64714</v>
      </c>
      <c r="E659" s="4" t="s">
        <v>19</v>
      </c>
      <c r="F659" s="5">
        <v>886</v>
      </c>
      <c r="G659" s="5">
        <v>834</v>
      </c>
      <c r="H659" s="5">
        <v>278</v>
      </c>
      <c r="I659" s="4" t="s">
        <v>344</v>
      </c>
      <c r="J659" s="4" t="s">
        <v>1591</v>
      </c>
      <c r="K659" s="4" t="s">
        <v>129</v>
      </c>
      <c r="L659" s="4">
        <v>335350</v>
      </c>
      <c r="M659" s="4">
        <v>335350</v>
      </c>
      <c r="N659" s="4" t="s">
        <v>23</v>
      </c>
      <c r="O659" s="4" t="s">
        <v>46</v>
      </c>
      <c r="P659" s="4" t="s">
        <v>25</v>
      </c>
      <c r="Q659" s="4">
        <v>-5</v>
      </c>
    </row>
    <row r="660" spans="1:17">
      <c r="A660" s="3" t="s">
        <v>1554</v>
      </c>
      <c r="B660" s="4" t="s">
        <v>1592</v>
      </c>
      <c r="C660" s="4" t="s">
        <v>1593</v>
      </c>
      <c r="D660" s="4">
        <v>342346</v>
      </c>
      <c r="E660" s="4" t="s">
        <v>19</v>
      </c>
      <c r="F660" s="5">
        <v>110</v>
      </c>
      <c r="G660" s="5">
        <v>110</v>
      </c>
      <c r="H660" s="5">
        <v>37</v>
      </c>
      <c r="I660" s="4" t="s">
        <v>351</v>
      </c>
      <c r="J660" s="4" t="s">
        <v>1594</v>
      </c>
      <c r="K660" s="4" t="s">
        <v>129</v>
      </c>
      <c r="L660" s="4">
        <v>4606600</v>
      </c>
      <c r="M660" s="4">
        <v>4606600</v>
      </c>
      <c r="N660" s="4" t="s">
        <v>23</v>
      </c>
      <c r="O660" s="4" t="s">
        <v>41</v>
      </c>
      <c r="P660" s="4" t="s">
        <v>46</v>
      </c>
      <c r="Q660" s="4">
        <v>6</v>
      </c>
    </row>
    <row r="661" spans="1:17" ht="30">
      <c r="A661" s="3" t="s">
        <v>1554</v>
      </c>
      <c r="B661" s="4" t="s">
        <v>1595</v>
      </c>
      <c r="C661" s="4" t="str">
        <f ca="1">"NM_014030"&amp;IF(INFO("system")="mac",CHAR(13),CHAR(10))&amp;"NM_001085454"</f>
        <v>NM_014030_x000D_NM_001085454</v>
      </c>
      <c r="D661" s="4">
        <v>28964</v>
      </c>
      <c r="E661" s="4" t="s">
        <v>31</v>
      </c>
      <c r="F661" s="5" t="str">
        <f ca="1">"2390"&amp;IF(INFO("system")="mac",CHAR(13),CHAR(10))&amp;"2417"</f>
        <v>2390_x000D_2417</v>
      </c>
      <c r="G661" s="5" t="str">
        <f ca="1">"2176"&amp;IF(INFO("system")="mac",CHAR(13),CHAR(10))&amp;"2203"</f>
        <v>2176_x000D_2203</v>
      </c>
      <c r="H661" s="5" t="str">
        <f ca="1">"726"&amp;IF(INFO("system")="mac",CHAR(13),CHAR(10))&amp;"735"</f>
        <v>726_x000D_735</v>
      </c>
      <c r="I661" s="4" t="s">
        <v>35</v>
      </c>
      <c r="J661" s="4" t="s">
        <v>35</v>
      </c>
      <c r="K661" s="4" t="s">
        <v>133</v>
      </c>
      <c r="L661" s="4">
        <v>27901830</v>
      </c>
      <c r="M661" s="4">
        <v>27901830</v>
      </c>
      <c r="N661" s="4" t="s">
        <v>36</v>
      </c>
      <c r="O661" s="4" t="s">
        <v>46</v>
      </c>
      <c r="P661" s="4"/>
      <c r="Q661" s="4">
        <v>1</v>
      </c>
    </row>
    <row r="662" spans="1:17" ht="30">
      <c r="A662" s="3" t="s">
        <v>1554</v>
      </c>
      <c r="B662" s="4" t="s">
        <v>1595</v>
      </c>
      <c r="C662" s="4" t="str">
        <f ca="1">"NM_001085454"&amp;IF(INFO("system")="mac",CHAR(13),CHAR(10))&amp;"NM_014030"</f>
        <v>NM_001085454_x000D_NM_014030</v>
      </c>
      <c r="D662" s="4">
        <v>28964</v>
      </c>
      <c r="E662" s="4" t="s">
        <v>19</v>
      </c>
      <c r="F662" s="5" t="str">
        <f ca="1">"2414"&amp;IF(INFO("system")="mac",CHAR(13),CHAR(10))&amp;"2387"</f>
        <v>2414_x000D_2387</v>
      </c>
      <c r="G662" s="5" t="str">
        <f ca="1">"2200"&amp;IF(INFO("system")="mac",CHAR(13),CHAR(10))&amp;"2173"</f>
        <v>2200_x000D_2173</v>
      </c>
      <c r="H662" s="5" t="str">
        <f ca="1">"734"&amp;IF(INFO("system")="mac",CHAR(13),CHAR(10))&amp;"725"</f>
        <v>734_x000D_725</v>
      </c>
      <c r="I662" s="4" t="s">
        <v>1067</v>
      </c>
      <c r="J662" s="4" t="s">
        <v>1088</v>
      </c>
      <c r="K662" s="4" t="s">
        <v>133</v>
      </c>
      <c r="L662" s="4">
        <v>27901833</v>
      </c>
      <c r="M662" s="4">
        <v>27901833</v>
      </c>
      <c r="N662" s="4" t="s">
        <v>23</v>
      </c>
      <c r="O662" s="4" t="s">
        <v>46</v>
      </c>
      <c r="P662" s="4" t="s">
        <v>25</v>
      </c>
      <c r="Q662" s="4">
        <v>-3</v>
      </c>
    </row>
    <row r="663" spans="1:17">
      <c r="A663" s="3" t="s">
        <v>1554</v>
      </c>
      <c r="B663" s="4" t="s">
        <v>1596</v>
      </c>
      <c r="C663" s="4" t="s">
        <v>1597</v>
      </c>
      <c r="D663" s="4">
        <v>9513</v>
      </c>
      <c r="E663" s="4" t="s">
        <v>19</v>
      </c>
      <c r="F663" s="5">
        <v>1659</v>
      </c>
      <c r="G663" s="5">
        <v>1294</v>
      </c>
      <c r="H663" s="5">
        <v>432</v>
      </c>
      <c r="I663" s="4" t="s">
        <v>559</v>
      </c>
      <c r="J663" s="4" t="s">
        <v>614</v>
      </c>
      <c r="K663" s="4" t="s">
        <v>133</v>
      </c>
      <c r="L663" s="4">
        <v>7496757</v>
      </c>
      <c r="M663" s="4">
        <v>7496757</v>
      </c>
      <c r="N663" s="4" t="s">
        <v>23</v>
      </c>
      <c r="O663" s="4" t="s">
        <v>24</v>
      </c>
      <c r="P663" s="4" t="s">
        <v>25</v>
      </c>
      <c r="Q663" s="4">
        <v>4</v>
      </c>
    </row>
    <row r="664" spans="1:17" ht="30">
      <c r="A664" s="3" t="s">
        <v>1554</v>
      </c>
      <c r="B664" s="4" t="s">
        <v>1598</v>
      </c>
      <c r="C664" s="4" t="str">
        <f ca="1">"NM_016286"&amp;IF(INFO("system")="mac",CHAR(13),CHAR(10))&amp;"NM_001195218"</f>
        <v>NM_016286_x000D_NM_001195218</v>
      </c>
      <c r="D664" s="4">
        <v>51181</v>
      </c>
      <c r="E664" s="4" t="s">
        <v>232</v>
      </c>
      <c r="F664" s="5" t="s">
        <v>35</v>
      </c>
      <c r="G664" s="5" t="s">
        <v>35</v>
      </c>
      <c r="H664" s="5" t="s">
        <v>35</v>
      </c>
      <c r="I664" s="4" t="s">
        <v>35</v>
      </c>
      <c r="J664" s="4" t="s">
        <v>35</v>
      </c>
      <c r="K664" s="4" t="s">
        <v>133</v>
      </c>
      <c r="L664" s="4">
        <v>79994332</v>
      </c>
      <c r="M664" s="4">
        <v>79994332</v>
      </c>
      <c r="N664" s="4" t="s">
        <v>23</v>
      </c>
      <c r="O664" s="4" t="s">
        <v>24</v>
      </c>
      <c r="P664" s="4" t="s">
        <v>46</v>
      </c>
      <c r="Q664" s="4">
        <v>-1</v>
      </c>
    </row>
    <row r="665" spans="1:17">
      <c r="A665" s="3" t="s">
        <v>1554</v>
      </c>
      <c r="B665" s="4" t="s">
        <v>1599</v>
      </c>
      <c r="C665" s="4" t="s">
        <v>1600</v>
      </c>
      <c r="D665" s="4">
        <v>10331</v>
      </c>
      <c r="E665" s="4" t="s">
        <v>19</v>
      </c>
      <c r="F665" s="5">
        <v>200</v>
      </c>
      <c r="G665" s="5">
        <v>53</v>
      </c>
      <c r="H665" s="5">
        <v>18</v>
      </c>
      <c r="I665" s="4" t="s">
        <v>204</v>
      </c>
      <c r="J665" s="4" t="s">
        <v>205</v>
      </c>
      <c r="K665" s="4" t="s">
        <v>139</v>
      </c>
      <c r="L665" s="4">
        <v>17918669</v>
      </c>
      <c r="M665" s="4">
        <v>17918669</v>
      </c>
      <c r="N665" s="4" t="s">
        <v>23</v>
      </c>
      <c r="O665" s="4" t="s">
        <v>24</v>
      </c>
      <c r="P665" s="4" t="s">
        <v>25</v>
      </c>
      <c r="Q665" s="4">
        <v>9</v>
      </c>
    </row>
    <row r="666" spans="1:17">
      <c r="A666" s="3" t="s">
        <v>1554</v>
      </c>
      <c r="B666" s="4" t="s">
        <v>1601</v>
      </c>
      <c r="C666" s="4" t="s">
        <v>1602</v>
      </c>
      <c r="D666" s="4">
        <v>54815</v>
      </c>
      <c r="E666" s="4" t="s">
        <v>19</v>
      </c>
      <c r="F666" s="5">
        <v>334</v>
      </c>
      <c r="G666" s="5">
        <v>22</v>
      </c>
      <c r="H666" s="5">
        <v>8</v>
      </c>
      <c r="I666" s="4" t="s">
        <v>282</v>
      </c>
      <c r="J666" s="4" t="s">
        <v>319</v>
      </c>
      <c r="K666" s="4" t="s">
        <v>139</v>
      </c>
      <c r="L666" s="4">
        <v>19576176</v>
      </c>
      <c r="M666" s="4">
        <v>19576176</v>
      </c>
      <c r="N666" s="4" t="s">
        <v>23</v>
      </c>
      <c r="O666" s="4" t="s">
        <v>25</v>
      </c>
      <c r="P666" s="4" t="s">
        <v>24</v>
      </c>
      <c r="Q666" s="4">
        <v>8</v>
      </c>
    </row>
    <row r="667" spans="1:17">
      <c r="A667" s="3" t="s">
        <v>1554</v>
      </c>
      <c r="B667" s="4" t="s">
        <v>1603</v>
      </c>
      <c r="C667" s="4" t="s">
        <v>1604</v>
      </c>
      <c r="D667" s="4">
        <v>1158</v>
      </c>
      <c r="E667" s="4" t="s">
        <v>19</v>
      </c>
      <c r="F667" s="5">
        <v>211</v>
      </c>
      <c r="G667" s="5">
        <v>38</v>
      </c>
      <c r="H667" s="5">
        <v>13</v>
      </c>
      <c r="I667" s="4" t="s">
        <v>393</v>
      </c>
      <c r="J667" s="4" t="s">
        <v>955</v>
      </c>
      <c r="K667" s="4" t="s">
        <v>139</v>
      </c>
      <c r="L667" s="4">
        <v>45822934</v>
      </c>
      <c r="M667" s="4">
        <v>45822934</v>
      </c>
      <c r="N667" s="4" t="s">
        <v>23</v>
      </c>
      <c r="O667" s="4" t="s">
        <v>41</v>
      </c>
      <c r="P667" s="4" t="s">
        <v>46</v>
      </c>
      <c r="Q667" s="4">
        <v>7</v>
      </c>
    </row>
    <row r="668" spans="1:17" ht="45">
      <c r="A668" s="3" t="s">
        <v>1554</v>
      </c>
      <c r="B668" s="4" t="s">
        <v>1605</v>
      </c>
      <c r="C668" s="4" t="str">
        <f ca="1">"NM_005336"&amp;IF(INFO("system")="mac",CHAR(13),CHAR(10))&amp;"NM_203346"&amp;IF(INFO("system")="mac",CHAR(13),CHAR(10))&amp;"NM_001243900"</f>
        <v>NM_005336_x000D_NM_203346_x000D_NM_001243900</v>
      </c>
      <c r="D668" s="4">
        <v>3069</v>
      </c>
      <c r="E668" s="4" t="s">
        <v>19</v>
      </c>
      <c r="F668" s="5" t="str">
        <f ca="1">"2407"&amp;IF(INFO("system")="mac",CHAR(13),CHAR(10))&amp;"2263"&amp;IF(INFO("system")="mac",CHAR(13),CHAR(10))&amp;"2132"</f>
        <v>2407_x000D_2263_x000D_2132</v>
      </c>
      <c r="G668" s="5" t="str">
        <f ca="1">"2035"&amp;IF(INFO("system")="mac",CHAR(13),CHAR(10))&amp;"2035"&amp;IF(INFO("system")="mac",CHAR(13),CHAR(10))&amp;"1936"</f>
        <v>2035_x000D_2035_x000D_1936</v>
      </c>
      <c r="H668" s="5" t="str">
        <f ca="1">"679"&amp;IF(INFO("system")="mac",CHAR(13),CHAR(10))&amp;"679"&amp;IF(INFO("system")="mac",CHAR(13),CHAR(10))&amp;"646"</f>
        <v>679_x000D_679_x000D_646</v>
      </c>
      <c r="I668" s="4" t="s">
        <v>1606</v>
      </c>
      <c r="J668" s="4" t="s">
        <v>1607</v>
      </c>
      <c r="K668" s="4" t="s">
        <v>172</v>
      </c>
      <c r="L668" s="4">
        <v>242182009</v>
      </c>
      <c r="M668" s="4">
        <v>242182009</v>
      </c>
      <c r="N668" s="4" t="s">
        <v>23</v>
      </c>
      <c r="O668" s="4" t="s">
        <v>41</v>
      </c>
      <c r="P668" s="4" t="s">
        <v>25</v>
      </c>
      <c r="Q668" s="4">
        <v>7</v>
      </c>
    </row>
    <row r="669" spans="1:17" ht="30">
      <c r="A669" s="3" t="s">
        <v>1554</v>
      </c>
      <c r="B669" s="4" t="s">
        <v>1608</v>
      </c>
      <c r="C669" s="4" t="str">
        <f ca="1">"XR_112229"&amp;IF(INFO("system")="mac",CHAR(13),CHAR(10))&amp;"XR_109752"</f>
        <v>XR_112229_x000D_XR_109752</v>
      </c>
      <c r="D669" s="4">
        <v>100507580</v>
      </c>
      <c r="E669" s="4" t="s">
        <v>113</v>
      </c>
      <c r="F669" s="5" t="s">
        <v>35</v>
      </c>
      <c r="G669" s="5" t="s">
        <v>35</v>
      </c>
      <c r="H669" s="5" t="s">
        <v>35</v>
      </c>
      <c r="I669" s="4" t="s">
        <v>35</v>
      </c>
      <c r="J669" s="4" t="s">
        <v>35</v>
      </c>
      <c r="K669" s="4" t="s">
        <v>197</v>
      </c>
      <c r="L669" s="4">
        <v>25875192</v>
      </c>
      <c r="M669" s="4">
        <v>25875192</v>
      </c>
      <c r="N669" s="4" t="s">
        <v>23</v>
      </c>
      <c r="O669" s="4" t="s">
        <v>46</v>
      </c>
      <c r="P669" s="4" t="s">
        <v>24</v>
      </c>
      <c r="Q669" s="4">
        <v>1</v>
      </c>
    </row>
    <row r="670" spans="1:17" ht="30">
      <c r="A670" s="3" t="s">
        <v>1554</v>
      </c>
      <c r="B670" s="4" t="s">
        <v>1609</v>
      </c>
      <c r="C670" s="4" t="str">
        <f ca="1">"NM_020208"&amp;IF(INFO("system")="mac",CHAR(13),CHAR(10))&amp;"NM_022405"</f>
        <v>NM_020208_x000D_NM_022405</v>
      </c>
      <c r="D670" s="4">
        <v>54716</v>
      </c>
      <c r="E670" s="4" t="s">
        <v>19</v>
      </c>
      <c r="F670" s="5" t="str">
        <f ca="1">"1253"&amp;IF(INFO("system")="mac",CHAR(13),CHAR(10))&amp;"1142"</f>
        <v>1253_x000D_1142</v>
      </c>
      <c r="G670" s="5" t="str">
        <f ca="1">"1129"&amp;IF(INFO("system")="mac",CHAR(13),CHAR(10))&amp;"1018"</f>
        <v>1129_x000D_1018</v>
      </c>
      <c r="H670" s="5" t="str">
        <f ca="1">"377"&amp;IF(INFO("system")="mac",CHAR(13),CHAR(10))&amp;"340"</f>
        <v>377_x000D_340</v>
      </c>
      <c r="I670" s="4" t="s">
        <v>20</v>
      </c>
      <c r="J670" s="4" t="s">
        <v>21</v>
      </c>
      <c r="K670" s="4" t="s">
        <v>201</v>
      </c>
      <c r="L670" s="4">
        <v>45807203</v>
      </c>
      <c r="M670" s="4">
        <v>45807203</v>
      </c>
      <c r="N670" s="4" t="s">
        <v>23</v>
      </c>
      <c r="O670" s="4" t="s">
        <v>46</v>
      </c>
      <c r="P670" s="4" t="s">
        <v>41</v>
      </c>
      <c r="Q670" s="4">
        <v>5</v>
      </c>
    </row>
    <row r="671" spans="1:17">
      <c r="A671" s="3" t="s">
        <v>1554</v>
      </c>
      <c r="B671" s="4" t="s">
        <v>1610</v>
      </c>
      <c r="C671" s="4" t="s">
        <v>1611</v>
      </c>
      <c r="D671" s="4">
        <v>113510</v>
      </c>
      <c r="E671" s="4" t="s">
        <v>19</v>
      </c>
      <c r="F671" s="5">
        <v>3318</v>
      </c>
      <c r="G671" s="5">
        <v>3139</v>
      </c>
      <c r="H671" s="5">
        <v>1047</v>
      </c>
      <c r="I671" s="4" t="s">
        <v>157</v>
      </c>
      <c r="J671" s="4" t="s">
        <v>1612</v>
      </c>
      <c r="K671" s="4" t="s">
        <v>220</v>
      </c>
      <c r="L671" s="4">
        <v>84337943</v>
      </c>
      <c r="M671" s="4">
        <v>84337943</v>
      </c>
      <c r="N671" s="4" t="s">
        <v>23</v>
      </c>
      <c r="O671" s="4" t="s">
        <v>46</v>
      </c>
      <c r="P671" s="4" t="s">
        <v>24</v>
      </c>
      <c r="Q671" s="4">
        <v>6</v>
      </c>
    </row>
    <row r="672" spans="1:17">
      <c r="A672" s="3" t="s">
        <v>1554</v>
      </c>
      <c r="B672" s="4" t="s">
        <v>1613</v>
      </c>
      <c r="C672" s="4" t="s">
        <v>1614</v>
      </c>
      <c r="D672" s="4">
        <v>3313</v>
      </c>
      <c r="E672" s="4" t="s">
        <v>19</v>
      </c>
      <c r="F672" s="5">
        <v>1725</v>
      </c>
      <c r="G672" s="5">
        <v>1414</v>
      </c>
      <c r="H672" s="5">
        <v>472</v>
      </c>
      <c r="I672" s="4" t="s">
        <v>1337</v>
      </c>
      <c r="J672" s="4" t="s">
        <v>1615</v>
      </c>
      <c r="K672" s="4" t="s">
        <v>226</v>
      </c>
      <c r="L672" s="4">
        <v>137894343</v>
      </c>
      <c r="M672" s="4">
        <v>137894343</v>
      </c>
      <c r="N672" s="4" t="s">
        <v>23</v>
      </c>
      <c r="O672" s="4" t="s">
        <v>25</v>
      </c>
      <c r="P672" s="4" t="s">
        <v>41</v>
      </c>
      <c r="Q672" s="4">
        <v>7</v>
      </c>
    </row>
    <row r="673" spans="1:17" ht="30">
      <c r="A673" s="3" t="s">
        <v>1554</v>
      </c>
      <c r="B673" s="4" t="s">
        <v>1616</v>
      </c>
      <c r="C673" s="4" t="str">
        <f ca="1">"NM_018909"&amp;IF(INFO("system")="mac",CHAR(13),CHAR(10))&amp;"NM_031848"</f>
        <v>NM_018909_x000D_NM_031848</v>
      </c>
      <c r="D673" s="4">
        <v>56142</v>
      </c>
      <c r="E673" s="4" t="s">
        <v>19</v>
      </c>
      <c r="F673" s="5">
        <v>1921</v>
      </c>
      <c r="G673" s="5">
        <v>1894</v>
      </c>
      <c r="H673" s="5">
        <v>632</v>
      </c>
      <c r="I673" s="4" t="s">
        <v>434</v>
      </c>
      <c r="J673" s="4" t="s">
        <v>1030</v>
      </c>
      <c r="K673" s="4" t="s">
        <v>226</v>
      </c>
      <c r="L673" s="4">
        <v>140209570</v>
      </c>
      <c r="M673" s="4">
        <v>140209570</v>
      </c>
      <c r="N673" s="4" t="s">
        <v>23</v>
      </c>
      <c r="O673" s="4" t="s">
        <v>25</v>
      </c>
      <c r="P673" s="4" t="s">
        <v>41</v>
      </c>
      <c r="Q673" s="4">
        <v>4</v>
      </c>
    </row>
    <row r="674" spans="1:17">
      <c r="A674" s="3" t="s">
        <v>1554</v>
      </c>
      <c r="B674" s="4" t="s">
        <v>1155</v>
      </c>
      <c r="C674" s="4" t="s">
        <v>1156</v>
      </c>
      <c r="D674" s="4">
        <v>1794</v>
      </c>
      <c r="E674" s="4" t="s">
        <v>19</v>
      </c>
      <c r="F674" s="5">
        <v>649</v>
      </c>
      <c r="G674" s="5">
        <v>569</v>
      </c>
      <c r="H674" s="5">
        <v>190</v>
      </c>
      <c r="I674" s="4" t="s">
        <v>628</v>
      </c>
      <c r="J674" s="4" t="s">
        <v>1617</v>
      </c>
      <c r="K674" s="4" t="s">
        <v>226</v>
      </c>
      <c r="L674" s="4">
        <v>169108846</v>
      </c>
      <c r="M674" s="4">
        <v>169108846</v>
      </c>
      <c r="N674" s="4" t="s">
        <v>23</v>
      </c>
      <c r="O674" s="4" t="s">
        <v>46</v>
      </c>
      <c r="P674" s="4" t="s">
        <v>25</v>
      </c>
      <c r="Q674" s="4">
        <v>5</v>
      </c>
    </row>
    <row r="675" spans="1:17">
      <c r="A675" s="3" t="s">
        <v>1554</v>
      </c>
      <c r="B675" s="4" t="s">
        <v>1183</v>
      </c>
      <c r="C675" s="4" t="s">
        <v>1184</v>
      </c>
      <c r="D675" s="4">
        <v>202559</v>
      </c>
      <c r="E675" s="4" t="s">
        <v>19</v>
      </c>
      <c r="F675" s="5">
        <v>330</v>
      </c>
      <c r="G675" s="5">
        <v>83</v>
      </c>
      <c r="H675" s="5">
        <v>28</v>
      </c>
      <c r="I675" s="4" t="s">
        <v>49</v>
      </c>
      <c r="J675" s="4" t="s">
        <v>329</v>
      </c>
      <c r="K675" s="4" t="s">
        <v>237</v>
      </c>
      <c r="L675" s="4">
        <v>62995771</v>
      </c>
      <c r="M675" s="4">
        <v>62995771</v>
      </c>
      <c r="N675" s="4" t="s">
        <v>23</v>
      </c>
      <c r="O675" s="4" t="s">
        <v>25</v>
      </c>
      <c r="P675" s="4" t="s">
        <v>24</v>
      </c>
      <c r="Q675" s="4">
        <v>3</v>
      </c>
    </row>
    <row r="676" spans="1:17">
      <c r="A676" s="3" t="s">
        <v>1554</v>
      </c>
      <c r="B676" s="4" t="s">
        <v>1618</v>
      </c>
      <c r="C676" s="4" t="s">
        <v>1619</v>
      </c>
      <c r="D676" s="4">
        <v>26211</v>
      </c>
      <c r="E676" s="4" t="s">
        <v>19</v>
      </c>
      <c r="F676" s="5">
        <v>90</v>
      </c>
      <c r="G676" s="5">
        <v>46</v>
      </c>
      <c r="H676" s="5">
        <v>16</v>
      </c>
      <c r="I676" s="4" t="s">
        <v>535</v>
      </c>
      <c r="J676" s="4" t="s">
        <v>536</v>
      </c>
      <c r="K676" s="4" t="s">
        <v>257</v>
      </c>
      <c r="L676" s="4">
        <v>143657109</v>
      </c>
      <c r="M676" s="4">
        <v>143657109</v>
      </c>
      <c r="N676" s="4" t="s">
        <v>23</v>
      </c>
      <c r="O676" s="4" t="s">
        <v>24</v>
      </c>
      <c r="P676" s="4" t="s">
        <v>25</v>
      </c>
      <c r="Q676" s="4">
        <v>8</v>
      </c>
    </row>
    <row r="677" spans="1:17">
      <c r="A677" s="3" t="s">
        <v>1554</v>
      </c>
      <c r="B677" s="4" t="s">
        <v>1620</v>
      </c>
      <c r="C677" s="4" t="s">
        <v>1621</v>
      </c>
      <c r="D677" s="4">
        <v>155435</v>
      </c>
      <c r="E677" s="4" t="s">
        <v>19</v>
      </c>
      <c r="F677" s="5">
        <v>2257</v>
      </c>
      <c r="G677" s="5">
        <v>1889</v>
      </c>
      <c r="H677" s="5">
        <v>630</v>
      </c>
      <c r="I677" s="4" t="s">
        <v>899</v>
      </c>
      <c r="J677" s="4" t="s">
        <v>1622</v>
      </c>
      <c r="K677" s="4" t="s">
        <v>257</v>
      </c>
      <c r="L677" s="4">
        <v>155532560</v>
      </c>
      <c r="M677" s="4">
        <v>155532560</v>
      </c>
      <c r="N677" s="4" t="s">
        <v>23</v>
      </c>
      <c r="O677" s="4" t="s">
        <v>46</v>
      </c>
      <c r="P677" s="4" t="s">
        <v>25</v>
      </c>
      <c r="Q677" s="4">
        <v>-4</v>
      </c>
    </row>
    <row r="678" spans="1:17">
      <c r="A678" s="3" t="s">
        <v>1554</v>
      </c>
      <c r="B678" s="4" t="s">
        <v>1623</v>
      </c>
      <c r="C678" s="4" t="s">
        <v>1624</v>
      </c>
      <c r="D678" s="4">
        <v>25948</v>
      </c>
      <c r="E678" s="4" t="s">
        <v>19</v>
      </c>
      <c r="F678" s="5">
        <v>1452</v>
      </c>
      <c r="G678" s="5">
        <v>793</v>
      </c>
      <c r="H678" s="5">
        <v>265</v>
      </c>
      <c r="I678" s="4" t="s">
        <v>1625</v>
      </c>
      <c r="J678" s="4" t="s">
        <v>1626</v>
      </c>
      <c r="K678" s="4" t="s">
        <v>257</v>
      </c>
      <c r="L678" s="4">
        <v>32910036</v>
      </c>
      <c r="M678" s="4">
        <v>32910036</v>
      </c>
      <c r="N678" s="4" t="s">
        <v>23</v>
      </c>
      <c r="O678" s="4" t="s">
        <v>41</v>
      </c>
      <c r="P678" s="4" t="s">
        <v>24</v>
      </c>
      <c r="Q678" s="4">
        <v>-1</v>
      </c>
    </row>
    <row r="679" spans="1:17">
      <c r="A679" s="3" t="s">
        <v>1554</v>
      </c>
      <c r="B679" s="4" t="s">
        <v>1627</v>
      </c>
      <c r="C679" s="4" t="s">
        <v>1628</v>
      </c>
      <c r="D679" s="4">
        <v>1345</v>
      </c>
      <c r="E679" s="4" t="s">
        <v>1629</v>
      </c>
      <c r="F679" s="5">
        <v>652</v>
      </c>
      <c r="G679" s="5" t="s">
        <v>35</v>
      </c>
      <c r="H679" s="5" t="s">
        <v>35</v>
      </c>
      <c r="I679" s="4" t="s">
        <v>35</v>
      </c>
      <c r="J679" s="4" t="s">
        <v>35</v>
      </c>
      <c r="K679" s="4" t="s">
        <v>279</v>
      </c>
      <c r="L679" s="4">
        <v>100890492</v>
      </c>
      <c r="M679" s="4">
        <v>100890492</v>
      </c>
      <c r="N679" s="4" t="s">
        <v>36</v>
      </c>
      <c r="O679" s="4" t="s">
        <v>41</v>
      </c>
      <c r="P679" s="4"/>
      <c r="Q679" s="4">
        <v>2</v>
      </c>
    </row>
    <row r="680" spans="1:17">
      <c r="A680" s="3" t="s">
        <v>1554</v>
      </c>
      <c r="B680" s="4" t="s">
        <v>1630</v>
      </c>
      <c r="C680" s="4" t="s">
        <v>1631</v>
      </c>
      <c r="D680" s="4">
        <v>10655</v>
      </c>
      <c r="E680" s="4" t="s">
        <v>19</v>
      </c>
      <c r="F680" s="5">
        <v>1630</v>
      </c>
      <c r="G680" s="5">
        <v>1430</v>
      </c>
      <c r="H680" s="5">
        <v>477</v>
      </c>
      <c r="I680" s="4" t="s">
        <v>943</v>
      </c>
      <c r="J680" s="4" t="s">
        <v>1632</v>
      </c>
      <c r="K680" s="4" t="s">
        <v>292</v>
      </c>
      <c r="L680" s="4">
        <v>1057017</v>
      </c>
      <c r="M680" s="4">
        <v>1057017</v>
      </c>
      <c r="N680" s="4" t="s">
        <v>23</v>
      </c>
      <c r="O680" s="4" t="s">
        <v>25</v>
      </c>
      <c r="P680" s="4" t="s">
        <v>46</v>
      </c>
      <c r="Q680" s="4">
        <v>8</v>
      </c>
    </row>
    <row r="681" spans="1:17" ht="30">
      <c r="A681" s="3" t="s">
        <v>1554</v>
      </c>
      <c r="B681" s="4" t="s">
        <v>1633</v>
      </c>
      <c r="C681" s="4" t="s">
        <v>1634</v>
      </c>
      <c r="D681" s="4">
        <v>727</v>
      </c>
      <c r="E681" s="4" t="s">
        <v>1436</v>
      </c>
      <c r="F681" s="5" t="s">
        <v>35</v>
      </c>
      <c r="G681" s="5" t="s">
        <v>35</v>
      </c>
      <c r="H681" s="5" t="s">
        <v>35</v>
      </c>
      <c r="I681" s="4" t="s">
        <v>35</v>
      </c>
      <c r="J681" s="4" t="s">
        <v>35</v>
      </c>
      <c r="K681" s="4" t="s">
        <v>292</v>
      </c>
      <c r="L681" s="4">
        <v>123753461</v>
      </c>
      <c r="M681" s="4">
        <v>123753475</v>
      </c>
      <c r="N681" s="4" t="s">
        <v>36</v>
      </c>
      <c r="O681" s="4" t="s">
        <v>1635</v>
      </c>
      <c r="P681" s="4"/>
      <c r="Q681" s="4">
        <v>3</v>
      </c>
    </row>
    <row r="682" spans="1:17">
      <c r="A682" s="3" t="s">
        <v>1554</v>
      </c>
      <c r="B682" s="4" t="s">
        <v>1636</v>
      </c>
      <c r="C682" s="4" t="s">
        <v>1637</v>
      </c>
      <c r="D682" s="4">
        <v>1621</v>
      </c>
      <c r="E682" s="4" t="s">
        <v>19</v>
      </c>
      <c r="F682" s="5">
        <v>1028</v>
      </c>
      <c r="G682" s="5">
        <v>1019</v>
      </c>
      <c r="H682" s="5">
        <v>340</v>
      </c>
      <c r="I682" s="4" t="s">
        <v>1638</v>
      </c>
      <c r="J682" s="4" t="s">
        <v>1639</v>
      </c>
      <c r="K682" s="4" t="s">
        <v>292</v>
      </c>
      <c r="L682" s="4">
        <v>136509437</v>
      </c>
      <c r="M682" s="4">
        <v>136509437</v>
      </c>
      <c r="N682" s="4" t="s">
        <v>23</v>
      </c>
      <c r="O682" s="4" t="s">
        <v>41</v>
      </c>
      <c r="P682" s="4" t="s">
        <v>25</v>
      </c>
      <c r="Q682" s="4">
        <v>2</v>
      </c>
    </row>
    <row r="683" spans="1:17">
      <c r="A683" s="3" t="s">
        <v>1554</v>
      </c>
      <c r="B683" s="4" t="s">
        <v>1640</v>
      </c>
      <c r="C683" s="4" t="s">
        <v>1641</v>
      </c>
      <c r="D683" s="4">
        <v>81689</v>
      </c>
      <c r="E683" s="4" t="s">
        <v>19</v>
      </c>
      <c r="F683" s="5">
        <v>284</v>
      </c>
      <c r="G683" s="5">
        <v>167</v>
      </c>
      <c r="H683" s="5">
        <v>56</v>
      </c>
      <c r="I683" s="4" t="s">
        <v>408</v>
      </c>
      <c r="J683" s="4" t="s">
        <v>409</v>
      </c>
      <c r="K683" s="4" t="s">
        <v>292</v>
      </c>
      <c r="L683" s="4">
        <v>88886996</v>
      </c>
      <c r="M683" s="4">
        <v>88886996</v>
      </c>
      <c r="N683" s="4" t="s">
        <v>23</v>
      </c>
      <c r="O683" s="4" t="s">
        <v>46</v>
      </c>
      <c r="P683" s="4" t="s">
        <v>24</v>
      </c>
      <c r="Q683" s="4">
        <v>2</v>
      </c>
    </row>
  </sheetData>
  <mergeCells count="1">
    <mergeCell ref="A1:K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65"/>
  <sheetViews>
    <sheetView zoomScale="120" zoomScaleNormal="120" zoomScalePageLayoutView="120" workbookViewId="0">
      <pane ySplit="3" topLeftCell="A4" activePane="bottomLeft" state="frozen"/>
      <selection pane="bottomLeft" sqref="A1:P1"/>
    </sheetView>
  </sheetViews>
  <sheetFormatPr baseColWidth="10" defaultRowHeight="15" x14ac:dyDescent="0"/>
  <cols>
    <col min="1" max="1" width="20.33203125" customWidth="1"/>
    <col min="2" max="2" width="13.1640625" style="7" customWidth="1"/>
    <col min="3" max="3" width="14" customWidth="1"/>
    <col min="5" max="6" width="10.1640625" bestFit="1" customWidth="1"/>
    <col min="7" max="7" width="5.83203125" customWidth="1"/>
    <col min="8" max="8" width="6.5" customWidth="1"/>
    <col min="9" max="9" width="12.1640625" customWidth="1"/>
    <col min="10" max="10" width="17.83203125" customWidth="1"/>
    <col min="11" max="11" width="16.5" customWidth="1"/>
    <col min="12" max="12" width="25.83203125" customWidth="1"/>
    <col min="13" max="13" width="16" customWidth="1"/>
    <col min="15" max="15" width="17.83203125" customWidth="1"/>
    <col min="16" max="16" width="18.6640625" customWidth="1"/>
  </cols>
  <sheetData>
    <row r="1" spans="1:21">
      <c r="A1" s="20" t="s">
        <v>14270</v>
      </c>
      <c r="B1" s="20"/>
      <c r="C1" s="20"/>
      <c r="D1" s="20"/>
      <c r="E1" s="20"/>
      <c r="F1" s="20"/>
      <c r="G1" s="20"/>
      <c r="H1" s="20"/>
      <c r="I1" s="20"/>
      <c r="J1" s="20"/>
      <c r="K1" s="20"/>
      <c r="L1" s="20"/>
      <c r="M1" s="20"/>
      <c r="N1" s="20"/>
      <c r="O1" s="20"/>
      <c r="P1" s="20"/>
    </row>
    <row r="3" spans="1:21">
      <c r="A3" s="14" t="s">
        <v>1642</v>
      </c>
      <c r="B3" s="14" t="s">
        <v>4247</v>
      </c>
      <c r="C3" s="14" t="s">
        <v>4248</v>
      </c>
      <c r="D3" s="14" t="s">
        <v>4254</v>
      </c>
      <c r="E3" s="14" t="s">
        <v>2353</v>
      </c>
      <c r="F3" s="14" t="s">
        <v>11</v>
      </c>
      <c r="G3" s="14" t="s">
        <v>2354</v>
      </c>
      <c r="H3" s="14" t="s">
        <v>2355</v>
      </c>
      <c r="I3" s="14" t="s">
        <v>12</v>
      </c>
      <c r="J3" s="14" t="s">
        <v>4249</v>
      </c>
      <c r="K3" s="14" t="s">
        <v>4258</v>
      </c>
      <c r="L3" s="14" t="s">
        <v>3</v>
      </c>
      <c r="M3" s="14" t="s">
        <v>4250</v>
      </c>
      <c r="N3" s="14" t="s">
        <v>8</v>
      </c>
      <c r="O3" s="14" t="s">
        <v>4251</v>
      </c>
      <c r="P3" s="14" t="s">
        <v>4252</v>
      </c>
      <c r="Q3" s="14" t="s">
        <v>4253</v>
      </c>
      <c r="R3" s="14" t="s">
        <v>14268</v>
      </c>
      <c r="S3" s="14" t="s">
        <v>4255</v>
      </c>
      <c r="T3" s="14" t="s">
        <v>4256</v>
      </c>
      <c r="U3" s="14" t="s">
        <v>4257</v>
      </c>
    </row>
    <row r="4" spans="1:21">
      <c r="A4" s="8" t="s">
        <v>4264</v>
      </c>
      <c r="B4" s="8" t="s">
        <v>4259</v>
      </c>
      <c r="C4" s="8">
        <v>644591</v>
      </c>
      <c r="D4" s="8" t="s">
        <v>22</v>
      </c>
      <c r="E4" s="8">
        <v>143767484</v>
      </c>
      <c r="F4" s="8">
        <v>143767484</v>
      </c>
      <c r="G4" s="8" t="s">
        <v>25</v>
      </c>
      <c r="H4" s="8" t="s">
        <v>24</v>
      </c>
      <c r="I4" s="8" t="s">
        <v>23</v>
      </c>
      <c r="J4" s="8" t="s">
        <v>4260</v>
      </c>
      <c r="K4" s="8" t="s">
        <v>4263</v>
      </c>
      <c r="L4" s="8" t="s">
        <v>19</v>
      </c>
      <c r="M4" s="8">
        <v>398</v>
      </c>
      <c r="N4" s="8" t="s">
        <v>329</v>
      </c>
      <c r="O4" s="8">
        <v>122</v>
      </c>
      <c r="P4" s="8" t="s">
        <v>4261</v>
      </c>
      <c r="Q4" s="8" t="s">
        <v>4262</v>
      </c>
      <c r="R4" s="8">
        <v>4.3999999999999997E-2</v>
      </c>
      <c r="S4" s="8">
        <v>143767484</v>
      </c>
      <c r="T4" s="8" t="s">
        <v>25</v>
      </c>
      <c r="U4" s="8" t="s">
        <v>24</v>
      </c>
    </row>
    <row r="5" spans="1:21">
      <c r="A5" s="8" t="s">
        <v>4264</v>
      </c>
      <c r="B5" s="8" t="s">
        <v>3522</v>
      </c>
      <c r="C5" s="8">
        <v>2312</v>
      </c>
      <c r="D5" s="8" t="s">
        <v>22</v>
      </c>
      <c r="E5" s="8">
        <v>152284294</v>
      </c>
      <c r="F5" s="8">
        <v>152284294</v>
      </c>
      <c r="G5" s="8" t="s">
        <v>41</v>
      </c>
      <c r="H5" s="8" t="s">
        <v>24</v>
      </c>
      <c r="I5" s="8" t="s">
        <v>23</v>
      </c>
      <c r="J5" s="8" t="s">
        <v>3523</v>
      </c>
      <c r="K5" s="8" t="s">
        <v>4266</v>
      </c>
      <c r="L5" s="8" t="s">
        <v>19</v>
      </c>
      <c r="M5" s="8">
        <v>3104</v>
      </c>
      <c r="N5" s="8" t="s">
        <v>1271</v>
      </c>
      <c r="O5" s="8">
        <v>1023</v>
      </c>
      <c r="P5" s="8" t="s">
        <v>4265</v>
      </c>
      <c r="Q5" s="8" t="s">
        <v>4262</v>
      </c>
      <c r="R5" s="8">
        <v>0.107</v>
      </c>
      <c r="S5" s="8">
        <v>152284294</v>
      </c>
      <c r="T5" s="8" t="s">
        <v>41</v>
      </c>
      <c r="U5" s="8" t="s">
        <v>24</v>
      </c>
    </row>
    <row r="6" spans="1:21">
      <c r="A6" s="8" t="s">
        <v>4264</v>
      </c>
      <c r="B6" s="8" t="s">
        <v>301</v>
      </c>
      <c r="C6" s="8">
        <v>23385</v>
      </c>
      <c r="D6" s="8" t="s">
        <v>22</v>
      </c>
      <c r="E6" s="8">
        <v>160319436</v>
      </c>
      <c r="F6" s="8">
        <v>160319436</v>
      </c>
      <c r="G6" s="8" t="s">
        <v>24</v>
      </c>
      <c r="H6" s="8" t="s">
        <v>41</v>
      </c>
      <c r="I6" s="8" t="s">
        <v>23</v>
      </c>
      <c r="J6" s="8" t="s">
        <v>302</v>
      </c>
      <c r="K6" s="8" t="s">
        <v>4268</v>
      </c>
      <c r="L6" s="8" t="s">
        <v>19</v>
      </c>
      <c r="M6" s="8">
        <v>536</v>
      </c>
      <c r="N6" s="8" t="s">
        <v>4269</v>
      </c>
      <c r="O6" s="8">
        <v>138</v>
      </c>
      <c r="P6" s="8" t="s">
        <v>4267</v>
      </c>
      <c r="Q6" s="8" t="s">
        <v>4262</v>
      </c>
      <c r="R6" s="8">
        <v>0.13400000000000001</v>
      </c>
      <c r="S6" s="8">
        <v>160319436</v>
      </c>
      <c r="T6" s="8" t="s">
        <v>24</v>
      </c>
      <c r="U6" s="8" t="s">
        <v>41</v>
      </c>
    </row>
    <row r="7" spans="1:21">
      <c r="A7" s="8" t="s">
        <v>4264</v>
      </c>
      <c r="B7" s="8" t="s">
        <v>4127</v>
      </c>
      <c r="C7" s="8">
        <v>4194</v>
      </c>
      <c r="D7" s="8" t="s">
        <v>22</v>
      </c>
      <c r="E7" s="8">
        <v>204518665</v>
      </c>
      <c r="F7" s="8">
        <v>204518665</v>
      </c>
      <c r="G7" s="8" t="s">
        <v>24</v>
      </c>
      <c r="H7" s="8" t="s">
        <v>46</v>
      </c>
      <c r="I7" s="8" t="s">
        <v>23</v>
      </c>
      <c r="J7" s="8" t="s">
        <v>4270</v>
      </c>
      <c r="K7" s="8" t="s">
        <v>4272</v>
      </c>
      <c r="L7" s="8" t="s">
        <v>19</v>
      </c>
      <c r="M7" s="8">
        <v>1494</v>
      </c>
      <c r="N7" s="8" t="s">
        <v>775</v>
      </c>
      <c r="O7" s="8">
        <v>443</v>
      </c>
      <c r="P7" s="8" t="s">
        <v>4271</v>
      </c>
      <c r="Q7" s="8" t="s">
        <v>4262</v>
      </c>
      <c r="R7" s="8">
        <v>8.4000000000000005E-2</v>
      </c>
      <c r="S7" s="8">
        <v>204518665</v>
      </c>
      <c r="T7" s="8" t="s">
        <v>24</v>
      </c>
      <c r="U7" s="8" t="s">
        <v>46</v>
      </c>
    </row>
    <row r="8" spans="1:21">
      <c r="A8" s="8" t="s">
        <v>4264</v>
      </c>
      <c r="B8" s="8" t="s">
        <v>3909</v>
      </c>
      <c r="C8" s="8">
        <v>440730</v>
      </c>
      <c r="D8" s="8" t="s">
        <v>22</v>
      </c>
      <c r="E8" s="8">
        <v>231349662</v>
      </c>
      <c r="F8" s="8">
        <v>231349662</v>
      </c>
      <c r="G8" s="8" t="s">
        <v>46</v>
      </c>
      <c r="H8" s="8" t="s">
        <v>25</v>
      </c>
      <c r="I8" s="8" t="s">
        <v>23</v>
      </c>
      <c r="J8" s="8" t="s">
        <v>3910</v>
      </c>
      <c r="K8" s="8" t="s">
        <v>4274</v>
      </c>
      <c r="L8" s="8" t="s">
        <v>19</v>
      </c>
      <c r="M8" s="8">
        <v>2267</v>
      </c>
      <c r="N8" s="8" t="s">
        <v>219</v>
      </c>
      <c r="O8" s="8">
        <v>742</v>
      </c>
      <c r="P8" s="8" t="s">
        <v>4273</v>
      </c>
      <c r="Q8" s="8" t="s">
        <v>4262</v>
      </c>
      <c r="R8" s="8">
        <v>0.54900000000000004</v>
      </c>
      <c r="S8" s="8">
        <v>231349662</v>
      </c>
      <c r="T8" s="8" t="s">
        <v>46</v>
      </c>
      <c r="U8" s="8" t="s">
        <v>25</v>
      </c>
    </row>
    <row r="9" spans="1:21">
      <c r="A9" s="8" t="s">
        <v>4264</v>
      </c>
      <c r="B9" s="8" t="s">
        <v>3924</v>
      </c>
      <c r="C9" s="8">
        <v>23198</v>
      </c>
      <c r="D9" s="8" t="s">
        <v>172</v>
      </c>
      <c r="E9" s="8">
        <v>54093330</v>
      </c>
      <c r="F9" s="8">
        <v>54093330</v>
      </c>
      <c r="G9" s="8" t="s">
        <v>24</v>
      </c>
      <c r="H9" s="8" t="s">
        <v>25</v>
      </c>
      <c r="I9" s="8" t="s">
        <v>23</v>
      </c>
      <c r="J9" s="8" t="s">
        <v>3925</v>
      </c>
      <c r="K9" s="8" t="s">
        <v>4276</v>
      </c>
      <c r="L9" s="8" t="s">
        <v>76</v>
      </c>
      <c r="M9" s="8">
        <v>5484</v>
      </c>
      <c r="N9" s="8" t="s">
        <v>103</v>
      </c>
      <c r="O9" s="8">
        <v>1810</v>
      </c>
      <c r="P9" s="8" t="s">
        <v>4275</v>
      </c>
      <c r="Q9" s="8" t="s">
        <v>4262</v>
      </c>
      <c r="R9" s="8">
        <v>0.25900000000000001</v>
      </c>
      <c r="S9" s="8">
        <v>54093330</v>
      </c>
      <c r="T9" s="8" t="s">
        <v>24</v>
      </c>
      <c r="U9" s="8" t="s">
        <v>25</v>
      </c>
    </row>
    <row r="10" spans="1:21">
      <c r="A10" s="8" t="s">
        <v>4264</v>
      </c>
      <c r="B10" s="8" t="s">
        <v>3926</v>
      </c>
      <c r="C10" s="8">
        <v>6869</v>
      </c>
      <c r="D10" s="8" t="s">
        <v>172</v>
      </c>
      <c r="E10" s="8">
        <v>75347794</v>
      </c>
      <c r="F10" s="8">
        <v>75347794</v>
      </c>
      <c r="G10" s="8" t="s">
        <v>24</v>
      </c>
      <c r="H10" s="8" t="s">
        <v>25</v>
      </c>
      <c r="I10" s="8" t="s">
        <v>23</v>
      </c>
      <c r="J10" s="8" t="s">
        <v>4277</v>
      </c>
      <c r="K10" s="8" t="s">
        <v>4279</v>
      </c>
      <c r="L10" s="8" t="s">
        <v>19</v>
      </c>
      <c r="M10" s="8">
        <v>1075</v>
      </c>
      <c r="N10" s="8" t="s">
        <v>2400</v>
      </c>
      <c r="O10" s="8">
        <v>164</v>
      </c>
      <c r="P10" s="8" t="s">
        <v>4278</v>
      </c>
      <c r="Q10" s="8" t="s">
        <v>4262</v>
      </c>
      <c r="R10" s="8">
        <v>0.5</v>
      </c>
      <c r="S10" s="8">
        <v>75347794</v>
      </c>
      <c r="T10" s="8" t="s">
        <v>24</v>
      </c>
      <c r="U10" s="8" t="s">
        <v>25</v>
      </c>
    </row>
    <row r="11" spans="1:21">
      <c r="A11" s="8" t="s">
        <v>4264</v>
      </c>
      <c r="B11" s="8" t="s">
        <v>3927</v>
      </c>
      <c r="C11" s="8">
        <v>23020</v>
      </c>
      <c r="D11" s="8" t="s">
        <v>172</v>
      </c>
      <c r="E11" s="8">
        <v>96945199</v>
      </c>
      <c r="F11" s="8">
        <v>96945199</v>
      </c>
      <c r="G11" s="8" t="s">
        <v>46</v>
      </c>
      <c r="H11" s="8" t="s">
        <v>25</v>
      </c>
      <c r="I11" s="8" t="s">
        <v>23</v>
      </c>
      <c r="J11" s="8" t="s">
        <v>3928</v>
      </c>
      <c r="K11" s="8" t="s">
        <v>4281</v>
      </c>
      <c r="L11" s="8" t="s">
        <v>19</v>
      </c>
      <c r="M11" s="8">
        <v>5255</v>
      </c>
      <c r="N11" s="8" t="s">
        <v>710</v>
      </c>
      <c r="O11" s="8">
        <v>1708</v>
      </c>
      <c r="P11" s="8" t="s">
        <v>4280</v>
      </c>
      <c r="Q11" s="8" t="s">
        <v>4262</v>
      </c>
      <c r="R11" s="8">
        <v>0.48</v>
      </c>
      <c r="S11" s="8">
        <v>96945199</v>
      </c>
      <c r="T11" s="8" t="s">
        <v>46</v>
      </c>
      <c r="U11" s="8" t="s">
        <v>25</v>
      </c>
    </row>
    <row r="12" spans="1:21">
      <c r="A12" s="8" t="s">
        <v>4264</v>
      </c>
      <c r="B12" s="8" t="s">
        <v>4282</v>
      </c>
      <c r="C12" s="8">
        <v>7173</v>
      </c>
      <c r="D12" s="8" t="s">
        <v>172</v>
      </c>
      <c r="E12" s="8">
        <v>1426865</v>
      </c>
      <c r="F12" s="8">
        <v>1426865</v>
      </c>
      <c r="G12" s="8" t="s">
        <v>24</v>
      </c>
      <c r="H12" s="8" t="s">
        <v>25</v>
      </c>
      <c r="I12" s="8" t="s">
        <v>23</v>
      </c>
      <c r="J12" s="8" t="s">
        <v>4283</v>
      </c>
      <c r="K12" s="8" t="s">
        <v>4285</v>
      </c>
      <c r="L12" s="8" t="s">
        <v>19</v>
      </c>
      <c r="M12" s="8">
        <v>234</v>
      </c>
      <c r="N12" s="8" t="s">
        <v>73</v>
      </c>
      <c r="O12" s="8">
        <v>48</v>
      </c>
      <c r="P12" s="8" t="s">
        <v>4284</v>
      </c>
      <c r="Q12" s="8" t="s">
        <v>4262</v>
      </c>
      <c r="R12" s="8">
        <v>0.106</v>
      </c>
      <c r="S12" s="8">
        <v>1426865</v>
      </c>
      <c r="T12" s="8" t="s">
        <v>24</v>
      </c>
      <c r="U12" s="8" t="s">
        <v>25</v>
      </c>
    </row>
    <row r="13" spans="1:21">
      <c r="A13" s="8" t="s">
        <v>4264</v>
      </c>
      <c r="B13" s="8" t="s">
        <v>4286</v>
      </c>
      <c r="C13" s="8">
        <v>8647</v>
      </c>
      <c r="D13" s="8" t="s">
        <v>172</v>
      </c>
      <c r="E13" s="8">
        <v>169787351</v>
      </c>
      <c r="F13" s="8">
        <v>169787351</v>
      </c>
      <c r="G13" s="8" t="s">
        <v>46</v>
      </c>
      <c r="H13" s="8" t="s">
        <v>24</v>
      </c>
      <c r="I13" s="8" t="s">
        <v>23</v>
      </c>
      <c r="J13" s="8" t="s">
        <v>4287</v>
      </c>
      <c r="K13" s="8" t="s">
        <v>4289</v>
      </c>
      <c r="L13" s="8" t="s">
        <v>19</v>
      </c>
      <c r="M13" s="8">
        <v>3361</v>
      </c>
      <c r="N13" s="8" t="s">
        <v>1410</v>
      </c>
      <c r="O13" s="8">
        <v>1079</v>
      </c>
      <c r="P13" s="8" t="s">
        <v>4288</v>
      </c>
      <c r="Q13" s="8" t="s">
        <v>4262</v>
      </c>
      <c r="R13" s="8">
        <v>0.11700000000000001</v>
      </c>
      <c r="S13" s="8">
        <v>169787351</v>
      </c>
      <c r="T13" s="8" t="s">
        <v>46</v>
      </c>
      <c r="U13" s="8" t="s">
        <v>24</v>
      </c>
    </row>
    <row r="14" spans="1:21">
      <c r="A14" s="8" t="s">
        <v>4264</v>
      </c>
      <c r="B14" s="8" t="s">
        <v>4290</v>
      </c>
      <c r="C14" s="8">
        <v>11148</v>
      </c>
      <c r="D14" s="8" t="s">
        <v>201</v>
      </c>
      <c r="E14" s="8">
        <v>108074078</v>
      </c>
      <c r="F14" s="8">
        <v>108074078</v>
      </c>
      <c r="G14" s="8" t="s">
        <v>25</v>
      </c>
      <c r="H14" s="8" t="s">
        <v>24</v>
      </c>
      <c r="I14" s="8" t="s">
        <v>23</v>
      </c>
      <c r="J14" s="8" t="s">
        <v>4291</v>
      </c>
      <c r="K14" s="8" t="s">
        <v>4293</v>
      </c>
      <c r="L14" s="8" t="s">
        <v>19</v>
      </c>
      <c r="M14" s="8">
        <v>949</v>
      </c>
      <c r="N14" s="8" t="s">
        <v>673</v>
      </c>
      <c r="O14" s="8">
        <v>179</v>
      </c>
      <c r="P14" s="8" t="s">
        <v>4292</v>
      </c>
      <c r="Q14" s="8" t="s">
        <v>4262</v>
      </c>
      <c r="R14" s="8">
        <v>7.4999999999999997E-2</v>
      </c>
      <c r="S14" s="8">
        <v>108074078</v>
      </c>
      <c r="T14" s="8" t="s">
        <v>25</v>
      </c>
      <c r="U14" s="8" t="s">
        <v>24</v>
      </c>
    </row>
    <row r="15" spans="1:21">
      <c r="A15" s="8" t="s">
        <v>4264</v>
      </c>
      <c r="B15" s="8" t="s">
        <v>2071</v>
      </c>
      <c r="C15" s="8">
        <v>8997</v>
      </c>
      <c r="D15" s="8" t="s">
        <v>201</v>
      </c>
      <c r="E15" s="8">
        <v>123946842</v>
      </c>
      <c r="F15" s="8">
        <v>123946842</v>
      </c>
      <c r="G15" s="8" t="s">
        <v>41</v>
      </c>
      <c r="H15" s="8" t="s">
        <v>46</v>
      </c>
      <c r="I15" s="8" t="s">
        <v>23</v>
      </c>
      <c r="J15" s="8" t="s">
        <v>4294</v>
      </c>
      <c r="K15" s="8" t="s">
        <v>4296</v>
      </c>
      <c r="L15" s="8" t="s">
        <v>19</v>
      </c>
      <c r="M15" s="8">
        <v>200</v>
      </c>
      <c r="N15" s="8" t="s">
        <v>200</v>
      </c>
      <c r="O15" s="8">
        <v>25</v>
      </c>
      <c r="P15" s="8" t="s">
        <v>4295</v>
      </c>
      <c r="Q15" s="8" t="s">
        <v>4262</v>
      </c>
      <c r="R15" s="8">
        <v>0.151</v>
      </c>
      <c r="S15" s="8">
        <v>123946842</v>
      </c>
      <c r="T15" s="8" t="s">
        <v>41</v>
      </c>
      <c r="U15" s="8" t="s">
        <v>46</v>
      </c>
    </row>
    <row r="16" spans="1:21">
      <c r="A16" s="8" t="s">
        <v>4264</v>
      </c>
      <c r="B16" s="8" t="s">
        <v>4297</v>
      </c>
      <c r="C16" s="8">
        <v>4585</v>
      </c>
      <c r="D16" s="8" t="s">
        <v>201</v>
      </c>
      <c r="E16" s="8">
        <v>195505886</v>
      </c>
      <c r="F16" s="8">
        <v>195505886</v>
      </c>
      <c r="G16" s="8" t="s">
        <v>46</v>
      </c>
      <c r="H16" s="8" t="s">
        <v>24</v>
      </c>
      <c r="I16" s="8" t="s">
        <v>23</v>
      </c>
      <c r="J16" s="8" t="s">
        <v>4298</v>
      </c>
      <c r="K16" s="8" t="s">
        <v>4300</v>
      </c>
      <c r="L16" s="8" t="s">
        <v>19</v>
      </c>
      <c r="M16" s="8">
        <v>12721</v>
      </c>
      <c r="N16" s="8" t="s">
        <v>128</v>
      </c>
      <c r="O16" s="8">
        <v>4189</v>
      </c>
      <c r="P16" s="8" t="s">
        <v>4299</v>
      </c>
      <c r="Q16" s="8" t="s">
        <v>4262</v>
      </c>
      <c r="R16" s="8">
        <v>4.8000000000000001E-2</v>
      </c>
      <c r="S16" s="8">
        <v>195505886</v>
      </c>
      <c r="T16" s="8" t="s">
        <v>46</v>
      </c>
      <c r="U16" s="8" t="s">
        <v>24</v>
      </c>
    </row>
    <row r="17" spans="1:21">
      <c r="A17" s="8" t="s">
        <v>4264</v>
      </c>
      <c r="B17" s="8" t="s">
        <v>2076</v>
      </c>
      <c r="C17" s="8">
        <v>79750</v>
      </c>
      <c r="D17" s="8" t="s">
        <v>201</v>
      </c>
      <c r="E17" s="8">
        <v>21465488</v>
      </c>
      <c r="F17" s="8">
        <v>21465488</v>
      </c>
      <c r="G17" s="8" t="s">
        <v>24</v>
      </c>
      <c r="H17" s="8" t="s">
        <v>41</v>
      </c>
      <c r="I17" s="8" t="s">
        <v>23</v>
      </c>
      <c r="J17" s="8" t="s">
        <v>4301</v>
      </c>
      <c r="K17" s="8" t="s">
        <v>4303</v>
      </c>
      <c r="L17" s="8" t="s">
        <v>76</v>
      </c>
      <c r="M17" s="8">
        <v>1329</v>
      </c>
      <c r="N17" s="8" t="s">
        <v>747</v>
      </c>
      <c r="O17" s="8">
        <v>307</v>
      </c>
      <c r="P17" s="8" t="s">
        <v>4302</v>
      </c>
      <c r="Q17" s="8" t="s">
        <v>4262</v>
      </c>
      <c r="R17" s="8">
        <v>0.19400000000000001</v>
      </c>
      <c r="S17" s="8">
        <v>21465488</v>
      </c>
      <c r="T17" s="8" t="s">
        <v>24</v>
      </c>
      <c r="U17" s="8" t="s">
        <v>41</v>
      </c>
    </row>
    <row r="18" spans="1:21">
      <c r="A18" s="8" t="s">
        <v>4264</v>
      </c>
      <c r="B18" s="8" t="s">
        <v>765</v>
      </c>
      <c r="C18" s="8">
        <v>64147</v>
      </c>
      <c r="D18" s="8" t="s">
        <v>201</v>
      </c>
      <c r="E18" s="8">
        <v>47277043</v>
      </c>
      <c r="F18" s="8">
        <v>47277043</v>
      </c>
      <c r="G18" s="8" t="s">
        <v>24</v>
      </c>
      <c r="H18" s="8" t="s">
        <v>25</v>
      </c>
      <c r="I18" s="8" t="s">
        <v>23</v>
      </c>
      <c r="J18" s="8" t="s">
        <v>4304</v>
      </c>
      <c r="K18" s="8" t="s">
        <v>4306</v>
      </c>
      <c r="L18" s="8" t="s">
        <v>19</v>
      </c>
      <c r="M18" s="8">
        <v>2640</v>
      </c>
      <c r="N18" s="8" t="s">
        <v>309</v>
      </c>
      <c r="O18" s="8">
        <v>761</v>
      </c>
      <c r="P18" s="8" t="s">
        <v>4305</v>
      </c>
      <c r="Q18" s="8" t="s">
        <v>4262</v>
      </c>
      <c r="R18" s="8">
        <v>0.51300000000000001</v>
      </c>
      <c r="S18" s="8">
        <v>47277043</v>
      </c>
      <c r="T18" s="8" t="s">
        <v>24</v>
      </c>
      <c r="U18" s="8" t="s">
        <v>25</v>
      </c>
    </row>
    <row r="19" spans="1:21">
      <c r="A19" s="8" t="s">
        <v>4264</v>
      </c>
      <c r="B19" s="8" t="s">
        <v>3933</v>
      </c>
      <c r="C19" s="8">
        <v>3791</v>
      </c>
      <c r="D19" s="8" t="s">
        <v>220</v>
      </c>
      <c r="E19" s="8">
        <v>55962494</v>
      </c>
      <c r="F19" s="8">
        <v>55962494</v>
      </c>
      <c r="G19" s="8" t="s">
        <v>46</v>
      </c>
      <c r="H19" s="8" t="s">
        <v>41</v>
      </c>
      <c r="I19" s="8" t="s">
        <v>23</v>
      </c>
      <c r="J19" s="8" t="s">
        <v>3934</v>
      </c>
      <c r="K19" s="8" t="s">
        <v>4308</v>
      </c>
      <c r="L19" s="8" t="s">
        <v>19</v>
      </c>
      <c r="M19" s="8">
        <v>2932</v>
      </c>
      <c r="N19" s="8" t="s">
        <v>2664</v>
      </c>
      <c r="O19" s="8">
        <v>877</v>
      </c>
      <c r="P19" s="8" t="s">
        <v>4307</v>
      </c>
      <c r="Q19" s="8" t="s">
        <v>4262</v>
      </c>
      <c r="R19" s="8">
        <v>0.28000000000000003</v>
      </c>
      <c r="S19" s="8">
        <v>55962494</v>
      </c>
      <c r="T19" s="8" t="s">
        <v>46</v>
      </c>
      <c r="U19" s="8" t="s">
        <v>41</v>
      </c>
    </row>
    <row r="20" spans="1:21">
      <c r="A20" s="8" t="s">
        <v>4264</v>
      </c>
      <c r="B20" s="8" t="s">
        <v>4309</v>
      </c>
      <c r="C20" s="8">
        <v>7466</v>
      </c>
      <c r="D20" s="8" t="s">
        <v>220</v>
      </c>
      <c r="E20" s="8">
        <v>6303333</v>
      </c>
      <c r="F20" s="8">
        <v>6303333</v>
      </c>
      <c r="G20" s="8" t="s">
        <v>24</v>
      </c>
      <c r="H20" s="8" t="s">
        <v>25</v>
      </c>
      <c r="I20" s="8" t="s">
        <v>23</v>
      </c>
      <c r="J20" s="8" t="s">
        <v>4310</v>
      </c>
      <c r="K20" s="8" t="s">
        <v>4312</v>
      </c>
      <c r="L20" s="8" t="s">
        <v>19</v>
      </c>
      <c r="M20" s="8">
        <v>1981</v>
      </c>
      <c r="N20" s="8" t="s">
        <v>618</v>
      </c>
      <c r="O20" s="8">
        <v>604</v>
      </c>
      <c r="P20" s="8" t="s">
        <v>4311</v>
      </c>
      <c r="Q20" s="8" t="s">
        <v>4262</v>
      </c>
      <c r="R20" s="8">
        <v>4.7E-2</v>
      </c>
      <c r="S20" s="8">
        <v>6303333</v>
      </c>
      <c r="T20" s="8" t="s">
        <v>24</v>
      </c>
      <c r="U20" s="8" t="s">
        <v>25</v>
      </c>
    </row>
    <row r="21" spans="1:21">
      <c r="A21" s="8" t="s">
        <v>4264</v>
      </c>
      <c r="B21" s="8" t="s">
        <v>3931</v>
      </c>
      <c r="C21" s="8">
        <v>5530</v>
      </c>
      <c r="D21" s="8" t="s">
        <v>220</v>
      </c>
      <c r="E21" s="8">
        <v>102015025</v>
      </c>
      <c r="F21" s="8">
        <v>102015025</v>
      </c>
      <c r="G21" s="8" t="s">
        <v>24</v>
      </c>
      <c r="H21" s="8" t="s">
        <v>46</v>
      </c>
      <c r="I21" s="8" t="s">
        <v>23</v>
      </c>
      <c r="J21" s="8" t="s">
        <v>4313</v>
      </c>
      <c r="K21" s="8" t="s">
        <v>4315</v>
      </c>
      <c r="L21" s="8" t="s">
        <v>19</v>
      </c>
      <c r="M21" s="8">
        <v>1365</v>
      </c>
      <c r="N21" s="8" t="s">
        <v>304</v>
      </c>
      <c r="O21" s="8">
        <v>230</v>
      </c>
      <c r="P21" s="8" t="s">
        <v>4314</v>
      </c>
      <c r="Q21" s="8" t="s">
        <v>4262</v>
      </c>
      <c r="R21" s="8">
        <v>0.71099999999999997</v>
      </c>
      <c r="S21" s="8">
        <v>102015025</v>
      </c>
      <c r="T21" s="8" t="s">
        <v>24</v>
      </c>
      <c r="U21" s="8" t="s">
        <v>46</v>
      </c>
    </row>
    <row r="22" spans="1:21">
      <c r="A22" s="8" t="s">
        <v>4264</v>
      </c>
      <c r="B22" s="8" t="s">
        <v>2084</v>
      </c>
      <c r="C22" s="8">
        <v>9353</v>
      </c>
      <c r="D22" s="8" t="s">
        <v>220</v>
      </c>
      <c r="E22" s="8">
        <v>20525466</v>
      </c>
      <c r="F22" s="8">
        <v>20525466</v>
      </c>
      <c r="G22" s="8" t="s">
        <v>25</v>
      </c>
      <c r="H22" s="8" t="s">
        <v>24</v>
      </c>
      <c r="I22" s="8" t="s">
        <v>23</v>
      </c>
      <c r="J22" s="8" t="s">
        <v>3932</v>
      </c>
      <c r="K22" s="8" t="s">
        <v>4317</v>
      </c>
      <c r="L22" s="8" t="s">
        <v>19</v>
      </c>
      <c r="M22" s="8">
        <v>1418</v>
      </c>
      <c r="N22" s="8" t="s">
        <v>551</v>
      </c>
      <c r="O22" s="8">
        <v>405</v>
      </c>
      <c r="P22" s="8" t="s">
        <v>4316</v>
      </c>
      <c r="Q22" s="8" t="s">
        <v>4262</v>
      </c>
      <c r="R22" s="8">
        <v>0.26400000000000001</v>
      </c>
      <c r="S22" s="8">
        <v>20525466</v>
      </c>
      <c r="T22" s="8" t="s">
        <v>25</v>
      </c>
      <c r="U22" s="8" t="s">
        <v>24</v>
      </c>
    </row>
    <row r="23" spans="1:21">
      <c r="A23" s="8" t="s">
        <v>4264</v>
      </c>
      <c r="B23" s="8" t="s">
        <v>4318</v>
      </c>
      <c r="C23" s="8">
        <v>166979</v>
      </c>
      <c r="D23" s="8" t="s">
        <v>226</v>
      </c>
      <c r="E23" s="8">
        <v>54420671</v>
      </c>
      <c r="F23" s="8">
        <v>54420671</v>
      </c>
      <c r="G23" s="8" t="s">
        <v>46</v>
      </c>
      <c r="H23" s="8" t="s">
        <v>25</v>
      </c>
      <c r="I23" s="8" t="s">
        <v>23</v>
      </c>
      <c r="J23" s="8" t="s">
        <v>4319</v>
      </c>
      <c r="K23" s="8" t="s">
        <v>4321</v>
      </c>
      <c r="L23" s="8" t="s">
        <v>19</v>
      </c>
      <c r="M23" s="8">
        <v>1352</v>
      </c>
      <c r="N23" s="8" t="s">
        <v>710</v>
      </c>
      <c r="O23" s="8">
        <v>392</v>
      </c>
      <c r="P23" s="8" t="s">
        <v>4320</v>
      </c>
      <c r="Q23" s="8" t="s">
        <v>4262</v>
      </c>
      <c r="R23" s="8">
        <v>0.06</v>
      </c>
      <c r="S23" s="8">
        <v>54420671</v>
      </c>
      <c r="T23" s="8" t="s">
        <v>46</v>
      </c>
      <c r="U23" s="8" t="s">
        <v>25</v>
      </c>
    </row>
    <row r="24" spans="1:21">
      <c r="A24" s="8" t="s">
        <v>4264</v>
      </c>
      <c r="B24" s="8" t="s">
        <v>3935</v>
      </c>
      <c r="C24" s="8">
        <v>340146</v>
      </c>
      <c r="D24" s="8" t="s">
        <v>237</v>
      </c>
      <c r="E24" s="8">
        <v>137245442</v>
      </c>
      <c r="F24" s="8">
        <v>137245442</v>
      </c>
      <c r="G24" s="8" t="s">
        <v>24</v>
      </c>
      <c r="H24" s="8" t="s">
        <v>25</v>
      </c>
      <c r="I24" s="8" t="s">
        <v>23</v>
      </c>
      <c r="J24" s="8" t="s">
        <v>3936</v>
      </c>
      <c r="K24" s="8" t="s">
        <v>4323</v>
      </c>
      <c r="L24" s="8" t="s">
        <v>19</v>
      </c>
      <c r="M24" s="8">
        <v>1024</v>
      </c>
      <c r="N24" s="8" t="s">
        <v>171</v>
      </c>
      <c r="O24" s="8">
        <v>287</v>
      </c>
      <c r="P24" s="8" t="s">
        <v>4322</v>
      </c>
      <c r="Q24" s="8" t="s">
        <v>4262</v>
      </c>
      <c r="R24" s="8">
        <v>0.32900000000000001</v>
      </c>
      <c r="S24" s="8">
        <v>137245442</v>
      </c>
      <c r="T24" s="8" t="s">
        <v>24</v>
      </c>
      <c r="U24" s="8" t="s">
        <v>25</v>
      </c>
    </row>
    <row r="25" spans="1:21">
      <c r="A25" s="8" t="s">
        <v>4264</v>
      </c>
      <c r="B25" s="8" t="s">
        <v>1531</v>
      </c>
      <c r="C25" s="8">
        <v>23345</v>
      </c>
      <c r="D25" s="8" t="s">
        <v>237</v>
      </c>
      <c r="E25" s="8">
        <v>152751676</v>
      </c>
      <c r="F25" s="8">
        <v>152751676</v>
      </c>
      <c r="G25" s="8" t="s">
        <v>46</v>
      </c>
      <c r="H25" s="8" t="s">
        <v>25</v>
      </c>
      <c r="I25" s="8" t="s">
        <v>23</v>
      </c>
      <c r="J25" s="8" t="s">
        <v>4324</v>
      </c>
      <c r="K25" s="8" t="s">
        <v>4326</v>
      </c>
      <c r="L25" s="8" t="s">
        <v>76</v>
      </c>
      <c r="M25" s="8">
        <v>5232</v>
      </c>
      <c r="N25" s="8" t="s">
        <v>625</v>
      </c>
      <c r="O25" s="8">
        <v>1544</v>
      </c>
      <c r="P25" s="8" t="s">
        <v>4325</v>
      </c>
      <c r="Q25" s="8" t="s">
        <v>4262</v>
      </c>
      <c r="R25" s="8">
        <v>0.44500000000000001</v>
      </c>
      <c r="S25" s="8">
        <v>152751676</v>
      </c>
      <c r="T25" s="8" t="s">
        <v>46</v>
      </c>
      <c r="U25" s="8" t="s">
        <v>25</v>
      </c>
    </row>
    <row r="26" spans="1:21">
      <c r="A26" s="8" t="s">
        <v>4264</v>
      </c>
      <c r="B26" s="8" t="s">
        <v>4327</v>
      </c>
      <c r="C26" s="8">
        <v>3127</v>
      </c>
      <c r="D26" s="8" t="s">
        <v>237</v>
      </c>
      <c r="E26" s="8">
        <v>32497931</v>
      </c>
      <c r="F26" s="8">
        <v>32497931</v>
      </c>
      <c r="G26" s="8" t="s">
        <v>24</v>
      </c>
      <c r="H26" s="8" t="s">
        <v>25</v>
      </c>
      <c r="I26" s="8" t="s">
        <v>23</v>
      </c>
      <c r="J26" s="8" t="s">
        <v>4328</v>
      </c>
      <c r="K26" s="8" t="s">
        <v>4331</v>
      </c>
      <c r="L26" s="8" t="s">
        <v>19</v>
      </c>
      <c r="M26" s="8">
        <v>76</v>
      </c>
      <c r="N26" s="8" t="s">
        <v>309</v>
      </c>
      <c r="O26" s="8">
        <v>24</v>
      </c>
      <c r="P26" s="8" t="s">
        <v>4329</v>
      </c>
      <c r="Q26" s="8" t="s">
        <v>4330</v>
      </c>
      <c r="R26" s="8">
        <v>6.8000000000000005E-2</v>
      </c>
      <c r="S26" s="8">
        <v>32497931</v>
      </c>
      <c r="T26" s="8" t="s">
        <v>24</v>
      </c>
      <c r="U26" s="8" t="s">
        <v>25</v>
      </c>
    </row>
    <row r="27" spans="1:21">
      <c r="A27" s="8" t="s">
        <v>4264</v>
      </c>
      <c r="B27" s="8" t="s">
        <v>3937</v>
      </c>
      <c r="C27" s="8">
        <v>168850</v>
      </c>
      <c r="D27" s="8" t="s">
        <v>257</v>
      </c>
      <c r="E27" s="8">
        <v>127013523</v>
      </c>
      <c r="F27" s="8">
        <v>127013523</v>
      </c>
      <c r="G27" s="8" t="s">
        <v>25</v>
      </c>
      <c r="H27" s="8" t="s">
        <v>41</v>
      </c>
      <c r="I27" s="8" t="s">
        <v>23</v>
      </c>
      <c r="J27" s="8" t="s">
        <v>3938</v>
      </c>
      <c r="K27" s="8" t="s">
        <v>4333</v>
      </c>
      <c r="L27" s="8" t="s">
        <v>19</v>
      </c>
      <c r="M27" s="8">
        <v>2579</v>
      </c>
      <c r="N27" s="8" t="s">
        <v>278</v>
      </c>
      <c r="O27" s="8">
        <v>623</v>
      </c>
      <c r="P27" s="8" t="s">
        <v>4332</v>
      </c>
      <c r="Q27" s="8" t="s">
        <v>4262</v>
      </c>
      <c r="R27" s="8">
        <v>0.58399999999999996</v>
      </c>
      <c r="S27" s="8">
        <v>127013523</v>
      </c>
      <c r="T27" s="8" t="s">
        <v>25</v>
      </c>
      <c r="U27" s="8" t="s">
        <v>41</v>
      </c>
    </row>
    <row r="28" spans="1:21">
      <c r="A28" s="8" t="s">
        <v>4264</v>
      </c>
      <c r="B28" s="8" t="s">
        <v>2787</v>
      </c>
      <c r="C28" s="8">
        <v>7991</v>
      </c>
      <c r="D28" s="8" t="s">
        <v>279</v>
      </c>
      <c r="E28" s="8">
        <v>15508258</v>
      </c>
      <c r="F28" s="8">
        <v>15508258</v>
      </c>
      <c r="G28" s="8" t="s">
        <v>24</v>
      </c>
      <c r="H28" s="8" t="s">
        <v>41</v>
      </c>
      <c r="I28" s="8" t="s">
        <v>23</v>
      </c>
      <c r="J28" s="8" t="s">
        <v>4334</v>
      </c>
      <c r="K28" s="8" t="s">
        <v>4336</v>
      </c>
      <c r="L28" s="8" t="s">
        <v>19</v>
      </c>
      <c r="M28" s="8">
        <v>705</v>
      </c>
      <c r="N28" s="8" t="s">
        <v>481</v>
      </c>
      <c r="O28" s="8">
        <v>121</v>
      </c>
      <c r="P28" s="8" t="s">
        <v>4335</v>
      </c>
      <c r="Q28" s="8" t="s">
        <v>4262</v>
      </c>
      <c r="R28" s="8">
        <v>3.9E-2</v>
      </c>
      <c r="S28" s="8">
        <v>15508258</v>
      </c>
      <c r="T28" s="8" t="s">
        <v>24</v>
      </c>
      <c r="U28" s="8" t="s">
        <v>41</v>
      </c>
    </row>
    <row r="29" spans="1:21">
      <c r="A29" s="8" t="s">
        <v>4264</v>
      </c>
      <c r="B29" s="8" t="s">
        <v>3939</v>
      </c>
      <c r="C29" s="8">
        <v>8019</v>
      </c>
      <c r="D29" s="8" t="s">
        <v>292</v>
      </c>
      <c r="E29" s="8">
        <v>136910537</v>
      </c>
      <c r="F29" s="8">
        <v>136910537</v>
      </c>
      <c r="G29" s="8" t="s">
        <v>41</v>
      </c>
      <c r="H29" s="8" t="s">
        <v>25</v>
      </c>
      <c r="I29" s="8" t="s">
        <v>23</v>
      </c>
      <c r="J29" s="8" t="s">
        <v>3940</v>
      </c>
      <c r="K29" s="8" t="s">
        <v>4338</v>
      </c>
      <c r="L29" s="8" t="s">
        <v>19</v>
      </c>
      <c r="M29" s="8">
        <v>1281</v>
      </c>
      <c r="N29" s="8" t="s">
        <v>792</v>
      </c>
      <c r="O29" s="8">
        <v>365</v>
      </c>
      <c r="P29" s="8" t="s">
        <v>4337</v>
      </c>
      <c r="Q29" s="8" t="s">
        <v>4262</v>
      </c>
      <c r="R29" s="8">
        <v>0.27100000000000002</v>
      </c>
      <c r="S29" s="8">
        <v>136910537</v>
      </c>
      <c r="T29" s="8" t="s">
        <v>41</v>
      </c>
      <c r="U29" s="8" t="s">
        <v>25</v>
      </c>
    </row>
    <row r="30" spans="1:21">
      <c r="A30" s="8" t="s">
        <v>4264</v>
      </c>
      <c r="B30" s="8" t="s">
        <v>2445</v>
      </c>
      <c r="C30" s="8">
        <v>118461</v>
      </c>
      <c r="D30" s="8" t="s">
        <v>69</v>
      </c>
      <c r="E30" s="8">
        <v>50532935</v>
      </c>
      <c r="F30" s="8">
        <v>50532935</v>
      </c>
      <c r="G30" s="8" t="s">
        <v>24</v>
      </c>
      <c r="H30" s="8" t="s">
        <v>41</v>
      </c>
      <c r="I30" s="8" t="s">
        <v>23</v>
      </c>
      <c r="J30" s="8" t="s">
        <v>4339</v>
      </c>
      <c r="K30" s="8" t="s">
        <v>4341</v>
      </c>
      <c r="L30" s="8" t="s">
        <v>19</v>
      </c>
      <c r="M30" s="8">
        <v>2684</v>
      </c>
      <c r="N30" s="8" t="s">
        <v>1126</v>
      </c>
      <c r="O30" s="8">
        <v>782</v>
      </c>
      <c r="P30" s="8" t="s">
        <v>4340</v>
      </c>
      <c r="Q30" s="8" t="s">
        <v>4262</v>
      </c>
      <c r="R30" s="8">
        <v>0.22700000000000001</v>
      </c>
      <c r="S30" s="8">
        <v>50532935</v>
      </c>
      <c r="T30" s="8" t="s">
        <v>24</v>
      </c>
      <c r="U30" s="8" t="s">
        <v>41</v>
      </c>
    </row>
    <row r="31" spans="1:21">
      <c r="A31" s="8" t="s">
        <v>4264</v>
      </c>
      <c r="B31" s="8" t="s">
        <v>2161</v>
      </c>
      <c r="C31" s="8">
        <v>5588</v>
      </c>
      <c r="D31" s="8" t="s">
        <v>69</v>
      </c>
      <c r="E31" s="8">
        <v>6498685</v>
      </c>
      <c r="F31" s="8">
        <v>6498685</v>
      </c>
      <c r="G31" s="8" t="s">
        <v>41</v>
      </c>
      <c r="H31" s="8" t="s">
        <v>46</v>
      </c>
      <c r="I31" s="8" t="s">
        <v>23</v>
      </c>
      <c r="J31" s="8" t="s">
        <v>4342</v>
      </c>
      <c r="K31" s="8" t="s">
        <v>4344</v>
      </c>
      <c r="L31" s="8" t="s">
        <v>19</v>
      </c>
      <c r="M31" s="8">
        <v>1612</v>
      </c>
      <c r="N31" s="8" t="s">
        <v>1033</v>
      </c>
      <c r="O31" s="8">
        <v>533</v>
      </c>
      <c r="P31" s="8" t="s">
        <v>4343</v>
      </c>
      <c r="Q31" s="8" t="s">
        <v>4262</v>
      </c>
      <c r="R31" s="8">
        <v>0.188</v>
      </c>
      <c r="S31" s="8">
        <v>6498685</v>
      </c>
      <c r="T31" s="8" t="s">
        <v>41</v>
      </c>
      <c r="U31" s="8" t="s">
        <v>46</v>
      </c>
    </row>
    <row r="32" spans="1:21">
      <c r="A32" s="8" t="s">
        <v>4264</v>
      </c>
      <c r="B32" s="8" t="s">
        <v>4345</v>
      </c>
      <c r="C32" s="8">
        <v>9231</v>
      </c>
      <c r="D32" s="8" t="s">
        <v>69</v>
      </c>
      <c r="E32" s="8">
        <v>79581453</v>
      </c>
      <c r="F32" s="8">
        <v>79581453</v>
      </c>
      <c r="G32" s="8" t="s">
        <v>41</v>
      </c>
      <c r="H32" s="8" t="s">
        <v>46</v>
      </c>
      <c r="I32" s="8" t="s">
        <v>23</v>
      </c>
      <c r="J32" s="8" t="s">
        <v>4346</v>
      </c>
      <c r="K32" s="8" t="s">
        <v>4348</v>
      </c>
      <c r="L32" s="8" t="s">
        <v>19</v>
      </c>
      <c r="M32" s="8">
        <v>2859</v>
      </c>
      <c r="N32" s="8" t="s">
        <v>574</v>
      </c>
      <c r="O32" s="8">
        <v>930</v>
      </c>
      <c r="P32" s="8" t="s">
        <v>4347</v>
      </c>
      <c r="Q32" s="8" t="s">
        <v>4262</v>
      </c>
      <c r="R32" s="8">
        <v>0.192</v>
      </c>
      <c r="S32" s="8">
        <v>79581453</v>
      </c>
      <c r="T32" s="8" t="s">
        <v>41</v>
      </c>
      <c r="U32" s="8" t="s">
        <v>46</v>
      </c>
    </row>
    <row r="33" spans="1:21">
      <c r="A33" s="8" t="s">
        <v>4264</v>
      </c>
      <c r="B33" s="8" t="s">
        <v>549</v>
      </c>
      <c r="C33" s="8">
        <v>55388</v>
      </c>
      <c r="D33" s="8" t="s">
        <v>69</v>
      </c>
      <c r="E33" s="8">
        <v>13243494</v>
      </c>
      <c r="F33" s="8">
        <v>13243494</v>
      </c>
      <c r="G33" s="8" t="s">
        <v>25</v>
      </c>
      <c r="H33" s="8" t="s">
        <v>24</v>
      </c>
      <c r="I33" s="8" t="s">
        <v>23</v>
      </c>
      <c r="J33" s="8" t="s">
        <v>4349</v>
      </c>
      <c r="K33" s="8" t="s">
        <v>4351</v>
      </c>
      <c r="L33" s="8" t="s">
        <v>19</v>
      </c>
      <c r="M33" s="8">
        <v>2443</v>
      </c>
      <c r="N33" s="8" t="s">
        <v>394</v>
      </c>
      <c r="O33" s="8">
        <v>772</v>
      </c>
      <c r="P33" s="8" t="s">
        <v>4350</v>
      </c>
      <c r="Q33" s="8" t="s">
        <v>4262</v>
      </c>
      <c r="R33" s="8">
        <v>0.35299999999999998</v>
      </c>
      <c r="S33" s="8">
        <v>13243494</v>
      </c>
      <c r="T33" s="8" t="s">
        <v>25</v>
      </c>
      <c r="U33" s="8" t="s">
        <v>24</v>
      </c>
    </row>
    <row r="34" spans="1:21">
      <c r="A34" s="8" t="s">
        <v>4264</v>
      </c>
      <c r="B34" s="8" t="s">
        <v>3913</v>
      </c>
      <c r="C34" s="8">
        <v>221061</v>
      </c>
      <c r="D34" s="8" t="s">
        <v>69</v>
      </c>
      <c r="E34" s="8">
        <v>15256445</v>
      </c>
      <c r="F34" s="8">
        <v>15256445</v>
      </c>
      <c r="G34" s="8" t="s">
        <v>46</v>
      </c>
      <c r="H34" s="8" t="s">
        <v>25</v>
      </c>
      <c r="I34" s="8" t="s">
        <v>23</v>
      </c>
      <c r="J34" s="8" t="s">
        <v>3914</v>
      </c>
      <c r="K34" s="8" t="s">
        <v>4353</v>
      </c>
      <c r="L34" s="8" t="s">
        <v>19</v>
      </c>
      <c r="M34" s="8">
        <v>1149</v>
      </c>
      <c r="N34" s="8" t="s">
        <v>2954</v>
      </c>
      <c r="O34" s="8">
        <v>381</v>
      </c>
      <c r="P34" s="8" t="s">
        <v>4352</v>
      </c>
      <c r="Q34" s="8" t="s">
        <v>4262</v>
      </c>
      <c r="R34" s="8">
        <v>0.45700000000000002</v>
      </c>
      <c r="S34" s="8">
        <v>15256445</v>
      </c>
      <c r="T34" s="8" t="s">
        <v>46</v>
      </c>
      <c r="U34" s="8" t="s">
        <v>25</v>
      </c>
    </row>
    <row r="35" spans="1:21">
      <c r="A35" s="8" t="s">
        <v>4264</v>
      </c>
      <c r="B35" s="8" t="s">
        <v>4354</v>
      </c>
      <c r="C35" s="8">
        <v>219670</v>
      </c>
      <c r="D35" s="8" t="s">
        <v>69</v>
      </c>
      <c r="E35" s="8">
        <v>25304840</v>
      </c>
      <c r="F35" s="8">
        <v>25304840</v>
      </c>
      <c r="G35" s="8" t="s">
        <v>46</v>
      </c>
      <c r="H35" s="8" t="s">
        <v>41</v>
      </c>
      <c r="I35" s="8" t="s">
        <v>23</v>
      </c>
      <c r="J35" s="8" t="s">
        <v>4355</v>
      </c>
      <c r="K35" s="8" t="s">
        <v>4357</v>
      </c>
      <c r="L35" s="8" t="s">
        <v>19</v>
      </c>
      <c r="M35" s="8">
        <v>191</v>
      </c>
      <c r="N35" s="8" t="s">
        <v>732</v>
      </c>
      <c r="O35" s="8">
        <v>9</v>
      </c>
      <c r="P35" s="8" t="s">
        <v>4356</v>
      </c>
      <c r="Q35" s="8" t="s">
        <v>4262</v>
      </c>
      <c r="R35" s="8">
        <v>0.1</v>
      </c>
      <c r="S35" s="8">
        <v>25304840</v>
      </c>
      <c r="T35" s="8" t="s">
        <v>46</v>
      </c>
      <c r="U35" s="8" t="s">
        <v>41</v>
      </c>
    </row>
    <row r="36" spans="1:21">
      <c r="A36" s="8" t="s">
        <v>4264</v>
      </c>
      <c r="B36" s="8" t="s">
        <v>2253</v>
      </c>
      <c r="C36" s="8">
        <v>120071</v>
      </c>
      <c r="D36" s="8" t="s">
        <v>83</v>
      </c>
      <c r="E36" s="8">
        <v>45945072</v>
      </c>
      <c r="F36" s="8">
        <v>45945072</v>
      </c>
      <c r="G36" s="8" t="s">
        <v>24</v>
      </c>
      <c r="H36" s="8" t="s">
        <v>41</v>
      </c>
      <c r="I36" s="8" t="s">
        <v>23</v>
      </c>
      <c r="J36" s="8" t="s">
        <v>3915</v>
      </c>
      <c r="K36" s="8" t="s">
        <v>4360</v>
      </c>
      <c r="L36" s="8" t="s">
        <v>19</v>
      </c>
      <c r="M36" s="8">
        <v>445</v>
      </c>
      <c r="N36" s="8" t="s">
        <v>162</v>
      </c>
      <c r="O36" s="8">
        <v>112</v>
      </c>
      <c r="P36" s="8" t="s">
        <v>4358</v>
      </c>
      <c r="Q36" s="8" t="s">
        <v>4359</v>
      </c>
      <c r="R36" s="8">
        <v>0.372</v>
      </c>
      <c r="S36" s="8">
        <v>45945072</v>
      </c>
      <c r="T36" s="8" t="s">
        <v>24</v>
      </c>
      <c r="U36" s="8" t="s">
        <v>41</v>
      </c>
    </row>
    <row r="37" spans="1:21">
      <c r="A37" s="8" t="s">
        <v>4264</v>
      </c>
      <c r="B37" s="8" t="s">
        <v>4361</v>
      </c>
      <c r="C37" s="8">
        <v>390327</v>
      </c>
      <c r="D37" s="8" t="s">
        <v>104</v>
      </c>
      <c r="E37" s="8">
        <v>55863586</v>
      </c>
      <c r="F37" s="8">
        <v>55863586</v>
      </c>
      <c r="G37" s="8" t="s">
        <v>24</v>
      </c>
      <c r="H37" s="8" t="s">
        <v>46</v>
      </c>
      <c r="I37" s="8" t="s">
        <v>23</v>
      </c>
      <c r="J37" s="8" t="s">
        <v>4362</v>
      </c>
      <c r="K37" s="8" t="s">
        <v>4364</v>
      </c>
      <c r="L37" s="8" t="s">
        <v>19</v>
      </c>
      <c r="M37" s="8">
        <v>337</v>
      </c>
      <c r="N37" s="8" t="s">
        <v>3126</v>
      </c>
      <c r="O37" s="8">
        <v>113</v>
      </c>
      <c r="P37" s="8" t="s">
        <v>4363</v>
      </c>
      <c r="Q37" s="8" t="s">
        <v>4262</v>
      </c>
      <c r="R37" s="8">
        <v>0.19</v>
      </c>
      <c r="S37" s="8">
        <v>55863586</v>
      </c>
      <c r="T37" s="8" t="s">
        <v>24</v>
      </c>
      <c r="U37" s="8" t="s">
        <v>46</v>
      </c>
    </row>
    <row r="38" spans="1:21">
      <c r="A38" s="8" t="s">
        <v>4264</v>
      </c>
      <c r="B38" s="8" t="s">
        <v>3916</v>
      </c>
      <c r="C38" s="8">
        <v>8600</v>
      </c>
      <c r="D38" s="8" t="s">
        <v>339</v>
      </c>
      <c r="E38" s="8">
        <v>43175034</v>
      </c>
      <c r="F38" s="8">
        <v>43175034</v>
      </c>
      <c r="G38" s="8" t="s">
        <v>46</v>
      </c>
      <c r="H38" s="8" t="s">
        <v>41</v>
      </c>
      <c r="I38" s="8" t="s">
        <v>23</v>
      </c>
      <c r="J38" s="8" t="s">
        <v>4365</v>
      </c>
      <c r="K38" s="8" t="s">
        <v>4367</v>
      </c>
      <c r="L38" s="8" t="s">
        <v>19</v>
      </c>
      <c r="M38" s="8">
        <v>598</v>
      </c>
      <c r="N38" s="8" t="s">
        <v>2694</v>
      </c>
      <c r="O38" s="8">
        <v>150</v>
      </c>
      <c r="P38" s="8" t="s">
        <v>4366</v>
      </c>
      <c r="Q38" s="8" t="s">
        <v>4262</v>
      </c>
      <c r="R38" s="8">
        <v>0.78700000000000003</v>
      </c>
      <c r="S38" s="8">
        <v>43175034</v>
      </c>
      <c r="T38" s="8" t="s">
        <v>46</v>
      </c>
      <c r="U38" s="8" t="s">
        <v>41</v>
      </c>
    </row>
    <row r="39" spans="1:21">
      <c r="A39" s="8" t="s">
        <v>4264</v>
      </c>
      <c r="B39" s="8" t="s">
        <v>4368</v>
      </c>
      <c r="C39" s="8">
        <v>440153</v>
      </c>
      <c r="D39" s="8" t="s">
        <v>118</v>
      </c>
      <c r="E39" s="8">
        <v>19378108</v>
      </c>
      <c r="F39" s="8">
        <v>19378108</v>
      </c>
      <c r="G39" s="8" t="s">
        <v>41</v>
      </c>
      <c r="H39" s="8" t="s">
        <v>46</v>
      </c>
      <c r="I39" s="8" t="s">
        <v>23</v>
      </c>
      <c r="J39" s="8" t="s">
        <v>4369</v>
      </c>
      <c r="K39" s="8" t="s">
        <v>4371</v>
      </c>
      <c r="L39" s="8" t="s">
        <v>19</v>
      </c>
      <c r="M39" s="8">
        <v>515</v>
      </c>
      <c r="N39" s="8" t="s">
        <v>3026</v>
      </c>
      <c r="O39" s="8">
        <v>172</v>
      </c>
      <c r="P39" s="8" t="s">
        <v>4370</v>
      </c>
      <c r="Q39" s="8" t="s">
        <v>4262</v>
      </c>
      <c r="R39" s="8">
        <v>7.0000000000000007E-2</v>
      </c>
      <c r="S39" s="8">
        <v>19378108</v>
      </c>
      <c r="T39" s="8" t="s">
        <v>41</v>
      </c>
      <c r="U39" s="8" t="s">
        <v>46</v>
      </c>
    </row>
    <row r="40" spans="1:21">
      <c r="A40" s="8" t="s">
        <v>4264</v>
      </c>
      <c r="B40" s="8" t="s">
        <v>2892</v>
      </c>
      <c r="C40" s="8">
        <v>80125</v>
      </c>
      <c r="D40" s="8" t="s">
        <v>120</v>
      </c>
      <c r="E40" s="8">
        <v>74573047</v>
      </c>
      <c r="F40" s="8">
        <v>74573047</v>
      </c>
      <c r="G40" s="8" t="s">
        <v>24</v>
      </c>
      <c r="H40" s="8" t="s">
        <v>25</v>
      </c>
      <c r="I40" s="8" t="s">
        <v>23</v>
      </c>
      <c r="J40" s="8" t="s">
        <v>2893</v>
      </c>
      <c r="K40" s="8" t="s">
        <v>4373</v>
      </c>
      <c r="L40" s="8" t="s">
        <v>19</v>
      </c>
      <c r="M40" s="8">
        <v>1322</v>
      </c>
      <c r="N40" s="8" t="s">
        <v>536</v>
      </c>
      <c r="O40" s="8">
        <v>310</v>
      </c>
      <c r="P40" s="8" t="s">
        <v>4372</v>
      </c>
      <c r="Q40" s="8" t="s">
        <v>4262</v>
      </c>
      <c r="R40" s="8">
        <v>0.32700000000000001</v>
      </c>
      <c r="S40" s="8">
        <v>74573047</v>
      </c>
      <c r="T40" s="8" t="s">
        <v>24</v>
      </c>
      <c r="U40" s="8" t="s">
        <v>25</v>
      </c>
    </row>
    <row r="41" spans="1:21">
      <c r="A41" s="8" t="s">
        <v>4264</v>
      </c>
      <c r="B41" s="8" t="s">
        <v>3917</v>
      </c>
      <c r="C41" s="8">
        <v>3419</v>
      </c>
      <c r="D41" s="8" t="s">
        <v>120</v>
      </c>
      <c r="E41" s="8">
        <v>78454624</v>
      </c>
      <c r="F41" s="8">
        <v>78454624</v>
      </c>
      <c r="G41" s="8" t="s">
        <v>25</v>
      </c>
      <c r="H41" s="8" t="s">
        <v>46</v>
      </c>
      <c r="I41" s="8" t="s">
        <v>23</v>
      </c>
      <c r="J41" s="8" t="s">
        <v>3918</v>
      </c>
      <c r="K41" s="8" t="s">
        <v>4375</v>
      </c>
      <c r="L41" s="8" t="s">
        <v>19</v>
      </c>
      <c r="M41" s="8">
        <v>553</v>
      </c>
      <c r="N41" s="8" t="s">
        <v>3919</v>
      </c>
      <c r="O41" s="8">
        <v>176</v>
      </c>
      <c r="P41" s="8" t="s">
        <v>4374</v>
      </c>
      <c r="Q41" s="8" t="s">
        <v>4262</v>
      </c>
      <c r="R41" s="8">
        <v>0.28799999999999998</v>
      </c>
      <c r="S41" s="8">
        <v>78454624</v>
      </c>
      <c r="T41" s="8" t="s">
        <v>25</v>
      </c>
      <c r="U41" s="8" t="s">
        <v>46</v>
      </c>
    </row>
    <row r="42" spans="1:21">
      <c r="A42" s="8" t="s">
        <v>4264</v>
      </c>
      <c r="B42" s="8" t="s">
        <v>4376</v>
      </c>
      <c r="C42" s="8">
        <v>342132</v>
      </c>
      <c r="D42" s="8" t="s">
        <v>120</v>
      </c>
      <c r="E42" s="8">
        <v>90903316</v>
      </c>
      <c r="F42" s="8">
        <v>90903316</v>
      </c>
      <c r="G42" s="8" t="s">
        <v>24</v>
      </c>
      <c r="H42" s="8" t="s">
        <v>25</v>
      </c>
      <c r="I42" s="8" t="s">
        <v>23</v>
      </c>
      <c r="J42" s="8" t="s">
        <v>4377</v>
      </c>
      <c r="K42" s="8" t="s">
        <v>4379</v>
      </c>
      <c r="L42" s="8" t="s">
        <v>19</v>
      </c>
      <c r="M42" s="8">
        <v>439</v>
      </c>
      <c r="N42" s="8" t="s">
        <v>758</v>
      </c>
      <c r="O42" s="8">
        <v>85</v>
      </c>
      <c r="P42" s="8" t="s">
        <v>4378</v>
      </c>
      <c r="Q42" s="8" t="s">
        <v>4262</v>
      </c>
      <c r="R42" s="8">
        <v>0.36199999999999999</v>
      </c>
      <c r="S42" s="8">
        <v>90903316</v>
      </c>
      <c r="T42" s="8" t="s">
        <v>24</v>
      </c>
      <c r="U42" s="8" t="s">
        <v>25</v>
      </c>
    </row>
    <row r="43" spans="1:21">
      <c r="A43" s="8" t="s">
        <v>4264</v>
      </c>
      <c r="B43" s="8" t="s">
        <v>4380</v>
      </c>
      <c r="C43" s="8">
        <v>1106</v>
      </c>
      <c r="D43" s="8" t="s">
        <v>120</v>
      </c>
      <c r="E43" s="8">
        <v>93524673</v>
      </c>
      <c r="F43" s="8">
        <v>93524673</v>
      </c>
      <c r="G43" s="8" t="s">
        <v>46</v>
      </c>
      <c r="H43" s="8" t="s">
        <v>24</v>
      </c>
      <c r="I43" s="8" t="s">
        <v>23</v>
      </c>
      <c r="J43" s="8" t="s">
        <v>4381</v>
      </c>
      <c r="K43" s="8" t="s">
        <v>4383</v>
      </c>
      <c r="L43" s="8" t="s">
        <v>19</v>
      </c>
      <c r="M43" s="8">
        <v>3627</v>
      </c>
      <c r="N43" s="8" t="s">
        <v>3126</v>
      </c>
      <c r="O43" s="8">
        <v>1018</v>
      </c>
      <c r="P43" s="8" t="s">
        <v>4382</v>
      </c>
      <c r="Q43" s="8" t="s">
        <v>4262</v>
      </c>
      <c r="R43" s="8">
        <v>0.375</v>
      </c>
      <c r="S43" s="8">
        <v>93524673</v>
      </c>
      <c r="T43" s="8" t="s">
        <v>46</v>
      </c>
      <c r="U43" s="8" t="s">
        <v>24</v>
      </c>
    </row>
    <row r="44" spans="1:21">
      <c r="A44" s="8" t="s">
        <v>4264</v>
      </c>
      <c r="B44" s="8" t="s">
        <v>4384</v>
      </c>
      <c r="C44" s="8">
        <v>283694</v>
      </c>
      <c r="D44" s="8" t="s">
        <v>120</v>
      </c>
      <c r="E44" s="8">
        <v>22382478</v>
      </c>
      <c r="F44" s="8">
        <v>22382478</v>
      </c>
      <c r="G44" s="8" t="s">
        <v>24</v>
      </c>
      <c r="H44" s="8" t="s">
        <v>46</v>
      </c>
      <c r="I44" s="8" t="s">
        <v>23</v>
      </c>
      <c r="J44" s="8" t="s">
        <v>4385</v>
      </c>
      <c r="K44" s="8" t="s">
        <v>4387</v>
      </c>
      <c r="L44" s="8" t="s">
        <v>19</v>
      </c>
      <c r="M44" s="8">
        <v>6</v>
      </c>
      <c r="N44" s="8" t="s">
        <v>851</v>
      </c>
      <c r="O44" s="8">
        <v>2</v>
      </c>
      <c r="P44" s="8" t="s">
        <v>4386</v>
      </c>
      <c r="Q44" s="8" t="s">
        <v>4262</v>
      </c>
      <c r="R44" s="8">
        <v>0.14299999999999999</v>
      </c>
      <c r="S44" s="8">
        <v>22382478</v>
      </c>
      <c r="T44" s="8" t="s">
        <v>24</v>
      </c>
      <c r="U44" s="8" t="s">
        <v>46</v>
      </c>
    </row>
    <row r="45" spans="1:21">
      <c r="A45" s="8" t="s">
        <v>4264</v>
      </c>
      <c r="B45" s="8" t="s">
        <v>1333</v>
      </c>
      <c r="C45" s="8">
        <v>1009</v>
      </c>
      <c r="D45" s="8" t="s">
        <v>129</v>
      </c>
      <c r="E45" s="8">
        <v>64984910</v>
      </c>
      <c r="F45" s="8">
        <v>64984910</v>
      </c>
      <c r="G45" s="8" t="s">
        <v>46</v>
      </c>
      <c r="H45" s="8" t="s">
        <v>41</v>
      </c>
      <c r="I45" s="8" t="s">
        <v>23</v>
      </c>
      <c r="J45" s="8" t="s">
        <v>1334</v>
      </c>
      <c r="K45" s="8" t="s">
        <v>4389</v>
      </c>
      <c r="L45" s="8" t="s">
        <v>19</v>
      </c>
      <c r="M45" s="8">
        <v>2088</v>
      </c>
      <c r="N45" s="8" t="s">
        <v>536</v>
      </c>
      <c r="O45" s="8">
        <v>552</v>
      </c>
      <c r="P45" s="8" t="s">
        <v>4388</v>
      </c>
      <c r="Q45" s="8" t="s">
        <v>4262</v>
      </c>
      <c r="R45" s="8">
        <v>0.58499999999999996</v>
      </c>
      <c r="S45" s="8">
        <v>64984910</v>
      </c>
      <c r="T45" s="8" t="s">
        <v>46</v>
      </c>
      <c r="U45" s="8" t="s">
        <v>41</v>
      </c>
    </row>
    <row r="46" spans="1:21">
      <c r="A46" s="8" t="s">
        <v>4264</v>
      </c>
      <c r="B46" s="8" t="s">
        <v>3922</v>
      </c>
      <c r="C46" s="8">
        <v>84916</v>
      </c>
      <c r="D46" s="8" t="s">
        <v>129</v>
      </c>
      <c r="E46" s="8">
        <v>69167366</v>
      </c>
      <c r="F46" s="8">
        <v>69167366</v>
      </c>
      <c r="G46" s="8" t="s">
        <v>24</v>
      </c>
      <c r="H46" s="8" t="s">
        <v>41</v>
      </c>
      <c r="I46" s="8" t="s">
        <v>23</v>
      </c>
      <c r="J46" s="8" t="s">
        <v>3923</v>
      </c>
      <c r="K46" s="8" t="s">
        <v>4391</v>
      </c>
      <c r="L46" s="8" t="s">
        <v>19</v>
      </c>
      <c r="M46" s="8">
        <v>100</v>
      </c>
      <c r="N46" s="8" t="s">
        <v>1068</v>
      </c>
      <c r="O46" s="8">
        <v>2</v>
      </c>
      <c r="P46" s="8" t="s">
        <v>4390</v>
      </c>
      <c r="Q46" s="8" t="s">
        <v>4262</v>
      </c>
      <c r="R46" s="8">
        <v>0.45300000000000001</v>
      </c>
      <c r="S46" s="8">
        <v>69167366</v>
      </c>
      <c r="T46" s="8" t="s">
        <v>24</v>
      </c>
      <c r="U46" s="8" t="s">
        <v>41</v>
      </c>
    </row>
    <row r="47" spans="1:21">
      <c r="A47" s="8" t="s">
        <v>4264</v>
      </c>
      <c r="B47" s="8" t="s">
        <v>4392</v>
      </c>
      <c r="C47" s="8">
        <v>50615</v>
      </c>
      <c r="D47" s="8" t="s">
        <v>129</v>
      </c>
      <c r="E47" s="8">
        <v>27454417</v>
      </c>
      <c r="F47" s="8">
        <v>27454417</v>
      </c>
      <c r="G47" s="8" t="s">
        <v>46</v>
      </c>
      <c r="H47" s="8" t="s">
        <v>41</v>
      </c>
      <c r="I47" s="8" t="s">
        <v>23</v>
      </c>
      <c r="J47" s="8" t="s">
        <v>4393</v>
      </c>
      <c r="K47" s="8" t="s">
        <v>4395</v>
      </c>
      <c r="L47" s="8" t="s">
        <v>19</v>
      </c>
      <c r="M47" s="8">
        <v>607</v>
      </c>
      <c r="N47" s="8" t="s">
        <v>92</v>
      </c>
      <c r="O47" s="8">
        <v>163</v>
      </c>
      <c r="P47" s="8" t="s">
        <v>4394</v>
      </c>
      <c r="Q47" s="8" t="s">
        <v>4262</v>
      </c>
      <c r="R47" s="8">
        <v>0.78100000000000003</v>
      </c>
      <c r="S47" s="8">
        <v>27454417</v>
      </c>
      <c r="T47" s="8" t="s">
        <v>46</v>
      </c>
      <c r="U47" s="8" t="s">
        <v>41</v>
      </c>
    </row>
    <row r="48" spans="1:21">
      <c r="A48" s="8" t="s">
        <v>4264</v>
      </c>
      <c r="B48" s="8" t="s">
        <v>4396</v>
      </c>
      <c r="C48" s="8">
        <v>94160</v>
      </c>
      <c r="D48" s="8" t="s">
        <v>129</v>
      </c>
      <c r="E48" s="8">
        <v>48130703</v>
      </c>
      <c r="F48" s="8">
        <v>48130703</v>
      </c>
      <c r="G48" s="8" t="s">
        <v>24</v>
      </c>
      <c r="H48" s="8" t="s">
        <v>46</v>
      </c>
      <c r="I48" s="8" t="s">
        <v>23</v>
      </c>
      <c r="J48" s="8" t="s">
        <v>4397</v>
      </c>
      <c r="K48" s="8" t="s">
        <v>4399</v>
      </c>
      <c r="L48" s="8" t="s">
        <v>19</v>
      </c>
      <c r="M48" s="8">
        <v>3495</v>
      </c>
      <c r="N48" s="8" t="s">
        <v>810</v>
      </c>
      <c r="O48" s="8">
        <v>1050</v>
      </c>
      <c r="P48" s="8" t="s">
        <v>4398</v>
      </c>
      <c r="Q48" s="8" t="s">
        <v>4262</v>
      </c>
      <c r="R48" s="8">
        <v>0.26900000000000002</v>
      </c>
      <c r="S48" s="8">
        <v>48130703</v>
      </c>
      <c r="T48" s="8" t="s">
        <v>24</v>
      </c>
      <c r="U48" s="8" t="s">
        <v>46</v>
      </c>
    </row>
    <row r="49" spans="1:21">
      <c r="A49" s="8" t="s">
        <v>4264</v>
      </c>
      <c r="B49" s="8" t="s">
        <v>1490</v>
      </c>
      <c r="C49" s="8">
        <v>374864</v>
      </c>
      <c r="D49" s="8" t="s">
        <v>135</v>
      </c>
      <c r="E49" s="8">
        <v>30795590</v>
      </c>
      <c r="F49" s="8">
        <v>30795590</v>
      </c>
      <c r="G49" s="8" t="s">
        <v>41</v>
      </c>
      <c r="H49" s="8" t="s">
        <v>46</v>
      </c>
      <c r="I49" s="8" t="s">
        <v>23</v>
      </c>
      <c r="J49" s="8" t="s">
        <v>4400</v>
      </c>
      <c r="K49" s="8" t="s">
        <v>4402</v>
      </c>
      <c r="L49" s="8" t="s">
        <v>19</v>
      </c>
      <c r="M49" s="8">
        <v>2144</v>
      </c>
      <c r="N49" s="8" t="s">
        <v>99</v>
      </c>
      <c r="O49" s="8">
        <v>668</v>
      </c>
      <c r="P49" s="8" t="s">
        <v>4401</v>
      </c>
      <c r="Q49" s="8" t="s">
        <v>4262</v>
      </c>
      <c r="R49" s="8">
        <v>0.30399999999999999</v>
      </c>
      <c r="S49" s="8">
        <v>30795590</v>
      </c>
      <c r="T49" s="8" t="s">
        <v>41</v>
      </c>
      <c r="U49" s="8" t="s">
        <v>46</v>
      </c>
    </row>
    <row r="50" spans="1:21">
      <c r="A50" s="8" t="s">
        <v>4264</v>
      </c>
      <c r="B50" s="8" t="s">
        <v>4403</v>
      </c>
      <c r="C50" s="8">
        <v>23619</v>
      </c>
      <c r="D50" s="8" t="s">
        <v>139</v>
      </c>
      <c r="E50" s="8">
        <v>57290829</v>
      </c>
      <c r="F50" s="8">
        <v>57290829</v>
      </c>
      <c r="G50" s="8" t="s">
        <v>25</v>
      </c>
      <c r="H50" s="8" t="s">
        <v>24</v>
      </c>
      <c r="I50" s="8" t="s">
        <v>23</v>
      </c>
      <c r="J50" s="8" t="s">
        <v>4404</v>
      </c>
      <c r="K50" s="8" t="s">
        <v>4406</v>
      </c>
      <c r="L50" s="8" t="s">
        <v>19</v>
      </c>
      <c r="M50" s="8">
        <v>1114</v>
      </c>
      <c r="N50" s="8" t="s">
        <v>1489</v>
      </c>
      <c r="O50" s="8">
        <v>220</v>
      </c>
      <c r="P50" s="8" t="s">
        <v>4405</v>
      </c>
      <c r="Q50" s="8" t="s">
        <v>4262</v>
      </c>
      <c r="R50" s="8">
        <v>7.5999999999999998E-2</v>
      </c>
      <c r="S50" s="8">
        <v>57290829</v>
      </c>
      <c r="T50" s="8" t="s">
        <v>25</v>
      </c>
      <c r="U50" s="8" t="s">
        <v>24</v>
      </c>
    </row>
    <row r="51" spans="1:21">
      <c r="A51" s="8" t="s">
        <v>4264</v>
      </c>
      <c r="B51" s="8" t="s">
        <v>1093</v>
      </c>
      <c r="C51" s="8">
        <v>94025</v>
      </c>
      <c r="D51" s="8" t="s">
        <v>139</v>
      </c>
      <c r="E51" s="8">
        <v>9057391</v>
      </c>
      <c r="F51" s="8">
        <v>9057391</v>
      </c>
      <c r="G51" s="8" t="s">
        <v>41</v>
      </c>
      <c r="H51" s="8" t="s">
        <v>46</v>
      </c>
      <c r="I51" s="8" t="s">
        <v>23</v>
      </c>
      <c r="J51" s="8" t="s">
        <v>1094</v>
      </c>
      <c r="K51" s="8" t="s">
        <v>4408</v>
      </c>
      <c r="L51" s="8" t="s">
        <v>19</v>
      </c>
      <c r="M51" s="8">
        <v>30259</v>
      </c>
      <c r="N51" s="8" t="s">
        <v>4409</v>
      </c>
      <c r="O51" s="8">
        <v>10019</v>
      </c>
      <c r="P51" s="8" t="s">
        <v>4407</v>
      </c>
      <c r="Q51" s="8" t="s">
        <v>4262</v>
      </c>
      <c r="R51" s="8">
        <v>0.26200000000000001</v>
      </c>
      <c r="S51" s="8">
        <v>9057391</v>
      </c>
      <c r="T51" s="8" t="s">
        <v>41</v>
      </c>
      <c r="U51" s="8" t="s">
        <v>46</v>
      </c>
    </row>
    <row r="52" spans="1:21">
      <c r="A52" s="8" t="s">
        <v>4264</v>
      </c>
      <c r="B52" s="8" t="s">
        <v>1348</v>
      </c>
      <c r="C52" s="8">
        <v>7757</v>
      </c>
      <c r="D52" s="8" t="s">
        <v>139</v>
      </c>
      <c r="E52" s="8">
        <v>22155783</v>
      </c>
      <c r="F52" s="8">
        <v>22155783</v>
      </c>
      <c r="G52" s="8" t="s">
        <v>46</v>
      </c>
      <c r="H52" s="8" t="s">
        <v>41</v>
      </c>
      <c r="I52" s="8" t="s">
        <v>23</v>
      </c>
      <c r="J52" s="8" t="s">
        <v>1349</v>
      </c>
      <c r="K52" s="8" t="s">
        <v>4411</v>
      </c>
      <c r="L52" s="8" t="s">
        <v>19</v>
      </c>
      <c r="M52" s="8">
        <v>2202</v>
      </c>
      <c r="N52" s="8" t="s">
        <v>322</v>
      </c>
      <c r="O52" s="8">
        <v>685</v>
      </c>
      <c r="P52" s="8" t="s">
        <v>4410</v>
      </c>
      <c r="Q52" s="8" t="s">
        <v>4262</v>
      </c>
      <c r="R52" s="8">
        <v>0.186</v>
      </c>
      <c r="S52" s="8">
        <v>22155783</v>
      </c>
      <c r="T52" s="8" t="s">
        <v>46</v>
      </c>
      <c r="U52" s="8" t="s">
        <v>41</v>
      </c>
    </row>
    <row r="53" spans="1:21">
      <c r="A53" s="8" t="s">
        <v>4264</v>
      </c>
      <c r="B53" s="8" t="s">
        <v>3929</v>
      </c>
      <c r="C53" s="8">
        <v>128674</v>
      </c>
      <c r="D53" s="8" t="s">
        <v>188</v>
      </c>
      <c r="E53" s="8">
        <v>5283144</v>
      </c>
      <c r="F53" s="8">
        <v>5283144</v>
      </c>
      <c r="G53" s="8" t="s">
        <v>46</v>
      </c>
      <c r="H53" s="8" t="s">
        <v>41</v>
      </c>
      <c r="I53" s="8" t="s">
        <v>23</v>
      </c>
      <c r="J53" s="8" t="s">
        <v>3930</v>
      </c>
      <c r="K53" s="8" t="s">
        <v>4413</v>
      </c>
      <c r="L53" s="8" t="s">
        <v>19</v>
      </c>
      <c r="M53" s="8">
        <v>697</v>
      </c>
      <c r="N53" s="8" t="s">
        <v>171</v>
      </c>
      <c r="O53" s="8">
        <v>233</v>
      </c>
      <c r="P53" s="8" t="s">
        <v>4412</v>
      </c>
      <c r="Q53" s="8" t="s">
        <v>4262</v>
      </c>
      <c r="R53" s="8">
        <v>0.38600000000000001</v>
      </c>
      <c r="S53" s="8">
        <v>5283144</v>
      </c>
      <c r="T53" s="8" t="s">
        <v>46</v>
      </c>
      <c r="U53" s="8" t="s">
        <v>41</v>
      </c>
    </row>
    <row r="54" spans="1:21">
      <c r="A54" s="8" t="s">
        <v>4416</v>
      </c>
      <c r="B54" s="8" t="s">
        <v>2888</v>
      </c>
      <c r="C54" s="8">
        <v>3716</v>
      </c>
      <c r="D54" s="8" t="s">
        <v>22</v>
      </c>
      <c r="E54" s="8">
        <v>65310503</v>
      </c>
      <c r="F54" s="8">
        <v>65310503</v>
      </c>
      <c r="G54" s="8" t="s">
        <v>41</v>
      </c>
      <c r="H54" s="8" t="s">
        <v>25</v>
      </c>
      <c r="I54" s="8" t="s">
        <v>23</v>
      </c>
      <c r="J54" s="8" t="s">
        <v>2889</v>
      </c>
      <c r="K54" s="8" t="s">
        <v>4415</v>
      </c>
      <c r="L54" s="8" t="s">
        <v>19</v>
      </c>
      <c r="M54" s="8">
        <v>2434</v>
      </c>
      <c r="N54" s="8" t="s">
        <v>3177</v>
      </c>
      <c r="O54" s="8">
        <v>729</v>
      </c>
      <c r="P54" s="8" t="s">
        <v>4414</v>
      </c>
      <c r="Q54" s="8" t="s">
        <v>4262</v>
      </c>
      <c r="R54" s="8">
        <v>0.48699999999999999</v>
      </c>
      <c r="S54" s="8">
        <v>65310503</v>
      </c>
      <c r="T54" s="8" t="s">
        <v>41</v>
      </c>
      <c r="U54" s="8" t="s">
        <v>25</v>
      </c>
    </row>
    <row r="55" spans="1:21">
      <c r="A55" s="8" t="s">
        <v>4416</v>
      </c>
      <c r="B55" s="8" t="s">
        <v>4417</v>
      </c>
      <c r="C55" s="8">
        <v>100526835</v>
      </c>
      <c r="D55" s="8" t="s">
        <v>22</v>
      </c>
      <c r="E55" s="8">
        <v>74665365</v>
      </c>
      <c r="F55" s="8">
        <v>74665365</v>
      </c>
      <c r="G55" s="8" t="s">
        <v>24</v>
      </c>
      <c r="H55" s="8" t="s">
        <v>25</v>
      </c>
      <c r="I55" s="8" t="s">
        <v>23</v>
      </c>
      <c r="J55" s="8" t="s">
        <v>4418</v>
      </c>
      <c r="K55" s="8" t="s">
        <v>4420</v>
      </c>
      <c r="L55" s="8" t="s">
        <v>19</v>
      </c>
      <c r="M55" s="8">
        <v>167</v>
      </c>
      <c r="N55" s="8" t="s">
        <v>1364</v>
      </c>
      <c r="O55" s="8">
        <v>34</v>
      </c>
      <c r="P55" s="8" t="s">
        <v>4419</v>
      </c>
      <c r="Q55" s="8" t="s">
        <v>4262</v>
      </c>
      <c r="R55" s="8">
        <v>0.106</v>
      </c>
      <c r="S55" s="8">
        <v>74665365</v>
      </c>
      <c r="T55" s="8" t="s">
        <v>24</v>
      </c>
      <c r="U55" s="8" t="s">
        <v>25</v>
      </c>
    </row>
    <row r="56" spans="1:21">
      <c r="A56" s="8" t="s">
        <v>4416</v>
      </c>
      <c r="B56" s="8" t="s">
        <v>4421</v>
      </c>
      <c r="C56" s="8">
        <v>9635</v>
      </c>
      <c r="D56" s="8" t="s">
        <v>22</v>
      </c>
      <c r="E56" s="8">
        <v>86907129</v>
      </c>
      <c r="F56" s="8">
        <v>86907129</v>
      </c>
      <c r="G56" s="8" t="s">
        <v>25</v>
      </c>
      <c r="H56" s="8" t="s">
        <v>41</v>
      </c>
      <c r="I56" s="8" t="s">
        <v>23</v>
      </c>
      <c r="J56" s="8" t="s">
        <v>4422</v>
      </c>
      <c r="K56" s="8" t="s">
        <v>4424</v>
      </c>
      <c r="L56" s="8" t="s">
        <v>19</v>
      </c>
      <c r="M56" s="8">
        <v>1553</v>
      </c>
      <c r="N56" s="8" t="s">
        <v>457</v>
      </c>
      <c r="O56" s="8">
        <v>464</v>
      </c>
      <c r="P56" s="8" t="s">
        <v>4423</v>
      </c>
      <c r="Q56" s="8" t="s">
        <v>4262</v>
      </c>
      <c r="R56" s="8">
        <v>0.25</v>
      </c>
      <c r="S56" s="8">
        <v>86907129</v>
      </c>
      <c r="T56" s="8" t="s">
        <v>25</v>
      </c>
      <c r="U56" s="8" t="s">
        <v>41</v>
      </c>
    </row>
    <row r="57" spans="1:21">
      <c r="A57" s="8" t="s">
        <v>4416</v>
      </c>
      <c r="B57" s="8" t="s">
        <v>3227</v>
      </c>
      <c r="C57" s="8">
        <v>388646</v>
      </c>
      <c r="D57" s="8" t="s">
        <v>22</v>
      </c>
      <c r="E57" s="8">
        <v>89599018</v>
      </c>
      <c r="F57" s="8">
        <v>89599018</v>
      </c>
      <c r="G57" s="8" t="s">
        <v>24</v>
      </c>
      <c r="H57" s="8" t="s">
        <v>46</v>
      </c>
      <c r="I57" s="8" t="s">
        <v>23</v>
      </c>
      <c r="J57" s="8" t="s">
        <v>3228</v>
      </c>
      <c r="K57" s="8" t="s">
        <v>4426</v>
      </c>
      <c r="L57" s="8" t="s">
        <v>19</v>
      </c>
      <c r="M57" s="8">
        <v>1724</v>
      </c>
      <c r="N57" s="8" t="s">
        <v>2992</v>
      </c>
      <c r="O57" s="8">
        <v>529</v>
      </c>
      <c r="P57" s="8" t="s">
        <v>4425</v>
      </c>
      <c r="Q57" s="8" t="s">
        <v>4262</v>
      </c>
      <c r="R57" s="8">
        <v>0.224</v>
      </c>
      <c r="S57" s="8">
        <v>89599018</v>
      </c>
      <c r="T57" s="8" t="s">
        <v>24</v>
      </c>
      <c r="U57" s="8" t="s">
        <v>46</v>
      </c>
    </row>
    <row r="58" spans="1:21">
      <c r="A58" s="8" t="s">
        <v>4416</v>
      </c>
      <c r="B58" s="8" t="s">
        <v>3826</v>
      </c>
      <c r="C58" s="8">
        <v>55119</v>
      </c>
      <c r="D58" s="8" t="s">
        <v>22</v>
      </c>
      <c r="E58" s="8">
        <v>109241393</v>
      </c>
      <c r="F58" s="8">
        <v>109241393</v>
      </c>
      <c r="G58" s="8" t="s">
        <v>25</v>
      </c>
      <c r="H58" s="8" t="s">
        <v>41</v>
      </c>
      <c r="I58" s="8" t="s">
        <v>23</v>
      </c>
      <c r="J58" s="8" t="s">
        <v>3827</v>
      </c>
      <c r="K58" s="8" t="s">
        <v>4428</v>
      </c>
      <c r="L58" s="8" t="s">
        <v>19</v>
      </c>
      <c r="M58" s="8">
        <v>1008</v>
      </c>
      <c r="N58" s="8" t="s">
        <v>3165</v>
      </c>
      <c r="O58" s="8">
        <v>242</v>
      </c>
      <c r="P58" s="8" t="s">
        <v>4427</v>
      </c>
      <c r="Q58" s="8" t="s">
        <v>4262</v>
      </c>
      <c r="R58" s="8">
        <v>0.52800000000000002</v>
      </c>
      <c r="S58" s="8">
        <v>109241393</v>
      </c>
      <c r="T58" s="8" t="s">
        <v>25</v>
      </c>
      <c r="U58" s="8" t="s">
        <v>41</v>
      </c>
    </row>
    <row r="59" spans="1:21">
      <c r="A59" s="8" t="s">
        <v>4416</v>
      </c>
      <c r="B59" s="8" t="s">
        <v>3828</v>
      </c>
      <c r="C59" s="8">
        <v>81839</v>
      </c>
      <c r="D59" s="8" t="s">
        <v>22</v>
      </c>
      <c r="E59" s="8">
        <v>116233831</v>
      </c>
      <c r="F59" s="8">
        <v>116233831</v>
      </c>
      <c r="G59" s="8" t="s">
        <v>25</v>
      </c>
      <c r="H59" s="8" t="s">
        <v>41</v>
      </c>
      <c r="I59" s="8" t="s">
        <v>23</v>
      </c>
      <c r="J59" s="8" t="s">
        <v>4429</v>
      </c>
      <c r="K59" s="8" t="s">
        <v>4431</v>
      </c>
      <c r="L59" s="8" t="s">
        <v>19</v>
      </c>
      <c r="M59" s="8">
        <v>1677</v>
      </c>
      <c r="N59" s="8" t="s">
        <v>1115</v>
      </c>
      <c r="O59" s="8">
        <v>469</v>
      </c>
      <c r="P59" s="8" t="s">
        <v>4430</v>
      </c>
      <c r="Q59" s="8" t="s">
        <v>4262</v>
      </c>
      <c r="R59" s="8">
        <v>0.27700000000000002</v>
      </c>
      <c r="S59" s="8">
        <v>116233831</v>
      </c>
      <c r="T59" s="8" t="s">
        <v>25</v>
      </c>
      <c r="U59" s="8" t="s">
        <v>41</v>
      </c>
    </row>
    <row r="60" spans="1:21">
      <c r="A60" s="8" t="s">
        <v>4416</v>
      </c>
      <c r="B60" s="8" t="s">
        <v>4432</v>
      </c>
      <c r="C60" s="8">
        <v>390999</v>
      </c>
      <c r="D60" s="8" t="s">
        <v>22</v>
      </c>
      <c r="E60" s="8">
        <v>12835940</v>
      </c>
      <c r="F60" s="8">
        <v>12835940</v>
      </c>
      <c r="G60" s="8" t="s">
        <v>25</v>
      </c>
      <c r="H60" s="8" t="s">
        <v>41</v>
      </c>
      <c r="I60" s="8" t="s">
        <v>23</v>
      </c>
      <c r="J60" s="8" t="s">
        <v>4433</v>
      </c>
      <c r="K60" s="8" t="s">
        <v>4435</v>
      </c>
      <c r="L60" s="8" t="s">
        <v>19</v>
      </c>
      <c r="M60" s="8">
        <v>569</v>
      </c>
      <c r="N60" s="8" t="s">
        <v>457</v>
      </c>
      <c r="O60" s="8">
        <v>181</v>
      </c>
      <c r="P60" s="8" t="s">
        <v>4434</v>
      </c>
      <c r="Q60" s="8" t="s">
        <v>4262</v>
      </c>
      <c r="R60" s="8">
        <v>0.24</v>
      </c>
      <c r="S60" s="8">
        <v>12835940</v>
      </c>
      <c r="T60" s="8" t="s">
        <v>25</v>
      </c>
      <c r="U60" s="8" t="s">
        <v>41</v>
      </c>
    </row>
    <row r="61" spans="1:21">
      <c r="A61" s="8" t="s">
        <v>4416</v>
      </c>
      <c r="B61" s="8" t="s">
        <v>4436</v>
      </c>
      <c r="C61" s="8">
        <v>6282</v>
      </c>
      <c r="D61" s="8" t="s">
        <v>22</v>
      </c>
      <c r="E61" s="8">
        <v>152006192</v>
      </c>
      <c r="F61" s="8">
        <v>152006192</v>
      </c>
      <c r="G61" s="8" t="s">
        <v>25</v>
      </c>
      <c r="H61" s="8" t="s">
        <v>41</v>
      </c>
      <c r="I61" s="8" t="s">
        <v>23</v>
      </c>
      <c r="J61" s="8" t="s">
        <v>4437</v>
      </c>
      <c r="K61" s="8" t="s">
        <v>4439</v>
      </c>
      <c r="L61" s="8" t="s">
        <v>19</v>
      </c>
      <c r="M61" s="8">
        <v>208</v>
      </c>
      <c r="N61" s="8" t="s">
        <v>3168</v>
      </c>
      <c r="O61" s="8">
        <v>30</v>
      </c>
      <c r="P61" s="8" t="s">
        <v>4438</v>
      </c>
      <c r="Q61" s="8" t="s">
        <v>4262</v>
      </c>
      <c r="R61" s="8">
        <v>0.33300000000000002</v>
      </c>
      <c r="S61" s="8">
        <v>152006192</v>
      </c>
      <c r="T61" s="8" t="s">
        <v>25</v>
      </c>
      <c r="U61" s="8" t="s">
        <v>41</v>
      </c>
    </row>
    <row r="62" spans="1:21">
      <c r="A62" s="8" t="s">
        <v>4416</v>
      </c>
      <c r="B62" s="8" t="s">
        <v>3829</v>
      </c>
      <c r="C62" s="8">
        <v>6274</v>
      </c>
      <c r="D62" s="8" t="s">
        <v>22</v>
      </c>
      <c r="E62" s="8">
        <v>153520948</v>
      </c>
      <c r="F62" s="8">
        <v>153520948</v>
      </c>
      <c r="G62" s="8" t="s">
        <v>25</v>
      </c>
      <c r="H62" s="8" t="s">
        <v>41</v>
      </c>
      <c r="I62" s="8" t="s">
        <v>23</v>
      </c>
      <c r="J62" s="8" t="s">
        <v>3830</v>
      </c>
      <c r="K62" s="8" t="s">
        <v>4441</v>
      </c>
      <c r="L62" s="8" t="s">
        <v>19</v>
      </c>
      <c r="M62" s="8">
        <v>97</v>
      </c>
      <c r="N62" s="8" t="s">
        <v>1096</v>
      </c>
      <c r="O62" s="8">
        <v>5</v>
      </c>
      <c r="P62" s="8" t="s">
        <v>4440</v>
      </c>
      <c r="Q62" s="8" t="s">
        <v>4262</v>
      </c>
      <c r="R62" s="8">
        <v>0.5</v>
      </c>
      <c r="S62" s="8">
        <v>153520948</v>
      </c>
      <c r="T62" s="8" t="s">
        <v>25</v>
      </c>
      <c r="U62" s="8" t="s">
        <v>41</v>
      </c>
    </row>
    <row r="63" spans="1:21">
      <c r="A63" s="8" t="s">
        <v>4416</v>
      </c>
      <c r="B63" s="8" t="s">
        <v>4442</v>
      </c>
      <c r="C63" s="8">
        <v>391109</v>
      </c>
      <c r="D63" s="8" t="s">
        <v>22</v>
      </c>
      <c r="E63" s="8">
        <v>158435616</v>
      </c>
      <c r="F63" s="8">
        <v>158435616</v>
      </c>
      <c r="G63" s="8" t="s">
        <v>25</v>
      </c>
      <c r="H63" s="8" t="s">
        <v>41</v>
      </c>
      <c r="I63" s="8" t="s">
        <v>23</v>
      </c>
      <c r="J63" s="8" t="s">
        <v>4443</v>
      </c>
      <c r="K63" s="8" t="s">
        <v>4445</v>
      </c>
      <c r="L63" s="8" t="s">
        <v>76</v>
      </c>
      <c r="M63" s="8">
        <v>265</v>
      </c>
      <c r="N63" s="8" t="s">
        <v>1103</v>
      </c>
      <c r="O63" s="8">
        <v>89</v>
      </c>
      <c r="P63" s="8" t="s">
        <v>4444</v>
      </c>
      <c r="Q63" s="8" t="s">
        <v>4262</v>
      </c>
      <c r="R63" s="8">
        <v>0.32800000000000001</v>
      </c>
      <c r="S63" s="8">
        <v>158435616</v>
      </c>
      <c r="T63" s="8" t="s">
        <v>25</v>
      </c>
      <c r="U63" s="8" t="s">
        <v>41</v>
      </c>
    </row>
    <row r="64" spans="1:21">
      <c r="A64" s="8" t="s">
        <v>4416</v>
      </c>
      <c r="B64" s="8" t="s">
        <v>3831</v>
      </c>
      <c r="C64" s="8">
        <v>2213</v>
      </c>
      <c r="D64" s="8" t="s">
        <v>22</v>
      </c>
      <c r="E64" s="8">
        <v>161641226</v>
      </c>
      <c r="F64" s="8">
        <v>161641226</v>
      </c>
      <c r="G64" s="8" t="s">
        <v>25</v>
      </c>
      <c r="H64" s="8" t="s">
        <v>41</v>
      </c>
      <c r="I64" s="8" t="s">
        <v>23</v>
      </c>
      <c r="J64" s="8" t="s">
        <v>4446</v>
      </c>
      <c r="K64" s="8" t="s">
        <v>4448</v>
      </c>
      <c r="L64" s="8" t="s">
        <v>19</v>
      </c>
      <c r="M64" s="8">
        <v>305</v>
      </c>
      <c r="N64" s="8" t="s">
        <v>3131</v>
      </c>
      <c r="O64" s="8">
        <v>60</v>
      </c>
      <c r="P64" s="8" t="s">
        <v>4447</v>
      </c>
      <c r="Q64" s="8" t="s">
        <v>4262</v>
      </c>
      <c r="R64" s="8">
        <v>0.47599999999999998</v>
      </c>
      <c r="S64" s="8">
        <v>161641226</v>
      </c>
      <c r="T64" s="8" t="s">
        <v>25</v>
      </c>
      <c r="U64" s="8" t="s">
        <v>41</v>
      </c>
    </row>
    <row r="65" spans="1:21">
      <c r="A65" s="8" t="s">
        <v>4416</v>
      </c>
      <c r="B65" s="8" t="s">
        <v>4449</v>
      </c>
      <c r="C65" s="8">
        <v>55672</v>
      </c>
      <c r="D65" s="8" t="s">
        <v>22</v>
      </c>
      <c r="E65" s="8">
        <v>16895625</v>
      </c>
      <c r="F65" s="8">
        <v>16895625</v>
      </c>
      <c r="G65" s="8" t="s">
        <v>41</v>
      </c>
      <c r="H65" s="8" t="s">
        <v>25</v>
      </c>
      <c r="I65" s="8" t="s">
        <v>23</v>
      </c>
      <c r="J65" s="8" t="s">
        <v>4450</v>
      </c>
      <c r="K65" s="8" t="s">
        <v>4452</v>
      </c>
      <c r="L65" s="8" t="s">
        <v>19</v>
      </c>
      <c r="M65" s="8">
        <v>3445</v>
      </c>
      <c r="N65" s="8" t="s">
        <v>1030</v>
      </c>
      <c r="O65" s="8">
        <v>853</v>
      </c>
      <c r="P65" s="8" t="s">
        <v>4451</v>
      </c>
      <c r="Q65" s="8" t="s">
        <v>4262</v>
      </c>
      <c r="R65" s="8">
        <v>5.6000000000000001E-2</v>
      </c>
      <c r="S65" s="8">
        <v>16895625</v>
      </c>
      <c r="T65" s="8" t="s">
        <v>41</v>
      </c>
      <c r="U65" s="8" t="s">
        <v>25</v>
      </c>
    </row>
    <row r="66" spans="1:21">
      <c r="A66" s="8" t="s">
        <v>4416</v>
      </c>
      <c r="B66" s="8" t="s">
        <v>3832</v>
      </c>
      <c r="C66" s="8">
        <v>460</v>
      </c>
      <c r="D66" s="8" t="s">
        <v>22</v>
      </c>
      <c r="E66" s="8">
        <v>176934363</v>
      </c>
      <c r="F66" s="8">
        <v>176934363</v>
      </c>
      <c r="G66" s="8" t="s">
        <v>25</v>
      </c>
      <c r="H66" s="8" t="s">
        <v>41</v>
      </c>
      <c r="I66" s="8" t="s">
        <v>23</v>
      </c>
      <c r="J66" s="8" t="s">
        <v>4453</v>
      </c>
      <c r="K66" s="8" t="s">
        <v>4455</v>
      </c>
      <c r="L66" s="8" t="s">
        <v>19</v>
      </c>
      <c r="M66" s="8">
        <v>1746</v>
      </c>
      <c r="N66" s="8" t="s">
        <v>1186</v>
      </c>
      <c r="O66" s="8">
        <v>512</v>
      </c>
      <c r="P66" s="8" t="s">
        <v>4454</v>
      </c>
      <c r="Q66" s="8" t="s">
        <v>4262</v>
      </c>
      <c r="R66" s="8">
        <v>0.29899999999999999</v>
      </c>
      <c r="S66" s="8">
        <v>176934363</v>
      </c>
      <c r="T66" s="8" t="s">
        <v>25</v>
      </c>
      <c r="U66" s="8" t="s">
        <v>41</v>
      </c>
    </row>
    <row r="67" spans="1:21">
      <c r="A67" s="8" t="s">
        <v>4416</v>
      </c>
      <c r="B67" s="8" t="s">
        <v>4456</v>
      </c>
      <c r="C67" s="8">
        <v>9213</v>
      </c>
      <c r="D67" s="8" t="s">
        <v>22</v>
      </c>
      <c r="E67" s="8">
        <v>180793913</v>
      </c>
      <c r="F67" s="8">
        <v>180793913</v>
      </c>
      <c r="G67" s="8" t="s">
        <v>24</v>
      </c>
      <c r="H67" s="8" t="s">
        <v>41</v>
      </c>
      <c r="I67" s="8" t="s">
        <v>23</v>
      </c>
      <c r="J67" s="8" t="s">
        <v>4457</v>
      </c>
      <c r="K67" s="8" t="s">
        <v>4459</v>
      </c>
      <c r="L67" s="8" t="s">
        <v>19</v>
      </c>
      <c r="M67" s="8">
        <v>980</v>
      </c>
      <c r="N67" s="8" t="s">
        <v>185</v>
      </c>
      <c r="O67" s="8">
        <v>263</v>
      </c>
      <c r="P67" s="8" t="s">
        <v>4458</v>
      </c>
      <c r="Q67" s="8" t="s">
        <v>4262</v>
      </c>
      <c r="R67" s="8">
        <v>0.28899999999999998</v>
      </c>
      <c r="S67" s="8">
        <v>180793913</v>
      </c>
      <c r="T67" s="8" t="s">
        <v>24</v>
      </c>
      <c r="U67" s="8" t="s">
        <v>41</v>
      </c>
    </row>
    <row r="68" spans="1:21">
      <c r="A68" s="8" t="s">
        <v>4416</v>
      </c>
      <c r="B68" s="8" t="s">
        <v>3833</v>
      </c>
      <c r="C68" s="8">
        <v>1604</v>
      </c>
      <c r="D68" s="8" t="s">
        <v>22</v>
      </c>
      <c r="E68" s="8">
        <v>207510100</v>
      </c>
      <c r="F68" s="8">
        <v>207510100</v>
      </c>
      <c r="G68" s="8" t="s">
        <v>25</v>
      </c>
      <c r="H68" s="8" t="s">
        <v>24</v>
      </c>
      <c r="I68" s="8" t="s">
        <v>23</v>
      </c>
      <c r="J68" s="8" t="s">
        <v>4460</v>
      </c>
      <c r="K68" s="8" t="s">
        <v>4462</v>
      </c>
      <c r="L68" s="8" t="s">
        <v>19</v>
      </c>
      <c r="M68" s="8">
        <v>1210</v>
      </c>
      <c r="N68" s="8" t="s">
        <v>1160</v>
      </c>
      <c r="O68" s="8">
        <v>306</v>
      </c>
      <c r="P68" s="8" t="s">
        <v>4461</v>
      </c>
      <c r="Q68" s="8" t="s">
        <v>4262</v>
      </c>
      <c r="R68" s="8">
        <v>0.44500000000000001</v>
      </c>
      <c r="S68" s="8">
        <v>207510100</v>
      </c>
      <c r="T68" s="8" t="s">
        <v>25</v>
      </c>
      <c r="U68" s="8" t="s">
        <v>24</v>
      </c>
    </row>
    <row r="69" spans="1:21">
      <c r="A69" s="8" t="s">
        <v>4416</v>
      </c>
      <c r="B69" s="8" t="s">
        <v>3592</v>
      </c>
      <c r="C69" s="8">
        <v>7399</v>
      </c>
      <c r="D69" s="8" t="s">
        <v>22</v>
      </c>
      <c r="E69" s="8">
        <v>215960194</v>
      </c>
      <c r="F69" s="8">
        <v>215960194</v>
      </c>
      <c r="G69" s="8" t="s">
        <v>25</v>
      </c>
      <c r="H69" s="8" t="s">
        <v>41</v>
      </c>
      <c r="I69" s="8" t="s">
        <v>23</v>
      </c>
      <c r="J69" s="8" t="s">
        <v>3593</v>
      </c>
      <c r="K69" s="8" t="s">
        <v>4464</v>
      </c>
      <c r="L69" s="8" t="s">
        <v>19</v>
      </c>
      <c r="M69" s="8">
        <v>10592</v>
      </c>
      <c r="N69" s="8" t="s">
        <v>3834</v>
      </c>
      <c r="O69" s="8">
        <v>3402</v>
      </c>
      <c r="P69" s="8" t="s">
        <v>4463</v>
      </c>
      <c r="Q69" s="8" t="s">
        <v>4262</v>
      </c>
      <c r="R69" s="8">
        <v>0.34499999999999997</v>
      </c>
      <c r="S69" s="8">
        <v>215960194</v>
      </c>
      <c r="T69" s="8" t="s">
        <v>25</v>
      </c>
      <c r="U69" s="8" t="s">
        <v>41</v>
      </c>
    </row>
    <row r="70" spans="1:21">
      <c r="A70" s="8" t="s">
        <v>4416</v>
      </c>
      <c r="B70" s="8" t="s">
        <v>4465</v>
      </c>
      <c r="C70" s="8">
        <v>8476</v>
      </c>
      <c r="D70" s="8" t="s">
        <v>22</v>
      </c>
      <c r="E70" s="8">
        <v>227348302</v>
      </c>
      <c r="F70" s="8">
        <v>227348302</v>
      </c>
      <c r="G70" s="8" t="s">
        <v>41</v>
      </c>
      <c r="H70" s="8" t="s">
        <v>46</v>
      </c>
      <c r="I70" s="8" t="s">
        <v>23</v>
      </c>
      <c r="J70" s="8" t="s">
        <v>4466</v>
      </c>
      <c r="K70" s="8" t="s">
        <v>4468</v>
      </c>
      <c r="L70" s="8" t="s">
        <v>19</v>
      </c>
      <c r="M70" s="8">
        <v>1578</v>
      </c>
      <c r="N70" s="8" t="s">
        <v>955</v>
      </c>
      <c r="O70" s="8">
        <v>212</v>
      </c>
      <c r="P70" s="8" t="s">
        <v>4467</v>
      </c>
      <c r="Q70" s="8" t="s">
        <v>4262</v>
      </c>
      <c r="R70" s="8">
        <v>3.4000000000000002E-2</v>
      </c>
      <c r="S70" s="8">
        <v>227348302</v>
      </c>
      <c r="T70" s="8" t="s">
        <v>41</v>
      </c>
      <c r="U70" s="8" t="s">
        <v>46</v>
      </c>
    </row>
    <row r="71" spans="1:21">
      <c r="A71" s="8" t="s">
        <v>4416</v>
      </c>
      <c r="B71" s="8" t="s">
        <v>876</v>
      </c>
      <c r="C71" s="8">
        <v>84033</v>
      </c>
      <c r="D71" s="8" t="s">
        <v>22</v>
      </c>
      <c r="E71" s="8">
        <v>228431111</v>
      </c>
      <c r="F71" s="8">
        <v>228431111</v>
      </c>
      <c r="G71" s="8" t="s">
        <v>25</v>
      </c>
      <c r="H71" s="8" t="s">
        <v>41</v>
      </c>
      <c r="I71" s="8" t="s">
        <v>23</v>
      </c>
      <c r="J71" s="8" t="s">
        <v>877</v>
      </c>
      <c r="K71" s="8" t="s">
        <v>4470</v>
      </c>
      <c r="L71" s="8" t="s">
        <v>19</v>
      </c>
      <c r="M71" s="8">
        <v>3201</v>
      </c>
      <c r="N71" s="8" t="s">
        <v>1030</v>
      </c>
      <c r="O71" s="8">
        <v>1053</v>
      </c>
      <c r="P71" s="8" t="s">
        <v>4469</v>
      </c>
      <c r="Q71" s="8" t="s">
        <v>4262</v>
      </c>
      <c r="R71" s="8">
        <v>0.23300000000000001</v>
      </c>
      <c r="S71" s="8">
        <v>228431111</v>
      </c>
      <c r="T71" s="8" t="s">
        <v>25</v>
      </c>
      <c r="U71" s="8" t="s">
        <v>41</v>
      </c>
    </row>
    <row r="72" spans="1:21">
      <c r="A72" s="8" t="s">
        <v>4416</v>
      </c>
      <c r="B72" s="8" t="s">
        <v>4471</v>
      </c>
      <c r="C72" s="8">
        <v>84838</v>
      </c>
      <c r="D72" s="8" t="s">
        <v>22</v>
      </c>
      <c r="E72" s="8">
        <v>247464338</v>
      </c>
      <c r="F72" s="8">
        <v>247464338</v>
      </c>
      <c r="G72" s="8" t="s">
        <v>46</v>
      </c>
      <c r="H72" s="8" t="s">
        <v>24</v>
      </c>
      <c r="I72" s="8" t="s">
        <v>23</v>
      </c>
      <c r="J72" s="8" t="s">
        <v>4472</v>
      </c>
      <c r="K72" s="8" t="s">
        <v>4474</v>
      </c>
      <c r="L72" s="8" t="s">
        <v>19</v>
      </c>
      <c r="M72" s="8">
        <v>1712</v>
      </c>
      <c r="N72" s="8" t="s">
        <v>3506</v>
      </c>
      <c r="O72" s="8">
        <v>416</v>
      </c>
      <c r="P72" s="8" t="s">
        <v>4473</v>
      </c>
      <c r="Q72" s="8" t="s">
        <v>4262</v>
      </c>
      <c r="R72" s="8">
        <v>0.253</v>
      </c>
      <c r="S72" s="8">
        <v>247464338</v>
      </c>
      <c r="T72" s="8" t="s">
        <v>46</v>
      </c>
      <c r="U72" s="8" t="s">
        <v>24</v>
      </c>
    </row>
    <row r="73" spans="1:21">
      <c r="A73" s="8" t="s">
        <v>4416</v>
      </c>
      <c r="B73" s="8" t="s">
        <v>4475</v>
      </c>
      <c r="C73" s="8">
        <v>284532</v>
      </c>
      <c r="D73" s="8" t="s">
        <v>22</v>
      </c>
      <c r="E73" s="8">
        <v>247978782</v>
      </c>
      <c r="F73" s="8">
        <v>247978782</v>
      </c>
      <c r="G73" s="8" t="s">
        <v>25</v>
      </c>
      <c r="H73" s="8" t="s">
        <v>41</v>
      </c>
      <c r="I73" s="8" t="s">
        <v>23</v>
      </c>
      <c r="J73" s="8" t="s">
        <v>4476</v>
      </c>
      <c r="K73" s="8" t="s">
        <v>4478</v>
      </c>
      <c r="L73" s="8" t="s">
        <v>19</v>
      </c>
      <c r="M73" s="8">
        <v>250</v>
      </c>
      <c r="N73" s="8" t="s">
        <v>3316</v>
      </c>
      <c r="O73" s="8">
        <v>84</v>
      </c>
      <c r="P73" s="8" t="s">
        <v>4477</v>
      </c>
      <c r="Q73" s="8" t="s">
        <v>4262</v>
      </c>
      <c r="R73" s="8">
        <v>0.33600000000000002</v>
      </c>
      <c r="S73" s="8">
        <v>247978782</v>
      </c>
      <c r="T73" s="8" t="s">
        <v>25</v>
      </c>
      <c r="U73" s="8" t="s">
        <v>41</v>
      </c>
    </row>
    <row r="74" spans="1:21">
      <c r="A74" s="8" t="s">
        <v>4416</v>
      </c>
      <c r="B74" s="8" t="s">
        <v>4479</v>
      </c>
      <c r="C74" s="8">
        <v>26245</v>
      </c>
      <c r="D74" s="8" t="s">
        <v>22</v>
      </c>
      <c r="E74" s="8">
        <v>248402945</v>
      </c>
      <c r="F74" s="8">
        <v>248402945</v>
      </c>
      <c r="G74" s="8" t="s">
        <v>25</v>
      </c>
      <c r="H74" s="8" t="s">
        <v>41</v>
      </c>
      <c r="I74" s="8" t="s">
        <v>23</v>
      </c>
      <c r="J74" s="8" t="s">
        <v>4480</v>
      </c>
      <c r="K74" s="8" t="s">
        <v>4482</v>
      </c>
      <c r="L74" s="8" t="s">
        <v>19</v>
      </c>
      <c r="M74" s="8">
        <v>715</v>
      </c>
      <c r="N74" s="8" t="s">
        <v>1142</v>
      </c>
      <c r="O74" s="8">
        <v>239</v>
      </c>
      <c r="P74" s="8" t="s">
        <v>4481</v>
      </c>
      <c r="Q74" s="8" t="s">
        <v>4262</v>
      </c>
      <c r="R74" s="8">
        <v>0.29799999999999999</v>
      </c>
      <c r="S74" s="8">
        <v>248402945</v>
      </c>
      <c r="T74" s="8" t="s">
        <v>25</v>
      </c>
      <c r="U74" s="8" t="s">
        <v>41</v>
      </c>
    </row>
    <row r="75" spans="1:21">
      <c r="A75" s="8" t="s">
        <v>4416</v>
      </c>
      <c r="B75" s="8" t="s">
        <v>4483</v>
      </c>
      <c r="C75" s="8">
        <v>6007</v>
      </c>
      <c r="D75" s="8" t="s">
        <v>22</v>
      </c>
      <c r="E75" s="8">
        <v>25648401</v>
      </c>
      <c r="F75" s="8">
        <v>25648401</v>
      </c>
      <c r="G75" s="8" t="s">
        <v>41</v>
      </c>
      <c r="H75" s="8" t="s">
        <v>25</v>
      </c>
      <c r="I75" s="8" t="s">
        <v>23</v>
      </c>
      <c r="J75" s="8" t="s">
        <v>4484</v>
      </c>
      <c r="K75" s="8" t="s">
        <v>4486</v>
      </c>
      <c r="L75" s="8" t="s">
        <v>19</v>
      </c>
      <c r="M75" s="8">
        <v>1233</v>
      </c>
      <c r="N75" s="8" t="s">
        <v>1639</v>
      </c>
      <c r="O75" s="8">
        <v>392</v>
      </c>
      <c r="P75" s="8" t="s">
        <v>4485</v>
      </c>
      <c r="Q75" s="8" t="s">
        <v>4262</v>
      </c>
      <c r="R75" s="8">
        <v>0.32900000000000001</v>
      </c>
      <c r="S75" s="8">
        <v>25648401</v>
      </c>
      <c r="T75" s="8" t="s">
        <v>41</v>
      </c>
      <c r="U75" s="8" t="s">
        <v>25</v>
      </c>
    </row>
    <row r="76" spans="1:21">
      <c r="A76" s="8" t="s">
        <v>4416</v>
      </c>
      <c r="B76" s="8" t="s">
        <v>4487</v>
      </c>
      <c r="C76" s="8">
        <v>576</v>
      </c>
      <c r="D76" s="8" t="s">
        <v>22</v>
      </c>
      <c r="E76" s="8">
        <v>32206144</v>
      </c>
      <c r="F76" s="8">
        <v>32206144</v>
      </c>
      <c r="G76" s="8" t="s">
        <v>41</v>
      </c>
      <c r="H76" s="8" t="s">
        <v>25</v>
      </c>
      <c r="I76" s="8" t="s">
        <v>23</v>
      </c>
      <c r="J76" s="8" t="s">
        <v>4488</v>
      </c>
      <c r="K76" s="8" t="s">
        <v>4489</v>
      </c>
      <c r="L76" s="8" t="s">
        <v>68</v>
      </c>
      <c r="M76" s="8">
        <v>0</v>
      </c>
      <c r="N76" s="8" t="s">
        <v>35</v>
      </c>
      <c r="O76" s="8">
        <v>0</v>
      </c>
      <c r="P76" s="8" t="s">
        <v>35</v>
      </c>
      <c r="Q76" s="8" t="s">
        <v>4262</v>
      </c>
      <c r="R76" s="8">
        <v>0.33300000000000002</v>
      </c>
      <c r="S76" s="8">
        <v>32206144</v>
      </c>
      <c r="T76" s="8" t="s">
        <v>41</v>
      </c>
      <c r="U76" s="8" t="s">
        <v>25</v>
      </c>
    </row>
    <row r="77" spans="1:21">
      <c r="A77" s="8" t="s">
        <v>4416</v>
      </c>
      <c r="B77" s="8" t="s">
        <v>922</v>
      </c>
      <c r="C77" s="8">
        <v>2202</v>
      </c>
      <c r="D77" s="8" t="s">
        <v>172</v>
      </c>
      <c r="E77" s="8">
        <v>56144917</v>
      </c>
      <c r="F77" s="8">
        <v>56144917</v>
      </c>
      <c r="G77" s="8" t="s">
        <v>24</v>
      </c>
      <c r="H77" s="8" t="s">
        <v>25</v>
      </c>
      <c r="I77" s="8" t="s">
        <v>23</v>
      </c>
      <c r="J77" s="8" t="s">
        <v>4490</v>
      </c>
      <c r="K77" s="8" t="s">
        <v>4492</v>
      </c>
      <c r="L77" s="8" t="s">
        <v>76</v>
      </c>
      <c r="M77" s="8">
        <v>901</v>
      </c>
      <c r="N77" s="8" t="s">
        <v>103</v>
      </c>
      <c r="O77" s="8">
        <v>134</v>
      </c>
      <c r="P77" s="8" t="s">
        <v>4491</v>
      </c>
      <c r="Q77" s="8" t="s">
        <v>4262</v>
      </c>
      <c r="R77" s="8">
        <v>0.14000000000000001</v>
      </c>
      <c r="S77" s="8">
        <v>56144917</v>
      </c>
      <c r="T77" s="8" t="s">
        <v>24</v>
      </c>
      <c r="U77" s="8" t="s">
        <v>25</v>
      </c>
    </row>
    <row r="78" spans="1:21">
      <c r="A78" s="8" t="s">
        <v>4416</v>
      </c>
      <c r="B78" s="8" t="s">
        <v>4493</v>
      </c>
      <c r="C78" s="8">
        <v>53335</v>
      </c>
      <c r="D78" s="8" t="s">
        <v>172</v>
      </c>
      <c r="E78" s="8">
        <v>60687808</v>
      </c>
      <c r="F78" s="8">
        <v>60687808</v>
      </c>
      <c r="G78" s="8" t="s">
        <v>25</v>
      </c>
      <c r="H78" s="8" t="s">
        <v>41</v>
      </c>
      <c r="I78" s="8" t="s">
        <v>23</v>
      </c>
      <c r="J78" s="8" t="s">
        <v>4494</v>
      </c>
      <c r="K78" s="8" t="s">
        <v>4496</v>
      </c>
      <c r="L78" s="8" t="s">
        <v>19</v>
      </c>
      <c r="M78" s="8">
        <v>2467</v>
      </c>
      <c r="N78" s="8" t="s">
        <v>278</v>
      </c>
      <c r="O78" s="8">
        <v>747</v>
      </c>
      <c r="P78" s="8" t="s">
        <v>4495</v>
      </c>
      <c r="Q78" s="8" t="s">
        <v>4262</v>
      </c>
      <c r="R78" s="8">
        <v>0.23899999999999999</v>
      </c>
      <c r="S78" s="8">
        <v>60687808</v>
      </c>
      <c r="T78" s="8" t="s">
        <v>25</v>
      </c>
      <c r="U78" s="8" t="s">
        <v>41</v>
      </c>
    </row>
    <row r="79" spans="1:21">
      <c r="A79" s="8" t="s">
        <v>4416</v>
      </c>
      <c r="B79" s="8" t="s">
        <v>3189</v>
      </c>
      <c r="C79" s="8">
        <v>9736</v>
      </c>
      <c r="D79" s="8" t="s">
        <v>172</v>
      </c>
      <c r="E79" s="8">
        <v>61558448</v>
      </c>
      <c r="F79" s="8">
        <v>61558448</v>
      </c>
      <c r="G79" s="8" t="s">
        <v>41</v>
      </c>
      <c r="H79" s="8" t="s">
        <v>46</v>
      </c>
      <c r="I79" s="8" t="s">
        <v>23</v>
      </c>
      <c r="J79" s="8" t="s">
        <v>3190</v>
      </c>
      <c r="K79" s="8" t="s">
        <v>4498</v>
      </c>
      <c r="L79" s="8" t="s">
        <v>19</v>
      </c>
      <c r="M79" s="8">
        <v>2915</v>
      </c>
      <c r="N79" s="8" t="s">
        <v>2976</v>
      </c>
      <c r="O79" s="8">
        <v>965</v>
      </c>
      <c r="P79" s="8" t="s">
        <v>4497</v>
      </c>
      <c r="Q79" s="8" t="s">
        <v>4262</v>
      </c>
      <c r="R79" s="8">
        <v>0.182</v>
      </c>
      <c r="S79" s="8">
        <v>61558448</v>
      </c>
      <c r="T79" s="8" t="s">
        <v>41</v>
      </c>
      <c r="U79" s="8" t="s">
        <v>46</v>
      </c>
    </row>
    <row r="80" spans="1:21">
      <c r="A80" s="8" t="s">
        <v>4416</v>
      </c>
      <c r="B80" s="8" t="s">
        <v>4499</v>
      </c>
      <c r="C80" s="8">
        <v>84140</v>
      </c>
      <c r="D80" s="8" t="s">
        <v>172</v>
      </c>
      <c r="E80" s="8">
        <v>62053704</v>
      </c>
      <c r="F80" s="8">
        <v>62053704</v>
      </c>
      <c r="G80" s="8" t="s">
        <v>41</v>
      </c>
      <c r="H80" s="8" t="s">
        <v>25</v>
      </c>
      <c r="I80" s="8" t="s">
        <v>23</v>
      </c>
      <c r="J80" s="8" t="s">
        <v>4500</v>
      </c>
      <c r="K80" s="8" t="s">
        <v>4502</v>
      </c>
      <c r="L80" s="8" t="s">
        <v>19</v>
      </c>
      <c r="M80" s="8">
        <v>2139</v>
      </c>
      <c r="N80" s="8" t="s">
        <v>3627</v>
      </c>
      <c r="O80" s="8">
        <v>679</v>
      </c>
      <c r="P80" s="8" t="s">
        <v>4501</v>
      </c>
      <c r="Q80" s="8" t="s">
        <v>4262</v>
      </c>
      <c r="R80" s="8">
        <v>0.182</v>
      </c>
      <c r="S80" s="8">
        <v>62053704</v>
      </c>
      <c r="T80" s="8" t="s">
        <v>41</v>
      </c>
      <c r="U80" s="8" t="s">
        <v>25</v>
      </c>
    </row>
    <row r="81" spans="1:21">
      <c r="A81" s="8" t="s">
        <v>4416</v>
      </c>
      <c r="B81" s="8" t="s">
        <v>4503</v>
      </c>
      <c r="C81" s="8">
        <v>84168</v>
      </c>
      <c r="D81" s="8" t="s">
        <v>172</v>
      </c>
      <c r="E81" s="8">
        <v>69297811</v>
      </c>
      <c r="F81" s="8">
        <v>69297811</v>
      </c>
      <c r="G81" s="8" t="s">
        <v>25</v>
      </c>
      <c r="H81" s="8" t="s">
        <v>41</v>
      </c>
      <c r="I81" s="8" t="s">
        <v>23</v>
      </c>
      <c r="J81" s="8" t="s">
        <v>4504</v>
      </c>
      <c r="K81" s="8" t="s">
        <v>4506</v>
      </c>
      <c r="L81" s="8" t="s">
        <v>19</v>
      </c>
      <c r="M81" s="8">
        <v>685</v>
      </c>
      <c r="N81" s="8" t="s">
        <v>3136</v>
      </c>
      <c r="O81" s="8">
        <v>110</v>
      </c>
      <c r="P81" s="8" t="s">
        <v>4505</v>
      </c>
      <c r="Q81" s="8" t="s">
        <v>4262</v>
      </c>
      <c r="R81" s="8">
        <v>0.22700000000000001</v>
      </c>
      <c r="S81" s="8">
        <v>69297811</v>
      </c>
      <c r="T81" s="8" t="s">
        <v>25</v>
      </c>
      <c r="U81" s="8" t="s">
        <v>41</v>
      </c>
    </row>
    <row r="82" spans="1:21">
      <c r="A82" s="8" t="s">
        <v>4416</v>
      </c>
      <c r="B82" s="8" t="s">
        <v>4507</v>
      </c>
      <c r="C82" s="8">
        <v>55571</v>
      </c>
      <c r="D82" s="8" t="s">
        <v>172</v>
      </c>
      <c r="E82" s="8">
        <v>101883307</v>
      </c>
      <c r="F82" s="8">
        <v>101883307</v>
      </c>
      <c r="G82" s="8" t="s">
        <v>24</v>
      </c>
      <c r="H82" s="8" t="s">
        <v>41</v>
      </c>
      <c r="I82" s="8" t="s">
        <v>23</v>
      </c>
      <c r="J82" s="8" t="s">
        <v>4508</v>
      </c>
      <c r="K82" s="8" t="s">
        <v>4510</v>
      </c>
      <c r="L82" s="8" t="s">
        <v>19</v>
      </c>
      <c r="M82" s="8">
        <v>1286</v>
      </c>
      <c r="N82" s="8" t="s">
        <v>463</v>
      </c>
      <c r="O82" s="8">
        <v>402</v>
      </c>
      <c r="P82" s="8" t="s">
        <v>4509</v>
      </c>
      <c r="Q82" s="8" t="s">
        <v>4262</v>
      </c>
      <c r="R82" s="8">
        <v>0.26</v>
      </c>
      <c r="S82" s="8">
        <v>101883307</v>
      </c>
      <c r="T82" s="8" t="s">
        <v>24</v>
      </c>
      <c r="U82" s="8" t="s">
        <v>41</v>
      </c>
    </row>
    <row r="83" spans="1:21">
      <c r="A83" s="8" t="s">
        <v>4416</v>
      </c>
      <c r="B83" s="8" t="s">
        <v>3868</v>
      </c>
      <c r="C83" s="8">
        <v>8685</v>
      </c>
      <c r="D83" s="8" t="s">
        <v>172</v>
      </c>
      <c r="E83" s="8">
        <v>119750823</v>
      </c>
      <c r="F83" s="8">
        <v>119750823</v>
      </c>
      <c r="G83" s="8" t="s">
        <v>41</v>
      </c>
      <c r="H83" s="8" t="s">
        <v>25</v>
      </c>
      <c r="I83" s="8" t="s">
        <v>23</v>
      </c>
      <c r="J83" s="8" t="s">
        <v>3869</v>
      </c>
      <c r="K83" s="8" t="s">
        <v>4512</v>
      </c>
      <c r="L83" s="8" t="s">
        <v>19</v>
      </c>
      <c r="M83" s="8">
        <v>1508</v>
      </c>
      <c r="N83" s="8" t="s">
        <v>397</v>
      </c>
      <c r="O83" s="8">
        <v>459</v>
      </c>
      <c r="P83" s="8" t="s">
        <v>4511</v>
      </c>
      <c r="Q83" s="8" t="s">
        <v>4262</v>
      </c>
      <c r="R83" s="8">
        <v>0.48699999999999999</v>
      </c>
      <c r="S83" s="8">
        <v>119750823</v>
      </c>
      <c r="T83" s="8" t="s">
        <v>41</v>
      </c>
      <c r="U83" s="8" t="s">
        <v>25</v>
      </c>
    </row>
    <row r="84" spans="1:21">
      <c r="A84" s="8" t="s">
        <v>4416</v>
      </c>
      <c r="B84" s="8" t="s">
        <v>3870</v>
      </c>
      <c r="C84" s="8">
        <v>5624</v>
      </c>
      <c r="D84" s="8" t="s">
        <v>172</v>
      </c>
      <c r="E84" s="8">
        <v>128184717</v>
      </c>
      <c r="F84" s="8">
        <v>128184717</v>
      </c>
      <c r="G84" s="8" t="s">
        <v>24</v>
      </c>
      <c r="H84" s="8" t="s">
        <v>25</v>
      </c>
      <c r="I84" s="8" t="s">
        <v>23</v>
      </c>
      <c r="J84" s="8" t="s">
        <v>3871</v>
      </c>
      <c r="K84" s="8" t="s">
        <v>4515</v>
      </c>
      <c r="L84" s="8" t="s">
        <v>19</v>
      </c>
      <c r="M84" s="8">
        <v>809</v>
      </c>
      <c r="N84" s="8" t="s">
        <v>28</v>
      </c>
      <c r="O84" s="8">
        <v>239</v>
      </c>
      <c r="P84" s="8" t="s">
        <v>4513</v>
      </c>
      <c r="Q84" s="8" t="s">
        <v>4514</v>
      </c>
      <c r="R84" s="8">
        <v>0.51100000000000001</v>
      </c>
      <c r="S84" s="8">
        <v>128184717</v>
      </c>
      <c r="T84" s="8" t="s">
        <v>24</v>
      </c>
      <c r="U84" s="8" t="s">
        <v>25</v>
      </c>
    </row>
    <row r="85" spans="1:21">
      <c r="A85" s="8" t="s">
        <v>4416</v>
      </c>
      <c r="B85" s="8" t="s">
        <v>4136</v>
      </c>
      <c r="C85" s="8">
        <v>53353</v>
      </c>
      <c r="D85" s="8" t="s">
        <v>172</v>
      </c>
      <c r="E85" s="8">
        <v>141533665</v>
      </c>
      <c r="F85" s="8">
        <v>141533665</v>
      </c>
      <c r="G85" s="8" t="s">
        <v>25</v>
      </c>
      <c r="H85" s="8" t="s">
        <v>41</v>
      </c>
      <c r="I85" s="8" t="s">
        <v>23</v>
      </c>
      <c r="J85" s="8" t="s">
        <v>4516</v>
      </c>
      <c r="K85" s="8" t="s">
        <v>4517</v>
      </c>
      <c r="L85" s="8" t="s">
        <v>68</v>
      </c>
      <c r="M85" s="8">
        <v>0</v>
      </c>
      <c r="N85" s="8" t="s">
        <v>35</v>
      </c>
      <c r="O85" s="8">
        <v>0</v>
      </c>
      <c r="P85" s="8" t="s">
        <v>35</v>
      </c>
      <c r="Q85" s="8" t="s">
        <v>4262</v>
      </c>
      <c r="R85" s="8">
        <v>0.38400000000000001</v>
      </c>
      <c r="S85" s="8">
        <v>141533665</v>
      </c>
      <c r="T85" s="8" t="s">
        <v>25</v>
      </c>
      <c r="U85" s="8" t="s">
        <v>41</v>
      </c>
    </row>
    <row r="86" spans="1:21">
      <c r="A86" s="8" t="s">
        <v>4416</v>
      </c>
      <c r="B86" s="8" t="s">
        <v>4518</v>
      </c>
      <c r="C86" s="8">
        <v>11227</v>
      </c>
      <c r="D86" s="8" t="s">
        <v>172</v>
      </c>
      <c r="E86" s="8">
        <v>158156098</v>
      </c>
      <c r="F86" s="8">
        <v>158156098</v>
      </c>
      <c r="G86" s="8" t="s">
        <v>25</v>
      </c>
      <c r="H86" s="8" t="s">
        <v>24</v>
      </c>
      <c r="I86" s="8" t="s">
        <v>23</v>
      </c>
      <c r="J86" s="8" t="s">
        <v>4519</v>
      </c>
      <c r="K86" s="8" t="s">
        <v>4521</v>
      </c>
      <c r="L86" s="8" t="s">
        <v>19</v>
      </c>
      <c r="M86" s="8">
        <v>2291</v>
      </c>
      <c r="N86" s="8" t="s">
        <v>1043</v>
      </c>
      <c r="O86" s="8">
        <v>679</v>
      </c>
      <c r="P86" s="8" t="s">
        <v>4520</v>
      </c>
      <c r="Q86" s="8" t="s">
        <v>4262</v>
      </c>
      <c r="R86" s="8">
        <v>0.27600000000000002</v>
      </c>
      <c r="S86" s="8">
        <v>158156098</v>
      </c>
      <c r="T86" s="8" t="s">
        <v>25</v>
      </c>
      <c r="U86" s="8" t="s">
        <v>24</v>
      </c>
    </row>
    <row r="87" spans="1:21">
      <c r="A87" s="8" t="s">
        <v>4416</v>
      </c>
      <c r="B87" s="8" t="s">
        <v>591</v>
      </c>
      <c r="C87" s="8">
        <v>6323</v>
      </c>
      <c r="D87" s="8" t="s">
        <v>172</v>
      </c>
      <c r="E87" s="8">
        <v>166897827</v>
      </c>
      <c r="F87" s="8">
        <v>166897827</v>
      </c>
      <c r="G87" s="8" t="s">
        <v>25</v>
      </c>
      <c r="H87" s="8" t="s">
        <v>41</v>
      </c>
      <c r="I87" s="8" t="s">
        <v>23</v>
      </c>
      <c r="J87" s="8" t="s">
        <v>4522</v>
      </c>
      <c r="K87" s="8" t="s">
        <v>4524</v>
      </c>
      <c r="L87" s="8" t="s">
        <v>19</v>
      </c>
      <c r="M87" s="8">
        <v>2314</v>
      </c>
      <c r="N87" s="8" t="s">
        <v>278</v>
      </c>
      <c r="O87" s="8">
        <v>766</v>
      </c>
      <c r="P87" s="8" t="s">
        <v>4523</v>
      </c>
      <c r="Q87" s="8" t="s">
        <v>4262</v>
      </c>
      <c r="R87" s="8">
        <v>0.48299999999999998</v>
      </c>
      <c r="S87" s="8">
        <v>166897827</v>
      </c>
      <c r="T87" s="8" t="s">
        <v>25</v>
      </c>
      <c r="U87" s="8" t="s">
        <v>41</v>
      </c>
    </row>
    <row r="88" spans="1:21">
      <c r="A88" s="8" t="s">
        <v>4416</v>
      </c>
      <c r="B88" s="8" t="s">
        <v>2619</v>
      </c>
      <c r="C88" s="8">
        <v>129446</v>
      </c>
      <c r="D88" s="8" t="s">
        <v>172</v>
      </c>
      <c r="E88" s="8">
        <v>168099284</v>
      </c>
      <c r="F88" s="8">
        <v>168099284</v>
      </c>
      <c r="G88" s="8" t="s">
        <v>25</v>
      </c>
      <c r="H88" s="8" t="s">
        <v>41</v>
      </c>
      <c r="I88" s="8" t="s">
        <v>23</v>
      </c>
      <c r="J88" s="8" t="s">
        <v>4525</v>
      </c>
      <c r="K88" s="8" t="s">
        <v>4527</v>
      </c>
      <c r="L88" s="8" t="s">
        <v>19</v>
      </c>
      <c r="M88" s="8">
        <v>1471</v>
      </c>
      <c r="N88" s="8" t="s">
        <v>216</v>
      </c>
      <c r="O88" s="8">
        <v>461</v>
      </c>
      <c r="P88" s="8" t="s">
        <v>4526</v>
      </c>
      <c r="Q88" s="8" t="s">
        <v>4262</v>
      </c>
      <c r="R88" s="8">
        <v>0.54500000000000004</v>
      </c>
      <c r="S88" s="8">
        <v>168099284</v>
      </c>
      <c r="T88" s="8" t="s">
        <v>25</v>
      </c>
      <c r="U88" s="8" t="s">
        <v>41</v>
      </c>
    </row>
    <row r="89" spans="1:21">
      <c r="A89" s="8" t="s">
        <v>4416</v>
      </c>
      <c r="B89" s="8" t="s">
        <v>2619</v>
      </c>
      <c r="C89" s="8">
        <v>129446</v>
      </c>
      <c r="D89" s="8" t="s">
        <v>172</v>
      </c>
      <c r="E89" s="8">
        <v>168102616</v>
      </c>
      <c r="F89" s="8">
        <v>168102616</v>
      </c>
      <c r="G89" s="8" t="s">
        <v>25</v>
      </c>
      <c r="H89" s="8" t="s">
        <v>24</v>
      </c>
      <c r="I89" s="8" t="s">
        <v>23</v>
      </c>
      <c r="J89" s="8" t="s">
        <v>4525</v>
      </c>
      <c r="K89" s="8" t="s">
        <v>4527</v>
      </c>
      <c r="L89" s="8" t="s">
        <v>19</v>
      </c>
      <c r="M89" s="8">
        <v>4803</v>
      </c>
      <c r="N89" s="8" t="s">
        <v>2976</v>
      </c>
      <c r="O89" s="8">
        <v>1572</v>
      </c>
      <c r="P89" s="8" t="s">
        <v>4528</v>
      </c>
      <c r="Q89" s="8" t="s">
        <v>4262</v>
      </c>
      <c r="R89" s="8">
        <v>0.36799999999999999</v>
      </c>
      <c r="S89" s="8">
        <v>168102616</v>
      </c>
      <c r="T89" s="8" t="s">
        <v>25</v>
      </c>
      <c r="U89" s="8" t="s">
        <v>24</v>
      </c>
    </row>
    <row r="90" spans="1:21">
      <c r="A90" s="8" t="s">
        <v>4416</v>
      </c>
      <c r="B90" s="8" t="s">
        <v>2619</v>
      </c>
      <c r="C90" s="8">
        <v>129446</v>
      </c>
      <c r="D90" s="8" t="s">
        <v>172</v>
      </c>
      <c r="E90" s="8">
        <v>168105664</v>
      </c>
      <c r="F90" s="8">
        <v>168105664</v>
      </c>
      <c r="G90" s="8" t="s">
        <v>46</v>
      </c>
      <c r="H90" s="8" t="s">
        <v>24</v>
      </c>
      <c r="I90" s="8" t="s">
        <v>23</v>
      </c>
      <c r="J90" s="8" t="s">
        <v>4525</v>
      </c>
      <c r="K90" s="8" t="s">
        <v>4527</v>
      </c>
      <c r="L90" s="8" t="s">
        <v>19</v>
      </c>
      <c r="M90" s="8">
        <v>7851</v>
      </c>
      <c r="N90" s="8" t="s">
        <v>2869</v>
      </c>
      <c r="O90" s="8">
        <v>2588</v>
      </c>
      <c r="P90" s="8" t="s">
        <v>4529</v>
      </c>
      <c r="Q90" s="8" t="s">
        <v>4262</v>
      </c>
      <c r="R90" s="8">
        <v>0.374</v>
      </c>
      <c r="S90" s="8">
        <v>168105664</v>
      </c>
      <c r="T90" s="8" t="s">
        <v>46</v>
      </c>
      <c r="U90" s="8" t="s">
        <v>24</v>
      </c>
    </row>
    <row r="91" spans="1:21">
      <c r="A91" s="8" t="s">
        <v>4416</v>
      </c>
      <c r="B91" s="8" t="s">
        <v>737</v>
      </c>
      <c r="C91" s="8">
        <v>7273</v>
      </c>
      <c r="D91" s="8" t="s">
        <v>172</v>
      </c>
      <c r="E91" s="8">
        <v>179599328</v>
      </c>
      <c r="F91" s="8">
        <v>179599328</v>
      </c>
      <c r="G91" s="8" t="s">
        <v>24</v>
      </c>
      <c r="H91" s="8" t="s">
        <v>46</v>
      </c>
      <c r="I91" s="8" t="s">
        <v>23</v>
      </c>
      <c r="J91" s="8" t="s">
        <v>4530</v>
      </c>
      <c r="K91" s="8" t="s">
        <v>4532</v>
      </c>
      <c r="L91" s="8" t="s">
        <v>19</v>
      </c>
      <c r="M91" s="8">
        <v>11716</v>
      </c>
      <c r="N91" s="8" t="s">
        <v>1549</v>
      </c>
      <c r="O91" s="8">
        <v>3831</v>
      </c>
      <c r="P91" s="8" t="s">
        <v>4531</v>
      </c>
      <c r="Q91" s="8" t="s">
        <v>4262</v>
      </c>
      <c r="R91" s="8">
        <v>3.6999999999999998E-2</v>
      </c>
      <c r="S91" s="8">
        <v>179599328</v>
      </c>
      <c r="T91" s="8" t="s">
        <v>24</v>
      </c>
      <c r="U91" s="8" t="s">
        <v>46</v>
      </c>
    </row>
    <row r="92" spans="1:21">
      <c r="A92" s="8" t="s">
        <v>4416</v>
      </c>
      <c r="B92" s="8" t="s">
        <v>3872</v>
      </c>
      <c r="C92" s="8">
        <v>26751</v>
      </c>
      <c r="D92" s="8" t="s">
        <v>172</v>
      </c>
      <c r="E92" s="8">
        <v>230010</v>
      </c>
      <c r="F92" s="8">
        <v>230010</v>
      </c>
      <c r="G92" s="8" t="s">
        <v>24</v>
      </c>
      <c r="H92" s="8" t="s">
        <v>25</v>
      </c>
      <c r="I92" s="8" t="s">
        <v>23</v>
      </c>
      <c r="J92" s="8" t="s">
        <v>4533</v>
      </c>
      <c r="K92" s="8" t="s">
        <v>4535</v>
      </c>
      <c r="L92" s="8" t="s">
        <v>19</v>
      </c>
      <c r="M92" s="8">
        <v>821</v>
      </c>
      <c r="N92" s="8" t="s">
        <v>522</v>
      </c>
      <c r="O92" s="8">
        <v>246</v>
      </c>
      <c r="P92" s="8" t="s">
        <v>4534</v>
      </c>
      <c r="Q92" s="8" t="s">
        <v>4262</v>
      </c>
      <c r="R92" s="8">
        <v>0.432</v>
      </c>
      <c r="S92" s="8">
        <v>230010</v>
      </c>
      <c r="T92" s="8" t="s">
        <v>24</v>
      </c>
      <c r="U92" s="8" t="s">
        <v>25</v>
      </c>
    </row>
    <row r="93" spans="1:21">
      <c r="A93" s="8" t="s">
        <v>4416</v>
      </c>
      <c r="B93" s="8" t="s">
        <v>2051</v>
      </c>
      <c r="C93" s="8">
        <v>117583</v>
      </c>
      <c r="D93" s="8" t="s">
        <v>172</v>
      </c>
      <c r="E93" s="8">
        <v>205829898</v>
      </c>
      <c r="F93" s="8">
        <v>205829898</v>
      </c>
      <c r="G93" s="8" t="s">
        <v>25</v>
      </c>
      <c r="H93" s="8" t="s">
        <v>41</v>
      </c>
      <c r="I93" s="8" t="s">
        <v>23</v>
      </c>
      <c r="J93" s="8" t="s">
        <v>4536</v>
      </c>
      <c r="K93" s="8" t="s">
        <v>4538</v>
      </c>
      <c r="L93" s="8" t="s">
        <v>19</v>
      </c>
      <c r="M93" s="8">
        <v>453</v>
      </c>
      <c r="N93" s="8" t="s">
        <v>1231</v>
      </c>
      <c r="O93" s="8">
        <v>82</v>
      </c>
      <c r="P93" s="8" t="s">
        <v>4537</v>
      </c>
      <c r="Q93" s="8" t="s">
        <v>4262</v>
      </c>
      <c r="R93" s="8">
        <v>0.40500000000000003</v>
      </c>
      <c r="S93" s="8">
        <v>205829898</v>
      </c>
      <c r="T93" s="8" t="s">
        <v>25</v>
      </c>
      <c r="U93" s="8" t="s">
        <v>41</v>
      </c>
    </row>
    <row r="94" spans="1:21">
      <c r="A94" s="8" t="s">
        <v>4416</v>
      </c>
      <c r="B94" s="8" t="s">
        <v>4539</v>
      </c>
      <c r="C94" s="8">
        <v>79582</v>
      </c>
      <c r="D94" s="8" t="s">
        <v>172</v>
      </c>
      <c r="E94" s="8">
        <v>214215299</v>
      </c>
      <c r="F94" s="8">
        <v>214215299</v>
      </c>
      <c r="G94" s="8" t="s">
        <v>25</v>
      </c>
      <c r="H94" s="8" t="s">
        <v>41</v>
      </c>
      <c r="I94" s="8" t="s">
        <v>23</v>
      </c>
      <c r="J94" s="8" t="s">
        <v>4540</v>
      </c>
      <c r="K94" s="8" t="s">
        <v>4542</v>
      </c>
      <c r="L94" s="8" t="s">
        <v>19</v>
      </c>
      <c r="M94" s="8">
        <v>784</v>
      </c>
      <c r="N94" s="8" t="s">
        <v>2366</v>
      </c>
      <c r="O94" s="8">
        <v>231</v>
      </c>
      <c r="P94" s="8" t="s">
        <v>4541</v>
      </c>
      <c r="Q94" s="8" t="s">
        <v>4262</v>
      </c>
      <c r="R94" s="8">
        <v>0.255</v>
      </c>
      <c r="S94" s="8">
        <v>214215299</v>
      </c>
      <c r="T94" s="8" t="s">
        <v>25</v>
      </c>
      <c r="U94" s="8" t="s">
        <v>41</v>
      </c>
    </row>
    <row r="95" spans="1:21">
      <c r="A95" s="8" t="s">
        <v>4416</v>
      </c>
      <c r="B95" s="8" t="s">
        <v>1940</v>
      </c>
      <c r="C95" s="8">
        <v>26058</v>
      </c>
      <c r="D95" s="8" t="s">
        <v>172</v>
      </c>
      <c r="E95" s="8">
        <v>233715047</v>
      </c>
      <c r="F95" s="8">
        <v>233715047</v>
      </c>
      <c r="G95" s="8" t="s">
        <v>25</v>
      </c>
      <c r="H95" s="8" t="s">
        <v>41</v>
      </c>
      <c r="I95" s="8" t="s">
        <v>23</v>
      </c>
      <c r="J95" s="8" t="s">
        <v>4543</v>
      </c>
      <c r="K95" s="8" t="s">
        <v>4545</v>
      </c>
      <c r="L95" s="8" t="s">
        <v>19</v>
      </c>
      <c r="M95" s="8">
        <v>3957</v>
      </c>
      <c r="N95" s="8" t="s">
        <v>3703</v>
      </c>
      <c r="O95" s="8">
        <v>1254</v>
      </c>
      <c r="P95" s="8" t="s">
        <v>4544</v>
      </c>
      <c r="Q95" s="8" t="s">
        <v>4262</v>
      </c>
      <c r="R95" s="8">
        <v>0.30099999999999999</v>
      </c>
      <c r="S95" s="8">
        <v>233715047</v>
      </c>
      <c r="T95" s="8" t="s">
        <v>25</v>
      </c>
      <c r="U95" s="8" t="s">
        <v>41</v>
      </c>
    </row>
    <row r="96" spans="1:21">
      <c r="A96" s="8" t="s">
        <v>4416</v>
      </c>
      <c r="B96" s="8" t="s">
        <v>4546</v>
      </c>
      <c r="C96" s="8">
        <v>1788</v>
      </c>
      <c r="D96" s="8" t="s">
        <v>172</v>
      </c>
      <c r="E96" s="8">
        <v>25470535</v>
      </c>
      <c r="F96" s="8">
        <v>25470535</v>
      </c>
      <c r="G96" s="8" t="s">
        <v>46</v>
      </c>
      <c r="H96" s="8" t="s">
        <v>25</v>
      </c>
      <c r="I96" s="8" t="s">
        <v>23</v>
      </c>
      <c r="J96" s="8" t="s">
        <v>4547</v>
      </c>
      <c r="K96" s="8" t="s">
        <v>4549</v>
      </c>
      <c r="L96" s="8" t="s">
        <v>19</v>
      </c>
      <c r="M96" s="8">
        <v>1196</v>
      </c>
      <c r="N96" s="8" t="s">
        <v>2918</v>
      </c>
      <c r="O96" s="8">
        <v>313</v>
      </c>
      <c r="P96" s="8" t="s">
        <v>4548</v>
      </c>
      <c r="Q96" s="8" t="s">
        <v>4262</v>
      </c>
      <c r="R96" s="8">
        <v>0.16900000000000001</v>
      </c>
      <c r="S96" s="8">
        <v>25470535</v>
      </c>
      <c r="T96" s="8" t="s">
        <v>46</v>
      </c>
      <c r="U96" s="8" t="s">
        <v>25</v>
      </c>
    </row>
    <row r="97" spans="1:21">
      <c r="A97" s="8" t="s">
        <v>4416</v>
      </c>
      <c r="B97" s="8" t="s">
        <v>4546</v>
      </c>
      <c r="C97" s="8">
        <v>1788</v>
      </c>
      <c r="D97" s="8" t="s">
        <v>172</v>
      </c>
      <c r="E97" s="8">
        <v>25470536</v>
      </c>
      <c r="F97" s="8">
        <v>25470536</v>
      </c>
      <c r="G97" s="8" t="s">
        <v>46</v>
      </c>
      <c r="H97" s="8" t="s">
        <v>25</v>
      </c>
      <c r="I97" s="8" t="s">
        <v>23</v>
      </c>
      <c r="J97" s="8" t="s">
        <v>4547</v>
      </c>
      <c r="K97" s="8" t="s">
        <v>4549</v>
      </c>
      <c r="L97" s="8" t="s">
        <v>19</v>
      </c>
      <c r="M97" s="8">
        <v>1195</v>
      </c>
      <c r="N97" s="8" t="s">
        <v>2963</v>
      </c>
      <c r="O97" s="8">
        <v>313</v>
      </c>
      <c r="P97" s="8" t="s">
        <v>4550</v>
      </c>
      <c r="Q97" s="8" t="s">
        <v>4262</v>
      </c>
      <c r="R97" s="8">
        <v>0.191</v>
      </c>
      <c r="S97" s="8">
        <v>25470536</v>
      </c>
      <c r="T97" s="8" t="s">
        <v>46</v>
      </c>
      <c r="U97" s="8" t="s">
        <v>25</v>
      </c>
    </row>
    <row r="98" spans="1:21">
      <c r="A98" s="8" t="s">
        <v>4416</v>
      </c>
      <c r="B98" s="8" t="s">
        <v>3873</v>
      </c>
      <c r="C98" s="8">
        <v>51374</v>
      </c>
      <c r="D98" s="8" t="s">
        <v>172</v>
      </c>
      <c r="E98" s="8">
        <v>27438400</v>
      </c>
      <c r="F98" s="8">
        <v>27438400</v>
      </c>
      <c r="G98" s="8" t="s">
        <v>46</v>
      </c>
      <c r="H98" s="8" t="s">
        <v>41</v>
      </c>
      <c r="I98" s="8" t="s">
        <v>23</v>
      </c>
      <c r="J98" s="8" t="s">
        <v>4551</v>
      </c>
      <c r="K98" s="8" t="s">
        <v>4553</v>
      </c>
      <c r="L98" s="8" t="s">
        <v>76</v>
      </c>
      <c r="M98" s="8">
        <v>690</v>
      </c>
      <c r="N98" s="8" t="s">
        <v>371</v>
      </c>
      <c r="O98" s="8">
        <v>173</v>
      </c>
      <c r="P98" s="8" t="s">
        <v>4552</v>
      </c>
      <c r="Q98" s="8" t="s">
        <v>4262</v>
      </c>
      <c r="R98" s="8">
        <v>0.441</v>
      </c>
      <c r="S98" s="8">
        <v>27438400</v>
      </c>
      <c r="T98" s="8" t="s">
        <v>46</v>
      </c>
      <c r="U98" s="8" t="s">
        <v>41</v>
      </c>
    </row>
    <row r="99" spans="1:21">
      <c r="A99" s="8" t="s">
        <v>4416</v>
      </c>
      <c r="B99" s="8" t="s">
        <v>3874</v>
      </c>
      <c r="C99" s="8">
        <v>4052</v>
      </c>
      <c r="D99" s="8" t="s">
        <v>172</v>
      </c>
      <c r="E99" s="8">
        <v>33246192</v>
      </c>
      <c r="F99" s="8">
        <v>33246192</v>
      </c>
      <c r="G99" s="8" t="s">
        <v>46</v>
      </c>
      <c r="H99" s="8" t="s">
        <v>25</v>
      </c>
      <c r="I99" s="8" t="s">
        <v>23</v>
      </c>
      <c r="J99" s="8" t="s">
        <v>3875</v>
      </c>
      <c r="K99" s="8" t="s">
        <v>4555</v>
      </c>
      <c r="L99" s="8" t="s">
        <v>19</v>
      </c>
      <c r="M99" s="8">
        <v>805</v>
      </c>
      <c r="N99" s="8" t="s">
        <v>900</v>
      </c>
      <c r="O99" s="8">
        <v>261</v>
      </c>
      <c r="P99" s="8" t="s">
        <v>4554</v>
      </c>
      <c r="Q99" s="8" t="s">
        <v>4262</v>
      </c>
      <c r="R99" s="8">
        <v>0.45100000000000001</v>
      </c>
      <c r="S99" s="8">
        <v>33246192</v>
      </c>
      <c r="T99" s="8" t="s">
        <v>46</v>
      </c>
      <c r="U99" s="8" t="s">
        <v>25</v>
      </c>
    </row>
    <row r="100" spans="1:21">
      <c r="A100" s="8" t="s">
        <v>4416</v>
      </c>
      <c r="B100" s="8" t="s">
        <v>1268</v>
      </c>
      <c r="C100" s="8">
        <v>1795</v>
      </c>
      <c r="D100" s="8" t="s">
        <v>201</v>
      </c>
      <c r="E100" s="8">
        <v>51312508</v>
      </c>
      <c r="F100" s="8">
        <v>51312508</v>
      </c>
      <c r="G100" s="8" t="s">
        <v>25</v>
      </c>
      <c r="H100" s="8" t="s">
        <v>41</v>
      </c>
      <c r="I100" s="8" t="s">
        <v>23</v>
      </c>
      <c r="J100" s="8" t="s">
        <v>1269</v>
      </c>
      <c r="K100" s="8" t="s">
        <v>4556</v>
      </c>
      <c r="L100" s="8" t="s">
        <v>68</v>
      </c>
      <c r="M100" s="8">
        <v>0</v>
      </c>
      <c r="N100" s="8" t="s">
        <v>35</v>
      </c>
      <c r="O100" s="8">
        <v>0</v>
      </c>
      <c r="P100" s="8" t="s">
        <v>35</v>
      </c>
      <c r="Q100" s="8" t="s">
        <v>4262</v>
      </c>
      <c r="R100" s="8">
        <v>0.187</v>
      </c>
      <c r="S100" s="8">
        <v>51312508</v>
      </c>
      <c r="T100" s="8" t="s">
        <v>25</v>
      </c>
      <c r="U100" s="8" t="s">
        <v>41</v>
      </c>
    </row>
    <row r="101" spans="1:21">
      <c r="A101" s="8" t="s">
        <v>4416</v>
      </c>
      <c r="B101" s="8" t="s">
        <v>3890</v>
      </c>
      <c r="C101" s="8">
        <v>776</v>
      </c>
      <c r="D101" s="8" t="s">
        <v>201</v>
      </c>
      <c r="E101" s="8">
        <v>53529211</v>
      </c>
      <c r="F101" s="8">
        <v>53529211</v>
      </c>
      <c r="G101" s="8" t="s">
        <v>24</v>
      </c>
      <c r="H101" s="8" t="s">
        <v>25</v>
      </c>
      <c r="I101" s="8" t="s">
        <v>23</v>
      </c>
      <c r="J101" s="8" t="s">
        <v>4557</v>
      </c>
      <c r="K101" s="8" t="s">
        <v>4559</v>
      </c>
      <c r="L101" s="8" t="s">
        <v>19</v>
      </c>
      <c r="M101" s="8">
        <v>181</v>
      </c>
      <c r="N101" s="8" t="s">
        <v>2439</v>
      </c>
      <c r="O101" s="8">
        <v>6</v>
      </c>
      <c r="P101" s="8" t="s">
        <v>4558</v>
      </c>
      <c r="Q101" s="8" t="s">
        <v>4262</v>
      </c>
      <c r="R101" s="8">
        <v>0.30099999999999999</v>
      </c>
      <c r="S101" s="8">
        <v>53529211</v>
      </c>
      <c r="T101" s="8" t="s">
        <v>24</v>
      </c>
      <c r="U101" s="8" t="s">
        <v>25</v>
      </c>
    </row>
    <row r="102" spans="1:21">
      <c r="A102" s="8" t="s">
        <v>4416</v>
      </c>
      <c r="B102" s="8" t="s">
        <v>3890</v>
      </c>
      <c r="C102" s="8">
        <v>776</v>
      </c>
      <c r="D102" s="8" t="s">
        <v>201</v>
      </c>
      <c r="E102" s="8">
        <v>53783300</v>
      </c>
      <c r="F102" s="8">
        <v>53783300</v>
      </c>
      <c r="G102" s="8" t="s">
        <v>41</v>
      </c>
      <c r="H102" s="8" t="s">
        <v>46</v>
      </c>
      <c r="I102" s="8" t="s">
        <v>23</v>
      </c>
      <c r="J102" s="8" t="s">
        <v>4557</v>
      </c>
      <c r="K102" s="8" t="s">
        <v>4559</v>
      </c>
      <c r="L102" s="8" t="s">
        <v>19</v>
      </c>
      <c r="M102" s="8">
        <v>3543</v>
      </c>
      <c r="N102" s="8" t="s">
        <v>3026</v>
      </c>
      <c r="O102" s="8">
        <v>1127</v>
      </c>
      <c r="P102" s="8" t="s">
        <v>4560</v>
      </c>
      <c r="Q102" s="8" t="s">
        <v>4262</v>
      </c>
      <c r="R102" s="8">
        <v>0.26800000000000002</v>
      </c>
      <c r="S102" s="8">
        <v>53783300</v>
      </c>
      <c r="T102" s="8" t="s">
        <v>41</v>
      </c>
      <c r="U102" s="8" t="s">
        <v>46</v>
      </c>
    </row>
    <row r="103" spans="1:21">
      <c r="A103" s="8" t="s">
        <v>4416</v>
      </c>
      <c r="B103" s="8" t="s">
        <v>3659</v>
      </c>
      <c r="C103" s="8">
        <v>8618</v>
      </c>
      <c r="D103" s="8" t="s">
        <v>201</v>
      </c>
      <c r="E103" s="8">
        <v>62570920</v>
      </c>
      <c r="F103" s="8">
        <v>62570920</v>
      </c>
      <c r="G103" s="8" t="s">
        <v>41</v>
      </c>
      <c r="H103" s="8" t="s">
        <v>25</v>
      </c>
      <c r="I103" s="8" t="s">
        <v>23</v>
      </c>
      <c r="J103" s="8" t="s">
        <v>3660</v>
      </c>
      <c r="K103" s="8" t="s">
        <v>4562</v>
      </c>
      <c r="L103" s="8" t="s">
        <v>19</v>
      </c>
      <c r="M103" s="8">
        <v>1877</v>
      </c>
      <c r="N103" s="8" t="s">
        <v>216</v>
      </c>
      <c r="O103" s="8">
        <v>506</v>
      </c>
      <c r="P103" s="8" t="s">
        <v>4561</v>
      </c>
      <c r="Q103" s="8" t="s">
        <v>4262</v>
      </c>
      <c r="R103" s="8">
        <v>0.44</v>
      </c>
      <c r="S103" s="8">
        <v>62570920</v>
      </c>
      <c r="T103" s="8" t="s">
        <v>41</v>
      </c>
      <c r="U103" s="8" t="s">
        <v>25</v>
      </c>
    </row>
    <row r="104" spans="1:21">
      <c r="A104" s="8" t="s">
        <v>4416</v>
      </c>
      <c r="B104" s="8" t="s">
        <v>4563</v>
      </c>
      <c r="C104" s="8">
        <v>285335</v>
      </c>
      <c r="D104" s="8" t="s">
        <v>201</v>
      </c>
      <c r="E104" s="8">
        <v>111873881</v>
      </c>
      <c r="F104" s="8">
        <v>111873881</v>
      </c>
      <c r="G104" s="8" t="s">
        <v>25</v>
      </c>
      <c r="H104" s="8" t="s">
        <v>24</v>
      </c>
      <c r="I104" s="8" t="s">
        <v>23</v>
      </c>
      <c r="J104" s="8" t="s">
        <v>4564</v>
      </c>
      <c r="K104" s="8" t="s">
        <v>4566</v>
      </c>
      <c r="L104" s="8" t="s">
        <v>19</v>
      </c>
      <c r="M104" s="8">
        <v>3602</v>
      </c>
      <c r="N104" s="8" t="s">
        <v>329</v>
      </c>
      <c r="O104" s="8">
        <v>1127</v>
      </c>
      <c r="P104" s="8" t="s">
        <v>4565</v>
      </c>
      <c r="Q104" s="8" t="s">
        <v>4262</v>
      </c>
      <c r="R104" s="8">
        <v>0.20499999999999999</v>
      </c>
      <c r="S104" s="8">
        <v>111873881</v>
      </c>
      <c r="T104" s="8" t="s">
        <v>25</v>
      </c>
      <c r="U104" s="8" t="s">
        <v>24</v>
      </c>
    </row>
    <row r="105" spans="1:21">
      <c r="A105" s="8" t="s">
        <v>4416</v>
      </c>
      <c r="B105" s="8" t="s">
        <v>4567</v>
      </c>
      <c r="C105" s="8">
        <v>151887</v>
      </c>
      <c r="D105" s="8" t="s">
        <v>201</v>
      </c>
      <c r="E105" s="8">
        <v>112326050</v>
      </c>
      <c r="F105" s="8">
        <v>112326050</v>
      </c>
      <c r="G105" s="8" t="s">
        <v>46</v>
      </c>
      <c r="H105" s="8" t="s">
        <v>25</v>
      </c>
      <c r="I105" s="8" t="s">
        <v>23</v>
      </c>
      <c r="J105" s="8" t="s">
        <v>4568</v>
      </c>
      <c r="K105" s="8" t="s">
        <v>4570</v>
      </c>
      <c r="L105" s="8" t="s">
        <v>76</v>
      </c>
      <c r="M105" s="8">
        <v>2697</v>
      </c>
      <c r="N105" s="8" t="s">
        <v>1244</v>
      </c>
      <c r="O105" s="8">
        <v>827</v>
      </c>
      <c r="P105" s="8" t="s">
        <v>4569</v>
      </c>
      <c r="Q105" s="8" t="s">
        <v>4262</v>
      </c>
      <c r="R105" s="8">
        <v>0.17599999999999999</v>
      </c>
      <c r="S105" s="8">
        <v>112326050</v>
      </c>
      <c r="T105" s="8" t="s">
        <v>46</v>
      </c>
      <c r="U105" s="8" t="s">
        <v>25</v>
      </c>
    </row>
    <row r="106" spans="1:21">
      <c r="A106" s="8" t="s">
        <v>4416</v>
      </c>
      <c r="B106" s="8" t="s">
        <v>4571</v>
      </c>
      <c r="C106" s="8">
        <v>942</v>
      </c>
      <c r="D106" s="8" t="s">
        <v>201</v>
      </c>
      <c r="E106" s="8">
        <v>121810489</v>
      </c>
      <c r="F106" s="8">
        <v>121810489</v>
      </c>
      <c r="G106" s="8" t="s">
        <v>41</v>
      </c>
      <c r="H106" s="8" t="s">
        <v>25</v>
      </c>
      <c r="I106" s="8" t="s">
        <v>23</v>
      </c>
      <c r="J106" s="8" t="s">
        <v>4572</v>
      </c>
      <c r="K106" s="8" t="s">
        <v>4574</v>
      </c>
      <c r="L106" s="8" t="s">
        <v>19</v>
      </c>
      <c r="M106" s="8">
        <v>184</v>
      </c>
      <c r="N106" s="8" t="s">
        <v>1096</v>
      </c>
      <c r="O106" s="8">
        <v>19</v>
      </c>
      <c r="P106" s="8" t="s">
        <v>4573</v>
      </c>
      <c r="Q106" s="8" t="s">
        <v>4262</v>
      </c>
      <c r="R106" s="8">
        <v>0.45600000000000002</v>
      </c>
      <c r="S106" s="8">
        <v>121810489</v>
      </c>
      <c r="T106" s="8" t="s">
        <v>41</v>
      </c>
      <c r="U106" s="8" t="s">
        <v>25</v>
      </c>
    </row>
    <row r="107" spans="1:21">
      <c r="A107" s="8" t="s">
        <v>4416</v>
      </c>
      <c r="B107" s="8" t="s">
        <v>2665</v>
      </c>
      <c r="C107" s="8">
        <v>79663</v>
      </c>
      <c r="D107" s="8" t="s">
        <v>201</v>
      </c>
      <c r="E107" s="8">
        <v>122512511</v>
      </c>
      <c r="F107" s="8">
        <v>122512511</v>
      </c>
      <c r="G107" s="8" t="s">
        <v>41</v>
      </c>
      <c r="H107" s="8" t="s">
        <v>25</v>
      </c>
      <c r="I107" s="8" t="s">
        <v>23</v>
      </c>
      <c r="J107" s="8" t="s">
        <v>2666</v>
      </c>
      <c r="K107" s="8" t="s">
        <v>4576</v>
      </c>
      <c r="L107" s="8" t="s">
        <v>19</v>
      </c>
      <c r="M107" s="8">
        <v>140</v>
      </c>
      <c r="N107" s="8" t="s">
        <v>1115</v>
      </c>
      <c r="O107" s="8">
        <v>6</v>
      </c>
      <c r="P107" s="8" t="s">
        <v>4575</v>
      </c>
      <c r="Q107" s="8" t="s">
        <v>4262</v>
      </c>
      <c r="R107" s="8">
        <v>0.34200000000000003</v>
      </c>
      <c r="S107" s="8">
        <v>122512511</v>
      </c>
      <c r="T107" s="8" t="s">
        <v>41</v>
      </c>
      <c r="U107" s="8" t="s">
        <v>25</v>
      </c>
    </row>
    <row r="108" spans="1:21">
      <c r="A108" s="8" t="s">
        <v>4416</v>
      </c>
      <c r="B108" s="8" t="s">
        <v>2665</v>
      </c>
      <c r="C108" s="8">
        <v>79663</v>
      </c>
      <c r="D108" s="8" t="s">
        <v>201</v>
      </c>
      <c r="E108" s="8">
        <v>122512512</v>
      </c>
      <c r="F108" s="8">
        <v>122512512</v>
      </c>
      <c r="G108" s="8" t="s">
        <v>46</v>
      </c>
      <c r="H108" s="8" t="s">
        <v>25</v>
      </c>
      <c r="I108" s="8" t="s">
        <v>23</v>
      </c>
      <c r="J108" s="8" t="s">
        <v>2666</v>
      </c>
      <c r="K108" s="8" t="s">
        <v>4576</v>
      </c>
      <c r="L108" s="8" t="s">
        <v>76</v>
      </c>
      <c r="M108" s="8">
        <v>139</v>
      </c>
      <c r="N108" s="8" t="s">
        <v>263</v>
      </c>
      <c r="O108" s="8">
        <v>6</v>
      </c>
      <c r="P108" s="8" t="s">
        <v>4577</v>
      </c>
      <c r="Q108" s="8" t="s">
        <v>4262</v>
      </c>
      <c r="R108" s="8">
        <v>0.30599999999999999</v>
      </c>
      <c r="S108" s="8">
        <v>122512512</v>
      </c>
      <c r="T108" s="8" t="s">
        <v>46</v>
      </c>
      <c r="U108" s="8" t="s">
        <v>25</v>
      </c>
    </row>
    <row r="109" spans="1:21">
      <c r="A109" s="8" t="s">
        <v>4416</v>
      </c>
      <c r="B109" s="8" t="s">
        <v>3885</v>
      </c>
      <c r="C109" s="8">
        <v>201562</v>
      </c>
      <c r="D109" s="8" t="s">
        <v>201</v>
      </c>
      <c r="E109" s="8">
        <v>123221420</v>
      </c>
      <c r="F109" s="8">
        <v>123221420</v>
      </c>
      <c r="G109" s="8" t="s">
        <v>41</v>
      </c>
      <c r="H109" s="8" t="s">
        <v>25</v>
      </c>
      <c r="I109" s="8" t="s">
        <v>23</v>
      </c>
      <c r="J109" s="8" t="s">
        <v>3886</v>
      </c>
      <c r="K109" s="8" t="s">
        <v>4579</v>
      </c>
      <c r="L109" s="8" t="s">
        <v>19</v>
      </c>
      <c r="M109" s="8">
        <v>540</v>
      </c>
      <c r="N109" s="8" t="s">
        <v>1607</v>
      </c>
      <c r="O109" s="8">
        <v>164</v>
      </c>
      <c r="P109" s="8" t="s">
        <v>4578</v>
      </c>
      <c r="Q109" s="8" t="s">
        <v>4262</v>
      </c>
      <c r="R109" s="8">
        <v>0.46</v>
      </c>
      <c r="S109" s="8">
        <v>123221420</v>
      </c>
      <c r="T109" s="8" t="s">
        <v>41</v>
      </c>
      <c r="U109" s="8" t="s">
        <v>25</v>
      </c>
    </row>
    <row r="110" spans="1:21">
      <c r="A110" s="8" t="s">
        <v>4416</v>
      </c>
      <c r="B110" s="8" t="s">
        <v>4580</v>
      </c>
      <c r="C110" s="8">
        <v>55167</v>
      </c>
      <c r="D110" s="8" t="s">
        <v>201</v>
      </c>
      <c r="E110" s="8">
        <v>135871377</v>
      </c>
      <c r="F110" s="8">
        <v>135871377</v>
      </c>
      <c r="G110" s="8" t="s">
        <v>46</v>
      </c>
      <c r="H110" s="8" t="s">
        <v>41</v>
      </c>
      <c r="I110" s="8" t="s">
        <v>23</v>
      </c>
      <c r="J110" s="8" t="s">
        <v>4581</v>
      </c>
      <c r="K110" s="8" t="s">
        <v>4583</v>
      </c>
      <c r="L110" s="8" t="s">
        <v>19</v>
      </c>
      <c r="M110" s="8">
        <v>1079</v>
      </c>
      <c r="N110" s="8" t="s">
        <v>1070</v>
      </c>
      <c r="O110" s="8">
        <v>116</v>
      </c>
      <c r="P110" s="8" t="s">
        <v>4582</v>
      </c>
      <c r="Q110" s="8" t="s">
        <v>4262</v>
      </c>
      <c r="R110" s="8">
        <v>0.19500000000000001</v>
      </c>
      <c r="S110" s="8">
        <v>135871377</v>
      </c>
      <c r="T110" s="8" t="s">
        <v>46</v>
      </c>
      <c r="U110" s="8" t="s">
        <v>41</v>
      </c>
    </row>
    <row r="111" spans="1:21">
      <c r="A111" s="8" t="s">
        <v>4416</v>
      </c>
      <c r="B111" s="8" t="s">
        <v>1952</v>
      </c>
      <c r="C111" s="8">
        <v>51163</v>
      </c>
      <c r="D111" s="8" t="s">
        <v>201</v>
      </c>
      <c r="E111" s="8">
        <v>137886101</v>
      </c>
      <c r="F111" s="8">
        <v>137886101</v>
      </c>
      <c r="G111" s="8" t="s">
        <v>46</v>
      </c>
      <c r="H111" s="8" t="s">
        <v>24</v>
      </c>
      <c r="I111" s="8" t="s">
        <v>23</v>
      </c>
      <c r="J111" s="8" t="s">
        <v>2668</v>
      </c>
      <c r="K111" s="8" t="s">
        <v>4585</v>
      </c>
      <c r="L111" s="8" t="s">
        <v>19</v>
      </c>
      <c r="M111" s="8">
        <v>690</v>
      </c>
      <c r="N111" s="8" t="s">
        <v>3887</v>
      </c>
      <c r="O111" s="8">
        <v>179</v>
      </c>
      <c r="P111" s="8" t="s">
        <v>4584</v>
      </c>
      <c r="Q111" s="8" t="s">
        <v>4262</v>
      </c>
      <c r="R111" s="8">
        <v>0.52500000000000002</v>
      </c>
      <c r="S111" s="8">
        <v>137886101</v>
      </c>
      <c r="T111" s="8" t="s">
        <v>46</v>
      </c>
      <c r="U111" s="8" t="s">
        <v>24</v>
      </c>
    </row>
    <row r="112" spans="1:21">
      <c r="A112" s="8" t="s">
        <v>4416</v>
      </c>
      <c r="B112" s="8" t="s">
        <v>3145</v>
      </c>
      <c r="C112" s="8">
        <v>152273</v>
      </c>
      <c r="D112" s="8" t="s">
        <v>201</v>
      </c>
      <c r="E112" s="8">
        <v>14905652</v>
      </c>
      <c r="F112" s="8">
        <v>14905652</v>
      </c>
      <c r="G112" s="8" t="s">
        <v>25</v>
      </c>
      <c r="H112" s="8" t="s">
        <v>41</v>
      </c>
      <c r="I112" s="8" t="s">
        <v>23</v>
      </c>
      <c r="J112" s="8" t="s">
        <v>3146</v>
      </c>
      <c r="K112" s="8" t="s">
        <v>4587</v>
      </c>
      <c r="L112" s="8" t="s">
        <v>19</v>
      </c>
      <c r="M112" s="8">
        <v>2653</v>
      </c>
      <c r="N112" s="8" t="s">
        <v>3041</v>
      </c>
      <c r="O112" s="8">
        <v>848</v>
      </c>
      <c r="P112" s="8" t="s">
        <v>4586</v>
      </c>
      <c r="Q112" s="8" t="s">
        <v>4262</v>
      </c>
      <c r="R112" s="8">
        <v>0.22700000000000001</v>
      </c>
      <c r="S112" s="8">
        <v>14905652</v>
      </c>
      <c r="T112" s="8" t="s">
        <v>25</v>
      </c>
      <c r="U112" s="8" t="s">
        <v>41</v>
      </c>
    </row>
    <row r="113" spans="1:21">
      <c r="A113" s="8" t="s">
        <v>4416</v>
      </c>
      <c r="B113" s="8" t="s">
        <v>1144</v>
      </c>
      <c r="C113" s="8">
        <v>23473</v>
      </c>
      <c r="D113" s="8" t="s">
        <v>201</v>
      </c>
      <c r="E113" s="8">
        <v>15262455</v>
      </c>
      <c r="F113" s="8">
        <v>15262455</v>
      </c>
      <c r="G113" s="8" t="s">
        <v>25</v>
      </c>
      <c r="H113" s="8" t="s">
        <v>41</v>
      </c>
      <c r="I113" s="8" t="s">
        <v>23</v>
      </c>
      <c r="J113" s="8" t="s">
        <v>1145</v>
      </c>
      <c r="K113" s="8" t="s">
        <v>4589</v>
      </c>
      <c r="L113" s="8" t="s">
        <v>19</v>
      </c>
      <c r="M113" s="8">
        <v>875</v>
      </c>
      <c r="N113" s="8" t="s">
        <v>3136</v>
      </c>
      <c r="O113" s="8">
        <v>202</v>
      </c>
      <c r="P113" s="8" t="s">
        <v>4588</v>
      </c>
      <c r="Q113" s="8" t="s">
        <v>4262</v>
      </c>
      <c r="R113" s="8">
        <v>0.14000000000000001</v>
      </c>
      <c r="S113" s="8">
        <v>15262455</v>
      </c>
      <c r="T113" s="8" t="s">
        <v>25</v>
      </c>
      <c r="U113" s="8" t="s">
        <v>41</v>
      </c>
    </row>
    <row r="114" spans="1:21">
      <c r="A114" s="8" t="s">
        <v>4416</v>
      </c>
      <c r="B114" s="8" t="s">
        <v>3202</v>
      </c>
      <c r="C114" s="8">
        <v>6476</v>
      </c>
      <c r="D114" s="8" t="s">
        <v>201</v>
      </c>
      <c r="E114" s="8">
        <v>164739069</v>
      </c>
      <c r="F114" s="8">
        <v>164739069</v>
      </c>
      <c r="G114" s="8" t="s">
        <v>41</v>
      </c>
      <c r="H114" s="8" t="s">
        <v>25</v>
      </c>
      <c r="I114" s="8" t="s">
        <v>23</v>
      </c>
      <c r="J114" s="8" t="s">
        <v>3203</v>
      </c>
      <c r="K114" s="8" t="s">
        <v>4591</v>
      </c>
      <c r="L114" s="8" t="s">
        <v>76</v>
      </c>
      <c r="M114" s="8">
        <v>3265</v>
      </c>
      <c r="N114" s="8" t="s">
        <v>1103</v>
      </c>
      <c r="O114" s="8">
        <v>1068</v>
      </c>
      <c r="P114" s="8" t="s">
        <v>4590</v>
      </c>
      <c r="Q114" s="8" t="s">
        <v>4262</v>
      </c>
      <c r="R114" s="8">
        <v>0.35199999999999998</v>
      </c>
      <c r="S114" s="8">
        <v>164739069</v>
      </c>
      <c r="T114" s="8" t="s">
        <v>41</v>
      </c>
      <c r="U114" s="8" t="s">
        <v>25</v>
      </c>
    </row>
    <row r="115" spans="1:21">
      <c r="A115" s="8" t="s">
        <v>4416</v>
      </c>
      <c r="B115" s="8" t="s">
        <v>2074</v>
      </c>
      <c r="C115" s="8">
        <v>64778</v>
      </c>
      <c r="D115" s="8" t="s">
        <v>201</v>
      </c>
      <c r="E115" s="8">
        <v>172098815</v>
      </c>
      <c r="F115" s="8">
        <v>172098815</v>
      </c>
      <c r="G115" s="8" t="s">
        <v>41</v>
      </c>
      <c r="H115" s="8" t="s">
        <v>46</v>
      </c>
      <c r="I115" s="8" t="s">
        <v>23</v>
      </c>
      <c r="J115" s="8" t="s">
        <v>4592</v>
      </c>
      <c r="K115" s="8" t="s">
        <v>4594</v>
      </c>
      <c r="L115" s="8" t="s">
        <v>19</v>
      </c>
      <c r="M115" s="8">
        <v>3407</v>
      </c>
      <c r="N115" s="8" t="s">
        <v>3182</v>
      </c>
      <c r="O115" s="8">
        <v>1079</v>
      </c>
      <c r="P115" s="8" t="s">
        <v>4593</v>
      </c>
      <c r="Q115" s="8" t="s">
        <v>4262</v>
      </c>
      <c r="R115" s="8">
        <v>0.17899999999999999</v>
      </c>
      <c r="S115" s="8">
        <v>172098815</v>
      </c>
      <c r="T115" s="8" t="s">
        <v>41</v>
      </c>
      <c r="U115" s="8" t="s">
        <v>46</v>
      </c>
    </row>
    <row r="116" spans="1:21">
      <c r="A116" s="8" t="s">
        <v>4416</v>
      </c>
      <c r="B116" s="8" t="s">
        <v>1729</v>
      </c>
      <c r="C116" s="8">
        <v>285386</v>
      </c>
      <c r="D116" s="8" t="s">
        <v>201</v>
      </c>
      <c r="E116" s="8">
        <v>188933079</v>
      </c>
      <c r="F116" s="8">
        <v>188933079</v>
      </c>
      <c r="G116" s="8" t="s">
        <v>25</v>
      </c>
      <c r="H116" s="8" t="s">
        <v>41</v>
      </c>
      <c r="I116" s="8" t="s">
        <v>23</v>
      </c>
      <c r="J116" s="8" t="s">
        <v>4595</v>
      </c>
      <c r="K116" s="8" t="s">
        <v>4596</v>
      </c>
      <c r="L116" s="8" t="s">
        <v>68</v>
      </c>
      <c r="M116" s="8">
        <v>0</v>
      </c>
      <c r="N116" s="8" t="s">
        <v>35</v>
      </c>
      <c r="O116" s="8">
        <v>0</v>
      </c>
      <c r="P116" s="8" t="s">
        <v>35</v>
      </c>
      <c r="Q116" s="8" t="s">
        <v>4262</v>
      </c>
      <c r="R116" s="8">
        <v>0.188</v>
      </c>
      <c r="S116" s="8">
        <v>188933079</v>
      </c>
      <c r="T116" s="8" t="s">
        <v>25</v>
      </c>
      <c r="U116" s="8" t="s">
        <v>41</v>
      </c>
    </row>
    <row r="117" spans="1:21">
      <c r="A117" s="8" t="s">
        <v>4416</v>
      </c>
      <c r="B117" s="8" t="s">
        <v>4297</v>
      </c>
      <c r="C117" s="8">
        <v>4585</v>
      </c>
      <c r="D117" s="8" t="s">
        <v>201</v>
      </c>
      <c r="E117" s="8">
        <v>195513136</v>
      </c>
      <c r="F117" s="8">
        <v>195513136</v>
      </c>
      <c r="G117" s="8" t="s">
        <v>24</v>
      </c>
      <c r="H117" s="8" t="s">
        <v>46</v>
      </c>
      <c r="I117" s="8" t="s">
        <v>23</v>
      </c>
      <c r="J117" s="8" t="s">
        <v>4298</v>
      </c>
      <c r="K117" s="8" t="s">
        <v>4300</v>
      </c>
      <c r="L117" s="8" t="s">
        <v>19</v>
      </c>
      <c r="M117" s="8">
        <v>5471</v>
      </c>
      <c r="N117" s="8" t="s">
        <v>443</v>
      </c>
      <c r="O117" s="8">
        <v>1772</v>
      </c>
      <c r="P117" s="8" t="s">
        <v>4597</v>
      </c>
      <c r="Q117" s="8" t="s">
        <v>4598</v>
      </c>
      <c r="R117" s="8">
        <v>0.158</v>
      </c>
      <c r="S117" s="8">
        <v>195513136</v>
      </c>
      <c r="T117" s="8" t="s">
        <v>24</v>
      </c>
      <c r="U117" s="8" t="s">
        <v>46</v>
      </c>
    </row>
    <row r="118" spans="1:21">
      <c r="A118" s="8" t="s">
        <v>4416</v>
      </c>
      <c r="B118" s="8" t="s">
        <v>4599</v>
      </c>
      <c r="C118" s="8">
        <v>375387</v>
      </c>
      <c r="D118" s="8" t="s">
        <v>201</v>
      </c>
      <c r="E118" s="8">
        <v>196388136</v>
      </c>
      <c r="F118" s="8">
        <v>196388136</v>
      </c>
      <c r="G118" s="8" t="s">
        <v>41</v>
      </c>
      <c r="H118" s="8" t="s">
        <v>25</v>
      </c>
      <c r="I118" s="8" t="s">
        <v>23</v>
      </c>
      <c r="J118" s="8" t="s">
        <v>4600</v>
      </c>
      <c r="K118" s="8" t="s">
        <v>4602</v>
      </c>
      <c r="L118" s="8" t="s">
        <v>76</v>
      </c>
      <c r="M118" s="8">
        <v>1726</v>
      </c>
      <c r="N118" s="8" t="s">
        <v>3877</v>
      </c>
      <c r="O118" s="8">
        <v>541</v>
      </c>
      <c r="P118" s="8" t="s">
        <v>4601</v>
      </c>
      <c r="Q118" s="8" t="s">
        <v>4262</v>
      </c>
      <c r="R118" s="8">
        <v>0.47099999999999997</v>
      </c>
      <c r="S118" s="8">
        <v>196388136</v>
      </c>
      <c r="T118" s="8" t="s">
        <v>41</v>
      </c>
      <c r="U118" s="8" t="s">
        <v>25</v>
      </c>
    </row>
    <row r="119" spans="1:21">
      <c r="A119" s="8" t="s">
        <v>4416</v>
      </c>
      <c r="B119" s="8" t="s">
        <v>4603</v>
      </c>
      <c r="C119" s="8">
        <v>344787</v>
      </c>
      <c r="D119" s="8" t="s">
        <v>201</v>
      </c>
      <c r="E119" s="8">
        <v>32031346</v>
      </c>
      <c r="F119" s="8">
        <v>32031346</v>
      </c>
      <c r="G119" s="8" t="s">
        <v>25</v>
      </c>
      <c r="H119" s="8" t="s">
        <v>41</v>
      </c>
      <c r="I119" s="8" t="s">
        <v>23</v>
      </c>
      <c r="J119" s="8" t="s">
        <v>4604</v>
      </c>
      <c r="K119" s="8" t="s">
        <v>4606</v>
      </c>
      <c r="L119" s="8" t="s">
        <v>76</v>
      </c>
      <c r="M119" s="8">
        <v>1324</v>
      </c>
      <c r="N119" s="8" t="s">
        <v>2961</v>
      </c>
      <c r="O119" s="8">
        <v>259</v>
      </c>
      <c r="P119" s="8" t="s">
        <v>4605</v>
      </c>
      <c r="Q119" s="8" t="s">
        <v>4262</v>
      </c>
      <c r="R119" s="8">
        <v>0.248</v>
      </c>
      <c r="S119" s="8">
        <v>32031346</v>
      </c>
      <c r="T119" s="8" t="s">
        <v>25</v>
      </c>
      <c r="U119" s="8" t="s">
        <v>41</v>
      </c>
    </row>
    <row r="120" spans="1:21">
      <c r="A120" s="8" t="s">
        <v>4416</v>
      </c>
      <c r="B120" s="8" t="s">
        <v>934</v>
      </c>
      <c r="C120" s="8">
        <v>1499</v>
      </c>
      <c r="D120" s="8" t="s">
        <v>201</v>
      </c>
      <c r="E120" s="8">
        <v>41266113</v>
      </c>
      <c r="F120" s="8">
        <v>41266113</v>
      </c>
      <c r="G120" s="8" t="s">
        <v>46</v>
      </c>
      <c r="H120" s="8" t="s">
        <v>24</v>
      </c>
      <c r="I120" s="8" t="s">
        <v>23</v>
      </c>
      <c r="J120" s="8" t="s">
        <v>4607</v>
      </c>
      <c r="K120" s="8" t="s">
        <v>4610</v>
      </c>
      <c r="L120" s="8" t="s">
        <v>19</v>
      </c>
      <c r="M120" s="8">
        <v>378</v>
      </c>
      <c r="N120" s="8" t="s">
        <v>435</v>
      </c>
      <c r="O120" s="8">
        <v>37</v>
      </c>
      <c r="P120" s="8" t="s">
        <v>4608</v>
      </c>
      <c r="Q120" s="8" t="s">
        <v>4609</v>
      </c>
      <c r="R120" s="8">
        <v>0.17399999999999999</v>
      </c>
      <c r="S120" s="8">
        <v>41266113</v>
      </c>
      <c r="T120" s="8" t="s">
        <v>46</v>
      </c>
      <c r="U120" s="8" t="s">
        <v>24</v>
      </c>
    </row>
    <row r="121" spans="1:21">
      <c r="A121" s="8" t="s">
        <v>4416</v>
      </c>
      <c r="B121" s="8" t="s">
        <v>3888</v>
      </c>
      <c r="C121" s="8">
        <v>7384</v>
      </c>
      <c r="D121" s="8" t="s">
        <v>201</v>
      </c>
      <c r="E121" s="8">
        <v>48642098</v>
      </c>
      <c r="F121" s="8">
        <v>48642098</v>
      </c>
      <c r="G121" s="8" t="s">
        <v>41</v>
      </c>
      <c r="H121" s="8" t="s">
        <v>25</v>
      </c>
      <c r="I121" s="8" t="s">
        <v>23</v>
      </c>
      <c r="J121" s="8" t="s">
        <v>3889</v>
      </c>
      <c r="K121" s="8" t="s">
        <v>4612</v>
      </c>
      <c r="L121" s="8" t="s">
        <v>19</v>
      </c>
      <c r="M121" s="8">
        <v>458</v>
      </c>
      <c r="N121" s="8" t="s">
        <v>457</v>
      </c>
      <c r="O121" s="8">
        <v>138</v>
      </c>
      <c r="P121" s="8" t="s">
        <v>4611</v>
      </c>
      <c r="Q121" s="8" t="s">
        <v>4262</v>
      </c>
      <c r="R121" s="8">
        <v>0.44</v>
      </c>
      <c r="S121" s="8">
        <v>48642098</v>
      </c>
      <c r="T121" s="8" t="s">
        <v>41</v>
      </c>
      <c r="U121" s="8" t="s">
        <v>25</v>
      </c>
    </row>
    <row r="122" spans="1:21">
      <c r="A122" s="8" t="s">
        <v>4416</v>
      </c>
      <c r="B122" s="8" t="s">
        <v>1521</v>
      </c>
      <c r="C122" s="8">
        <v>132884</v>
      </c>
      <c r="D122" s="8" t="s">
        <v>220</v>
      </c>
      <c r="E122" s="8">
        <v>5564839</v>
      </c>
      <c r="F122" s="8">
        <v>5564839</v>
      </c>
      <c r="G122" s="8" t="s">
        <v>41</v>
      </c>
      <c r="H122" s="8" t="s">
        <v>46</v>
      </c>
      <c r="I122" s="8" t="s">
        <v>23</v>
      </c>
      <c r="J122" s="8" t="s">
        <v>1522</v>
      </c>
      <c r="K122" s="8" t="s">
        <v>4614</v>
      </c>
      <c r="L122" s="8" t="s">
        <v>19</v>
      </c>
      <c r="M122" s="8">
        <v>3717</v>
      </c>
      <c r="N122" s="8" t="s">
        <v>806</v>
      </c>
      <c r="O122" s="8">
        <v>1221</v>
      </c>
      <c r="P122" s="8" t="s">
        <v>4613</v>
      </c>
      <c r="Q122" s="8" t="s">
        <v>4262</v>
      </c>
      <c r="R122" s="8">
        <v>0.39800000000000002</v>
      </c>
      <c r="S122" s="8">
        <v>5564839</v>
      </c>
      <c r="T122" s="8" t="s">
        <v>41</v>
      </c>
      <c r="U122" s="8" t="s">
        <v>46</v>
      </c>
    </row>
    <row r="123" spans="1:21">
      <c r="A123" s="8" t="s">
        <v>4416</v>
      </c>
      <c r="B123" s="8" t="s">
        <v>1845</v>
      </c>
      <c r="C123" s="8">
        <v>23001</v>
      </c>
      <c r="D123" s="8" t="s">
        <v>220</v>
      </c>
      <c r="E123" s="8">
        <v>85748136</v>
      </c>
      <c r="F123" s="8">
        <v>85748136</v>
      </c>
      <c r="G123" s="8" t="s">
        <v>41</v>
      </c>
      <c r="H123" s="8" t="s">
        <v>25</v>
      </c>
      <c r="I123" s="8" t="s">
        <v>23</v>
      </c>
      <c r="J123" s="8" t="s">
        <v>4615</v>
      </c>
      <c r="K123" s="8" t="s">
        <v>4616</v>
      </c>
      <c r="L123" s="8" t="s">
        <v>68</v>
      </c>
      <c r="M123" s="8">
        <v>0</v>
      </c>
      <c r="N123" s="8" t="s">
        <v>35</v>
      </c>
      <c r="O123" s="8">
        <v>0</v>
      </c>
      <c r="P123" s="8" t="s">
        <v>35</v>
      </c>
      <c r="Q123" s="8" t="s">
        <v>4262</v>
      </c>
      <c r="R123" s="8">
        <v>0.27600000000000002</v>
      </c>
      <c r="S123" s="8">
        <v>85748136</v>
      </c>
      <c r="T123" s="8" t="s">
        <v>41</v>
      </c>
      <c r="U123" s="8" t="s">
        <v>25</v>
      </c>
    </row>
    <row r="124" spans="1:21">
      <c r="A124" s="8" t="s">
        <v>4416</v>
      </c>
      <c r="B124" s="8" t="s">
        <v>4617</v>
      </c>
      <c r="C124" s="8">
        <v>51176</v>
      </c>
      <c r="D124" s="8" t="s">
        <v>220</v>
      </c>
      <c r="E124" s="8">
        <v>109088823</v>
      </c>
      <c r="F124" s="8">
        <v>109088823</v>
      </c>
      <c r="G124" s="8" t="s">
        <v>41</v>
      </c>
      <c r="H124" s="8" t="s">
        <v>24</v>
      </c>
      <c r="I124" s="8" t="s">
        <v>23</v>
      </c>
      <c r="J124" s="8" t="s">
        <v>4618</v>
      </c>
      <c r="K124" s="8" t="s">
        <v>4620</v>
      </c>
      <c r="L124" s="8" t="s">
        <v>19</v>
      </c>
      <c r="M124" s="8">
        <v>1290</v>
      </c>
      <c r="N124" s="8" t="s">
        <v>2989</v>
      </c>
      <c r="O124" s="8">
        <v>34</v>
      </c>
      <c r="P124" s="8" t="s">
        <v>4619</v>
      </c>
      <c r="Q124" s="8" t="s">
        <v>4262</v>
      </c>
      <c r="R124" s="8">
        <v>0.45900000000000002</v>
      </c>
      <c r="S124" s="8">
        <v>109088823</v>
      </c>
      <c r="T124" s="8" t="s">
        <v>41</v>
      </c>
      <c r="U124" s="8" t="s">
        <v>24</v>
      </c>
    </row>
    <row r="125" spans="1:21">
      <c r="A125" s="8" t="s">
        <v>4416</v>
      </c>
      <c r="B125" s="8" t="s">
        <v>4621</v>
      </c>
      <c r="C125" s="8">
        <v>7092</v>
      </c>
      <c r="D125" s="8" t="s">
        <v>220</v>
      </c>
      <c r="E125" s="8">
        <v>166916297</v>
      </c>
      <c r="F125" s="8">
        <v>166916297</v>
      </c>
      <c r="G125" s="8" t="s">
        <v>25</v>
      </c>
      <c r="H125" s="8" t="s">
        <v>46</v>
      </c>
      <c r="I125" s="8" t="s">
        <v>23</v>
      </c>
      <c r="J125" s="8" t="s">
        <v>4622</v>
      </c>
      <c r="K125" s="8" t="s">
        <v>4624</v>
      </c>
      <c r="L125" s="8" t="s">
        <v>19</v>
      </c>
      <c r="M125" s="8">
        <v>1246</v>
      </c>
      <c r="N125" s="8" t="s">
        <v>4625</v>
      </c>
      <c r="O125" s="8">
        <v>200</v>
      </c>
      <c r="P125" s="8" t="s">
        <v>4623</v>
      </c>
      <c r="Q125" s="8" t="s">
        <v>4262</v>
      </c>
      <c r="R125" s="8">
        <v>0.06</v>
      </c>
      <c r="S125" s="8">
        <v>166916297</v>
      </c>
      <c r="T125" s="8" t="s">
        <v>25</v>
      </c>
      <c r="U125" s="8" t="s">
        <v>46</v>
      </c>
    </row>
    <row r="126" spans="1:21">
      <c r="A126" s="8" t="s">
        <v>4416</v>
      </c>
      <c r="B126" s="8" t="s">
        <v>3661</v>
      </c>
      <c r="C126" s="8">
        <v>51809</v>
      </c>
      <c r="D126" s="8" t="s">
        <v>220</v>
      </c>
      <c r="E126" s="8">
        <v>174223262</v>
      </c>
      <c r="F126" s="8">
        <v>174223262</v>
      </c>
      <c r="G126" s="8" t="s">
        <v>41</v>
      </c>
      <c r="H126" s="8" t="s">
        <v>25</v>
      </c>
      <c r="I126" s="8" t="s">
        <v>23</v>
      </c>
      <c r="J126" s="8" t="s">
        <v>3662</v>
      </c>
      <c r="K126" s="8" t="s">
        <v>4627</v>
      </c>
      <c r="L126" s="8" t="s">
        <v>19</v>
      </c>
      <c r="M126" s="8">
        <v>1296</v>
      </c>
      <c r="N126" s="8" t="s">
        <v>3168</v>
      </c>
      <c r="O126" s="8">
        <v>405</v>
      </c>
      <c r="P126" s="8" t="s">
        <v>4626</v>
      </c>
      <c r="Q126" s="8" t="s">
        <v>4262</v>
      </c>
      <c r="R126" s="8">
        <v>0.35199999999999998</v>
      </c>
      <c r="S126" s="8">
        <v>174223262</v>
      </c>
      <c r="T126" s="8" t="s">
        <v>41</v>
      </c>
      <c r="U126" s="8" t="s">
        <v>25</v>
      </c>
    </row>
    <row r="127" spans="1:21">
      <c r="A127" s="8" t="s">
        <v>4416</v>
      </c>
      <c r="B127" s="8" t="s">
        <v>3507</v>
      </c>
      <c r="C127" s="8">
        <v>339976</v>
      </c>
      <c r="D127" s="8" t="s">
        <v>220</v>
      </c>
      <c r="E127" s="8">
        <v>189060872</v>
      </c>
      <c r="F127" s="8">
        <v>189060872</v>
      </c>
      <c r="G127" s="8" t="s">
        <v>46</v>
      </c>
      <c r="H127" s="8" t="s">
        <v>41</v>
      </c>
      <c r="I127" s="8" t="s">
        <v>23</v>
      </c>
      <c r="J127" s="8" t="s">
        <v>3508</v>
      </c>
      <c r="K127" s="8" t="s">
        <v>4629</v>
      </c>
      <c r="L127" s="8" t="s">
        <v>19</v>
      </c>
      <c r="M127" s="8">
        <v>275</v>
      </c>
      <c r="N127" s="8" t="s">
        <v>415</v>
      </c>
      <c r="O127" s="8">
        <v>54</v>
      </c>
      <c r="P127" s="8" t="s">
        <v>4628</v>
      </c>
      <c r="Q127" s="8" t="s">
        <v>4262</v>
      </c>
      <c r="R127" s="8">
        <v>0.314</v>
      </c>
      <c r="S127" s="8">
        <v>189060872</v>
      </c>
      <c r="T127" s="8" t="s">
        <v>46</v>
      </c>
      <c r="U127" s="8" t="s">
        <v>41</v>
      </c>
    </row>
    <row r="128" spans="1:21">
      <c r="A128" s="8" t="s">
        <v>4416</v>
      </c>
      <c r="B128" s="8" t="s">
        <v>1839</v>
      </c>
      <c r="C128" s="8">
        <v>57733</v>
      </c>
      <c r="D128" s="8" t="s">
        <v>220</v>
      </c>
      <c r="E128" s="8">
        <v>22820535</v>
      </c>
      <c r="F128" s="8">
        <v>22820535</v>
      </c>
      <c r="G128" s="8" t="s">
        <v>24</v>
      </c>
      <c r="H128" s="8" t="s">
        <v>25</v>
      </c>
      <c r="I128" s="8" t="s">
        <v>23</v>
      </c>
      <c r="J128" s="8" t="s">
        <v>4630</v>
      </c>
      <c r="K128" s="8" t="s">
        <v>4632</v>
      </c>
      <c r="L128" s="8" t="s">
        <v>19</v>
      </c>
      <c r="M128" s="8">
        <v>1490</v>
      </c>
      <c r="N128" s="8" t="s">
        <v>1070</v>
      </c>
      <c r="O128" s="8">
        <v>467</v>
      </c>
      <c r="P128" s="8" t="s">
        <v>4631</v>
      </c>
      <c r="Q128" s="8" t="s">
        <v>4262</v>
      </c>
      <c r="R128" s="8">
        <v>0.13800000000000001</v>
      </c>
      <c r="S128" s="8">
        <v>22820535</v>
      </c>
      <c r="T128" s="8" t="s">
        <v>24</v>
      </c>
      <c r="U128" s="8" t="s">
        <v>25</v>
      </c>
    </row>
    <row r="129" spans="1:21">
      <c r="A129" s="8" t="s">
        <v>4416</v>
      </c>
      <c r="B129" s="8" t="s">
        <v>4633</v>
      </c>
      <c r="C129" s="8">
        <v>81793</v>
      </c>
      <c r="D129" s="8" t="s">
        <v>220</v>
      </c>
      <c r="E129" s="8">
        <v>38777199</v>
      </c>
      <c r="F129" s="8">
        <v>38777199</v>
      </c>
      <c r="G129" s="8" t="s">
        <v>41</v>
      </c>
      <c r="H129" s="8" t="s">
        <v>25</v>
      </c>
      <c r="I129" s="8" t="s">
        <v>23</v>
      </c>
      <c r="J129" s="8" t="s">
        <v>4634</v>
      </c>
      <c r="K129" s="8" t="s">
        <v>4636</v>
      </c>
      <c r="L129" s="8" t="s">
        <v>76</v>
      </c>
      <c r="M129" s="8">
        <v>145</v>
      </c>
      <c r="N129" s="8" t="s">
        <v>274</v>
      </c>
      <c r="O129" s="8">
        <v>5</v>
      </c>
      <c r="P129" s="8" t="s">
        <v>4635</v>
      </c>
      <c r="Q129" s="8" t="s">
        <v>4262</v>
      </c>
      <c r="R129" s="8">
        <v>0.33300000000000002</v>
      </c>
      <c r="S129" s="8">
        <v>38777199</v>
      </c>
      <c r="T129" s="8" t="s">
        <v>41</v>
      </c>
      <c r="U129" s="8" t="s">
        <v>25</v>
      </c>
    </row>
    <row r="130" spans="1:21">
      <c r="A130" s="8" t="s">
        <v>4416</v>
      </c>
      <c r="B130" s="8" t="s">
        <v>2874</v>
      </c>
      <c r="C130" s="8">
        <v>22998</v>
      </c>
      <c r="D130" s="8" t="s">
        <v>220</v>
      </c>
      <c r="E130" s="8">
        <v>41600988</v>
      </c>
      <c r="F130" s="8">
        <v>41600988</v>
      </c>
      <c r="G130" s="8" t="s">
        <v>41</v>
      </c>
      <c r="H130" s="8" t="s">
        <v>46</v>
      </c>
      <c r="I130" s="8" t="s">
        <v>23</v>
      </c>
      <c r="J130" s="8" t="s">
        <v>4637</v>
      </c>
      <c r="K130" s="8" t="s">
        <v>4639</v>
      </c>
      <c r="L130" s="8" t="s">
        <v>19</v>
      </c>
      <c r="M130" s="8">
        <v>343</v>
      </c>
      <c r="N130" s="8" t="s">
        <v>1489</v>
      </c>
      <c r="O130" s="8">
        <v>97</v>
      </c>
      <c r="P130" s="8" t="s">
        <v>4638</v>
      </c>
      <c r="Q130" s="8" t="s">
        <v>4262</v>
      </c>
      <c r="R130" s="8">
        <v>0.34799999999999998</v>
      </c>
      <c r="S130" s="8">
        <v>41600988</v>
      </c>
      <c r="T130" s="8" t="s">
        <v>41</v>
      </c>
      <c r="U130" s="8" t="s">
        <v>46</v>
      </c>
    </row>
    <row r="131" spans="1:21">
      <c r="A131" s="8" t="s">
        <v>4416</v>
      </c>
      <c r="B131" s="8" t="s">
        <v>2105</v>
      </c>
      <c r="C131" s="8">
        <v>3672</v>
      </c>
      <c r="D131" s="8" t="s">
        <v>226</v>
      </c>
      <c r="E131" s="8">
        <v>52160595</v>
      </c>
      <c r="F131" s="8">
        <v>52160595</v>
      </c>
      <c r="G131" s="8" t="s">
        <v>25</v>
      </c>
      <c r="H131" s="8" t="s">
        <v>41</v>
      </c>
      <c r="I131" s="8" t="s">
        <v>23</v>
      </c>
      <c r="J131" s="8" t="s">
        <v>4640</v>
      </c>
      <c r="K131" s="8" t="s">
        <v>4641</v>
      </c>
      <c r="L131" s="8" t="s">
        <v>68</v>
      </c>
      <c r="M131" s="8">
        <v>0</v>
      </c>
      <c r="N131" s="8" t="s">
        <v>35</v>
      </c>
      <c r="O131" s="8">
        <v>0</v>
      </c>
      <c r="P131" s="8" t="s">
        <v>35</v>
      </c>
      <c r="Q131" s="8" t="s">
        <v>4262</v>
      </c>
      <c r="R131" s="8">
        <v>0.373</v>
      </c>
      <c r="S131" s="8">
        <v>52160595</v>
      </c>
      <c r="T131" s="8" t="s">
        <v>25</v>
      </c>
      <c r="U131" s="8" t="s">
        <v>41</v>
      </c>
    </row>
    <row r="132" spans="1:21">
      <c r="A132" s="8" t="s">
        <v>4416</v>
      </c>
      <c r="B132" s="8" t="s">
        <v>4318</v>
      </c>
      <c r="C132" s="8">
        <v>166979</v>
      </c>
      <c r="D132" s="8" t="s">
        <v>226</v>
      </c>
      <c r="E132" s="8">
        <v>54415682</v>
      </c>
      <c r="F132" s="8">
        <v>54415682</v>
      </c>
      <c r="G132" s="8" t="s">
        <v>41</v>
      </c>
      <c r="H132" s="8" t="s">
        <v>25</v>
      </c>
      <c r="I132" s="8" t="s">
        <v>23</v>
      </c>
      <c r="J132" s="8" t="s">
        <v>4319</v>
      </c>
      <c r="K132" s="8" t="s">
        <v>4321</v>
      </c>
      <c r="L132" s="8" t="s">
        <v>19</v>
      </c>
      <c r="M132" s="8">
        <v>1583</v>
      </c>
      <c r="N132" s="8" t="s">
        <v>3549</v>
      </c>
      <c r="O132" s="8">
        <v>469</v>
      </c>
      <c r="P132" s="8" t="s">
        <v>4642</v>
      </c>
      <c r="Q132" s="8" t="s">
        <v>4643</v>
      </c>
      <c r="R132" s="8">
        <v>0.34399999999999997</v>
      </c>
      <c r="S132" s="8">
        <v>54415682</v>
      </c>
      <c r="T132" s="8" t="s">
        <v>41</v>
      </c>
      <c r="U132" s="8" t="s">
        <v>25</v>
      </c>
    </row>
    <row r="133" spans="1:21">
      <c r="A133" s="8" t="s">
        <v>4416</v>
      </c>
      <c r="B133" s="8" t="s">
        <v>4644</v>
      </c>
      <c r="C133" s="8">
        <v>3572</v>
      </c>
      <c r="D133" s="8" t="s">
        <v>226</v>
      </c>
      <c r="E133" s="8">
        <v>55260061</v>
      </c>
      <c r="F133" s="8">
        <v>55260061</v>
      </c>
      <c r="G133" s="8" t="s">
        <v>25</v>
      </c>
      <c r="H133" s="8" t="s">
        <v>46</v>
      </c>
      <c r="I133" s="8" t="s">
        <v>23</v>
      </c>
      <c r="J133" s="8" t="s">
        <v>4645</v>
      </c>
      <c r="K133" s="8" t="s">
        <v>4647</v>
      </c>
      <c r="L133" s="8" t="s">
        <v>19</v>
      </c>
      <c r="M133" s="8">
        <v>884</v>
      </c>
      <c r="N133" s="8" t="s">
        <v>4648</v>
      </c>
      <c r="O133" s="8">
        <v>191</v>
      </c>
      <c r="P133" s="8" t="s">
        <v>4646</v>
      </c>
      <c r="Q133" s="8" t="s">
        <v>4262</v>
      </c>
      <c r="R133" s="8">
        <v>0.32200000000000001</v>
      </c>
      <c r="S133" s="8">
        <v>55260061</v>
      </c>
      <c r="T133" s="8" t="s">
        <v>25</v>
      </c>
      <c r="U133" s="8" t="s">
        <v>46</v>
      </c>
    </row>
    <row r="134" spans="1:21">
      <c r="A134" s="8" t="s">
        <v>4416</v>
      </c>
      <c r="B134" s="8" t="s">
        <v>3309</v>
      </c>
      <c r="C134" s="8">
        <v>22987</v>
      </c>
      <c r="D134" s="8" t="s">
        <v>226</v>
      </c>
      <c r="E134" s="8">
        <v>75596628</v>
      </c>
      <c r="F134" s="8">
        <v>75596628</v>
      </c>
      <c r="G134" s="8" t="s">
        <v>25</v>
      </c>
      <c r="H134" s="8" t="s">
        <v>41</v>
      </c>
      <c r="I134" s="8" t="s">
        <v>23</v>
      </c>
      <c r="J134" s="8" t="s">
        <v>3310</v>
      </c>
      <c r="K134" s="8" t="s">
        <v>4650</v>
      </c>
      <c r="L134" s="8" t="s">
        <v>19</v>
      </c>
      <c r="M134" s="8">
        <v>1845</v>
      </c>
      <c r="N134" s="8" t="s">
        <v>3850</v>
      </c>
      <c r="O134" s="8">
        <v>571</v>
      </c>
      <c r="P134" s="8" t="s">
        <v>4649</v>
      </c>
      <c r="Q134" s="8" t="s">
        <v>4262</v>
      </c>
      <c r="R134" s="8">
        <v>0.34100000000000003</v>
      </c>
      <c r="S134" s="8">
        <v>75596628</v>
      </c>
      <c r="T134" s="8" t="s">
        <v>25</v>
      </c>
      <c r="U134" s="8" t="s">
        <v>41</v>
      </c>
    </row>
    <row r="135" spans="1:21">
      <c r="A135" s="8" t="s">
        <v>4416</v>
      </c>
      <c r="B135" s="8" t="s">
        <v>2712</v>
      </c>
      <c r="C135" s="8">
        <v>1501</v>
      </c>
      <c r="D135" s="8" t="s">
        <v>226</v>
      </c>
      <c r="E135" s="8">
        <v>11159802</v>
      </c>
      <c r="F135" s="8">
        <v>11159802</v>
      </c>
      <c r="G135" s="8" t="s">
        <v>25</v>
      </c>
      <c r="H135" s="8" t="s">
        <v>24</v>
      </c>
      <c r="I135" s="8" t="s">
        <v>23</v>
      </c>
      <c r="J135" s="8" t="s">
        <v>2713</v>
      </c>
      <c r="K135" s="8" t="s">
        <v>4652</v>
      </c>
      <c r="L135" s="8" t="s">
        <v>19</v>
      </c>
      <c r="M135" s="8">
        <v>2190</v>
      </c>
      <c r="N135" s="8" t="s">
        <v>3026</v>
      </c>
      <c r="O135" s="8">
        <v>682</v>
      </c>
      <c r="P135" s="8" t="s">
        <v>4651</v>
      </c>
      <c r="Q135" s="8" t="s">
        <v>4262</v>
      </c>
      <c r="R135" s="8">
        <v>0.38700000000000001</v>
      </c>
      <c r="S135" s="8">
        <v>11159802</v>
      </c>
      <c r="T135" s="8" t="s">
        <v>25</v>
      </c>
      <c r="U135" s="8" t="s">
        <v>24</v>
      </c>
    </row>
    <row r="136" spans="1:21">
      <c r="A136" s="8" t="s">
        <v>4416</v>
      </c>
      <c r="B136" s="8" t="s">
        <v>3670</v>
      </c>
      <c r="C136" s="8">
        <v>2201</v>
      </c>
      <c r="D136" s="8" t="s">
        <v>226</v>
      </c>
      <c r="E136" s="8">
        <v>127668691</v>
      </c>
      <c r="F136" s="8">
        <v>127668691</v>
      </c>
      <c r="G136" s="8" t="s">
        <v>46</v>
      </c>
      <c r="H136" s="8" t="s">
        <v>25</v>
      </c>
      <c r="I136" s="8" t="s">
        <v>23</v>
      </c>
      <c r="J136" s="8" t="s">
        <v>3671</v>
      </c>
      <c r="K136" s="8" t="s">
        <v>4654</v>
      </c>
      <c r="L136" s="8" t="s">
        <v>19</v>
      </c>
      <c r="M136" s="8">
        <v>4574</v>
      </c>
      <c r="N136" s="8" t="s">
        <v>463</v>
      </c>
      <c r="O136" s="8">
        <v>1379</v>
      </c>
      <c r="P136" s="8" t="s">
        <v>4653</v>
      </c>
      <c r="Q136" s="8" t="s">
        <v>4262</v>
      </c>
      <c r="R136" s="8">
        <v>0.3</v>
      </c>
      <c r="S136" s="8">
        <v>127668691</v>
      </c>
      <c r="T136" s="8" t="s">
        <v>46</v>
      </c>
      <c r="U136" s="8" t="s">
        <v>25</v>
      </c>
    </row>
    <row r="137" spans="1:21">
      <c r="A137" s="8" t="s">
        <v>4416</v>
      </c>
      <c r="B137" s="8" t="s">
        <v>4655</v>
      </c>
      <c r="C137" s="8">
        <v>497189</v>
      </c>
      <c r="D137" s="8" t="s">
        <v>226</v>
      </c>
      <c r="E137" s="8">
        <v>134785208</v>
      </c>
      <c r="F137" s="8">
        <v>134785208</v>
      </c>
      <c r="G137" s="8" t="s">
        <v>41</v>
      </c>
      <c r="H137" s="8" t="s">
        <v>25</v>
      </c>
      <c r="I137" s="8" t="s">
        <v>23</v>
      </c>
      <c r="J137" s="8" t="s">
        <v>4656</v>
      </c>
      <c r="K137" s="8" t="s">
        <v>4658</v>
      </c>
      <c r="L137" s="8" t="s">
        <v>19</v>
      </c>
      <c r="M137" s="8">
        <v>623</v>
      </c>
      <c r="N137" s="8" t="s">
        <v>1115</v>
      </c>
      <c r="O137" s="8">
        <v>141</v>
      </c>
      <c r="P137" s="8" t="s">
        <v>4657</v>
      </c>
      <c r="Q137" s="8" t="s">
        <v>4262</v>
      </c>
      <c r="R137" s="8">
        <v>0.30199999999999999</v>
      </c>
      <c r="S137" s="8">
        <v>134785208</v>
      </c>
      <c r="T137" s="8" t="s">
        <v>41</v>
      </c>
      <c r="U137" s="8" t="s">
        <v>25</v>
      </c>
    </row>
    <row r="138" spans="1:21">
      <c r="A138" s="8" t="s">
        <v>4416</v>
      </c>
      <c r="B138" s="8" t="s">
        <v>3891</v>
      </c>
      <c r="C138" s="8">
        <v>10569</v>
      </c>
      <c r="D138" s="8" t="s">
        <v>226</v>
      </c>
      <c r="E138" s="8">
        <v>159834792</v>
      </c>
      <c r="F138" s="8">
        <v>159834792</v>
      </c>
      <c r="G138" s="8" t="s">
        <v>41</v>
      </c>
      <c r="H138" s="8" t="s">
        <v>25</v>
      </c>
      <c r="I138" s="8" t="s">
        <v>23</v>
      </c>
      <c r="J138" s="8" t="s">
        <v>3892</v>
      </c>
      <c r="K138" s="8" t="s">
        <v>4660</v>
      </c>
      <c r="L138" s="8" t="s">
        <v>19</v>
      </c>
      <c r="M138" s="8">
        <v>1101</v>
      </c>
      <c r="N138" s="8" t="s">
        <v>604</v>
      </c>
      <c r="O138" s="8">
        <v>316</v>
      </c>
      <c r="P138" s="8" t="s">
        <v>4659</v>
      </c>
      <c r="Q138" s="8" t="s">
        <v>4262</v>
      </c>
      <c r="R138" s="8">
        <v>0.39700000000000002</v>
      </c>
      <c r="S138" s="8">
        <v>159834792</v>
      </c>
      <c r="T138" s="8" t="s">
        <v>41</v>
      </c>
      <c r="U138" s="8" t="s">
        <v>25</v>
      </c>
    </row>
    <row r="139" spans="1:21">
      <c r="A139" s="8" t="s">
        <v>4416</v>
      </c>
      <c r="B139" s="8" t="s">
        <v>605</v>
      </c>
      <c r="C139" s="8">
        <v>133558</v>
      </c>
      <c r="D139" s="8" t="s">
        <v>226</v>
      </c>
      <c r="E139" s="8">
        <v>41004940</v>
      </c>
      <c r="F139" s="8">
        <v>41004940</v>
      </c>
      <c r="G139" s="8" t="s">
        <v>41</v>
      </c>
      <c r="H139" s="8" t="s">
        <v>25</v>
      </c>
      <c r="I139" s="8" t="s">
        <v>23</v>
      </c>
      <c r="J139" s="8" t="s">
        <v>606</v>
      </c>
      <c r="K139" s="8" t="s">
        <v>4662</v>
      </c>
      <c r="L139" s="8" t="s">
        <v>19</v>
      </c>
      <c r="M139" s="8">
        <v>4437</v>
      </c>
      <c r="N139" s="8" t="s">
        <v>375</v>
      </c>
      <c r="O139" s="8">
        <v>1316</v>
      </c>
      <c r="P139" s="8" t="s">
        <v>4661</v>
      </c>
      <c r="Q139" s="8" t="s">
        <v>4262</v>
      </c>
      <c r="R139" s="8">
        <v>0.24099999999999999</v>
      </c>
      <c r="S139" s="8">
        <v>41004940</v>
      </c>
      <c r="T139" s="8" t="s">
        <v>41</v>
      </c>
      <c r="U139" s="8" t="s">
        <v>25</v>
      </c>
    </row>
    <row r="140" spans="1:21">
      <c r="A140" s="8" t="s">
        <v>4416</v>
      </c>
      <c r="B140" s="8" t="s">
        <v>4663</v>
      </c>
      <c r="C140" s="8">
        <v>81578</v>
      </c>
      <c r="D140" s="8" t="s">
        <v>237</v>
      </c>
      <c r="E140" s="8">
        <v>56031741</v>
      </c>
      <c r="F140" s="8">
        <v>56031741</v>
      </c>
      <c r="G140" s="8" t="s">
        <v>41</v>
      </c>
      <c r="H140" s="8" t="s">
        <v>24</v>
      </c>
      <c r="I140" s="8" t="s">
        <v>23</v>
      </c>
      <c r="J140" s="8" t="s">
        <v>4664</v>
      </c>
      <c r="K140" s="8" t="s">
        <v>4666</v>
      </c>
      <c r="L140" s="8" t="s">
        <v>19</v>
      </c>
      <c r="M140" s="8">
        <v>1473</v>
      </c>
      <c r="N140" s="8" t="s">
        <v>944</v>
      </c>
      <c r="O140" s="8">
        <v>414</v>
      </c>
      <c r="P140" s="8" t="s">
        <v>4665</v>
      </c>
      <c r="Q140" s="8" t="s">
        <v>4262</v>
      </c>
      <c r="R140" s="8">
        <v>0.23300000000000001</v>
      </c>
      <c r="S140" s="8">
        <v>56031741</v>
      </c>
      <c r="T140" s="8" t="s">
        <v>41</v>
      </c>
      <c r="U140" s="8" t="s">
        <v>24</v>
      </c>
    </row>
    <row r="141" spans="1:21">
      <c r="A141" s="8" t="s">
        <v>4416</v>
      </c>
      <c r="B141" s="8" t="s">
        <v>799</v>
      </c>
      <c r="C141" s="8">
        <v>346007</v>
      </c>
      <c r="D141" s="8" t="s">
        <v>237</v>
      </c>
      <c r="E141" s="8">
        <v>65532550</v>
      </c>
      <c r="F141" s="8">
        <v>65532550</v>
      </c>
      <c r="G141" s="8" t="s">
        <v>41</v>
      </c>
      <c r="H141" s="8" t="s">
        <v>25</v>
      </c>
      <c r="I141" s="8" t="s">
        <v>23</v>
      </c>
      <c r="J141" s="8" t="s">
        <v>4667</v>
      </c>
      <c r="K141" s="8" t="s">
        <v>4669</v>
      </c>
      <c r="L141" s="8" t="s">
        <v>19</v>
      </c>
      <c r="M141" s="8">
        <v>3696</v>
      </c>
      <c r="N141" s="8" t="s">
        <v>2366</v>
      </c>
      <c r="O141" s="8">
        <v>1053</v>
      </c>
      <c r="P141" s="8" t="s">
        <v>4668</v>
      </c>
      <c r="Q141" s="8" t="s">
        <v>4262</v>
      </c>
      <c r="R141" s="8">
        <v>0.33300000000000002</v>
      </c>
      <c r="S141" s="8">
        <v>65532550</v>
      </c>
      <c r="T141" s="8" t="s">
        <v>41</v>
      </c>
      <c r="U141" s="8" t="s">
        <v>25</v>
      </c>
    </row>
    <row r="142" spans="1:21">
      <c r="A142" s="8" t="s">
        <v>4416</v>
      </c>
      <c r="B142" s="8" t="s">
        <v>4670</v>
      </c>
      <c r="C142" s="8">
        <v>253714</v>
      </c>
      <c r="D142" s="8" t="s">
        <v>237</v>
      </c>
      <c r="E142" s="8">
        <v>97629818</v>
      </c>
      <c r="F142" s="8">
        <v>97629818</v>
      </c>
      <c r="G142" s="8" t="s">
        <v>41</v>
      </c>
      <c r="H142" s="8" t="s">
        <v>25</v>
      </c>
      <c r="I142" s="8" t="s">
        <v>23</v>
      </c>
      <c r="J142" s="8" t="s">
        <v>4671</v>
      </c>
      <c r="K142" s="8" t="s">
        <v>4673</v>
      </c>
      <c r="L142" s="8" t="s">
        <v>19</v>
      </c>
      <c r="M142" s="8">
        <v>2612</v>
      </c>
      <c r="N142" s="8" t="s">
        <v>1231</v>
      </c>
      <c r="O142" s="8">
        <v>782</v>
      </c>
      <c r="P142" s="8" t="s">
        <v>4672</v>
      </c>
      <c r="Q142" s="8" t="s">
        <v>4262</v>
      </c>
      <c r="R142" s="8">
        <v>0.39200000000000002</v>
      </c>
      <c r="S142" s="8">
        <v>97629818</v>
      </c>
      <c r="T142" s="8" t="s">
        <v>41</v>
      </c>
      <c r="U142" s="8" t="s">
        <v>25</v>
      </c>
    </row>
    <row r="143" spans="1:21">
      <c r="A143" s="8" t="s">
        <v>4416</v>
      </c>
      <c r="B143" s="8" t="s">
        <v>3893</v>
      </c>
      <c r="C143" s="8">
        <v>3096</v>
      </c>
      <c r="D143" s="8" t="s">
        <v>237</v>
      </c>
      <c r="E143" s="8">
        <v>12124476</v>
      </c>
      <c r="F143" s="8">
        <v>12124476</v>
      </c>
      <c r="G143" s="8" t="s">
        <v>25</v>
      </c>
      <c r="H143" s="8" t="s">
        <v>41</v>
      </c>
      <c r="I143" s="8" t="s">
        <v>23</v>
      </c>
      <c r="J143" s="8" t="s">
        <v>3894</v>
      </c>
      <c r="K143" s="8" t="s">
        <v>4675</v>
      </c>
      <c r="L143" s="8" t="s">
        <v>19</v>
      </c>
      <c r="M143" s="8">
        <v>4627</v>
      </c>
      <c r="N143" s="8" t="s">
        <v>3614</v>
      </c>
      <c r="O143" s="8">
        <v>1483</v>
      </c>
      <c r="P143" s="8" t="s">
        <v>4674</v>
      </c>
      <c r="Q143" s="8" t="s">
        <v>4262</v>
      </c>
      <c r="R143" s="8">
        <v>0.41099999999999998</v>
      </c>
      <c r="S143" s="8">
        <v>12124476</v>
      </c>
      <c r="T143" s="8" t="s">
        <v>25</v>
      </c>
      <c r="U143" s="8" t="s">
        <v>41</v>
      </c>
    </row>
    <row r="144" spans="1:21">
      <c r="A144" s="8" t="s">
        <v>4416</v>
      </c>
      <c r="B144" s="8" t="s">
        <v>3893</v>
      </c>
      <c r="C144" s="8">
        <v>3096</v>
      </c>
      <c r="D144" s="8" t="s">
        <v>237</v>
      </c>
      <c r="E144" s="8">
        <v>12163759</v>
      </c>
      <c r="F144" s="8">
        <v>12163759</v>
      </c>
      <c r="G144" s="8" t="s">
        <v>46</v>
      </c>
      <c r="H144" s="8" t="s">
        <v>41</v>
      </c>
      <c r="I144" s="8" t="s">
        <v>23</v>
      </c>
      <c r="J144" s="8" t="s">
        <v>3894</v>
      </c>
      <c r="K144" s="8" t="s">
        <v>4675</v>
      </c>
      <c r="L144" s="8" t="s">
        <v>19</v>
      </c>
      <c r="M144" s="8">
        <v>7401</v>
      </c>
      <c r="N144" s="8" t="s">
        <v>415</v>
      </c>
      <c r="O144" s="8">
        <v>2408</v>
      </c>
      <c r="P144" s="8" t="s">
        <v>4676</v>
      </c>
      <c r="Q144" s="8" t="s">
        <v>4262</v>
      </c>
      <c r="R144" s="8">
        <v>0.129</v>
      </c>
      <c r="S144" s="8">
        <v>12163759</v>
      </c>
      <c r="T144" s="8" t="s">
        <v>46</v>
      </c>
      <c r="U144" s="8" t="s">
        <v>41</v>
      </c>
    </row>
    <row r="145" spans="1:21">
      <c r="A145" s="8" t="s">
        <v>4416</v>
      </c>
      <c r="B145" s="8" t="s">
        <v>3817</v>
      </c>
      <c r="C145" s="8">
        <v>94026</v>
      </c>
      <c r="D145" s="8" t="s">
        <v>237</v>
      </c>
      <c r="E145" s="8">
        <v>27279027</v>
      </c>
      <c r="F145" s="8">
        <v>27279027</v>
      </c>
      <c r="G145" s="8" t="s">
        <v>25</v>
      </c>
      <c r="H145" s="8" t="s">
        <v>41</v>
      </c>
      <c r="I145" s="8" t="s">
        <v>23</v>
      </c>
      <c r="J145" s="8" t="s">
        <v>3818</v>
      </c>
      <c r="K145" s="8" t="s">
        <v>4678</v>
      </c>
      <c r="L145" s="8" t="s">
        <v>19</v>
      </c>
      <c r="M145" s="8">
        <v>985</v>
      </c>
      <c r="N145" s="8" t="s">
        <v>3783</v>
      </c>
      <c r="O145" s="8">
        <v>308</v>
      </c>
      <c r="P145" s="8" t="s">
        <v>4677</v>
      </c>
      <c r="Q145" s="8" t="s">
        <v>4262</v>
      </c>
      <c r="R145" s="8">
        <v>0.39500000000000002</v>
      </c>
      <c r="S145" s="8">
        <v>27279027</v>
      </c>
      <c r="T145" s="8" t="s">
        <v>25</v>
      </c>
      <c r="U145" s="8" t="s">
        <v>41</v>
      </c>
    </row>
    <row r="146" spans="1:21">
      <c r="A146" s="8" t="s">
        <v>4416</v>
      </c>
      <c r="B146" s="8" t="s">
        <v>611</v>
      </c>
      <c r="C146" s="8">
        <v>222662</v>
      </c>
      <c r="D146" s="8" t="s">
        <v>237</v>
      </c>
      <c r="E146" s="8">
        <v>35773592</v>
      </c>
      <c r="F146" s="8">
        <v>35773592</v>
      </c>
      <c r="G146" s="8" t="s">
        <v>41</v>
      </c>
      <c r="H146" s="8" t="s">
        <v>25</v>
      </c>
      <c r="I146" s="8" t="s">
        <v>23</v>
      </c>
      <c r="J146" s="8" t="s">
        <v>612</v>
      </c>
      <c r="K146" s="8" t="s">
        <v>4680</v>
      </c>
      <c r="L146" s="8" t="s">
        <v>19</v>
      </c>
      <c r="M146" s="8">
        <v>522</v>
      </c>
      <c r="N146" s="8" t="s">
        <v>40</v>
      </c>
      <c r="O146" s="8">
        <v>49</v>
      </c>
      <c r="P146" s="8" t="s">
        <v>4679</v>
      </c>
      <c r="Q146" s="8" t="s">
        <v>4262</v>
      </c>
      <c r="R146" s="8">
        <v>0.45600000000000002</v>
      </c>
      <c r="S146" s="8">
        <v>35773592</v>
      </c>
      <c r="T146" s="8" t="s">
        <v>41</v>
      </c>
      <c r="U146" s="8" t="s">
        <v>25</v>
      </c>
    </row>
    <row r="147" spans="1:21">
      <c r="A147" s="8" t="s">
        <v>4416</v>
      </c>
      <c r="B147" s="8" t="s">
        <v>1534</v>
      </c>
      <c r="C147" s="8">
        <v>1769</v>
      </c>
      <c r="D147" s="8" t="s">
        <v>237</v>
      </c>
      <c r="E147" s="8">
        <v>38754641</v>
      </c>
      <c r="F147" s="8">
        <v>38754641</v>
      </c>
      <c r="G147" s="8" t="s">
        <v>24</v>
      </c>
      <c r="H147" s="8" t="s">
        <v>25</v>
      </c>
      <c r="I147" s="8" t="s">
        <v>23</v>
      </c>
      <c r="J147" s="8" t="s">
        <v>1535</v>
      </c>
      <c r="K147" s="8" t="s">
        <v>4682</v>
      </c>
      <c r="L147" s="8" t="s">
        <v>19</v>
      </c>
      <c r="M147" s="8">
        <v>2605</v>
      </c>
      <c r="N147" s="8" t="s">
        <v>2439</v>
      </c>
      <c r="O147" s="8">
        <v>832</v>
      </c>
      <c r="P147" s="8" t="s">
        <v>4681</v>
      </c>
      <c r="Q147" s="8" t="s">
        <v>4262</v>
      </c>
      <c r="R147" s="8">
        <v>8.8999999999999996E-2</v>
      </c>
      <c r="S147" s="8">
        <v>38754641</v>
      </c>
      <c r="T147" s="8" t="s">
        <v>24</v>
      </c>
      <c r="U147" s="8" t="s">
        <v>25</v>
      </c>
    </row>
    <row r="148" spans="1:21">
      <c r="A148" s="8" t="s">
        <v>4416</v>
      </c>
      <c r="B148" s="8" t="s">
        <v>3895</v>
      </c>
      <c r="C148" s="8">
        <v>10930</v>
      </c>
      <c r="D148" s="8" t="s">
        <v>237</v>
      </c>
      <c r="E148" s="8">
        <v>41029412</v>
      </c>
      <c r="F148" s="8">
        <v>41029412</v>
      </c>
      <c r="G148" s="8" t="s">
        <v>24</v>
      </c>
      <c r="H148" s="8" t="s">
        <v>46</v>
      </c>
      <c r="I148" s="8" t="s">
        <v>23</v>
      </c>
      <c r="J148" s="8" t="s">
        <v>3896</v>
      </c>
      <c r="K148" s="8" t="s">
        <v>4684</v>
      </c>
      <c r="L148" s="8" t="s">
        <v>19</v>
      </c>
      <c r="M148" s="8">
        <v>624</v>
      </c>
      <c r="N148" s="8" t="s">
        <v>1380</v>
      </c>
      <c r="O148" s="8">
        <v>159</v>
      </c>
      <c r="P148" s="8" t="s">
        <v>4683</v>
      </c>
      <c r="Q148" s="8" t="s">
        <v>4262</v>
      </c>
      <c r="R148" s="8">
        <v>0.36299999999999999</v>
      </c>
      <c r="S148" s="8">
        <v>41029412</v>
      </c>
      <c r="T148" s="8" t="s">
        <v>24</v>
      </c>
      <c r="U148" s="8" t="s">
        <v>46</v>
      </c>
    </row>
    <row r="149" spans="1:21">
      <c r="A149" s="8" t="s">
        <v>4416</v>
      </c>
      <c r="B149" s="8" t="s">
        <v>4685</v>
      </c>
      <c r="C149" s="8">
        <v>4188</v>
      </c>
      <c r="D149" s="8" t="s">
        <v>237</v>
      </c>
      <c r="E149" s="8">
        <v>41621311</v>
      </c>
      <c r="F149" s="8">
        <v>41621311</v>
      </c>
      <c r="G149" s="8" t="s">
        <v>41</v>
      </c>
      <c r="H149" s="8" t="s">
        <v>25</v>
      </c>
      <c r="I149" s="8" t="s">
        <v>23</v>
      </c>
      <c r="J149" s="8" t="s">
        <v>4686</v>
      </c>
      <c r="K149" s="8" t="s">
        <v>4688</v>
      </c>
      <c r="L149" s="8" t="s">
        <v>4687</v>
      </c>
      <c r="M149" s="8">
        <v>946</v>
      </c>
      <c r="N149" s="8" t="s">
        <v>4689</v>
      </c>
      <c r="O149" s="8">
        <v>247</v>
      </c>
      <c r="P149" s="8" t="s">
        <v>35</v>
      </c>
      <c r="Q149" s="8" t="s">
        <v>4262</v>
      </c>
      <c r="R149" s="8">
        <v>0.26900000000000002</v>
      </c>
      <c r="S149" s="8">
        <v>41621311</v>
      </c>
      <c r="T149" s="8" t="s">
        <v>41</v>
      </c>
      <c r="U149" s="8" t="s">
        <v>25</v>
      </c>
    </row>
    <row r="150" spans="1:21">
      <c r="A150" s="8" t="s">
        <v>4416</v>
      </c>
      <c r="B150" s="8" t="s">
        <v>2118</v>
      </c>
      <c r="C150" s="8">
        <v>23304</v>
      </c>
      <c r="D150" s="8" t="s">
        <v>237</v>
      </c>
      <c r="E150" s="8">
        <v>42618107</v>
      </c>
      <c r="F150" s="8">
        <v>42618107</v>
      </c>
      <c r="G150" s="8" t="s">
        <v>25</v>
      </c>
      <c r="H150" s="8" t="s">
        <v>41</v>
      </c>
      <c r="I150" s="8" t="s">
        <v>23</v>
      </c>
      <c r="J150" s="8" t="s">
        <v>4690</v>
      </c>
      <c r="K150" s="8" t="s">
        <v>4692</v>
      </c>
      <c r="L150" s="8" t="s">
        <v>19</v>
      </c>
      <c r="M150" s="8">
        <v>2846</v>
      </c>
      <c r="N150" s="8" t="s">
        <v>604</v>
      </c>
      <c r="O150" s="8">
        <v>850</v>
      </c>
      <c r="P150" s="8" t="s">
        <v>4691</v>
      </c>
      <c r="Q150" s="8" t="s">
        <v>4262</v>
      </c>
      <c r="R150" s="8">
        <v>0.35799999999999998</v>
      </c>
      <c r="S150" s="8">
        <v>42618107</v>
      </c>
      <c r="T150" s="8" t="s">
        <v>25</v>
      </c>
      <c r="U150" s="8" t="s">
        <v>41</v>
      </c>
    </row>
    <row r="151" spans="1:21">
      <c r="A151" s="8" t="s">
        <v>4416</v>
      </c>
      <c r="B151" s="8" t="s">
        <v>4693</v>
      </c>
      <c r="C151" s="8">
        <v>2913</v>
      </c>
      <c r="D151" s="8" t="s">
        <v>257</v>
      </c>
      <c r="E151" s="8">
        <v>86468343</v>
      </c>
      <c r="F151" s="8">
        <v>86468343</v>
      </c>
      <c r="G151" s="8" t="s">
        <v>46</v>
      </c>
      <c r="H151" s="8" t="s">
        <v>41</v>
      </c>
      <c r="I151" s="8" t="s">
        <v>23</v>
      </c>
      <c r="J151" s="8" t="s">
        <v>4694</v>
      </c>
      <c r="K151" s="8" t="s">
        <v>4696</v>
      </c>
      <c r="L151" s="8" t="s">
        <v>19</v>
      </c>
      <c r="M151" s="8">
        <v>2612</v>
      </c>
      <c r="N151" s="8" t="s">
        <v>2400</v>
      </c>
      <c r="O151" s="8">
        <v>505</v>
      </c>
      <c r="P151" s="8" t="s">
        <v>4695</v>
      </c>
      <c r="Q151" s="8" t="s">
        <v>4262</v>
      </c>
      <c r="R151" s="8">
        <v>0.26900000000000002</v>
      </c>
      <c r="S151" s="8">
        <v>86468343</v>
      </c>
      <c r="T151" s="8" t="s">
        <v>46</v>
      </c>
      <c r="U151" s="8" t="s">
        <v>41</v>
      </c>
    </row>
    <row r="152" spans="1:21">
      <c r="A152" s="8" t="s">
        <v>4416</v>
      </c>
      <c r="B152" s="8" t="s">
        <v>4697</v>
      </c>
      <c r="C152" s="8">
        <v>55607</v>
      </c>
      <c r="D152" s="8" t="s">
        <v>257</v>
      </c>
      <c r="E152" s="8">
        <v>94540039</v>
      </c>
      <c r="F152" s="8">
        <v>94540039</v>
      </c>
      <c r="G152" s="8" t="s">
        <v>41</v>
      </c>
      <c r="H152" s="8" t="s">
        <v>25</v>
      </c>
      <c r="I152" s="8" t="s">
        <v>23</v>
      </c>
      <c r="J152" s="8" t="s">
        <v>4698</v>
      </c>
      <c r="K152" s="8" t="s">
        <v>4700</v>
      </c>
      <c r="L152" s="8" t="s">
        <v>19</v>
      </c>
      <c r="M152" s="8">
        <v>830</v>
      </c>
      <c r="N152" s="8" t="s">
        <v>1096</v>
      </c>
      <c r="O152" s="8">
        <v>205</v>
      </c>
      <c r="P152" s="8" t="s">
        <v>4699</v>
      </c>
      <c r="Q152" s="8" t="s">
        <v>4262</v>
      </c>
      <c r="R152" s="8">
        <v>0.27</v>
      </c>
      <c r="S152" s="8">
        <v>94540039</v>
      </c>
      <c r="T152" s="8" t="s">
        <v>41</v>
      </c>
      <c r="U152" s="8" t="s">
        <v>25</v>
      </c>
    </row>
    <row r="153" spans="1:21">
      <c r="A153" s="8" t="s">
        <v>4416</v>
      </c>
      <c r="B153" s="8" t="s">
        <v>807</v>
      </c>
      <c r="C153" s="8">
        <v>83992</v>
      </c>
      <c r="D153" s="8" t="s">
        <v>257</v>
      </c>
      <c r="E153" s="8">
        <v>117364658</v>
      </c>
      <c r="F153" s="8">
        <v>117364658</v>
      </c>
      <c r="G153" s="8" t="s">
        <v>41</v>
      </c>
      <c r="H153" s="8" t="s">
        <v>25</v>
      </c>
      <c r="I153" s="8" t="s">
        <v>23</v>
      </c>
      <c r="J153" s="8" t="s">
        <v>808</v>
      </c>
      <c r="K153" s="8" t="s">
        <v>4702</v>
      </c>
      <c r="L153" s="8" t="s">
        <v>19</v>
      </c>
      <c r="M153" s="8">
        <v>4482</v>
      </c>
      <c r="N153" s="8" t="s">
        <v>604</v>
      </c>
      <c r="O153" s="8">
        <v>1464</v>
      </c>
      <c r="P153" s="8" t="s">
        <v>4701</v>
      </c>
      <c r="Q153" s="8" t="s">
        <v>4262</v>
      </c>
      <c r="R153" s="8">
        <v>0.255</v>
      </c>
      <c r="S153" s="8">
        <v>117364658</v>
      </c>
      <c r="T153" s="8" t="s">
        <v>41</v>
      </c>
      <c r="U153" s="8" t="s">
        <v>25</v>
      </c>
    </row>
    <row r="154" spans="1:21">
      <c r="A154" s="8" t="s">
        <v>4416</v>
      </c>
      <c r="B154" s="8" t="s">
        <v>4703</v>
      </c>
      <c r="C154" s="8">
        <v>813</v>
      </c>
      <c r="D154" s="8" t="s">
        <v>257</v>
      </c>
      <c r="E154" s="8">
        <v>128407573</v>
      </c>
      <c r="F154" s="8">
        <v>128407573</v>
      </c>
      <c r="G154" s="8" t="s">
        <v>25</v>
      </c>
      <c r="H154" s="8" t="s">
        <v>41</v>
      </c>
      <c r="I154" s="8" t="s">
        <v>23</v>
      </c>
      <c r="J154" s="8" t="s">
        <v>4704</v>
      </c>
      <c r="K154" s="8" t="s">
        <v>4706</v>
      </c>
      <c r="L154" s="8" t="s">
        <v>19</v>
      </c>
      <c r="M154" s="8">
        <v>859</v>
      </c>
      <c r="N154" s="8" t="s">
        <v>3136</v>
      </c>
      <c r="O154" s="8">
        <v>236</v>
      </c>
      <c r="P154" s="8" t="s">
        <v>4705</v>
      </c>
      <c r="Q154" s="8" t="s">
        <v>4262</v>
      </c>
      <c r="R154" s="8">
        <v>0.28000000000000003</v>
      </c>
      <c r="S154" s="8">
        <v>128407573</v>
      </c>
      <c r="T154" s="8" t="s">
        <v>25</v>
      </c>
      <c r="U154" s="8" t="s">
        <v>41</v>
      </c>
    </row>
    <row r="155" spans="1:21">
      <c r="A155" s="8" t="s">
        <v>4416</v>
      </c>
      <c r="B155" s="8" t="s">
        <v>4707</v>
      </c>
      <c r="C155" s="8">
        <v>100289678</v>
      </c>
      <c r="D155" s="8" t="s">
        <v>257</v>
      </c>
      <c r="E155" s="8">
        <v>148978619</v>
      </c>
      <c r="F155" s="8">
        <v>148978619</v>
      </c>
      <c r="G155" s="8" t="s">
        <v>24</v>
      </c>
      <c r="H155" s="8" t="s">
        <v>46</v>
      </c>
      <c r="I155" s="8" t="s">
        <v>23</v>
      </c>
      <c r="J155" s="8" t="s">
        <v>4708</v>
      </c>
      <c r="K155" s="8" t="s">
        <v>4710</v>
      </c>
      <c r="L155" s="8" t="s">
        <v>19</v>
      </c>
      <c r="M155" s="8">
        <v>989</v>
      </c>
      <c r="N155" s="8" t="s">
        <v>588</v>
      </c>
      <c r="O155" s="8">
        <v>276</v>
      </c>
      <c r="P155" s="8" t="s">
        <v>4709</v>
      </c>
      <c r="Q155" s="8" t="s">
        <v>4262</v>
      </c>
      <c r="R155" s="8">
        <v>0.23799999999999999</v>
      </c>
      <c r="S155" s="8">
        <v>148978619</v>
      </c>
      <c r="T155" s="8" t="s">
        <v>24</v>
      </c>
      <c r="U155" s="8" t="s">
        <v>46</v>
      </c>
    </row>
    <row r="156" spans="1:21">
      <c r="A156" s="8" t="s">
        <v>4416</v>
      </c>
      <c r="B156" s="8" t="s">
        <v>4711</v>
      </c>
      <c r="C156" s="8">
        <v>168537</v>
      </c>
      <c r="D156" s="8" t="s">
        <v>257</v>
      </c>
      <c r="E156" s="8">
        <v>150217602</v>
      </c>
      <c r="F156" s="8">
        <v>150217602</v>
      </c>
      <c r="G156" s="8" t="s">
        <v>41</v>
      </c>
      <c r="H156" s="8" t="s">
        <v>25</v>
      </c>
      <c r="I156" s="8" t="s">
        <v>23</v>
      </c>
      <c r="J156" s="8" t="s">
        <v>4712</v>
      </c>
      <c r="K156" s="8" t="s">
        <v>4714</v>
      </c>
      <c r="L156" s="8" t="s">
        <v>19</v>
      </c>
      <c r="M156" s="8">
        <v>670</v>
      </c>
      <c r="N156" s="8" t="s">
        <v>3591</v>
      </c>
      <c r="O156" s="8">
        <v>180</v>
      </c>
      <c r="P156" s="8" t="s">
        <v>4713</v>
      </c>
      <c r="Q156" s="8" t="s">
        <v>4262</v>
      </c>
      <c r="R156" s="8">
        <v>0.28399999999999997</v>
      </c>
      <c r="S156" s="8">
        <v>150217602</v>
      </c>
      <c r="T156" s="8" t="s">
        <v>41</v>
      </c>
      <c r="U156" s="8" t="s">
        <v>25</v>
      </c>
    </row>
    <row r="157" spans="1:21">
      <c r="A157" s="8" t="s">
        <v>4416</v>
      </c>
      <c r="B157" s="8" t="s">
        <v>260</v>
      </c>
      <c r="C157" s="8">
        <v>346389</v>
      </c>
      <c r="D157" s="8" t="s">
        <v>257</v>
      </c>
      <c r="E157" s="8">
        <v>20198296</v>
      </c>
      <c r="F157" s="8">
        <v>20198296</v>
      </c>
      <c r="G157" s="8" t="s">
        <v>41</v>
      </c>
      <c r="H157" s="8" t="s">
        <v>25</v>
      </c>
      <c r="I157" s="8" t="s">
        <v>23</v>
      </c>
      <c r="J157" s="8" t="s">
        <v>261</v>
      </c>
      <c r="K157" s="8" t="s">
        <v>4716</v>
      </c>
      <c r="L157" s="8" t="s">
        <v>19</v>
      </c>
      <c r="M157" s="8">
        <v>1997</v>
      </c>
      <c r="N157" s="8" t="s">
        <v>216</v>
      </c>
      <c r="O157" s="8">
        <v>563</v>
      </c>
      <c r="P157" s="8" t="s">
        <v>4715</v>
      </c>
      <c r="Q157" s="8" t="s">
        <v>4262</v>
      </c>
      <c r="R157" s="8">
        <v>0.503</v>
      </c>
      <c r="S157" s="8">
        <v>20198296</v>
      </c>
      <c r="T157" s="8" t="s">
        <v>41</v>
      </c>
      <c r="U157" s="8" t="s">
        <v>25</v>
      </c>
    </row>
    <row r="158" spans="1:21">
      <c r="A158" s="8" t="s">
        <v>4416</v>
      </c>
      <c r="B158" s="8" t="s">
        <v>4717</v>
      </c>
      <c r="C158" s="8">
        <v>8701</v>
      </c>
      <c r="D158" s="8" t="s">
        <v>257</v>
      </c>
      <c r="E158" s="8">
        <v>21727045</v>
      </c>
      <c r="F158" s="8">
        <v>21727045</v>
      </c>
      <c r="G158" s="8" t="s">
        <v>24</v>
      </c>
      <c r="H158" s="8" t="s">
        <v>41</v>
      </c>
      <c r="I158" s="8" t="s">
        <v>23</v>
      </c>
      <c r="J158" s="8" t="s">
        <v>4718</v>
      </c>
      <c r="K158" s="8" t="s">
        <v>4720</v>
      </c>
      <c r="L158" s="8" t="s">
        <v>19</v>
      </c>
      <c r="M158" s="8">
        <v>5876</v>
      </c>
      <c r="N158" s="8" t="s">
        <v>1088</v>
      </c>
      <c r="O158" s="8">
        <v>1949</v>
      </c>
      <c r="P158" s="8" t="s">
        <v>4719</v>
      </c>
      <c r="Q158" s="8" t="s">
        <v>4262</v>
      </c>
      <c r="R158" s="8">
        <v>0.20599999999999999</v>
      </c>
      <c r="S158" s="8">
        <v>21727045</v>
      </c>
      <c r="T158" s="8" t="s">
        <v>24</v>
      </c>
      <c r="U158" s="8" t="s">
        <v>41</v>
      </c>
    </row>
    <row r="159" spans="1:21">
      <c r="A159" s="8" t="s">
        <v>4416</v>
      </c>
      <c r="B159" s="8" t="s">
        <v>2196</v>
      </c>
      <c r="C159" s="8">
        <v>3181</v>
      </c>
      <c r="D159" s="8" t="s">
        <v>257</v>
      </c>
      <c r="E159" s="8">
        <v>26237333</v>
      </c>
      <c r="F159" s="8">
        <v>26237333</v>
      </c>
      <c r="G159" s="8" t="s">
        <v>46</v>
      </c>
      <c r="H159" s="8" t="s">
        <v>25</v>
      </c>
      <c r="I159" s="8" t="s">
        <v>23</v>
      </c>
      <c r="J159" s="8" t="s">
        <v>4721</v>
      </c>
      <c r="K159" s="8" t="s">
        <v>4723</v>
      </c>
      <c r="L159" s="8" t="s">
        <v>19</v>
      </c>
      <c r="M159" s="8">
        <v>278</v>
      </c>
      <c r="N159" s="8" t="s">
        <v>138</v>
      </c>
      <c r="O159" s="8">
        <v>21</v>
      </c>
      <c r="P159" s="8" t="s">
        <v>4722</v>
      </c>
      <c r="Q159" s="8" t="s">
        <v>4262</v>
      </c>
      <c r="R159" s="8">
        <v>0.38900000000000001</v>
      </c>
      <c r="S159" s="8">
        <v>26237333</v>
      </c>
      <c r="T159" s="8" t="s">
        <v>46</v>
      </c>
      <c r="U159" s="8" t="s">
        <v>25</v>
      </c>
    </row>
    <row r="160" spans="1:21">
      <c r="A160" s="8" t="s">
        <v>4416</v>
      </c>
      <c r="B160" s="8" t="s">
        <v>2196</v>
      </c>
      <c r="C160" s="8">
        <v>3181</v>
      </c>
      <c r="D160" s="8" t="s">
        <v>257</v>
      </c>
      <c r="E160" s="8">
        <v>26237334</v>
      </c>
      <c r="F160" s="8">
        <v>26237334</v>
      </c>
      <c r="G160" s="8" t="s">
        <v>24</v>
      </c>
      <c r="H160" s="8" t="s">
        <v>25</v>
      </c>
      <c r="I160" s="8" t="s">
        <v>23</v>
      </c>
      <c r="J160" s="8" t="s">
        <v>4721</v>
      </c>
      <c r="K160" s="8" t="s">
        <v>4723</v>
      </c>
      <c r="L160" s="8" t="s">
        <v>19</v>
      </c>
      <c r="M160" s="8">
        <v>277</v>
      </c>
      <c r="N160" s="8" t="s">
        <v>614</v>
      </c>
      <c r="O160" s="8">
        <v>21</v>
      </c>
      <c r="P160" s="8" t="s">
        <v>4724</v>
      </c>
      <c r="Q160" s="8" t="s">
        <v>4262</v>
      </c>
      <c r="R160" s="8">
        <v>0.35299999999999998</v>
      </c>
      <c r="S160" s="8">
        <v>26237334</v>
      </c>
      <c r="T160" s="8" t="s">
        <v>24</v>
      </c>
      <c r="U160" s="8" t="s">
        <v>25</v>
      </c>
    </row>
    <row r="161" spans="1:21">
      <c r="A161" s="8" t="s">
        <v>4416</v>
      </c>
      <c r="B161" s="8" t="s">
        <v>1864</v>
      </c>
      <c r="C161" s="8">
        <v>84433</v>
      </c>
      <c r="D161" s="8" t="s">
        <v>257</v>
      </c>
      <c r="E161" s="8">
        <v>2974190</v>
      </c>
      <c r="F161" s="8">
        <v>2974190</v>
      </c>
      <c r="G161" s="8" t="s">
        <v>41</v>
      </c>
      <c r="H161" s="8" t="s">
        <v>25</v>
      </c>
      <c r="I161" s="8" t="s">
        <v>23</v>
      </c>
      <c r="J161" s="8" t="s">
        <v>3897</v>
      </c>
      <c r="K161" s="8" t="s">
        <v>4726</v>
      </c>
      <c r="L161" s="8" t="s">
        <v>19</v>
      </c>
      <c r="M161" s="8">
        <v>1749</v>
      </c>
      <c r="N161" s="8" t="s">
        <v>216</v>
      </c>
      <c r="O161" s="8">
        <v>472</v>
      </c>
      <c r="P161" s="8" t="s">
        <v>4725</v>
      </c>
      <c r="Q161" s="8" t="s">
        <v>4262</v>
      </c>
      <c r="R161" s="8">
        <v>0.33300000000000002</v>
      </c>
      <c r="S161" s="8">
        <v>2974190</v>
      </c>
      <c r="T161" s="8" t="s">
        <v>41</v>
      </c>
      <c r="U161" s="8" t="s">
        <v>25</v>
      </c>
    </row>
    <row r="162" spans="1:21">
      <c r="A162" s="8" t="s">
        <v>4416</v>
      </c>
      <c r="B162" s="8" t="s">
        <v>3898</v>
      </c>
      <c r="C162" s="8">
        <v>223075</v>
      </c>
      <c r="D162" s="8" t="s">
        <v>257</v>
      </c>
      <c r="E162" s="8">
        <v>31682530</v>
      </c>
      <c r="F162" s="8">
        <v>31682530</v>
      </c>
      <c r="G162" s="8" t="s">
        <v>24</v>
      </c>
      <c r="H162" s="8" t="s">
        <v>41</v>
      </c>
      <c r="I162" s="8" t="s">
        <v>23</v>
      </c>
      <c r="J162" s="8" t="s">
        <v>4727</v>
      </c>
      <c r="K162" s="8" t="s">
        <v>4730</v>
      </c>
      <c r="L162" s="8" t="s">
        <v>76</v>
      </c>
      <c r="M162" s="8">
        <v>2539</v>
      </c>
      <c r="N162" s="8" t="s">
        <v>263</v>
      </c>
      <c r="O162" s="8">
        <v>516</v>
      </c>
      <c r="P162" s="8" t="s">
        <v>4728</v>
      </c>
      <c r="Q162" s="8" t="s">
        <v>4729</v>
      </c>
      <c r="R162" s="8">
        <v>0.436</v>
      </c>
      <c r="S162" s="8">
        <v>31682530</v>
      </c>
      <c r="T162" s="8" t="s">
        <v>24</v>
      </c>
      <c r="U162" s="8" t="s">
        <v>41</v>
      </c>
    </row>
    <row r="163" spans="1:21">
      <c r="A163" s="8" t="s">
        <v>4416</v>
      </c>
      <c r="B163" s="8" t="s">
        <v>2767</v>
      </c>
      <c r="C163" s="8">
        <v>154664</v>
      </c>
      <c r="D163" s="8" t="s">
        <v>257</v>
      </c>
      <c r="E163" s="8">
        <v>48335462</v>
      </c>
      <c r="F163" s="8">
        <v>48335462</v>
      </c>
      <c r="G163" s="8" t="s">
        <v>41</v>
      </c>
      <c r="H163" s="8" t="s">
        <v>25</v>
      </c>
      <c r="I163" s="8" t="s">
        <v>23</v>
      </c>
      <c r="J163" s="8" t="s">
        <v>2768</v>
      </c>
      <c r="K163" s="8" t="s">
        <v>4731</v>
      </c>
      <c r="L163" s="8" t="s">
        <v>68</v>
      </c>
      <c r="M163" s="8">
        <v>0</v>
      </c>
      <c r="N163" s="8" t="s">
        <v>35</v>
      </c>
      <c r="O163" s="8">
        <v>0</v>
      </c>
      <c r="P163" s="8" t="s">
        <v>35</v>
      </c>
      <c r="Q163" s="8" t="s">
        <v>4262</v>
      </c>
      <c r="R163" s="8">
        <v>0.20399999999999999</v>
      </c>
      <c r="S163" s="8">
        <v>48335462</v>
      </c>
      <c r="T163" s="8" t="s">
        <v>41</v>
      </c>
      <c r="U163" s="8" t="s">
        <v>25</v>
      </c>
    </row>
    <row r="164" spans="1:21">
      <c r="A164" s="8" t="s">
        <v>4416</v>
      </c>
      <c r="B164" s="8" t="s">
        <v>3899</v>
      </c>
      <c r="C164" s="8">
        <v>56903</v>
      </c>
      <c r="D164" s="8" t="s">
        <v>257</v>
      </c>
      <c r="E164" s="8">
        <v>4900784</v>
      </c>
      <c r="F164" s="8">
        <v>4900784</v>
      </c>
      <c r="G164" s="8" t="s">
        <v>41</v>
      </c>
      <c r="H164" s="8" t="s">
        <v>25</v>
      </c>
      <c r="I164" s="8" t="s">
        <v>23</v>
      </c>
      <c r="J164" s="8" t="s">
        <v>3900</v>
      </c>
      <c r="K164" s="8" t="s">
        <v>4733</v>
      </c>
      <c r="L164" s="8" t="s">
        <v>19</v>
      </c>
      <c r="M164" s="8">
        <v>842</v>
      </c>
      <c r="N164" s="8" t="s">
        <v>3131</v>
      </c>
      <c r="O164" s="8">
        <v>220</v>
      </c>
      <c r="P164" s="8" t="s">
        <v>4732</v>
      </c>
      <c r="Q164" s="8" t="s">
        <v>4262</v>
      </c>
      <c r="R164" s="8">
        <v>0.41899999999999998</v>
      </c>
      <c r="S164" s="8">
        <v>4900784</v>
      </c>
      <c r="T164" s="8" t="s">
        <v>41</v>
      </c>
      <c r="U164" s="8" t="s">
        <v>25</v>
      </c>
    </row>
    <row r="165" spans="1:21">
      <c r="A165" s="8" t="s">
        <v>4416</v>
      </c>
      <c r="B165" s="8" t="s">
        <v>3901</v>
      </c>
      <c r="C165" s="8">
        <v>8601</v>
      </c>
      <c r="D165" s="8" t="s">
        <v>279</v>
      </c>
      <c r="E165" s="8">
        <v>54791921</v>
      </c>
      <c r="F165" s="8">
        <v>54791921</v>
      </c>
      <c r="G165" s="8" t="s">
        <v>41</v>
      </c>
      <c r="H165" s="8" t="s">
        <v>46</v>
      </c>
      <c r="I165" s="8" t="s">
        <v>23</v>
      </c>
      <c r="J165" s="8" t="s">
        <v>3902</v>
      </c>
      <c r="K165" s="8" t="s">
        <v>4735</v>
      </c>
      <c r="L165" s="8" t="s">
        <v>19</v>
      </c>
      <c r="M165" s="8">
        <v>361</v>
      </c>
      <c r="N165" s="8" t="s">
        <v>540</v>
      </c>
      <c r="O165" s="8">
        <v>90</v>
      </c>
      <c r="P165" s="8" t="s">
        <v>4734</v>
      </c>
      <c r="Q165" s="8" t="s">
        <v>4262</v>
      </c>
      <c r="R165" s="8">
        <v>0.42099999999999999</v>
      </c>
      <c r="S165" s="8">
        <v>54791921</v>
      </c>
      <c r="T165" s="8" t="s">
        <v>41</v>
      </c>
      <c r="U165" s="8" t="s">
        <v>46</v>
      </c>
    </row>
    <row r="166" spans="1:21">
      <c r="A166" s="8" t="s">
        <v>4416</v>
      </c>
      <c r="B166" s="8" t="s">
        <v>4736</v>
      </c>
      <c r="C166" s="8">
        <v>80243</v>
      </c>
      <c r="D166" s="8" t="s">
        <v>279</v>
      </c>
      <c r="E166" s="8">
        <v>69069565</v>
      </c>
      <c r="F166" s="8">
        <v>69069565</v>
      </c>
      <c r="G166" s="8" t="s">
        <v>25</v>
      </c>
      <c r="H166" s="8" t="s">
        <v>24</v>
      </c>
      <c r="I166" s="8" t="s">
        <v>23</v>
      </c>
      <c r="J166" s="8" t="s">
        <v>4737</v>
      </c>
      <c r="K166" s="8" t="s">
        <v>4739</v>
      </c>
      <c r="L166" s="8" t="s">
        <v>19</v>
      </c>
      <c r="M166" s="8">
        <v>4267</v>
      </c>
      <c r="N166" s="8" t="s">
        <v>4409</v>
      </c>
      <c r="O166" s="8">
        <v>1414</v>
      </c>
      <c r="P166" s="8" t="s">
        <v>4738</v>
      </c>
      <c r="Q166" s="8" t="s">
        <v>4262</v>
      </c>
      <c r="R166" s="8">
        <v>0.123</v>
      </c>
      <c r="S166" s="8">
        <v>69069565</v>
      </c>
      <c r="T166" s="8" t="s">
        <v>25</v>
      </c>
      <c r="U166" s="8" t="s">
        <v>24</v>
      </c>
    </row>
    <row r="167" spans="1:21">
      <c r="A167" s="8" t="s">
        <v>4416</v>
      </c>
      <c r="B167" s="8" t="s">
        <v>2137</v>
      </c>
      <c r="C167" s="8">
        <v>92140</v>
      </c>
      <c r="D167" s="8" t="s">
        <v>279</v>
      </c>
      <c r="E167" s="8">
        <v>98731373</v>
      </c>
      <c r="F167" s="8">
        <v>98731373</v>
      </c>
      <c r="G167" s="8" t="s">
        <v>25</v>
      </c>
      <c r="H167" s="8" t="s">
        <v>24</v>
      </c>
      <c r="I167" s="8" t="s">
        <v>23</v>
      </c>
      <c r="J167" s="8" t="s">
        <v>3903</v>
      </c>
      <c r="K167" s="8" t="s">
        <v>4741</v>
      </c>
      <c r="L167" s="8" t="s">
        <v>19</v>
      </c>
      <c r="M167" s="8">
        <v>1805</v>
      </c>
      <c r="N167" s="8" t="s">
        <v>99</v>
      </c>
      <c r="O167" s="8">
        <v>493</v>
      </c>
      <c r="P167" s="8" t="s">
        <v>4740</v>
      </c>
      <c r="Q167" s="8" t="s">
        <v>4262</v>
      </c>
      <c r="R167" s="8">
        <v>0.495</v>
      </c>
      <c r="S167" s="8">
        <v>98731373</v>
      </c>
      <c r="T167" s="8" t="s">
        <v>25</v>
      </c>
      <c r="U167" s="8" t="s">
        <v>24</v>
      </c>
    </row>
    <row r="168" spans="1:21">
      <c r="A168" s="8" t="s">
        <v>4416</v>
      </c>
      <c r="B168" s="8" t="s">
        <v>2784</v>
      </c>
      <c r="C168" s="8">
        <v>169044</v>
      </c>
      <c r="D168" s="8" t="s">
        <v>279</v>
      </c>
      <c r="E168" s="8">
        <v>139672725</v>
      </c>
      <c r="F168" s="8">
        <v>139672725</v>
      </c>
      <c r="G168" s="8" t="s">
        <v>41</v>
      </c>
      <c r="H168" s="8" t="s">
        <v>25</v>
      </c>
      <c r="I168" s="8" t="s">
        <v>23</v>
      </c>
      <c r="J168" s="8" t="s">
        <v>2785</v>
      </c>
      <c r="K168" s="8" t="s">
        <v>4742</v>
      </c>
      <c r="L168" s="8" t="s">
        <v>68</v>
      </c>
      <c r="M168" s="8">
        <v>0</v>
      </c>
      <c r="N168" s="8" t="s">
        <v>35</v>
      </c>
      <c r="O168" s="8">
        <v>0</v>
      </c>
      <c r="P168" s="8" t="s">
        <v>35</v>
      </c>
      <c r="Q168" s="8" t="s">
        <v>4262</v>
      </c>
      <c r="R168" s="8">
        <v>0.42599999999999999</v>
      </c>
      <c r="S168" s="8">
        <v>139672725</v>
      </c>
      <c r="T168" s="8" t="s">
        <v>41</v>
      </c>
      <c r="U168" s="8" t="s">
        <v>25</v>
      </c>
    </row>
    <row r="169" spans="1:21">
      <c r="A169" s="8" t="s">
        <v>4416</v>
      </c>
      <c r="B169" s="8" t="s">
        <v>4743</v>
      </c>
      <c r="C169" s="8">
        <v>80346</v>
      </c>
      <c r="D169" s="8" t="s">
        <v>279</v>
      </c>
      <c r="E169" s="8">
        <v>21996001</v>
      </c>
      <c r="F169" s="8">
        <v>21996001</v>
      </c>
      <c r="G169" s="8" t="s">
        <v>41</v>
      </c>
      <c r="H169" s="8" t="s">
        <v>25</v>
      </c>
      <c r="I169" s="8" t="s">
        <v>23</v>
      </c>
      <c r="J169" s="8" t="s">
        <v>4744</v>
      </c>
      <c r="K169" s="8" t="s">
        <v>4745</v>
      </c>
      <c r="L169" s="8" t="s">
        <v>4687</v>
      </c>
      <c r="M169" s="8">
        <v>1226</v>
      </c>
      <c r="N169" s="8" t="s">
        <v>4746</v>
      </c>
      <c r="O169" s="8">
        <v>258</v>
      </c>
      <c r="P169" s="8" t="s">
        <v>35</v>
      </c>
      <c r="Q169" s="8" t="s">
        <v>4262</v>
      </c>
      <c r="R169" s="8">
        <v>0.61499999999999999</v>
      </c>
      <c r="S169" s="8">
        <v>21996001</v>
      </c>
      <c r="T169" s="8" t="s">
        <v>41</v>
      </c>
      <c r="U169" s="8" t="s">
        <v>25</v>
      </c>
    </row>
    <row r="170" spans="1:21">
      <c r="A170" s="8" t="s">
        <v>4416</v>
      </c>
      <c r="B170" s="8" t="s">
        <v>2794</v>
      </c>
      <c r="C170" s="8">
        <v>5591</v>
      </c>
      <c r="D170" s="8" t="s">
        <v>279</v>
      </c>
      <c r="E170" s="8">
        <v>48710937</v>
      </c>
      <c r="F170" s="8">
        <v>48710937</v>
      </c>
      <c r="G170" s="8" t="s">
        <v>41</v>
      </c>
      <c r="H170" s="8" t="s">
        <v>25</v>
      </c>
      <c r="I170" s="8" t="s">
        <v>23</v>
      </c>
      <c r="J170" s="8" t="s">
        <v>4747</v>
      </c>
      <c r="K170" s="8" t="s">
        <v>4749</v>
      </c>
      <c r="L170" s="8" t="s">
        <v>19</v>
      </c>
      <c r="M170" s="8">
        <v>10376</v>
      </c>
      <c r="N170" s="8" t="s">
        <v>3136</v>
      </c>
      <c r="O170" s="8">
        <v>3440</v>
      </c>
      <c r="P170" s="8" t="s">
        <v>4748</v>
      </c>
      <c r="Q170" s="8" t="s">
        <v>4262</v>
      </c>
      <c r="R170" s="8">
        <v>0.22900000000000001</v>
      </c>
      <c r="S170" s="8">
        <v>48710937</v>
      </c>
      <c r="T170" s="8" t="s">
        <v>41</v>
      </c>
      <c r="U170" s="8" t="s">
        <v>25</v>
      </c>
    </row>
    <row r="171" spans="1:21">
      <c r="A171" s="8" t="s">
        <v>4416</v>
      </c>
      <c r="B171" s="8" t="s">
        <v>2806</v>
      </c>
      <c r="C171" s="8">
        <v>347168</v>
      </c>
      <c r="D171" s="8" t="s">
        <v>292</v>
      </c>
      <c r="E171" s="8">
        <v>125239967</v>
      </c>
      <c r="F171" s="8">
        <v>125239967</v>
      </c>
      <c r="G171" s="8" t="s">
        <v>41</v>
      </c>
      <c r="H171" s="8" t="s">
        <v>25</v>
      </c>
      <c r="I171" s="8" t="s">
        <v>23</v>
      </c>
      <c r="J171" s="8" t="s">
        <v>2807</v>
      </c>
      <c r="K171" s="8" t="s">
        <v>4751</v>
      </c>
      <c r="L171" s="8" t="s">
        <v>19</v>
      </c>
      <c r="M171" s="8">
        <v>239</v>
      </c>
      <c r="N171" s="8" t="s">
        <v>457</v>
      </c>
      <c r="O171" s="8">
        <v>80</v>
      </c>
      <c r="P171" s="8" t="s">
        <v>4750</v>
      </c>
      <c r="Q171" s="8" t="s">
        <v>4262</v>
      </c>
      <c r="R171" s="8">
        <v>0.224</v>
      </c>
      <c r="S171" s="8">
        <v>125239967</v>
      </c>
      <c r="T171" s="8" t="s">
        <v>41</v>
      </c>
      <c r="U171" s="8" t="s">
        <v>25</v>
      </c>
    </row>
    <row r="172" spans="1:21">
      <c r="A172" s="8" t="s">
        <v>4416</v>
      </c>
      <c r="B172" s="8" t="s">
        <v>3904</v>
      </c>
      <c r="C172" s="8">
        <v>7248</v>
      </c>
      <c r="D172" s="8" t="s">
        <v>292</v>
      </c>
      <c r="E172" s="8">
        <v>135797259</v>
      </c>
      <c r="F172" s="8">
        <v>135797259</v>
      </c>
      <c r="G172" s="8" t="s">
        <v>24</v>
      </c>
      <c r="H172" s="8" t="s">
        <v>41</v>
      </c>
      <c r="I172" s="8" t="s">
        <v>23</v>
      </c>
      <c r="J172" s="8" t="s">
        <v>4752</v>
      </c>
      <c r="K172" s="8" t="s">
        <v>4754</v>
      </c>
      <c r="L172" s="8" t="s">
        <v>19</v>
      </c>
      <c r="M172" s="8">
        <v>844</v>
      </c>
      <c r="N172" s="8" t="s">
        <v>1290</v>
      </c>
      <c r="O172" s="8">
        <v>204</v>
      </c>
      <c r="P172" s="8" t="s">
        <v>4753</v>
      </c>
      <c r="Q172" s="8" t="s">
        <v>4262</v>
      </c>
      <c r="R172" s="8">
        <v>0.39400000000000002</v>
      </c>
      <c r="S172" s="8">
        <v>135797259</v>
      </c>
      <c r="T172" s="8" t="s">
        <v>24</v>
      </c>
      <c r="U172" s="8" t="s">
        <v>41</v>
      </c>
    </row>
    <row r="173" spans="1:21">
      <c r="A173" s="8" t="s">
        <v>4416</v>
      </c>
      <c r="B173" s="8" t="s">
        <v>4755</v>
      </c>
      <c r="C173" s="8">
        <v>2902</v>
      </c>
      <c r="D173" s="8" t="s">
        <v>292</v>
      </c>
      <c r="E173" s="8">
        <v>140059671</v>
      </c>
      <c r="F173" s="8">
        <v>140059671</v>
      </c>
      <c r="G173" s="8" t="s">
        <v>25</v>
      </c>
      <c r="H173" s="8" t="s">
        <v>46</v>
      </c>
      <c r="I173" s="8" t="s">
        <v>23</v>
      </c>
      <c r="J173" s="8" t="s">
        <v>4756</v>
      </c>
      <c r="K173" s="8" t="s">
        <v>4758</v>
      </c>
      <c r="L173" s="8" t="s">
        <v>19</v>
      </c>
      <c r="M173" s="8">
        <v>3016</v>
      </c>
      <c r="N173" s="8" t="s">
        <v>1626</v>
      </c>
      <c r="O173" s="8">
        <v>896</v>
      </c>
      <c r="P173" s="8" t="s">
        <v>4757</v>
      </c>
      <c r="Q173" s="8" t="s">
        <v>4262</v>
      </c>
      <c r="R173" s="8">
        <v>0.375</v>
      </c>
      <c r="S173" s="8">
        <v>140059671</v>
      </c>
      <c r="T173" s="8" t="s">
        <v>25</v>
      </c>
      <c r="U173" s="8" t="s">
        <v>46</v>
      </c>
    </row>
    <row r="174" spans="1:21">
      <c r="A174" s="8" t="s">
        <v>4416</v>
      </c>
      <c r="B174" s="8" t="s">
        <v>3129</v>
      </c>
      <c r="C174" s="8">
        <v>138474</v>
      </c>
      <c r="D174" s="8" t="s">
        <v>292</v>
      </c>
      <c r="E174" s="8">
        <v>32631340</v>
      </c>
      <c r="F174" s="8">
        <v>32631340</v>
      </c>
      <c r="G174" s="8" t="s">
        <v>41</v>
      </c>
      <c r="H174" s="8" t="s">
        <v>25</v>
      </c>
      <c r="I174" s="8" t="s">
        <v>23</v>
      </c>
      <c r="J174" s="8" t="s">
        <v>3130</v>
      </c>
      <c r="K174" s="8" t="s">
        <v>4761</v>
      </c>
      <c r="L174" s="8" t="s">
        <v>19</v>
      </c>
      <c r="M174" s="8">
        <v>4328</v>
      </c>
      <c r="N174" s="8" t="s">
        <v>3549</v>
      </c>
      <c r="O174" s="8">
        <v>1413</v>
      </c>
      <c r="P174" s="8" t="s">
        <v>4759</v>
      </c>
      <c r="Q174" s="8" t="s">
        <v>4760</v>
      </c>
      <c r="R174" s="8">
        <v>0.44500000000000001</v>
      </c>
      <c r="S174" s="8">
        <v>32631340</v>
      </c>
      <c r="T174" s="8" t="s">
        <v>41</v>
      </c>
      <c r="U174" s="8" t="s">
        <v>25</v>
      </c>
    </row>
    <row r="175" spans="1:21">
      <c r="A175" s="8" t="s">
        <v>4416</v>
      </c>
      <c r="B175" s="8" t="s">
        <v>4762</v>
      </c>
      <c r="C175" s="8">
        <v>347688</v>
      </c>
      <c r="D175" s="8" t="s">
        <v>69</v>
      </c>
      <c r="E175" s="8">
        <v>94804</v>
      </c>
      <c r="F175" s="8">
        <v>94804</v>
      </c>
      <c r="G175" s="8" t="s">
        <v>25</v>
      </c>
      <c r="H175" s="8" t="s">
        <v>41</v>
      </c>
      <c r="I175" s="8" t="s">
        <v>23</v>
      </c>
      <c r="J175" s="8" t="s">
        <v>4763</v>
      </c>
      <c r="K175" s="8" t="s">
        <v>4765</v>
      </c>
      <c r="L175" s="8" t="s">
        <v>19</v>
      </c>
      <c r="M175" s="8">
        <v>106</v>
      </c>
      <c r="N175" s="8" t="s">
        <v>1186</v>
      </c>
      <c r="O175" s="8">
        <v>36</v>
      </c>
      <c r="P175" s="8" t="s">
        <v>4764</v>
      </c>
      <c r="Q175" s="8" t="s">
        <v>4262</v>
      </c>
      <c r="R175" s="8">
        <v>0.54500000000000004</v>
      </c>
      <c r="S175" s="8">
        <v>94804</v>
      </c>
      <c r="T175" s="8" t="s">
        <v>25</v>
      </c>
      <c r="U175" s="8" t="s">
        <v>41</v>
      </c>
    </row>
    <row r="176" spans="1:21">
      <c r="A176" s="8" t="s">
        <v>4416</v>
      </c>
      <c r="B176" s="8" t="s">
        <v>4766</v>
      </c>
      <c r="C176" s="8">
        <v>57705</v>
      </c>
      <c r="D176" s="8" t="s">
        <v>69</v>
      </c>
      <c r="E176" s="8">
        <v>50036831</v>
      </c>
      <c r="F176" s="8">
        <v>50036831</v>
      </c>
      <c r="G176" s="8" t="s">
        <v>25</v>
      </c>
      <c r="H176" s="8" t="s">
        <v>41</v>
      </c>
      <c r="I176" s="8" t="s">
        <v>23</v>
      </c>
      <c r="J176" s="8" t="s">
        <v>4767</v>
      </c>
      <c r="K176" s="8" t="s">
        <v>4769</v>
      </c>
      <c r="L176" s="8" t="s">
        <v>19</v>
      </c>
      <c r="M176" s="8">
        <v>6307</v>
      </c>
      <c r="N176" s="8" t="s">
        <v>3268</v>
      </c>
      <c r="O176" s="8">
        <v>2077</v>
      </c>
      <c r="P176" s="8" t="s">
        <v>4768</v>
      </c>
      <c r="Q176" s="8" t="s">
        <v>4262</v>
      </c>
      <c r="R176" s="8">
        <v>0.26500000000000001</v>
      </c>
      <c r="S176" s="8">
        <v>50036831</v>
      </c>
      <c r="T176" s="8" t="s">
        <v>25</v>
      </c>
      <c r="U176" s="8" t="s">
        <v>41</v>
      </c>
    </row>
    <row r="177" spans="1:21">
      <c r="A177" s="8" t="s">
        <v>4416</v>
      </c>
      <c r="B177" s="8" t="s">
        <v>2218</v>
      </c>
      <c r="C177" s="8">
        <v>219736</v>
      </c>
      <c r="D177" s="8" t="s">
        <v>69</v>
      </c>
      <c r="E177" s="8">
        <v>70644679</v>
      </c>
      <c r="F177" s="8">
        <v>70644679</v>
      </c>
      <c r="G177" s="8" t="s">
        <v>25</v>
      </c>
      <c r="H177" s="8" t="s">
        <v>41</v>
      </c>
      <c r="I177" s="8" t="s">
        <v>23</v>
      </c>
      <c r="J177" s="8" t="s">
        <v>4770</v>
      </c>
      <c r="K177" s="8" t="s">
        <v>4772</v>
      </c>
      <c r="L177" s="8" t="s">
        <v>19</v>
      </c>
      <c r="M177" s="8">
        <v>945</v>
      </c>
      <c r="N177" s="8" t="s">
        <v>3078</v>
      </c>
      <c r="O177" s="8">
        <v>266</v>
      </c>
      <c r="P177" s="8" t="s">
        <v>4771</v>
      </c>
      <c r="Q177" s="8" t="s">
        <v>4262</v>
      </c>
      <c r="R177" s="8">
        <v>0.28799999999999998</v>
      </c>
      <c r="S177" s="8">
        <v>70644679</v>
      </c>
      <c r="T177" s="8" t="s">
        <v>25</v>
      </c>
      <c r="U177" s="8" t="s">
        <v>41</v>
      </c>
    </row>
    <row r="178" spans="1:21">
      <c r="A178" s="8" t="s">
        <v>4416</v>
      </c>
      <c r="B178" s="8" t="s">
        <v>3462</v>
      </c>
      <c r="C178" s="8">
        <v>5551</v>
      </c>
      <c r="D178" s="8" t="s">
        <v>69</v>
      </c>
      <c r="E178" s="8">
        <v>72358704</v>
      </c>
      <c r="F178" s="8">
        <v>72358704</v>
      </c>
      <c r="G178" s="8" t="s">
        <v>25</v>
      </c>
      <c r="H178" s="8" t="s">
        <v>41</v>
      </c>
      <c r="I178" s="8" t="s">
        <v>23</v>
      </c>
      <c r="J178" s="8" t="s">
        <v>4773</v>
      </c>
      <c r="K178" s="8" t="s">
        <v>4775</v>
      </c>
      <c r="L178" s="8" t="s">
        <v>19</v>
      </c>
      <c r="M178" s="8">
        <v>908</v>
      </c>
      <c r="N178" s="8" t="s">
        <v>1096</v>
      </c>
      <c r="O178" s="8">
        <v>258</v>
      </c>
      <c r="P178" s="8" t="s">
        <v>4774</v>
      </c>
      <c r="Q178" s="8" t="s">
        <v>4262</v>
      </c>
      <c r="R178" s="8">
        <v>0.52500000000000002</v>
      </c>
      <c r="S178" s="8">
        <v>72358704</v>
      </c>
      <c r="T178" s="8" t="s">
        <v>25</v>
      </c>
      <c r="U178" s="8" t="s">
        <v>41</v>
      </c>
    </row>
    <row r="179" spans="1:21">
      <c r="A179" s="8" t="s">
        <v>4416</v>
      </c>
      <c r="B179" s="8" t="s">
        <v>4776</v>
      </c>
      <c r="C179" s="8">
        <v>51008</v>
      </c>
      <c r="D179" s="8" t="s">
        <v>69</v>
      </c>
      <c r="E179" s="8">
        <v>73970503</v>
      </c>
      <c r="F179" s="8">
        <v>73970503</v>
      </c>
      <c r="G179" s="8" t="s">
        <v>41</v>
      </c>
      <c r="H179" s="8" t="s">
        <v>25</v>
      </c>
      <c r="I179" s="8" t="s">
        <v>23</v>
      </c>
      <c r="J179" s="8" t="s">
        <v>4777</v>
      </c>
      <c r="K179" s="8" t="s">
        <v>4779</v>
      </c>
      <c r="L179" s="8" t="s">
        <v>19</v>
      </c>
      <c r="M179" s="8">
        <v>390</v>
      </c>
      <c r="N179" s="8" t="s">
        <v>1030</v>
      </c>
      <c r="O179" s="8">
        <v>67</v>
      </c>
      <c r="P179" s="8" t="s">
        <v>4778</v>
      </c>
      <c r="Q179" s="8" t="s">
        <v>4262</v>
      </c>
      <c r="R179" s="8">
        <v>0.24399999999999999</v>
      </c>
      <c r="S179" s="8">
        <v>73970503</v>
      </c>
      <c r="T179" s="8" t="s">
        <v>41</v>
      </c>
      <c r="U179" s="8" t="s">
        <v>25</v>
      </c>
    </row>
    <row r="180" spans="1:21">
      <c r="A180" s="8" t="s">
        <v>4416</v>
      </c>
      <c r="B180" s="8" t="s">
        <v>4780</v>
      </c>
      <c r="C180" s="8">
        <v>54537</v>
      </c>
      <c r="D180" s="8" t="s">
        <v>69</v>
      </c>
      <c r="E180" s="8">
        <v>88940015</v>
      </c>
      <c r="F180" s="8">
        <v>88940015</v>
      </c>
      <c r="G180" s="8" t="s">
        <v>25</v>
      </c>
      <c r="H180" s="8" t="s">
        <v>41</v>
      </c>
      <c r="I180" s="8" t="s">
        <v>23</v>
      </c>
      <c r="J180" s="8" t="s">
        <v>4781</v>
      </c>
      <c r="K180" s="8" t="s">
        <v>4783</v>
      </c>
      <c r="L180" s="8" t="s">
        <v>19</v>
      </c>
      <c r="M180" s="8">
        <v>2261</v>
      </c>
      <c r="N180" s="8" t="s">
        <v>216</v>
      </c>
      <c r="O180" s="8">
        <v>716</v>
      </c>
      <c r="P180" s="8" t="s">
        <v>4782</v>
      </c>
      <c r="Q180" s="8" t="s">
        <v>4262</v>
      </c>
      <c r="R180" s="8">
        <v>0.66700000000000004</v>
      </c>
      <c r="S180" s="8">
        <v>88940015</v>
      </c>
      <c r="T180" s="8" t="s">
        <v>25</v>
      </c>
      <c r="U180" s="8" t="s">
        <v>41</v>
      </c>
    </row>
    <row r="181" spans="1:21">
      <c r="A181" s="8" t="s">
        <v>4416</v>
      </c>
      <c r="B181" s="8" t="s">
        <v>4784</v>
      </c>
      <c r="C181" s="8">
        <v>84458</v>
      </c>
      <c r="D181" s="8" t="s">
        <v>69</v>
      </c>
      <c r="E181" s="8">
        <v>98708891</v>
      </c>
      <c r="F181" s="8">
        <v>98708891</v>
      </c>
      <c r="G181" s="8" t="s">
        <v>25</v>
      </c>
      <c r="H181" s="8" t="s">
        <v>24</v>
      </c>
      <c r="I181" s="8" t="s">
        <v>23</v>
      </c>
      <c r="J181" s="8" t="s">
        <v>4785</v>
      </c>
      <c r="K181" s="8" t="s">
        <v>4787</v>
      </c>
      <c r="L181" s="8" t="s">
        <v>19</v>
      </c>
      <c r="M181" s="8">
        <v>620</v>
      </c>
      <c r="N181" s="8" t="s">
        <v>955</v>
      </c>
      <c r="O181" s="8">
        <v>26</v>
      </c>
      <c r="P181" s="8" t="s">
        <v>4786</v>
      </c>
      <c r="Q181" s="8" t="s">
        <v>4262</v>
      </c>
      <c r="R181" s="8">
        <v>0.19700000000000001</v>
      </c>
      <c r="S181" s="8">
        <v>98708891</v>
      </c>
      <c r="T181" s="8" t="s">
        <v>25</v>
      </c>
      <c r="U181" s="8" t="s">
        <v>24</v>
      </c>
    </row>
    <row r="182" spans="1:21">
      <c r="A182" s="8" t="s">
        <v>4416</v>
      </c>
      <c r="B182" s="8" t="s">
        <v>4788</v>
      </c>
      <c r="C182" s="8">
        <v>27291</v>
      </c>
      <c r="D182" s="8" t="s">
        <v>69</v>
      </c>
      <c r="E182" s="8">
        <v>99968506</v>
      </c>
      <c r="F182" s="8">
        <v>99968506</v>
      </c>
      <c r="G182" s="8" t="s">
        <v>25</v>
      </c>
      <c r="H182" s="8" t="s">
        <v>41</v>
      </c>
      <c r="I182" s="8" t="s">
        <v>23</v>
      </c>
      <c r="J182" s="8" t="s">
        <v>4789</v>
      </c>
      <c r="K182" s="8" t="s">
        <v>4791</v>
      </c>
      <c r="L182" s="8" t="s">
        <v>19</v>
      </c>
      <c r="M182" s="8">
        <v>930</v>
      </c>
      <c r="N182" s="8" t="s">
        <v>457</v>
      </c>
      <c r="O182" s="8">
        <v>212</v>
      </c>
      <c r="P182" s="8" t="s">
        <v>4790</v>
      </c>
      <c r="Q182" s="8" t="s">
        <v>4262</v>
      </c>
      <c r="R182" s="8">
        <v>0.51800000000000002</v>
      </c>
      <c r="S182" s="8">
        <v>99968506</v>
      </c>
      <c r="T182" s="8" t="s">
        <v>25</v>
      </c>
      <c r="U182" s="8" t="s">
        <v>41</v>
      </c>
    </row>
    <row r="183" spans="1:21">
      <c r="A183" s="8" t="s">
        <v>4416</v>
      </c>
      <c r="B183" s="8" t="s">
        <v>3835</v>
      </c>
      <c r="C183" s="8">
        <v>9712</v>
      </c>
      <c r="D183" s="8" t="s">
        <v>69</v>
      </c>
      <c r="E183" s="8">
        <v>11535215</v>
      </c>
      <c r="F183" s="8">
        <v>11535215</v>
      </c>
      <c r="G183" s="8" t="s">
        <v>41</v>
      </c>
      <c r="H183" s="8" t="s">
        <v>25</v>
      </c>
      <c r="I183" s="8" t="s">
        <v>23</v>
      </c>
      <c r="J183" s="8" t="s">
        <v>4792</v>
      </c>
      <c r="K183" s="8" t="s">
        <v>4794</v>
      </c>
      <c r="L183" s="8" t="s">
        <v>76</v>
      </c>
      <c r="M183" s="8">
        <v>491</v>
      </c>
      <c r="N183" s="8" t="s">
        <v>274</v>
      </c>
      <c r="O183" s="8">
        <v>150</v>
      </c>
      <c r="P183" s="8" t="s">
        <v>4793</v>
      </c>
      <c r="Q183" s="8" t="s">
        <v>4262</v>
      </c>
      <c r="R183" s="8">
        <v>0.39800000000000002</v>
      </c>
      <c r="S183" s="8">
        <v>11535215</v>
      </c>
      <c r="T183" s="8" t="s">
        <v>41</v>
      </c>
      <c r="U183" s="8" t="s">
        <v>25</v>
      </c>
    </row>
    <row r="184" spans="1:21">
      <c r="A184" s="8" t="s">
        <v>4416</v>
      </c>
      <c r="B184" s="8" t="s">
        <v>829</v>
      </c>
      <c r="C184" s="8">
        <v>119587</v>
      </c>
      <c r="D184" s="8" t="s">
        <v>69</v>
      </c>
      <c r="E184" s="8">
        <v>125516826</v>
      </c>
      <c r="F184" s="8">
        <v>125516826</v>
      </c>
      <c r="G184" s="8" t="s">
        <v>25</v>
      </c>
      <c r="H184" s="8" t="s">
        <v>41</v>
      </c>
      <c r="I184" s="8" t="s">
        <v>23</v>
      </c>
      <c r="J184" s="8" t="s">
        <v>830</v>
      </c>
      <c r="K184" s="8" t="s">
        <v>4796</v>
      </c>
      <c r="L184" s="8" t="s">
        <v>19</v>
      </c>
      <c r="M184" s="8">
        <v>2145</v>
      </c>
      <c r="N184" s="8" t="s">
        <v>1096</v>
      </c>
      <c r="O184" s="8">
        <v>607</v>
      </c>
      <c r="P184" s="8" t="s">
        <v>4795</v>
      </c>
      <c r="Q184" s="8" t="s">
        <v>4262</v>
      </c>
      <c r="R184" s="8">
        <v>0.2</v>
      </c>
      <c r="S184" s="8">
        <v>125516826</v>
      </c>
      <c r="T184" s="8" t="s">
        <v>25</v>
      </c>
      <c r="U184" s="8" t="s">
        <v>41</v>
      </c>
    </row>
    <row r="185" spans="1:21">
      <c r="A185" s="8" t="s">
        <v>4416</v>
      </c>
      <c r="B185" s="8" t="s">
        <v>4797</v>
      </c>
      <c r="C185" s="8">
        <v>10771</v>
      </c>
      <c r="D185" s="8" t="s">
        <v>69</v>
      </c>
      <c r="E185" s="8">
        <v>226065</v>
      </c>
      <c r="F185" s="8">
        <v>226065</v>
      </c>
      <c r="G185" s="8" t="s">
        <v>46</v>
      </c>
      <c r="H185" s="8" t="s">
        <v>24</v>
      </c>
      <c r="I185" s="8" t="s">
        <v>23</v>
      </c>
      <c r="J185" s="8" t="s">
        <v>4798</v>
      </c>
      <c r="K185" s="8" t="s">
        <v>4800</v>
      </c>
      <c r="L185" s="8" t="s">
        <v>19</v>
      </c>
      <c r="M185" s="8">
        <v>132</v>
      </c>
      <c r="N185" s="8" t="s">
        <v>1377</v>
      </c>
      <c r="O185" s="8">
        <v>38</v>
      </c>
      <c r="P185" s="8" t="s">
        <v>4799</v>
      </c>
      <c r="Q185" s="8" t="s">
        <v>4262</v>
      </c>
      <c r="R185" s="8">
        <v>0.28999999999999998</v>
      </c>
      <c r="S185" s="8">
        <v>226065</v>
      </c>
      <c r="T185" s="8" t="s">
        <v>46</v>
      </c>
      <c r="U185" s="8" t="s">
        <v>24</v>
      </c>
    </row>
    <row r="186" spans="1:21">
      <c r="A186" s="8" t="s">
        <v>4416</v>
      </c>
      <c r="B186" s="8" t="s">
        <v>4801</v>
      </c>
      <c r="C186" s="8">
        <v>56243</v>
      </c>
      <c r="D186" s="8" t="s">
        <v>69</v>
      </c>
      <c r="E186" s="8">
        <v>24508629</v>
      </c>
      <c r="F186" s="8">
        <v>24508629</v>
      </c>
      <c r="G186" s="8" t="s">
        <v>25</v>
      </c>
      <c r="H186" s="8" t="s">
        <v>46</v>
      </c>
      <c r="I186" s="8" t="s">
        <v>23</v>
      </c>
      <c r="J186" s="8" t="s">
        <v>4802</v>
      </c>
      <c r="K186" s="8" t="s">
        <v>4804</v>
      </c>
      <c r="L186" s="8" t="s">
        <v>19</v>
      </c>
      <c r="M186" s="8">
        <v>548</v>
      </c>
      <c r="N186" s="8" t="s">
        <v>181</v>
      </c>
      <c r="O186" s="8">
        <v>49</v>
      </c>
      <c r="P186" s="8" t="s">
        <v>4803</v>
      </c>
      <c r="Q186" s="8" t="s">
        <v>4262</v>
      </c>
      <c r="R186" s="8">
        <v>0.34</v>
      </c>
      <c r="S186" s="8">
        <v>24508629</v>
      </c>
      <c r="T186" s="8" t="s">
        <v>25</v>
      </c>
      <c r="U186" s="8" t="s">
        <v>46</v>
      </c>
    </row>
    <row r="187" spans="1:21">
      <c r="A187" s="8" t="s">
        <v>4416</v>
      </c>
      <c r="B187" s="8" t="s">
        <v>3841</v>
      </c>
      <c r="C187" s="8">
        <v>503497</v>
      </c>
      <c r="D187" s="8" t="s">
        <v>83</v>
      </c>
      <c r="E187" s="8">
        <v>60310013</v>
      </c>
      <c r="F187" s="8">
        <v>60310013</v>
      </c>
      <c r="G187" s="8" t="s">
        <v>25</v>
      </c>
      <c r="H187" s="8" t="s">
        <v>41</v>
      </c>
      <c r="I187" s="8" t="s">
        <v>23</v>
      </c>
      <c r="J187" s="8" t="s">
        <v>4805</v>
      </c>
      <c r="K187" s="8" t="s">
        <v>4807</v>
      </c>
      <c r="L187" s="8" t="s">
        <v>19</v>
      </c>
      <c r="M187" s="8">
        <v>747</v>
      </c>
      <c r="N187" s="8" t="s">
        <v>685</v>
      </c>
      <c r="O187" s="8">
        <v>142</v>
      </c>
      <c r="P187" s="8" t="s">
        <v>4806</v>
      </c>
      <c r="Q187" s="8" t="s">
        <v>4262</v>
      </c>
      <c r="R187" s="8">
        <v>0.44</v>
      </c>
      <c r="S187" s="8">
        <v>60310013</v>
      </c>
      <c r="T187" s="8" t="s">
        <v>25</v>
      </c>
      <c r="U187" s="8" t="s">
        <v>41</v>
      </c>
    </row>
    <row r="188" spans="1:21">
      <c r="A188" s="8" t="s">
        <v>4416</v>
      </c>
      <c r="B188" s="8" t="s">
        <v>4808</v>
      </c>
      <c r="C188" s="8">
        <v>55561</v>
      </c>
      <c r="D188" s="8" t="s">
        <v>83</v>
      </c>
      <c r="E188" s="8">
        <v>64609193</v>
      </c>
      <c r="F188" s="8">
        <v>64609193</v>
      </c>
      <c r="G188" s="8" t="s">
        <v>41</v>
      </c>
      <c r="H188" s="8" t="s">
        <v>25</v>
      </c>
      <c r="I188" s="8" t="s">
        <v>23</v>
      </c>
      <c r="J188" s="8" t="s">
        <v>4809</v>
      </c>
      <c r="K188" s="8" t="s">
        <v>4811</v>
      </c>
      <c r="L188" s="8" t="s">
        <v>19</v>
      </c>
      <c r="M188" s="8">
        <v>265</v>
      </c>
      <c r="N188" s="8" t="s">
        <v>604</v>
      </c>
      <c r="O188" s="8">
        <v>89</v>
      </c>
      <c r="P188" s="8" t="s">
        <v>4810</v>
      </c>
      <c r="Q188" s="8" t="s">
        <v>4262</v>
      </c>
      <c r="R188" s="8">
        <v>0.191</v>
      </c>
      <c r="S188" s="8">
        <v>64609193</v>
      </c>
      <c r="T188" s="8" t="s">
        <v>41</v>
      </c>
      <c r="U188" s="8" t="s">
        <v>25</v>
      </c>
    </row>
    <row r="189" spans="1:21">
      <c r="A189" s="8" t="s">
        <v>4416</v>
      </c>
      <c r="B189" s="8" t="s">
        <v>4812</v>
      </c>
      <c r="C189" s="8">
        <v>159989</v>
      </c>
      <c r="D189" s="8" t="s">
        <v>83</v>
      </c>
      <c r="E189" s="8">
        <v>93141532</v>
      </c>
      <c r="F189" s="8">
        <v>93141532</v>
      </c>
      <c r="G189" s="8" t="s">
        <v>41</v>
      </c>
      <c r="H189" s="8" t="s">
        <v>25</v>
      </c>
      <c r="I189" s="8" t="s">
        <v>23</v>
      </c>
      <c r="J189" s="8" t="s">
        <v>4813</v>
      </c>
      <c r="K189" s="8" t="s">
        <v>4815</v>
      </c>
      <c r="L189" s="8" t="s">
        <v>19</v>
      </c>
      <c r="M189" s="8">
        <v>1562</v>
      </c>
      <c r="N189" s="8" t="s">
        <v>3168</v>
      </c>
      <c r="O189" s="8">
        <v>488</v>
      </c>
      <c r="P189" s="8" t="s">
        <v>4814</v>
      </c>
      <c r="Q189" s="8" t="s">
        <v>4262</v>
      </c>
      <c r="R189" s="8">
        <v>0.23100000000000001</v>
      </c>
      <c r="S189" s="8">
        <v>93141532</v>
      </c>
      <c r="T189" s="8" t="s">
        <v>41</v>
      </c>
      <c r="U189" s="8" t="s">
        <v>25</v>
      </c>
    </row>
    <row r="190" spans="1:21">
      <c r="A190" s="8" t="s">
        <v>4416</v>
      </c>
      <c r="B190" s="8" t="s">
        <v>3836</v>
      </c>
      <c r="C190" s="8">
        <v>64066</v>
      </c>
      <c r="D190" s="8" t="s">
        <v>83</v>
      </c>
      <c r="E190" s="8">
        <v>102567557</v>
      </c>
      <c r="F190" s="8">
        <v>102567557</v>
      </c>
      <c r="G190" s="8" t="s">
        <v>25</v>
      </c>
      <c r="H190" s="8" t="s">
        <v>41</v>
      </c>
      <c r="I190" s="8" t="s">
        <v>23</v>
      </c>
      <c r="J190" s="8" t="s">
        <v>3837</v>
      </c>
      <c r="K190" s="8" t="s">
        <v>4817</v>
      </c>
      <c r="L190" s="8" t="s">
        <v>76</v>
      </c>
      <c r="M190" s="8">
        <v>652</v>
      </c>
      <c r="N190" s="8" t="s">
        <v>3668</v>
      </c>
      <c r="O190" s="8">
        <v>210</v>
      </c>
      <c r="P190" s="8" t="s">
        <v>4816</v>
      </c>
      <c r="Q190" s="8" t="s">
        <v>4262</v>
      </c>
      <c r="R190" s="8">
        <v>0.29499999999999998</v>
      </c>
      <c r="S190" s="8">
        <v>102567557</v>
      </c>
      <c r="T190" s="8" t="s">
        <v>25</v>
      </c>
      <c r="U190" s="8" t="s">
        <v>41</v>
      </c>
    </row>
    <row r="191" spans="1:21">
      <c r="A191" s="8" t="s">
        <v>4416</v>
      </c>
      <c r="B191" s="8" t="s">
        <v>2460</v>
      </c>
      <c r="C191" s="8">
        <v>25833</v>
      </c>
      <c r="D191" s="8" t="s">
        <v>83</v>
      </c>
      <c r="E191" s="8">
        <v>120180141</v>
      </c>
      <c r="F191" s="8">
        <v>120180141</v>
      </c>
      <c r="G191" s="8" t="s">
        <v>25</v>
      </c>
      <c r="H191" s="8" t="s">
        <v>41</v>
      </c>
      <c r="I191" s="8" t="s">
        <v>23</v>
      </c>
      <c r="J191" s="8" t="s">
        <v>4818</v>
      </c>
      <c r="K191" s="8" t="s">
        <v>4820</v>
      </c>
      <c r="L191" s="8" t="s">
        <v>19</v>
      </c>
      <c r="M191" s="8">
        <v>1016</v>
      </c>
      <c r="N191" s="8" t="s">
        <v>3078</v>
      </c>
      <c r="O191" s="8">
        <v>305</v>
      </c>
      <c r="P191" s="8" t="s">
        <v>4819</v>
      </c>
      <c r="Q191" s="8" t="s">
        <v>4262</v>
      </c>
      <c r="R191" s="8">
        <v>0.22800000000000001</v>
      </c>
      <c r="S191" s="8">
        <v>120180141</v>
      </c>
      <c r="T191" s="8" t="s">
        <v>25</v>
      </c>
      <c r="U191" s="8" t="s">
        <v>41</v>
      </c>
    </row>
    <row r="192" spans="1:21">
      <c r="A192" s="8" t="s">
        <v>4416</v>
      </c>
      <c r="B192" s="8" t="s">
        <v>4821</v>
      </c>
      <c r="C192" s="8">
        <v>723961</v>
      </c>
      <c r="D192" s="8" t="s">
        <v>83</v>
      </c>
      <c r="E192" s="8">
        <v>2182179</v>
      </c>
      <c r="F192" s="8">
        <v>2182179</v>
      </c>
      <c r="G192" s="8" t="s">
        <v>25</v>
      </c>
      <c r="H192" s="8" t="s">
        <v>41</v>
      </c>
      <c r="I192" s="8" t="s">
        <v>23</v>
      </c>
      <c r="J192" s="8" t="s">
        <v>4822</v>
      </c>
      <c r="K192" s="8" t="s">
        <v>4824</v>
      </c>
      <c r="L192" s="8" t="s">
        <v>19</v>
      </c>
      <c r="M192" s="8">
        <v>82</v>
      </c>
      <c r="N192" s="8" t="s">
        <v>1096</v>
      </c>
      <c r="O192" s="8">
        <v>8</v>
      </c>
      <c r="P192" s="8" t="s">
        <v>4823</v>
      </c>
      <c r="Q192" s="8" t="s">
        <v>4262</v>
      </c>
      <c r="R192" s="8">
        <v>0.32300000000000001</v>
      </c>
      <c r="S192" s="8">
        <v>2182179</v>
      </c>
      <c r="T192" s="8" t="s">
        <v>25</v>
      </c>
      <c r="U192" s="8" t="s">
        <v>41</v>
      </c>
    </row>
    <row r="193" spans="1:21">
      <c r="A193" s="8" t="s">
        <v>4416</v>
      </c>
      <c r="B193" s="8" t="s">
        <v>79</v>
      </c>
      <c r="C193" s="8">
        <v>57084</v>
      </c>
      <c r="D193" s="8" t="s">
        <v>83</v>
      </c>
      <c r="E193" s="8">
        <v>22360089</v>
      </c>
      <c r="F193" s="8">
        <v>22360089</v>
      </c>
      <c r="G193" s="8" t="s">
        <v>24</v>
      </c>
      <c r="H193" s="8" t="s">
        <v>25</v>
      </c>
      <c r="I193" s="8" t="s">
        <v>23</v>
      </c>
      <c r="J193" s="8" t="s">
        <v>80</v>
      </c>
      <c r="K193" s="8" t="s">
        <v>4826</v>
      </c>
      <c r="L193" s="8" t="s">
        <v>19</v>
      </c>
      <c r="M193" s="8">
        <v>423</v>
      </c>
      <c r="N193" s="8" t="s">
        <v>322</v>
      </c>
      <c r="O193" s="8">
        <v>4</v>
      </c>
      <c r="P193" s="8" t="s">
        <v>4825</v>
      </c>
      <c r="Q193" s="8" t="s">
        <v>4262</v>
      </c>
      <c r="R193" s="8">
        <v>0.26400000000000001</v>
      </c>
      <c r="S193" s="8">
        <v>22360089</v>
      </c>
      <c r="T193" s="8" t="s">
        <v>24</v>
      </c>
      <c r="U193" s="8" t="s">
        <v>25</v>
      </c>
    </row>
    <row r="194" spans="1:21">
      <c r="A194" s="8" t="s">
        <v>4416</v>
      </c>
      <c r="B194" s="8" t="s">
        <v>3838</v>
      </c>
      <c r="C194" s="8">
        <v>3732</v>
      </c>
      <c r="D194" s="8" t="s">
        <v>83</v>
      </c>
      <c r="E194" s="8">
        <v>44639809</v>
      </c>
      <c r="F194" s="8">
        <v>44639809</v>
      </c>
      <c r="G194" s="8" t="s">
        <v>25</v>
      </c>
      <c r="H194" s="8" t="s">
        <v>41</v>
      </c>
      <c r="I194" s="8" t="s">
        <v>23</v>
      </c>
      <c r="J194" s="8" t="s">
        <v>4827</v>
      </c>
      <c r="K194" s="8" t="s">
        <v>4829</v>
      </c>
      <c r="L194" s="8" t="s">
        <v>19</v>
      </c>
      <c r="M194" s="8">
        <v>784</v>
      </c>
      <c r="N194" s="8" t="s">
        <v>457</v>
      </c>
      <c r="O194" s="8">
        <v>179</v>
      </c>
      <c r="P194" s="8" t="s">
        <v>4828</v>
      </c>
      <c r="Q194" s="8" t="s">
        <v>4262</v>
      </c>
      <c r="R194" s="8">
        <v>0.44900000000000001</v>
      </c>
      <c r="S194" s="8">
        <v>44639809</v>
      </c>
      <c r="T194" s="8" t="s">
        <v>25</v>
      </c>
      <c r="U194" s="8" t="s">
        <v>41</v>
      </c>
    </row>
    <row r="195" spans="1:21">
      <c r="A195" s="8" t="s">
        <v>4416</v>
      </c>
      <c r="B195" s="8" t="s">
        <v>1890</v>
      </c>
      <c r="C195" s="8">
        <v>2147</v>
      </c>
      <c r="D195" s="8" t="s">
        <v>83</v>
      </c>
      <c r="E195" s="8">
        <v>46747475</v>
      </c>
      <c r="F195" s="8">
        <v>46747475</v>
      </c>
      <c r="G195" s="8" t="s">
        <v>46</v>
      </c>
      <c r="H195" s="8" t="s">
        <v>41</v>
      </c>
      <c r="I195" s="8" t="s">
        <v>23</v>
      </c>
      <c r="J195" s="8" t="s">
        <v>4830</v>
      </c>
      <c r="K195" s="8" t="s">
        <v>4832</v>
      </c>
      <c r="L195" s="8" t="s">
        <v>19</v>
      </c>
      <c r="M195" s="8">
        <v>669</v>
      </c>
      <c r="N195" s="8" t="s">
        <v>522</v>
      </c>
      <c r="O195" s="8">
        <v>209</v>
      </c>
      <c r="P195" s="8" t="s">
        <v>4831</v>
      </c>
      <c r="Q195" s="8" t="s">
        <v>4262</v>
      </c>
      <c r="R195" s="8">
        <v>0.17299999999999999</v>
      </c>
      <c r="S195" s="8">
        <v>46747475</v>
      </c>
      <c r="T195" s="8" t="s">
        <v>46</v>
      </c>
      <c r="U195" s="8" t="s">
        <v>41</v>
      </c>
    </row>
    <row r="196" spans="1:21">
      <c r="A196" s="8" t="s">
        <v>4416</v>
      </c>
      <c r="B196" s="8" t="s">
        <v>3839</v>
      </c>
      <c r="C196" s="8">
        <v>81282</v>
      </c>
      <c r="D196" s="8" t="s">
        <v>83</v>
      </c>
      <c r="E196" s="8">
        <v>4936067</v>
      </c>
      <c r="F196" s="8">
        <v>4936067</v>
      </c>
      <c r="G196" s="8" t="s">
        <v>25</v>
      </c>
      <c r="H196" s="8" t="s">
        <v>41</v>
      </c>
      <c r="I196" s="8" t="s">
        <v>23</v>
      </c>
      <c r="J196" s="8" t="s">
        <v>3840</v>
      </c>
      <c r="K196" s="8" t="s">
        <v>4834</v>
      </c>
      <c r="L196" s="8" t="s">
        <v>19</v>
      </c>
      <c r="M196" s="8">
        <v>827</v>
      </c>
      <c r="N196" s="8" t="s">
        <v>1096</v>
      </c>
      <c r="O196" s="8">
        <v>276</v>
      </c>
      <c r="P196" s="8" t="s">
        <v>4833</v>
      </c>
      <c r="Q196" s="8" t="s">
        <v>4262</v>
      </c>
      <c r="R196" s="8">
        <v>0.41399999999999998</v>
      </c>
      <c r="S196" s="8">
        <v>4936067</v>
      </c>
      <c r="T196" s="8" t="s">
        <v>25</v>
      </c>
      <c r="U196" s="8" t="s">
        <v>41</v>
      </c>
    </row>
    <row r="197" spans="1:21">
      <c r="A197" s="8" t="s">
        <v>4416</v>
      </c>
      <c r="B197" s="8" t="s">
        <v>4835</v>
      </c>
      <c r="C197" s="8">
        <v>3741</v>
      </c>
      <c r="D197" s="8" t="s">
        <v>104</v>
      </c>
      <c r="E197" s="8">
        <v>5154049</v>
      </c>
      <c r="F197" s="8">
        <v>5154049</v>
      </c>
      <c r="G197" s="8" t="s">
        <v>41</v>
      </c>
      <c r="H197" s="8" t="s">
        <v>46</v>
      </c>
      <c r="I197" s="8" t="s">
        <v>23</v>
      </c>
      <c r="J197" s="8" t="s">
        <v>4836</v>
      </c>
      <c r="K197" s="8" t="s">
        <v>4838</v>
      </c>
      <c r="L197" s="8" t="s">
        <v>19</v>
      </c>
      <c r="M197" s="8">
        <v>965</v>
      </c>
      <c r="N197" s="8" t="s">
        <v>1489</v>
      </c>
      <c r="O197" s="8">
        <v>246</v>
      </c>
      <c r="P197" s="8" t="s">
        <v>4837</v>
      </c>
      <c r="Q197" s="8" t="s">
        <v>4262</v>
      </c>
      <c r="R197" s="8">
        <v>0.157</v>
      </c>
      <c r="S197" s="8">
        <v>5154049</v>
      </c>
      <c r="T197" s="8" t="s">
        <v>41</v>
      </c>
      <c r="U197" s="8" t="s">
        <v>46</v>
      </c>
    </row>
    <row r="198" spans="1:21">
      <c r="A198" s="8" t="s">
        <v>4416</v>
      </c>
      <c r="B198" s="8" t="s">
        <v>3843</v>
      </c>
      <c r="C198" s="8">
        <v>3854</v>
      </c>
      <c r="D198" s="8" t="s">
        <v>104</v>
      </c>
      <c r="E198" s="8">
        <v>52845391</v>
      </c>
      <c r="F198" s="8">
        <v>52845391</v>
      </c>
      <c r="G198" s="8" t="s">
        <v>24</v>
      </c>
      <c r="H198" s="8" t="s">
        <v>46</v>
      </c>
      <c r="I198" s="8" t="s">
        <v>23</v>
      </c>
      <c r="J198" s="8" t="s">
        <v>3844</v>
      </c>
      <c r="K198" s="8" t="s">
        <v>4841</v>
      </c>
      <c r="L198" s="8" t="s">
        <v>19</v>
      </c>
      <c r="M198" s="8">
        <v>520</v>
      </c>
      <c r="N198" s="8" t="s">
        <v>667</v>
      </c>
      <c r="O198" s="8">
        <v>158</v>
      </c>
      <c r="P198" s="8" t="s">
        <v>4839</v>
      </c>
      <c r="Q198" s="8" t="s">
        <v>4840</v>
      </c>
      <c r="R198" s="8">
        <v>0.26500000000000001</v>
      </c>
      <c r="S198" s="8">
        <v>52845391</v>
      </c>
      <c r="T198" s="8" t="s">
        <v>24</v>
      </c>
      <c r="U198" s="8" t="s">
        <v>46</v>
      </c>
    </row>
    <row r="199" spans="1:21">
      <c r="A199" s="8" t="s">
        <v>4416</v>
      </c>
      <c r="B199" s="8" t="s">
        <v>4842</v>
      </c>
      <c r="C199" s="8">
        <v>338785</v>
      </c>
      <c r="D199" s="8" t="s">
        <v>104</v>
      </c>
      <c r="E199" s="8">
        <v>53227752</v>
      </c>
      <c r="F199" s="8">
        <v>53227752</v>
      </c>
      <c r="G199" s="8" t="s">
        <v>41</v>
      </c>
      <c r="H199" s="8" t="s">
        <v>25</v>
      </c>
      <c r="I199" s="8" t="s">
        <v>23</v>
      </c>
      <c r="J199" s="8" t="s">
        <v>4843</v>
      </c>
      <c r="K199" s="8" t="s">
        <v>4845</v>
      </c>
      <c r="L199" s="8" t="s">
        <v>19</v>
      </c>
      <c r="M199" s="8">
        <v>326</v>
      </c>
      <c r="N199" s="8" t="s">
        <v>3136</v>
      </c>
      <c r="O199" s="8">
        <v>98</v>
      </c>
      <c r="P199" s="8" t="s">
        <v>4844</v>
      </c>
      <c r="Q199" s="8" t="s">
        <v>4262</v>
      </c>
      <c r="R199" s="8">
        <v>0.35899999999999999</v>
      </c>
      <c r="S199" s="8">
        <v>53227752</v>
      </c>
      <c r="T199" s="8" t="s">
        <v>41</v>
      </c>
      <c r="U199" s="8" t="s">
        <v>25</v>
      </c>
    </row>
    <row r="200" spans="1:21">
      <c r="A200" s="8" t="s">
        <v>4416</v>
      </c>
      <c r="B200" s="8" t="s">
        <v>451</v>
      </c>
      <c r="C200" s="8">
        <v>283310</v>
      </c>
      <c r="D200" s="8" t="s">
        <v>104</v>
      </c>
      <c r="E200" s="8">
        <v>80722875</v>
      </c>
      <c r="F200" s="8">
        <v>80722875</v>
      </c>
      <c r="G200" s="8" t="s">
        <v>25</v>
      </c>
      <c r="H200" s="8" t="s">
        <v>41</v>
      </c>
      <c r="I200" s="8" t="s">
        <v>23</v>
      </c>
      <c r="J200" s="8" t="s">
        <v>452</v>
      </c>
      <c r="K200" s="8" t="s">
        <v>4847</v>
      </c>
      <c r="L200" s="8" t="s">
        <v>76</v>
      </c>
      <c r="M200" s="8">
        <v>4303</v>
      </c>
      <c r="N200" s="8" t="s">
        <v>1103</v>
      </c>
      <c r="O200" s="8">
        <v>1433</v>
      </c>
      <c r="P200" s="8" t="s">
        <v>4846</v>
      </c>
      <c r="Q200" s="8" t="s">
        <v>4262</v>
      </c>
      <c r="R200" s="8">
        <v>0.29899999999999999</v>
      </c>
      <c r="S200" s="8">
        <v>80722875</v>
      </c>
      <c r="T200" s="8" t="s">
        <v>25</v>
      </c>
      <c r="U200" s="8" t="s">
        <v>41</v>
      </c>
    </row>
    <row r="201" spans="1:21">
      <c r="A201" s="8" t="s">
        <v>4416</v>
      </c>
      <c r="B201" s="8" t="s">
        <v>3842</v>
      </c>
      <c r="C201" s="8">
        <v>11113</v>
      </c>
      <c r="D201" s="8" t="s">
        <v>104</v>
      </c>
      <c r="E201" s="8">
        <v>120262989</v>
      </c>
      <c r="F201" s="8">
        <v>120262989</v>
      </c>
      <c r="G201" s="8" t="s">
        <v>41</v>
      </c>
      <c r="H201" s="8" t="s">
        <v>25</v>
      </c>
      <c r="I201" s="8" t="s">
        <v>23</v>
      </c>
      <c r="J201" s="8" t="s">
        <v>4848</v>
      </c>
      <c r="K201" s="8" t="s">
        <v>4850</v>
      </c>
      <c r="L201" s="8" t="s">
        <v>19</v>
      </c>
      <c r="M201" s="8">
        <v>993</v>
      </c>
      <c r="N201" s="8" t="s">
        <v>3703</v>
      </c>
      <c r="O201" s="8">
        <v>313</v>
      </c>
      <c r="P201" s="8" t="s">
        <v>4849</v>
      </c>
      <c r="Q201" s="8" t="s">
        <v>4262</v>
      </c>
      <c r="R201" s="8">
        <v>0.39200000000000002</v>
      </c>
      <c r="S201" s="8">
        <v>120262989</v>
      </c>
      <c r="T201" s="8" t="s">
        <v>41</v>
      </c>
      <c r="U201" s="8" t="s">
        <v>25</v>
      </c>
    </row>
    <row r="202" spans="1:21">
      <c r="A202" s="8" t="s">
        <v>4416</v>
      </c>
      <c r="B202" s="8" t="s">
        <v>4851</v>
      </c>
      <c r="C202" s="8">
        <v>11066</v>
      </c>
      <c r="D202" s="8" t="s">
        <v>104</v>
      </c>
      <c r="E202" s="8">
        <v>123950305</v>
      </c>
      <c r="F202" s="8">
        <v>123950305</v>
      </c>
      <c r="G202" s="8" t="s">
        <v>24</v>
      </c>
      <c r="H202" s="8" t="s">
        <v>25</v>
      </c>
      <c r="I202" s="8" t="s">
        <v>23</v>
      </c>
      <c r="J202" s="8" t="s">
        <v>4852</v>
      </c>
      <c r="K202" s="8" t="s">
        <v>4854</v>
      </c>
      <c r="L202" s="8" t="s">
        <v>19</v>
      </c>
      <c r="M202" s="8">
        <v>283</v>
      </c>
      <c r="N202" s="8" t="s">
        <v>73</v>
      </c>
      <c r="O202" s="8">
        <v>78</v>
      </c>
      <c r="P202" s="8" t="s">
        <v>4853</v>
      </c>
      <c r="Q202" s="8" t="s">
        <v>4262</v>
      </c>
      <c r="R202" s="8">
        <v>0.16900000000000001</v>
      </c>
      <c r="S202" s="8">
        <v>123950305</v>
      </c>
      <c r="T202" s="8" t="s">
        <v>24</v>
      </c>
      <c r="U202" s="8" t="s">
        <v>25</v>
      </c>
    </row>
    <row r="203" spans="1:21">
      <c r="A203" s="8" t="s">
        <v>4416</v>
      </c>
      <c r="B203" s="8" t="s">
        <v>1034</v>
      </c>
      <c r="C203" s="8">
        <v>57634</v>
      </c>
      <c r="D203" s="8" t="s">
        <v>104</v>
      </c>
      <c r="E203" s="8">
        <v>132528254</v>
      </c>
      <c r="F203" s="8">
        <v>132528254</v>
      </c>
      <c r="G203" s="8" t="s">
        <v>25</v>
      </c>
      <c r="H203" s="8" t="s">
        <v>41</v>
      </c>
      <c r="I203" s="8" t="s">
        <v>23</v>
      </c>
      <c r="J203" s="8" t="s">
        <v>1035</v>
      </c>
      <c r="K203" s="8" t="s">
        <v>4856</v>
      </c>
      <c r="L203" s="8" t="s">
        <v>19</v>
      </c>
      <c r="M203" s="8">
        <v>6583</v>
      </c>
      <c r="N203" s="8" t="s">
        <v>3268</v>
      </c>
      <c r="O203" s="8">
        <v>2144</v>
      </c>
      <c r="P203" s="8" t="s">
        <v>4855</v>
      </c>
      <c r="Q203" s="8" t="s">
        <v>4262</v>
      </c>
      <c r="R203" s="8">
        <v>0.28000000000000003</v>
      </c>
      <c r="S203" s="8">
        <v>132528254</v>
      </c>
      <c r="T203" s="8" t="s">
        <v>25</v>
      </c>
      <c r="U203" s="8" t="s">
        <v>41</v>
      </c>
    </row>
    <row r="204" spans="1:21">
      <c r="A204" s="8" t="s">
        <v>4416</v>
      </c>
      <c r="B204" s="8" t="s">
        <v>3001</v>
      </c>
      <c r="C204" s="8">
        <v>93589</v>
      </c>
      <c r="D204" s="8" t="s">
        <v>104</v>
      </c>
      <c r="E204" s="8">
        <v>2017064</v>
      </c>
      <c r="F204" s="8">
        <v>2017064</v>
      </c>
      <c r="G204" s="8" t="s">
        <v>25</v>
      </c>
      <c r="H204" s="8" t="s">
        <v>41</v>
      </c>
      <c r="I204" s="8" t="s">
        <v>23</v>
      </c>
      <c r="J204" s="8" t="s">
        <v>3002</v>
      </c>
      <c r="K204" s="8" t="s">
        <v>4858</v>
      </c>
      <c r="L204" s="8" t="s">
        <v>19</v>
      </c>
      <c r="M204" s="8">
        <v>857</v>
      </c>
      <c r="N204" s="8" t="s">
        <v>1096</v>
      </c>
      <c r="O204" s="8">
        <v>209</v>
      </c>
      <c r="P204" s="8" t="s">
        <v>4857</v>
      </c>
      <c r="Q204" s="8" t="s">
        <v>4262</v>
      </c>
      <c r="R204" s="8">
        <v>0.35699999999999998</v>
      </c>
      <c r="S204" s="8">
        <v>2017064</v>
      </c>
      <c r="T204" s="8" t="s">
        <v>25</v>
      </c>
      <c r="U204" s="8" t="s">
        <v>41</v>
      </c>
    </row>
    <row r="205" spans="1:21">
      <c r="A205" s="8" t="s">
        <v>4416</v>
      </c>
      <c r="B205" s="8" t="s">
        <v>4859</v>
      </c>
      <c r="C205" s="8">
        <v>27253</v>
      </c>
      <c r="D205" s="8" t="s">
        <v>339</v>
      </c>
      <c r="E205" s="8">
        <v>58208538</v>
      </c>
      <c r="F205" s="8">
        <v>58208538</v>
      </c>
      <c r="G205" s="8" t="s">
        <v>25</v>
      </c>
      <c r="H205" s="8" t="s">
        <v>41</v>
      </c>
      <c r="I205" s="8" t="s">
        <v>23</v>
      </c>
      <c r="J205" s="8" t="s">
        <v>4860</v>
      </c>
      <c r="K205" s="8" t="s">
        <v>4862</v>
      </c>
      <c r="L205" s="8" t="s">
        <v>19</v>
      </c>
      <c r="M205" s="8">
        <v>2750</v>
      </c>
      <c r="N205" s="8" t="s">
        <v>1030</v>
      </c>
      <c r="O205" s="8">
        <v>620</v>
      </c>
      <c r="P205" s="8" t="s">
        <v>4861</v>
      </c>
      <c r="Q205" s="8" t="s">
        <v>4262</v>
      </c>
      <c r="R205" s="8">
        <v>0.23499999999999999</v>
      </c>
      <c r="S205" s="8">
        <v>58208538</v>
      </c>
      <c r="T205" s="8" t="s">
        <v>25</v>
      </c>
      <c r="U205" s="8" t="s">
        <v>41</v>
      </c>
    </row>
    <row r="206" spans="1:21">
      <c r="A206" s="8" t="s">
        <v>4416</v>
      </c>
      <c r="B206" s="8" t="s">
        <v>4863</v>
      </c>
      <c r="C206" s="8">
        <v>1910</v>
      </c>
      <c r="D206" s="8" t="s">
        <v>339</v>
      </c>
      <c r="E206" s="8">
        <v>78477706</v>
      </c>
      <c r="F206" s="8">
        <v>78477706</v>
      </c>
      <c r="G206" s="8" t="s">
        <v>25</v>
      </c>
      <c r="H206" s="8" t="s">
        <v>41</v>
      </c>
      <c r="I206" s="8" t="s">
        <v>23</v>
      </c>
      <c r="J206" s="8" t="s">
        <v>4864</v>
      </c>
      <c r="K206" s="8" t="s">
        <v>4866</v>
      </c>
      <c r="L206" s="8" t="s">
        <v>19</v>
      </c>
      <c r="M206" s="8">
        <v>943</v>
      </c>
      <c r="N206" s="8" t="s">
        <v>278</v>
      </c>
      <c r="O206" s="8">
        <v>264</v>
      </c>
      <c r="P206" s="8" t="s">
        <v>4865</v>
      </c>
      <c r="Q206" s="8" t="s">
        <v>4262</v>
      </c>
      <c r="R206" s="8">
        <v>0.20599999999999999</v>
      </c>
      <c r="S206" s="8">
        <v>78477706</v>
      </c>
      <c r="T206" s="8" t="s">
        <v>25</v>
      </c>
      <c r="U206" s="8" t="s">
        <v>41</v>
      </c>
    </row>
    <row r="207" spans="1:21">
      <c r="A207" s="8" t="s">
        <v>4416</v>
      </c>
      <c r="B207" s="8" t="s">
        <v>4867</v>
      </c>
      <c r="C207" s="8">
        <v>1282</v>
      </c>
      <c r="D207" s="8" t="s">
        <v>339</v>
      </c>
      <c r="E207" s="8">
        <v>110804754</v>
      </c>
      <c r="F207" s="8">
        <v>110804754</v>
      </c>
      <c r="G207" s="8" t="s">
        <v>24</v>
      </c>
      <c r="H207" s="8" t="s">
        <v>25</v>
      </c>
      <c r="I207" s="8" t="s">
        <v>23</v>
      </c>
      <c r="J207" s="8" t="s">
        <v>4868</v>
      </c>
      <c r="K207" s="8" t="s">
        <v>4870</v>
      </c>
      <c r="L207" s="8" t="s">
        <v>19</v>
      </c>
      <c r="M207" s="8">
        <v>4977</v>
      </c>
      <c r="N207" s="8" t="s">
        <v>614</v>
      </c>
      <c r="O207" s="8">
        <v>1619</v>
      </c>
      <c r="P207" s="8" t="s">
        <v>4869</v>
      </c>
      <c r="Q207" s="8" t="s">
        <v>4262</v>
      </c>
      <c r="R207" s="8">
        <v>0.189</v>
      </c>
      <c r="S207" s="8">
        <v>110804754</v>
      </c>
      <c r="T207" s="8" t="s">
        <v>24</v>
      </c>
      <c r="U207" s="8" t="s">
        <v>25</v>
      </c>
    </row>
    <row r="208" spans="1:21">
      <c r="A208" s="8" t="s">
        <v>4416</v>
      </c>
      <c r="B208" s="8" t="s">
        <v>2499</v>
      </c>
      <c r="C208" s="8">
        <v>23281</v>
      </c>
      <c r="D208" s="8" t="s">
        <v>339</v>
      </c>
      <c r="E208" s="8">
        <v>29599266</v>
      </c>
      <c r="F208" s="8">
        <v>29599266</v>
      </c>
      <c r="G208" s="8" t="s">
        <v>41</v>
      </c>
      <c r="H208" s="8" t="s">
        <v>46</v>
      </c>
      <c r="I208" s="8" t="s">
        <v>23</v>
      </c>
      <c r="J208" s="8" t="s">
        <v>2500</v>
      </c>
      <c r="K208" s="8" t="s">
        <v>4872</v>
      </c>
      <c r="L208" s="8" t="s">
        <v>19</v>
      </c>
      <c r="M208" s="8">
        <v>519</v>
      </c>
      <c r="N208" s="8" t="s">
        <v>2903</v>
      </c>
      <c r="O208" s="8">
        <v>154</v>
      </c>
      <c r="P208" s="8" t="s">
        <v>4871</v>
      </c>
      <c r="Q208" s="8" t="s">
        <v>4262</v>
      </c>
      <c r="R208" s="8">
        <v>0.215</v>
      </c>
      <c r="S208" s="8">
        <v>29599266</v>
      </c>
      <c r="T208" s="8" t="s">
        <v>41</v>
      </c>
      <c r="U208" s="8" t="s">
        <v>46</v>
      </c>
    </row>
    <row r="209" spans="1:21">
      <c r="A209" s="8" t="s">
        <v>4416</v>
      </c>
      <c r="B209" s="8" t="s">
        <v>4873</v>
      </c>
      <c r="C209" s="8">
        <v>390431</v>
      </c>
      <c r="D209" s="8" t="s">
        <v>118</v>
      </c>
      <c r="E209" s="8">
        <v>20344993</v>
      </c>
      <c r="F209" s="8">
        <v>20344993</v>
      </c>
      <c r="G209" s="8" t="s">
        <v>41</v>
      </c>
      <c r="H209" s="8" t="s">
        <v>25</v>
      </c>
      <c r="I209" s="8" t="s">
        <v>23</v>
      </c>
      <c r="J209" s="8" t="s">
        <v>4874</v>
      </c>
      <c r="K209" s="8" t="s">
        <v>4876</v>
      </c>
      <c r="L209" s="8" t="s">
        <v>76</v>
      </c>
      <c r="M209" s="8">
        <v>567</v>
      </c>
      <c r="N209" s="8" t="s">
        <v>4877</v>
      </c>
      <c r="O209" s="8">
        <v>189</v>
      </c>
      <c r="P209" s="8" t="s">
        <v>4875</v>
      </c>
      <c r="Q209" s="8" t="s">
        <v>4262</v>
      </c>
      <c r="R209" s="8">
        <v>0.17399999999999999</v>
      </c>
      <c r="S209" s="8">
        <v>20344993</v>
      </c>
      <c r="T209" s="8" t="s">
        <v>41</v>
      </c>
      <c r="U209" s="8" t="s">
        <v>25</v>
      </c>
    </row>
    <row r="210" spans="1:21">
      <c r="A210" s="8" t="s">
        <v>4416</v>
      </c>
      <c r="B210" s="8" t="s">
        <v>4878</v>
      </c>
      <c r="C210" s="8">
        <v>4860</v>
      </c>
      <c r="D210" s="8" t="s">
        <v>118</v>
      </c>
      <c r="E210" s="8">
        <v>20943034</v>
      </c>
      <c r="F210" s="8">
        <v>20943034</v>
      </c>
      <c r="G210" s="8" t="s">
        <v>25</v>
      </c>
      <c r="H210" s="8" t="s">
        <v>41</v>
      </c>
      <c r="I210" s="8" t="s">
        <v>23</v>
      </c>
      <c r="J210" s="8" t="s">
        <v>4879</v>
      </c>
      <c r="K210" s="8" t="s">
        <v>4881</v>
      </c>
      <c r="L210" s="8" t="s">
        <v>19</v>
      </c>
      <c r="M210" s="8">
        <v>534</v>
      </c>
      <c r="N210" s="8" t="s">
        <v>792</v>
      </c>
      <c r="O210" s="8">
        <v>130</v>
      </c>
      <c r="P210" s="8" t="s">
        <v>4880</v>
      </c>
      <c r="Q210" s="8" t="s">
        <v>4262</v>
      </c>
      <c r="R210" s="8">
        <v>0.27900000000000003</v>
      </c>
      <c r="S210" s="8">
        <v>20943034</v>
      </c>
      <c r="T210" s="8" t="s">
        <v>25</v>
      </c>
      <c r="U210" s="8" t="s">
        <v>41</v>
      </c>
    </row>
    <row r="211" spans="1:21">
      <c r="A211" s="8" t="s">
        <v>4416</v>
      </c>
      <c r="B211" s="8" t="s">
        <v>3851</v>
      </c>
      <c r="C211" s="8">
        <v>23312</v>
      </c>
      <c r="D211" s="8" t="s">
        <v>120</v>
      </c>
      <c r="E211" s="8">
        <v>51773763</v>
      </c>
      <c r="F211" s="8">
        <v>51773763</v>
      </c>
      <c r="G211" s="8" t="s">
        <v>41</v>
      </c>
      <c r="H211" s="8" t="s">
        <v>25</v>
      </c>
      <c r="I211" s="8" t="s">
        <v>23</v>
      </c>
      <c r="J211" s="8" t="s">
        <v>4882</v>
      </c>
      <c r="K211" s="8" t="s">
        <v>4884</v>
      </c>
      <c r="L211" s="8" t="s">
        <v>19</v>
      </c>
      <c r="M211" s="8">
        <v>5765</v>
      </c>
      <c r="N211" s="8" t="s">
        <v>2366</v>
      </c>
      <c r="O211" s="8">
        <v>1847</v>
      </c>
      <c r="P211" s="8" t="s">
        <v>4883</v>
      </c>
      <c r="Q211" s="8" t="s">
        <v>4262</v>
      </c>
      <c r="R211" s="8">
        <v>0.374</v>
      </c>
      <c r="S211" s="8">
        <v>51773763</v>
      </c>
      <c r="T211" s="8" t="s">
        <v>41</v>
      </c>
      <c r="U211" s="8" t="s">
        <v>25</v>
      </c>
    </row>
    <row r="212" spans="1:21">
      <c r="A212" s="8" t="s">
        <v>4416</v>
      </c>
      <c r="B212" s="8" t="s">
        <v>3852</v>
      </c>
      <c r="C212" s="8">
        <v>145781</v>
      </c>
      <c r="D212" s="8" t="s">
        <v>120</v>
      </c>
      <c r="E212" s="8">
        <v>57918079</v>
      </c>
      <c r="F212" s="8">
        <v>57918079</v>
      </c>
      <c r="G212" s="8" t="s">
        <v>25</v>
      </c>
      <c r="H212" s="8" t="s">
        <v>24</v>
      </c>
      <c r="I212" s="8" t="s">
        <v>23</v>
      </c>
      <c r="J212" s="8" t="s">
        <v>4885</v>
      </c>
      <c r="K212" s="8" t="s">
        <v>4887</v>
      </c>
      <c r="L212" s="8" t="s">
        <v>19</v>
      </c>
      <c r="M212" s="8">
        <v>645</v>
      </c>
      <c r="N212" s="8" t="s">
        <v>2976</v>
      </c>
      <c r="O212" s="8">
        <v>172</v>
      </c>
      <c r="P212" s="8" t="s">
        <v>4886</v>
      </c>
      <c r="Q212" s="8" t="s">
        <v>4262</v>
      </c>
      <c r="R212" s="8">
        <v>0.39500000000000002</v>
      </c>
      <c r="S212" s="8">
        <v>57918079</v>
      </c>
      <c r="T212" s="8" t="s">
        <v>25</v>
      </c>
      <c r="U212" s="8" t="s">
        <v>24</v>
      </c>
    </row>
    <row r="213" spans="1:21">
      <c r="A213" s="8" t="s">
        <v>4416</v>
      </c>
      <c r="B213" s="8" t="s">
        <v>3853</v>
      </c>
      <c r="C213" s="8">
        <v>5780</v>
      </c>
      <c r="D213" s="8" t="s">
        <v>120</v>
      </c>
      <c r="E213" s="8">
        <v>75798209</v>
      </c>
      <c r="F213" s="8">
        <v>75798209</v>
      </c>
      <c r="G213" s="8" t="s">
        <v>46</v>
      </c>
      <c r="H213" s="8" t="s">
        <v>25</v>
      </c>
      <c r="I213" s="8" t="s">
        <v>23</v>
      </c>
      <c r="J213" s="8" t="s">
        <v>3854</v>
      </c>
      <c r="K213" s="8" t="s">
        <v>4889</v>
      </c>
      <c r="L213" s="8" t="s">
        <v>19</v>
      </c>
      <c r="M213" s="8">
        <v>1283</v>
      </c>
      <c r="N213" s="8" t="s">
        <v>883</v>
      </c>
      <c r="O213" s="8">
        <v>259</v>
      </c>
      <c r="P213" s="8" t="s">
        <v>4888</v>
      </c>
      <c r="Q213" s="8" t="s">
        <v>4262</v>
      </c>
      <c r="R213" s="8">
        <v>0.32800000000000001</v>
      </c>
      <c r="S213" s="8">
        <v>75798209</v>
      </c>
      <c r="T213" s="8" t="s">
        <v>46</v>
      </c>
      <c r="U213" s="8" t="s">
        <v>25</v>
      </c>
    </row>
    <row r="214" spans="1:21">
      <c r="A214" s="8" t="s">
        <v>4416</v>
      </c>
      <c r="B214" s="8" t="s">
        <v>3855</v>
      </c>
      <c r="C214" s="8">
        <v>79631</v>
      </c>
      <c r="D214" s="8" t="s">
        <v>120</v>
      </c>
      <c r="E214" s="8">
        <v>82512487</v>
      </c>
      <c r="F214" s="8">
        <v>82512487</v>
      </c>
      <c r="G214" s="8" t="s">
        <v>41</v>
      </c>
      <c r="H214" s="8" t="s">
        <v>25</v>
      </c>
      <c r="I214" s="8" t="s">
        <v>23</v>
      </c>
      <c r="J214" s="8" t="s">
        <v>4890</v>
      </c>
      <c r="K214" s="8" t="s">
        <v>4892</v>
      </c>
      <c r="L214" s="8" t="s">
        <v>19</v>
      </c>
      <c r="M214" s="8">
        <v>1545</v>
      </c>
      <c r="N214" s="8" t="s">
        <v>3136</v>
      </c>
      <c r="O214" s="8">
        <v>459</v>
      </c>
      <c r="P214" s="8" t="s">
        <v>4891</v>
      </c>
      <c r="Q214" s="8" t="s">
        <v>4262</v>
      </c>
      <c r="R214" s="8">
        <v>0.373</v>
      </c>
      <c r="S214" s="8">
        <v>82512487</v>
      </c>
      <c r="T214" s="8" t="s">
        <v>41</v>
      </c>
      <c r="U214" s="8" t="s">
        <v>25</v>
      </c>
    </row>
    <row r="215" spans="1:21">
      <c r="A215" s="8" t="s">
        <v>4416</v>
      </c>
      <c r="B215" s="8" t="s">
        <v>3846</v>
      </c>
      <c r="C215" s="8">
        <v>2567</v>
      </c>
      <c r="D215" s="8" t="s">
        <v>120</v>
      </c>
      <c r="E215" s="8">
        <v>27777908</v>
      </c>
      <c r="F215" s="8">
        <v>27777908</v>
      </c>
      <c r="G215" s="8" t="s">
        <v>41</v>
      </c>
      <c r="H215" s="8" t="s">
        <v>25</v>
      </c>
      <c r="I215" s="8" t="s">
        <v>23</v>
      </c>
      <c r="J215" s="8" t="s">
        <v>3847</v>
      </c>
      <c r="K215" s="8" t="s">
        <v>4894</v>
      </c>
      <c r="L215" s="8" t="s">
        <v>19</v>
      </c>
      <c r="M215" s="8">
        <v>1539</v>
      </c>
      <c r="N215" s="8" t="s">
        <v>40</v>
      </c>
      <c r="O215" s="8">
        <v>429</v>
      </c>
      <c r="P215" s="8" t="s">
        <v>4893</v>
      </c>
      <c r="Q215" s="8" t="s">
        <v>4262</v>
      </c>
      <c r="R215" s="8">
        <v>0.35199999999999998</v>
      </c>
      <c r="S215" s="8">
        <v>27777908</v>
      </c>
      <c r="T215" s="8" t="s">
        <v>41</v>
      </c>
      <c r="U215" s="8" t="s">
        <v>25</v>
      </c>
    </row>
    <row r="216" spans="1:21">
      <c r="A216" s="8" t="s">
        <v>4416</v>
      </c>
      <c r="B216" s="8" t="s">
        <v>3848</v>
      </c>
      <c r="C216" s="8">
        <v>161742</v>
      </c>
      <c r="D216" s="8" t="s">
        <v>120</v>
      </c>
      <c r="E216" s="8">
        <v>38617000</v>
      </c>
      <c r="F216" s="8">
        <v>38617000</v>
      </c>
      <c r="G216" s="8" t="s">
        <v>25</v>
      </c>
      <c r="H216" s="8" t="s">
        <v>46</v>
      </c>
      <c r="I216" s="8" t="s">
        <v>23</v>
      </c>
      <c r="J216" s="8" t="s">
        <v>3849</v>
      </c>
      <c r="K216" s="8" t="s">
        <v>4896</v>
      </c>
      <c r="L216" s="8" t="s">
        <v>19</v>
      </c>
      <c r="M216" s="8">
        <v>748</v>
      </c>
      <c r="N216" s="8" t="s">
        <v>290</v>
      </c>
      <c r="O216" s="8">
        <v>138</v>
      </c>
      <c r="P216" s="8" t="s">
        <v>4895</v>
      </c>
      <c r="Q216" s="8" t="s">
        <v>4262</v>
      </c>
      <c r="R216" s="8">
        <v>0.26700000000000002</v>
      </c>
      <c r="S216" s="8">
        <v>38617000</v>
      </c>
      <c r="T216" s="8" t="s">
        <v>25</v>
      </c>
      <c r="U216" s="8" t="s">
        <v>46</v>
      </c>
    </row>
    <row r="217" spans="1:21">
      <c r="A217" s="8" t="s">
        <v>4416</v>
      </c>
      <c r="B217" s="8" t="s">
        <v>3619</v>
      </c>
      <c r="C217" s="8">
        <v>283748</v>
      </c>
      <c r="D217" s="8" t="s">
        <v>120</v>
      </c>
      <c r="E217" s="8">
        <v>42374566</v>
      </c>
      <c r="F217" s="8">
        <v>42374566</v>
      </c>
      <c r="G217" s="8" t="s">
        <v>41</v>
      </c>
      <c r="H217" s="8" t="s">
        <v>46</v>
      </c>
      <c r="I217" s="8" t="s">
        <v>23</v>
      </c>
      <c r="J217" s="8" t="s">
        <v>3620</v>
      </c>
      <c r="K217" s="8" t="s">
        <v>4898</v>
      </c>
      <c r="L217" s="8" t="s">
        <v>19</v>
      </c>
      <c r="M217" s="8">
        <v>789</v>
      </c>
      <c r="N217" s="8" t="s">
        <v>544</v>
      </c>
      <c r="O217" s="8">
        <v>232</v>
      </c>
      <c r="P217" s="8" t="s">
        <v>4897</v>
      </c>
      <c r="Q217" s="8" t="s">
        <v>4262</v>
      </c>
      <c r="R217" s="8">
        <v>0.17299999999999999</v>
      </c>
      <c r="S217" s="8">
        <v>42374566</v>
      </c>
      <c r="T217" s="8" t="s">
        <v>41</v>
      </c>
      <c r="U217" s="8" t="s">
        <v>46</v>
      </c>
    </row>
    <row r="218" spans="1:21">
      <c r="A218" s="8" t="s">
        <v>4416</v>
      </c>
      <c r="B218" s="8" t="s">
        <v>3755</v>
      </c>
      <c r="C218" s="8">
        <v>50804</v>
      </c>
      <c r="D218" s="8" t="s">
        <v>120</v>
      </c>
      <c r="E218" s="8">
        <v>48441476</v>
      </c>
      <c r="F218" s="8">
        <v>48441476</v>
      </c>
      <c r="G218" s="8" t="s">
        <v>41</v>
      </c>
      <c r="H218" s="8" t="s">
        <v>25</v>
      </c>
      <c r="I218" s="8" t="s">
        <v>23</v>
      </c>
      <c r="J218" s="8" t="s">
        <v>3756</v>
      </c>
      <c r="K218" s="8" t="s">
        <v>4900</v>
      </c>
      <c r="L218" s="8" t="s">
        <v>19</v>
      </c>
      <c r="M218" s="8">
        <v>1595</v>
      </c>
      <c r="N218" s="8" t="s">
        <v>3609</v>
      </c>
      <c r="O218" s="8">
        <v>491</v>
      </c>
      <c r="P218" s="8" t="s">
        <v>4899</v>
      </c>
      <c r="Q218" s="8" t="s">
        <v>4262</v>
      </c>
      <c r="R218" s="8">
        <v>0.309</v>
      </c>
      <c r="S218" s="8">
        <v>48441476</v>
      </c>
      <c r="T218" s="8" t="s">
        <v>41</v>
      </c>
      <c r="U218" s="8" t="s">
        <v>25</v>
      </c>
    </row>
    <row r="219" spans="1:21">
      <c r="A219" s="8" t="s">
        <v>4416</v>
      </c>
      <c r="B219" s="8" t="s">
        <v>3859</v>
      </c>
      <c r="C219" s="8">
        <v>25894</v>
      </c>
      <c r="D219" s="8" t="s">
        <v>129</v>
      </c>
      <c r="E219" s="8">
        <v>67322454</v>
      </c>
      <c r="F219" s="8">
        <v>67322454</v>
      </c>
      <c r="G219" s="8" t="s">
        <v>25</v>
      </c>
      <c r="H219" s="8" t="s">
        <v>41</v>
      </c>
      <c r="I219" s="8" t="s">
        <v>23</v>
      </c>
      <c r="J219" s="8" t="s">
        <v>4901</v>
      </c>
      <c r="K219" s="8" t="s">
        <v>4903</v>
      </c>
      <c r="L219" s="8" t="s">
        <v>19</v>
      </c>
      <c r="M219" s="8">
        <v>3816</v>
      </c>
      <c r="N219" s="8" t="s">
        <v>1030</v>
      </c>
      <c r="O219" s="8">
        <v>1173</v>
      </c>
      <c r="P219" s="8" t="s">
        <v>4902</v>
      </c>
      <c r="Q219" s="8" t="s">
        <v>4262</v>
      </c>
      <c r="R219" s="8">
        <v>0.45600000000000002</v>
      </c>
      <c r="S219" s="8">
        <v>67322454</v>
      </c>
      <c r="T219" s="8" t="s">
        <v>25</v>
      </c>
      <c r="U219" s="8" t="s">
        <v>41</v>
      </c>
    </row>
    <row r="220" spans="1:21">
      <c r="A220" s="8" t="s">
        <v>4416</v>
      </c>
      <c r="B220" s="8" t="s">
        <v>703</v>
      </c>
      <c r="C220" s="8">
        <v>10664</v>
      </c>
      <c r="D220" s="8" t="s">
        <v>129</v>
      </c>
      <c r="E220" s="8">
        <v>67660605</v>
      </c>
      <c r="F220" s="8">
        <v>67660605</v>
      </c>
      <c r="G220" s="8" t="s">
        <v>25</v>
      </c>
      <c r="H220" s="8" t="s">
        <v>41</v>
      </c>
      <c r="I220" s="8" t="s">
        <v>23</v>
      </c>
      <c r="J220" s="8" t="s">
        <v>704</v>
      </c>
      <c r="K220" s="8" t="s">
        <v>4905</v>
      </c>
      <c r="L220" s="8" t="s">
        <v>19</v>
      </c>
      <c r="M220" s="8">
        <v>1949</v>
      </c>
      <c r="N220" s="8" t="s">
        <v>3041</v>
      </c>
      <c r="O220" s="8">
        <v>502</v>
      </c>
      <c r="P220" s="8" t="s">
        <v>4904</v>
      </c>
      <c r="Q220" s="8" t="s">
        <v>4262</v>
      </c>
      <c r="R220" s="8">
        <v>8.5999999999999993E-2</v>
      </c>
      <c r="S220" s="8">
        <v>67660605</v>
      </c>
      <c r="T220" s="8" t="s">
        <v>25</v>
      </c>
      <c r="U220" s="8" t="s">
        <v>41</v>
      </c>
    </row>
    <row r="221" spans="1:21">
      <c r="A221" s="8" t="s">
        <v>4416</v>
      </c>
      <c r="B221" s="8" t="s">
        <v>2535</v>
      </c>
      <c r="C221" s="8">
        <v>1001</v>
      </c>
      <c r="D221" s="8" t="s">
        <v>129</v>
      </c>
      <c r="E221" s="8">
        <v>68679304</v>
      </c>
      <c r="F221" s="8">
        <v>68679304</v>
      </c>
      <c r="G221" s="8" t="s">
        <v>46</v>
      </c>
      <c r="H221" s="8" t="s">
        <v>24</v>
      </c>
      <c r="I221" s="8" t="s">
        <v>23</v>
      </c>
      <c r="J221" s="8" t="s">
        <v>2536</v>
      </c>
      <c r="K221" s="8" t="s">
        <v>4907</v>
      </c>
      <c r="L221" s="8" t="s">
        <v>19</v>
      </c>
      <c r="M221" s="8">
        <v>1154</v>
      </c>
      <c r="N221" s="8" t="s">
        <v>3056</v>
      </c>
      <c r="O221" s="8">
        <v>8</v>
      </c>
      <c r="P221" s="8" t="s">
        <v>4906</v>
      </c>
      <c r="Q221" s="8" t="s">
        <v>4262</v>
      </c>
      <c r="R221" s="8">
        <v>0.26100000000000001</v>
      </c>
      <c r="S221" s="8">
        <v>68679304</v>
      </c>
      <c r="T221" s="8" t="s">
        <v>46</v>
      </c>
      <c r="U221" s="8" t="s">
        <v>24</v>
      </c>
    </row>
    <row r="222" spans="1:21">
      <c r="A222" s="8" t="s">
        <v>4416</v>
      </c>
      <c r="B222" s="8" t="s">
        <v>4908</v>
      </c>
      <c r="C222" s="8">
        <v>4166</v>
      </c>
      <c r="D222" s="8" t="s">
        <v>129</v>
      </c>
      <c r="E222" s="8">
        <v>75512855</v>
      </c>
      <c r="F222" s="8">
        <v>75512855</v>
      </c>
      <c r="G222" s="8" t="s">
        <v>24</v>
      </c>
      <c r="H222" s="8" t="s">
        <v>46</v>
      </c>
      <c r="I222" s="8" t="s">
        <v>23</v>
      </c>
      <c r="J222" s="8" t="s">
        <v>4909</v>
      </c>
      <c r="K222" s="8" t="s">
        <v>4911</v>
      </c>
      <c r="L222" s="8" t="s">
        <v>19</v>
      </c>
      <c r="M222" s="8">
        <v>1052</v>
      </c>
      <c r="N222" s="8" t="s">
        <v>4912</v>
      </c>
      <c r="O222" s="8">
        <v>291</v>
      </c>
      <c r="P222" s="8" t="s">
        <v>4910</v>
      </c>
      <c r="Q222" s="8" t="s">
        <v>4262</v>
      </c>
      <c r="R222" s="8">
        <v>0.17899999999999999</v>
      </c>
      <c r="S222" s="8">
        <v>75512855</v>
      </c>
      <c r="T222" s="8" t="s">
        <v>24</v>
      </c>
      <c r="U222" s="8" t="s">
        <v>46</v>
      </c>
    </row>
    <row r="223" spans="1:21">
      <c r="A223" s="8" t="s">
        <v>4416</v>
      </c>
      <c r="B223" s="8" t="s">
        <v>2174</v>
      </c>
      <c r="C223" s="8">
        <v>83985</v>
      </c>
      <c r="D223" s="8" t="s">
        <v>129</v>
      </c>
      <c r="E223" s="8">
        <v>28994244</v>
      </c>
      <c r="F223" s="8">
        <v>28994244</v>
      </c>
      <c r="G223" s="8" t="s">
        <v>24</v>
      </c>
      <c r="H223" s="8" t="s">
        <v>25</v>
      </c>
      <c r="I223" s="8" t="s">
        <v>23</v>
      </c>
      <c r="J223" s="8" t="s">
        <v>4913</v>
      </c>
      <c r="K223" s="8" t="s">
        <v>4914</v>
      </c>
      <c r="L223" s="8" t="s">
        <v>68</v>
      </c>
      <c r="M223" s="8">
        <v>0</v>
      </c>
      <c r="N223" s="8" t="s">
        <v>35</v>
      </c>
      <c r="O223" s="8">
        <v>0</v>
      </c>
      <c r="P223" s="8" t="s">
        <v>35</v>
      </c>
      <c r="Q223" s="8" t="s">
        <v>4262</v>
      </c>
      <c r="R223" s="8">
        <v>0.25900000000000001</v>
      </c>
      <c r="S223" s="8">
        <v>28994244</v>
      </c>
      <c r="T223" s="8" t="s">
        <v>24</v>
      </c>
      <c r="U223" s="8" t="s">
        <v>25</v>
      </c>
    </row>
    <row r="224" spans="1:21">
      <c r="A224" s="8" t="s">
        <v>4416</v>
      </c>
      <c r="B224" s="8" t="s">
        <v>3858</v>
      </c>
      <c r="C224" s="8">
        <v>1387</v>
      </c>
      <c r="D224" s="8" t="s">
        <v>129</v>
      </c>
      <c r="E224" s="8">
        <v>3786712</v>
      </c>
      <c r="F224" s="8">
        <v>3786712</v>
      </c>
      <c r="G224" s="8" t="s">
        <v>41</v>
      </c>
      <c r="H224" s="8" t="s">
        <v>25</v>
      </c>
      <c r="I224" s="8" t="s">
        <v>23</v>
      </c>
      <c r="J224" s="8" t="s">
        <v>4915</v>
      </c>
      <c r="K224" s="8" t="s">
        <v>4918</v>
      </c>
      <c r="L224" s="8" t="s">
        <v>19</v>
      </c>
      <c r="M224" s="8">
        <v>4703</v>
      </c>
      <c r="N224" s="8" t="s">
        <v>3136</v>
      </c>
      <c r="O224" s="8">
        <v>1500</v>
      </c>
      <c r="P224" s="8" t="s">
        <v>4916</v>
      </c>
      <c r="Q224" s="8" t="s">
        <v>4917</v>
      </c>
      <c r="R224" s="8">
        <v>0.50800000000000001</v>
      </c>
      <c r="S224" s="8">
        <v>3786712</v>
      </c>
      <c r="T224" s="8" t="s">
        <v>41</v>
      </c>
      <c r="U224" s="8" t="s">
        <v>25</v>
      </c>
    </row>
    <row r="225" spans="1:21">
      <c r="A225" s="8" t="s">
        <v>4416</v>
      </c>
      <c r="B225" s="8" t="s">
        <v>3862</v>
      </c>
      <c r="C225" s="8">
        <v>388403</v>
      </c>
      <c r="D225" s="8" t="s">
        <v>133</v>
      </c>
      <c r="E225" s="8">
        <v>57474466</v>
      </c>
      <c r="F225" s="8">
        <v>57474466</v>
      </c>
      <c r="G225" s="8" t="s">
        <v>25</v>
      </c>
      <c r="H225" s="8" t="s">
        <v>41</v>
      </c>
      <c r="I225" s="8" t="s">
        <v>23</v>
      </c>
      <c r="J225" s="8" t="s">
        <v>3863</v>
      </c>
      <c r="K225" s="8" t="s">
        <v>4920</v>
      </c>
      <c r="L225" s="8" t="s">
        <v>19</v>
      </c>
      <c r="M225" s="8">
        <v>603</v>
      </c>
      <c r="N225" s="8" t="s">
        <v>2366</v>
      </c>
      <c r="O225" s="8">
        <v>92</v>
      </c>
      <c r="P225" s="8" t="s">
        <v>4919</v>
      </c>
      <c r="Q225" s="8" t="s">
        <v>4262</v>
      </c>
      <c r="R225" s="8">
        <v>0.39500000000000002</v>
      </c>
      <c r="S225" s="8">
        <v>57474466</v>
      </c>
      <c r="T225" s="8" t="s">
        <v>25</v>
      </c>
      <c r="U225" s="8" t="s">
        <v>41</v>
      </c>
    </row>
    <row r="226" spans="1:21">
      <c r="A226" s="8" t="s">
        <v>4416</v>
      </c>
      <c r="B226" s="8" t="s">
        <v>2566</v>
      </c>
      <c r="C226" s="8">
        <v>22899</v>
      </c>
      <c r="D226" s="8" t="s">
        <v>133</v>
      </c>
      <c r="E226" s="8">
        <v>8224265</v>
      </c>
      <c r="F226" s="8">
        <v>8224265</v>
      </c>
      <c r="G226" s="8" t="s">
        <v>25</v>
      </c>
      <c r="H226" s="8" t="s">
        <v>41</v>
      </c>
      <c r="I226" s="8" t="s">
        <v>23</v>
      </c>
      <c r="J226" s="8" t="s">
        <v>4921</v>
      </c>
      <c r="K226" s="8" t="s">
        <v>4923</v>
      </c>
      <c r="L226" s="8" t="s">
        <v>19</v>
      </c>
      <c r="M226" s="8">
        <v>2635</v>
      </c>
      <c r="N226" s="8" t="s">
        <v>1115</v>
      </c>
      <c r="O226" s="8">
        <v>827</v>
      </c>
      <c r="P226" s="8" t="s">
        <v>4922</v>
      </c>
      <c r="Q226" s="8" t="s">
        <v>4262</v>
      </c>
      <c r="R226" s="8">
        <v>0.317</v>
      </c>
      <c r="S226" s="8">
        <v>8224265</v>
      </c>
      <c r="T226" s="8" t="s">
        <v>25</v>
      </c>
      <c r="U226" s="8" t="s">
        <v>41</v>
      </c>
    </row>
    <row r="227" spans="1:21">
      <c r="A227" s="8" t="s">
        <v>4416</v>
      </c>
      <c r="B227" s="8" t="s">
        <v>4924</v>
      </c>
      <c r="C227" s="8">
        <v>4626</v>
      </c>
      <c r="D227" s="8" t="s">
        <v>133</v>
      </c>
      <c r="E227" s="8">
        <v>10298564</v>
      </c>
      <c r="F227" s="8">
        <v>10298564</v>
      </c>
      <c r="G227" s="8" t="s">
        <v>41</v>
      </c>
      <c r="H227" s="8" t="s">
        <v>25</v>
      </c>
      <c r="I227" s="8" t="s">
        <v>23</v>
      </c>
      <c r="J227" s="8" t="s">
        <v>4925</v>
      </c>
      <c r="K227" s="8" t="s">
        <v>4927</v>
      </c>
      <c r="L227" s="8" t="s">
        <v>19</v>
      </c>
      <c r="M227" s="8">
        <v>4943</v>
      </c>
      <c r="N227" s="8" t="s">
        <v>3627</v>
      </c>
      <c r="O227" s="8">
        <v>1616</v>
      </c>
      <c r="P227" s="8" t="s">
        <v>4926</v>
      </c>
      <c r="Q227" s="8" t="s">
        <v>4262</v>
      </c>
      <c r="R227" s="8">
        <v>0.14199999999999999</v>
      </c>
      <c r="S227" s="8">
        <v>10298564</v>
      </c>
      <c r="T227" s="8" t="s">
        <v>41</v>
      </c>
      <c r="U227" s="8" t="s">
        <v>25</v>
      </c>
    </row>
    <row r="228" spans="1:21">
      <c r="A228" s="8" t="s">
        <v>4416</v>
      </c>
      <c r="B228" s="8" t="s">
        <v>4928</v>
      </c>
      <c r="C228" s="8">
        <v>201163</v>
      </c>
      <c r="D228" s="8" t="s">
        <v>133</v>
      </c>
      <c r="E228" s="8">
        <v>17118333</v>
      </c>
      <c r="F228" s="8">
        <v>17118333</v>
      </c>
      <c r="G228" s="8" t="s">
        <v>24</v>
      </c>
      <c r="H228" s="8" t="s">
        <v>25</v>
      </c>
      <c r="I228" s="8" t="s">
        <v>23</v>
      </c>
      <c r="J228" s="8" t="s">
        <v>4929</v>
      </c>
      <c r="K228" s="8" t="s">
        <v>4931</v>
      </c>
      <c r="L228" s="8" t="s">
        <v>76</v>
      </c>
      <c r="M228" s="8">
        <v>2008</v>
      </c>
      <c r="N228" s="8" t="s">
        <v>371</v>
      </c>
      <c r="O228" s="8">
        <v>502</v>
      </c>
      <c r="P228" s="8" t="s">
        <v>4930</v>
      </c>
      <c r="Q228" s="8" t="s">
        <v>4262</v>
      </c>
      <c r="R228" s="8">
        <v>0.34899999999999998</v>
      </c>
      <c r="S228" s="8">
        <v>17118333</v>
      </c>
      <c r="T228" s="8" t="s">
        <v>24</v>
      </c>
      <c r="U228" s="8" t="s">
        <v>25</v>
      </c>
    </row>
    <row r="229" spans="1:21">
      <c r="A229" s="8" t="s">
        <v>4416</v>
      </c>
      <c r="B229" s="8" t="s">
        <v>4029</v>
      </c>
      <c r="C229" s="8">
        <v>100653095</v>
      </c>
      <c r="D229" s="8" t="s">
        <v>133</v>
      </c>
      <c r="E229" s="8">
        <v>21319701</v>
      </c>
      <c r="F229" s="8">
        <v>21319701</v>
      </c>
      <c r="G229" s="8" t="s">
        <v>41</v>
      </c>
      <c r="H229" s="8" t="s">
        <v>25</v>
      </c>
      <c r="I229" s="8" t="s">
        <v>23</v>
      </c>
      <c r="J229" s="8" t="s">
        <v>4932</v>
      </c>
      <c r="K229" s="8" t="s">
        <v>4934</v>
      </c>
      <c r="L229" s="8" t="s">
        <v>76</v>
      </c>
      <c r="M229" s="8">
        <v>1258</v>
      </c>
      <c r="N229" s="8" t="s">
        <v>3881</v>
      </c>
      <c r="O229" s="8">
        <v>349</v>
      </c>
      <c r="P229" s="8" t="s">
        <v>4933</v>
      </c>
      <c r="Q229" s="8" t="s">
        <v>4262</v>
      </c>
      <c r="R229" s="8">
        <v>0.14599999999999999</v>
      </c>
      <c r="S229" s="8">
        <v>21319701</v>
      </c>
      <c r="T229" s="8" t="s">
        <v>41</v>
      </c>
      <c r="U229" s="8" t="s">
        <v>25</v>
      </c>
    </row>
    <row r="230" spans="1:21">
      <c r="A230" s="8" t="s">
        <v>4416</v>
      </c>
      <c r="B230" s="8" t="s">
        <v>4935</v>
      </c>
      <c r="C230" s="8">
        <v>3885</v>
      </c>
      <c r="D230" s="8" t="s">
        <v>133</v>
      </c>
      <c r="E230" s="8">
        <v>39537438</v>
      </c>
      <c r="F230" s="8">
        <v>39537438</v>
      </c>
      <c r="G230" s="8" t="s">
        <v>25</v>
      </c>
      <c r="H230" s="8" t="s">
        <v>41</v>
      </c>
      <c r="I230" s="8" t="s">
        <v>23</v>
      </c>
      <c r="J230" s="8" t="s">
        <v>4936</v>
      </c>
      <c r="K230" s="8" t="s">
        <v>4938</v>
      </c>
      <c r="L230" s="8" t="s">
        <v>19</v>
      </c>
      <c r="M230" s="8">
        <v>596</v>
      </c>
      <c r="N230" s="8" t="s">
        <v>1096</v>
      </c>
      <c r="O230" s="8">
        <v>195</v>
      </c>
      <c r="P230" s="8" t="s">
        <v>4937</v>
      </c>
      <c r="Q230" s="8" t="s">
        <v>4262</v>
      </c>
      <c r="R230" s="8">
        <v>0.37</v>
      </c>
      <c r="S230" s="8">
        <v>39537438</v>
      </c>
      <c r="T230" s="8" t="s">
        <v>25</v>
      </c>
      <c r="U230" s="8" t="s">
        <v>41</v>
      </c>
    </row>
    <row r="231" spans="1:21">
      <c r="A231" s="8" t="s">
        <v>4416</v>
      </c>
      <c r="B231" s="8" t="s">
        <v>3860</v>
      </c>
      <c r="C231" s="8">
        <v>3882</v>
      </c>
      <c r="D231" s="8" t="s">
        <v>133</v>
      </c>
      <c r="E231" s="8">
        <v>39622042</v>
      </c>
      <c r="F231" s="8">
        <v>39622042</v>
      </c>
      <c r="G231" s="8" t="s">
        <v>41</v>
      </c>
      <c r="H231" s="8" t="s">
        <v>25</v>
      </c>
      <c r="I231" s="8" t="s">
        <v>23</v>
      </c>
      <c r="J231" s="8" t="s">
        <v>3861</v>
      </c>
      <c r="K231" s="8" t="s">
        <v>4940</v>
      </c>
      <c r="L231" s="8" t="s">
        <v>76</v>
      </c>
      <c r="M231" s="8">
        <v>752</v>
      </c>
      <c r="N231" s="8" t="s">
        <v>2961</v>
      </c>
      <c r="O231" s="8">
        <v>231</v>
      </c>
      <c r="P231" s="8" t="s">
        <v>4939</v>
      </c>
      <c r="Q231" s="8" t="s">
        <v>4262</v>
      </c>
      <c r="R231" s="8">
        <v>0.41499999999999998</v>
      </c>
      <c r="S231" s="8">
        <v>39622042</v>
      </c>
      <c r="T231" s="8" t="s">
        <v>41</v>
      </c>
      <c r="U231" s="8" t="s">
        <v>25</v>
      </c>
    </row>
    <row r="232" spans="1:21">
      <c r="A232" s="8" t="s">
        <v>4416</v>
      </c>
      <c r="B232" s="8" t="s">
        <v>362</v>
      </c>
      <c r="C232" s="8">
        <v>8506</v>
      </c>
      <c r="D232" s="8" t="s">
        <v>133</v>
      </c>
      <c r="E232" s="8">
        <v>40847689</v>
      </c>
      <c r="F232" s="8">
        <v>40847689</v>
      </c>
      <c r="G232" s="8" t="s">
        <v>25</v>
      </c>
      <c r="H232" s="8" t="s">
        <v>46</v>
      </c>
      <c r="I232" s="8" t="s">
        <v>23</v>
      </c>
      <c r="J232" s="8" t="s">
        <v>363</v>
      </c>
      <c r="K232" s="8" t="s">
        <v>4942</v>
      </c>
      <c r="L232" s="8" t="s">
        <v>19</v>
      </c>
      <c r="M232" s="8">
        <v>3359</v>
      </c>
      <c r="N232" s="8" t="s">
        <v>4943</v>
      </c>
      <c r="O232" s="8">
        <v>1048</v>
      </c>
      <c r="P232" s="8" t="s">
        <v>4941</v>
      </c>
      <c r="Q232" s="8" t="s">
        <v>4262</v>
      </c>
      <c r="R232" s="8">
        <v>0.24299999999999999</v>
      </c>
      <c r="S232" s="8">
        <v>40847689</v>
      </c>
      <c r="T232" s="8" t="s">
        <v>25</v>
      </c>
      <c r="U232" s="8" t="s">
        <v>46</v>
      </c>
    </row>
    <row r="233" spans="1:21">
      <c r="A233" s="8" t="s">
        <v>4416</v>
      </c>
      <c r="B233" s="8" t="s">
        <v>2552</v>
      </c>
      <c r="C233" s="8">
        <v>8714</v>
      </c>
      <c r="D233" s="8" t="s">
        <v>133</v>
      </c>
      <c r="E233" s="8">
        <v>48736605</v>
      </c>
      <c r="F233" s="8">
        <v>48736605</v>
      </c>
      <c r="G233" s="8" t="s">
        <v>25</v>
      </c>
      <c r="H233" s="8" t="s">
        <v>41</v>
      </c>
      <c r="I233" s="8" t="s">
        <v>23</v>
      </c>
      <c r="J233" s="8" t="s">
        <v>2553</v>
      </c>
      <c r="K233" s="8" t="s">
        <v>4945</v>
      </c>
      <c r="L233" s="8" t="s">
        <v>19</v>
      </c>
      <c r="M233" s="8">
        <v>762</v>
      </c>
      <c r="N233" s="8" t="s">
        <v>1607</v>
      </c>
      <c r="O233" s="8">
        <v>228</v>
      </c>
      <c r="P233" s="8" t="s">
        <v>4944</v>
      </c>
      <c r="Q233" s="8" t="s">
        <v>4262</v>
      </c>
      <c r="R233" s="8">
        <v>0.25</v>
      </c>
      <c r="S233" s="8">
        <v>48736605</v>
      </c>
      <c r="T233" s="8" t="s">
        <v>25</v>
      </c>
      <c r="U233" s="8" t="s">
        <v>41</v>
      </c>
    </row>
    <row r="234" spans="1:21">
      <c r="A234" s="8" t="s">
        <v>4416</v>
      </c>
      <c r="B234" s="8" t="s">
        <v>4946</v>
      </c>
      <c r="C234" s="8">
        <v>91369</v>
      </c>
      <c r="D234" s="8" t="s">
        <v>133</v>
      </c>
      <c r="E234" s="8">
        <v>48776853</v>
      </c>
      <c r="F234" s="8">
        <v>48776853</v>
      </c>
      <c r="G234" s="8" t="s">
        <v>41</v>
      </c>
      <c r="H234" s="8" t="s">
        <v>24</v>
      </c>
      <c r="I234" s="8" t="s">
        <v>23</v>
      </c>
      <c r="J234" s="8" t="s">
        <v>4947</v>
      </c>
      <c r="K234" s="8" t="s">
        <v>4949</v>
      </c>
      <c r="L234" s="8" t="s">
        <v>19</v>
      </c>
      <c r="M234" s="8">
        <v>940</v>
      </c>
      <c r="N234" s="8" t="s">
        <v>3175</v>
      </c>
      <c r="O234" s="8">
        <v>229</v>
      </c>
      <c r="P234" s="8" t="s">
        <v>4948</v>
      </c>
      <c r="Q234" s="8" t="s">
        <v>4262</v>
      </c>
      <c r="R234" s="8">
        <v>0.23599999999999999</v>
      </c>
      <c r="S234" s="8">
        <v>48776853</v>
      </c>
      <c r="T234" s="8" t="s">
        <v>41</v>
      </c>
      <c r="U234" s="8" t="s">
        <v>24</v>
      </c>
    </row>
    <row r="235" spans="1:21">
      <c r="A235" s="8" t="s">
        <v>4416</v>
      </c>
      <c r="B235" s="8" t="s">
        <v>4950</v>
      </c>
      <c r="C235" s="8">
        <v>55205</v>
      </c>
      <c r="D235" s="8" t="s">
        <v>135</v>
      </c>
      <c r="E235" s="8">
        <v>56587704</v>
      </c>
      <c r="F235" s="8">
        <v>56587704</v>
      </c>
      <c r="G235" s="8" t="s">
        <v>41</v>
      </c>
      <c r="H235" s="8" t="s">
        <v>25</v>
      </c>
      <c r="I235" s="8" t="s">
        <v>23</v>
      </c>
      <c r="J235" s="8" t="s">
        <v>4951</v>
      </c>
      <c r="K235" s="8" t="s">
        <v>4953</v>
      </c>
      <c r="L235" s="8" t="s">
        <v>19</v>
      </c>
      <c r="M235" s="8">
        <v>2732</v>
      </c>
      <c r="N235" s="8" t="s">
        <v>4954</v>
      </c>
      <c r="O235" s="8">
        <v>729</v>
      </c>
      <c r="P235" s="8" t="s">
        <v>4952</v>
      </c>
      <c r="Q235" s="8" t="s">
        <v>4262</v>
      </c>
      <c r="R235" s="8">
        <v>0.40799999999999997</v>
      </c>
      <c r="S235" s="8">
        <v>56587704</v>
      </c>
      <c r="T235" s="8" t="s">
        <v>41</v>
      </c>
      <c r="U235" s="8" t="s">
        <v>25</v>
      </c>
    </row>
    <row r="236" spans="1:21">
      <c r="A236" s="8" t="s">
        <v>4416</v>
      </c>
      <c r="B236" s="8" t="s">
        <v>4955</v>
      </c>
      <c r="C236" s="8">
        <v>1830</v>
      </c>
      <c r="D236" s="8" t="s">
        <v>135</v>
      </c>
      <c r="E236" s="8">
        <v>29056164</v>
      </c>
      <c r="F236" s="8">
        <v>29056164</v>
      </c>
      <c r="G236" s="8" t="s">
        <v>46</v>
      </c>
      <c r="H236" s="8" t="s">
        <v>41</v>
      </c>
      <c r="I236" s="8" t="s">
        <v>23</v>
      </c>
      <c r="J236" s="8" t="s">
        <v>4956</v>
      </c>
      <c r="K236" s="8" t="s">
        <v>4958</v>
      </c>
      <c r="L236" s="8" t="s">
        <v>76</v>
      </c>
      <c r="M236" s="8">
        <v>3050</v>
      </c>
      <c r="N236" s="8" t="s">
        <v>371</v>
      </c>
      <c r="O236" s="8">
        <v>981</v>
      </c>
      <c r="P236" s="8" t="s">
        <v>4957</v>
      </c>
      <c r="Q236" s="8" t="s">
        <v>4262</v>
      </c>
      <c r="R236" s="8">
        <v>0.20200000000000001</v>
      </c>
      <c r="S236" s="8">
        <v>29056164</v>
      </c>
      <c r="T236" s="8" t="s">
        <v>46</v>
      </c>
      <c r="U236" s="8" t="s">
        <v>41</v>
      </c>
    </row>
    <row r="237" spans="1:21">
      <c r="A237" s="8" t="s">
        <v>4416</v>
      </c>
      <c r="B237" s="8" t="s">
        <v>4959</v>
      </c>
      <c r="C237" s="8">
        <v>125336</v>
      </c>
      <c r="D237" s="8" t="s">
        <v>135</v>
      </c>
      <c r="E237" s="8">
        <v>44089780</v>
      </c>
      <c r="F237" s="8">
        <v>44089780</v>
      </c>
      <c r="G237" s="8" t="s">
        <v>41</v>
      </c>
      <c r="H237" s="8" t="s">
        <v>25</v>
      </c>
      <c r="I237" s="8" t="s">
        <v>23</v>
      </c>
      <c r="J237" s="8" t="s">
        <v>4960</v>
      </c>
      <c r="K237" s="8" t="s">
        <v>4961</v>
      </c>
      <c r="L237" s="8" t="s">
        <v>68</v>
      </c>
      <c r="M237" s="8">
        <v>0</v>
      </c>
      <c r="N237" s="8" t="s">
        <v>35</v>
      </c>
      <c r="O237" s="8">
        <v>0</v>
      </c>
      <c r="P237" s="8" t="s">
        <v>35</v>
      </c>
      <c r="Q237" s="8" t="s">
        <v>4262</v>
      </c>
      <c r="R237" s="8">
        <v>0.32600000000000001</v>
      </c>
      <c r="S237" s="8">
        <v>44089780</v>
      </c>
      <c r="T237" s="8" t="s">
        <v>41</v>
      </c>
      <c r="U237" s="8" t="s">
        <v>25</v>
      </c>
    </row>
    <row r="238" spans="1:21">
      <c r="A238" s="8" t="s">
        <v>4416</v>
      </c>
      <c r="B238" s="8" t="s">
        <v>3864</v>
      </c>
      <c r="C238" s="8">
        <v>9063</v>
      </c>
      <c r="D238" s="8" t="s">
        <v>135</v>
      </c>
      <c r="E238" s="8">
        <v>44392506</v>
      </c>
      <c r="F238" s="8">
        <v>44392506</v>
      </c>
      <c r="G238" s="8" t="s">
        <v>41</v>
      </c>
      <c r="H238" s="8" t="s">
        <v>25</v>
      </c>
      <c r="I238" s="8" t="s">
        <v>23</v>
      </c>
      <c r="J238" s="8" t="s">
        <v>3865</v>
      </c>
      <c r="K238" s="8" t="s">
        <v>4963</v>
      </c>
      <c r="L238" s="8" t="s">
        <v>19</v>
      </c>
      <c r="M238" s="8">
        <v>1914</v>
      </c>
      <c r="N238" s="8" t="s">
        <v>1242</v>
      </c>
      <c r="O238" s="8">
        <v>586</v>
      </c>
      <c r="P238" s="8" t="s">
        <v>4962</v>
      </c>
      <c r="Q238" s="8" t="s">
        <v>4262</v>
      </c>
      <c r="R238" s="8">
        <v>0.39700000000000002</v>
      </c>
      <c r="S238" s="8">
        <v>44392506</v>
      </c>
      <c r="T238" s="8" t="s">
        <v>41</v>
      </c>
      <c r="U238" s="8" t="s">
        <v>25</v>
      </c>
    </row>
    <row r="239" spans="1:21">
      <c r="A239" s="8" t="s">
        <v>4416</v>
      </c>
      <c r="B239" s="8" t="s">
        <v>4964</v>
      </c>
      <c r="C239" s="8">
        <v>5442</v>
      </c>
      <c r="D239" s="8" t="s">
        <v>139</v>
      </c>
      <c r="E239" s="8">
        <v>619641</v>
      </c>
      <c r="F239" s="8">
        <v>619641</v>
      </c>
      <c r="G239" s="8" t="s">
        <v>41</v>
      </c>
      <c r="H239" s="8" t="s">
        <v>25</v>
      </c>
      <c r="I239" s="8" t="s">
        <v>23</v>
      </c>
      <c r="J239" s="8" t="s">
        <v>4965</v>
      </c>
      <c r="K239" s="8" t="s">
        <v>4967</v>
      </c>
      <c r="L239" s="8" t="s">
        <v>19</v>
      </c>
      <c r="M239" s="8">
        <v>3067</v>
      </c>
      <c r="N239" s="8" t="s">
        <v>3761</v>
      </c>
      <c r="O239" s="8">
        <v>1004</v>
      </c>
      <c r="P239" s="8" t="s">
        <v>4966</v>
      </c>
      <c r="Q239" s="8" t="s">
        <v>4262</v>
      </c>
      <c r="R239" s="8">
        <v>0.28599999999999998</v>
      </c>
      <c r="S239" s="8">
        <v>619641</v>
      </c>
      <c r="T239" s="8" t="s">
        <v>41</v>
      </c>
      <c r="U239" s="8" t="s">
        <v>25</v>
      </c>
    </row>
    <row r="240" spans="1:21">
      <c r="A240" s="8" t="s">
        <v>4416</v>
      </c>
      <c r="B240" s="8" t="s">
        <v>4968</v>
      </c>
      <c r="C240" s="8">
        <v>4542</v>
      </c>
      <c r="D240" s="8" t="s">
        <v>139</v>
      </c>
      <c r="E240" s="8">
        <v>8618093</v>
      </c>
      <c r="F240" s="8">
        <v>8618093</v>
      </c>
      <c r="G240" s="8" t="s">
        <v>25</v>
      </c>
      <c r="H240" s="8" t="s">
        <v>41</v>
      </c>
      <c r="I240" s="8" t="s">
        <v>23</v>
      </c>
      <c r="J240" s="8" t="s">
        <v>4969</v>
      </c>
      <c r="K240" s="8" t="s">
        <v>4971</v>
      </c>
      <c r="L240" s="8" t="s">
        <v>19</v>
      </c>
      <c r="M240" s="8">
        <v>572</v>
      </c>
      <c r="N240" s="8" t="s">
        <v>1096</v>
      </c>
      <c r="O240" s="8">
        <v>145</v>
      </c>
      <c r="P240" s="8" t="s">
        <v>4970</v>
      </c>
      <c r="Q240" s="8" t="s">
        <v>4262</v>
      </c>
      <c r="R240" s="8">
        <v>0.157</v>
      </c>
      <c r="S240" s="8">
        <v>8618093</v>
      </c>
      <c r="T240" s="8" t="s">
        <v>25</v>
      </c>
      <c r="U240" s="8" t="s">
        <v>41</v>
      </c>
    </row>
    <row r="241" spans="1:21">
      <c r="A241" s="8" t="s">
        <v>4416</v>
      </c>
      <c r="B241" s="8" t="s">
        <v>3545</v>
      </c>
      <c r="C241" s="8">
        <v>50509</v>
      </c>
      <c r="D241" s="8" t="s">
        <v>139</v>
      </c>
      <c r="E241" s="8">
        <v>10088281</v>
      </c>
      <c r="F241" s="8">
        <v>10088281</v>
      </c>
      <c r="G241" s="8" t="s">
        <v>41</v>
      </c>
      <c r="H241" s="8" t="s">
        <v>25</v>
      </c>
      <c r="I241" s="8" t="s">
        <v>23</v>
      </c>
      <c r="J241" s="8" t="s">
        <v>3546</v>
      </c>
      <c r="K241" s="8" t="s">
        <v>4973</v>
      </c>
      <c r="L241" s="8" t="s">
        <v>76</v>
      </c>
      <c r="M241" s="8">
        <v>3201</v>
      </c>
      <c r="N241" s="8" t="s">
        <v>1103</v>
      </c>
      <c r="O241" s="8">
        <v>1039</v>
      </c>
      <c r="P241" s="8" t="s">
        <v>4972</v>
      </c>
      <c r="Q241" s="8" t="s">
        <v>4262</v>
      </c>
      <c r="R241" s="8">
        <v>0.2</v>
      </c>
      <c r="S241" s="8">
        <v>10088281</v>
      </c>
      <c r="T241" s="8" t="s">
        <v>41</v>
      </c>
      <c r="U241" s="8" t="s">
        <v>25</v>
      </c>
    </row>
    <row r="242" spans="1:21">
      <c r="A242" s="8" t="s">
        <v>4416</v>
      </c>
      <c r="B242" s="8" t="s">
        <v>4974</v>
      </c>
      <c r="C242" s="8">
        <v>23309</v>
      </c>
      <c r="D242" s="8" t="s">
        <v>139</v>
      </c>
      <c r="E242" s="8">
        <v>16977194</v>
      </c>
      <c r="F242" s="8">
        <v>16977194</v>
      </c>
      <c r="G242" s="8" t="s">
        <v>25</v>
      </c>
      <c r="H242" s="8" t="s">
        <v>41</v>
      </c>
      <c r="I242" s="8" t="s">
        <v>23</v>
      </c>
      <c r="J242" s="8" t="s">
        <v>4975</v>
      </c>
      <c r="K242" s="8" t="s">
        <v>4977</v>
      </c>
      <c r="L242" s="8" t="s">
        <v>76</v>
      </c>
      <c r="M242" s="8">
        <v>1743</v>
      </c>
      <c r="N242" s="8" t="s">
        <v>1103</v>
      </c>
      <c r="O242" s="8">
        <v>577</v>
      </c>
      <c r="P242" s="8" t="s">
        <v>4976</v>
      </c>
      <c r="Q242" s="8" t="s">
        <v>4262</v>
      </c>
      <c r="R242" s="8">
        <v>0.31900000000000001</v>
      </c>
      <c r="S242" s="8">
        <v>16977194</v>
      </c>
      <c r="T242" s="8" t="s">
        <v>25</v>
      </c>
      <c r="U242" s="8" t="s">
        <v>41</v>
      </c>
    </row>
    <row r="243" spans="1:21">
      <c r="A243" s="8" t="s">
        <v>4416</v>
      </c>
      <c r="B243" s="8" t="s">
        <v>1599</v>
      </c>
      <c r="C243" s="8">
        <v>10331</v>
      </c>
      <c r="D243" s="8" t="s">
        <v>139</v>
      </c>
      <c r="E243" s="8">
        <v>17919088</v>
      </c>
      <c r="F243" s="8">
        <v>17919088</v>
      </c>
      <c r="G243" s="8" t="s">
        <v>25</v>
      </c>
      <c r="H243" s="8" t="s">
        <v>41</v>
      </c>
      <c r="I243" s="8" t="s">
        <v>23</v>
      </c>
      <c r="J243" s="8" t="s">
        <v>1600</v>
      </c>
      <c r="K243" s="8" t="s">
        <v>4979</v>
      </c>
      <c r="L243" s="8" t="s">
        <v>76</v>
      </c>
      <c r="M243" s="8">
        <v>619</v>
      </c>
      <c r="N243" s="8" t="s">
        <v>1103</v>
      </c>
      <c r="O243" s="8">
        <v>158</v>
      </c>
      <c r="P243" s="8" t="s">
        <v>4978</v>
      </c>
      <c r="Q243" s="8" t="s">
        <v>4262</v>
      </c>
      <c r="R243" s="8">
        <v>0.36099999999999999</v>
      </c>
      <c r="S243" s="8">
        <v>17919088</v>
      </c>
      <c r="T243" s="8" t="s">
        <v>25</v>
      </c>
      <c r="U243" s="8" t="s">
        <v>41</v>
      </c>
    </row>
    <row r="244" spans="1:21">
      <c r="A244" s="8" t="s">
        <v>4416</v>
      </c>
      <c r="B244" s="8" t="s">
        <v>2578</v>
      </c>
      <c r="C244" s="8">
        <v>1463</v>
      </c>
      <c r="D244" s="8" t="s">
        <v>139</v>
      </c>
      <c r="E244" s="8">
        <v>19337721</v>
      </c>
      <c r="F244" s="8">
        <v>19337721</v>
      </c>
      <c r="G244" s="8" t="s">
        <v>41</v>
      </c>
      <c r="H244" s="8" t="s">
        <v>25</v>
      </c>
      <c r="I244" s="8" t="s">
        <v>23</v>
      </c>
      <c r="J244" s="8" t="s">
        <v>2579</v>
      </c>
      <c r="K244" s="8" t="s">
        <v>4981</v>
      </c>
      <c r="L244" s="8" t="s">
        <v>19</v>
      </c>
      <c r="M244" s="8">
        <v>1598</v>
      </c>
      <c r="N244" s="8" t="s">
        <v>1096</v>
      </c>
      <c r="O244" s="8">
        <v>500</v>
      </c>
      <c r="P244" s="8" t="s">
        <v>4980</v>
      </c>
      <c r="Q244" s="8" t="s">
        <v>4262</v>
      </c>
      <c r="R244" s="8">
        <v>0.36</v>
      </c>
      <c r="S244" s="8">
        <v>19337721</v>
      </c>
      <c r="T244" s="8" t="s">
        <v>41</v>
      </c>
      <c r="U244" s="8" t="s">
        <v>25</v>
      </c>
    </row>
    <row r="245" spans="1:21">
      <c r="A245" s="8" t="s">
        <v>4416</v>
      </c>
      <c r="B245" s="8" t="s">
        <v>2590</v>
      </c>
      <c r="C245" s="8">
        <v>6261</v>
      </c>
      <c r="D245" s="8" t="s">
        <v>139</v>
      </c>
      <c r="E245" s="8">
        <v>39002224</v>
      </c>
      <c r="F245" s="8">
        <v>39002224</v>
      </c>
      <c r="G245" s="8" t="s">
        <v>41</v>
      </c>
      <c r="H245" s="8" t="s">
        <v>25</v>
      </c>
      <c r="I245" s="8" t="s">
        <v>23</v>
      </c>
      <c r="J245" s="8" t="s">
        <v>4982</v>
      </c>
      <c r="K245" s="8" t="s">
        <v>4984</v>
      </c>
      <c r="L245" s="8" t="s">
        <v>19</v>
      </c>
      <c r="M245" s="8">
        <v>9276</v>
      </c>
      <c r="N245" s="8" t="s">
        <v>3834</v>
      </c>
      <c r="O245" s="8">
        <v>3049</v>
      </c>
      <c r="P245" s="8" t="s">
        <v>4983</v>
      </c>
      <c r="Q245" s="8" t="s">
        <v>4262</v>
      </c>
      <c r="R245" s="8">
        <v>0.29499999999999998</v>
      </c>
      <c r="S245" s="8">
        <v>39002224</v>
      </c>
      <c r="T245" s="8" t="s">
        <v>41</v>
      </c>
      <c r="U245" s="8" t="s">
        <v>25</v>
      </c>
    </row>
    <row r="246" spans="1:21">
      <c r="A246" s="8" t="s">
        <v>4416</v>
      </c>
      <c r="B246" s="8" t="s">
        <v>4985</v>
      </c>
      <c r="C246" s="8">
        <v>56961</v>
      </c>
      <c r="D246" s="8" t="s">
        <v>139</v>
      </c>
      <c r="E246" s="8">
        <v>4283108</v>
      </c>
      <c r="F246" s="8">
        <v>4283108</v>
      </c>
      <c r="G246" s="8" t="s">
        <v>25</v>
      </c>
      <c r="H246" s="8" t="s">
        <v>41</v>
      </c>
      <c r="I246" s="8" t="s">
        <v>23</v>
      </c>
      <c r="J246" s="8" t="s">
        <v>4986</v>
      </c>
      <c r="K246" s="8" t="s">
        <v>4988</v>
      </c>
      <c r="L246" s="8" t="s">
        <v>19</v>
      </c>
      <c r="M246" s="8">
        <v>1924</v>
      </c>
      <c r="N246" s="8" t="s">
        <v>1115</v>
      </c>
      <c r="O246" s="8">
        <v>154</v>
      </c>
      <c r="P246" s="8" t="s">
        <v>4987</v>
      </c>
      <c r="Q246" s="8" t="s">
        <v>4262</v>
      </c>
      <c r="R246" s="8">
        <v>0.20300000000000001</v>
      </c>
      <c r="S246" s="8">
        <v>4283108</v>
      </c>
      <c r="T246" s="8" t="s">
        <v>25</v>
      </c>
      <c r="U246" s="8" t="s">
        <v>41</v>
      </c>
    </row>
    <row r="247" spans="1:21">
      <c r="A247" s="8" t="s">
        <v>4416</v>
      </c>
      <c r="B247" s="8" t="s">
        <v>4989</v>
      </c>
      <c r="C247" s="8">
        <v>5678</v>
      </c>
      <c r="D247" s="8" t="s">
        <v>139</v>
      </c>
      <c r="E247" s="8">
        <v>43762432</v>
      </c>
      <c r="F247" s="8">
        <v>43762432</v>
      </c>
      <c r="G247" s="8" t="s">
        <v>41</v>
      </c>
      <c r="H247" s="8" t="s">
        <v>25</v>
      </c>
      <c r="I247" s="8" t="s">
        <v>23</v>
      </c>
      <c r="J247" s="8" t="s">
        <v>4990</v>
      </c>
      <c r="K247" s="8" t="s">
        <v>4992</v>
      </c>
      <c r="L247" s="8" t="s">
        <v>19</v>
      </c>
      <c r="M247" s="8">
        <v>1264</v>
      </c>
      <c r="N247" s="8" t="s">
        <v>1030</v>
      </c>
      <c r="O247" s="8">
        <v>389</v>
      </c>
      <c r="P247" s="8" t="s">
        <v>4991</v>
      </c>
      <c r="Q247" s="8" t="s">
        <v>4262</v>
      </c>
      <c r="R247" s="8">
        <v>0.32700000000000001</v>
      </c>
      <c r="S247" s="8">
        <v>43762432</v>
      </c>
      <c r="T247" s="8" t="s">
        <v>41</v>
      </c>
      <c r="U247" s="8" t="s">
        <v>25</v>
      </c>
    </row>
    <row r="248" spans="1:21">
      <c r="A248" s="8" t="s">
        <v>4416</v>
      </c>
      <c r="B248" s="8" t="s">
        <v>1934</v>
      </c>
      <c r="C248" s="8">
        <v>602</v>
      </c>
      <c r="D248" s="8" t="s">
        <v>139</v>
      </c>
      <c r="E248" s="8">
        <v>45262826</v>
      </c>
      <c r="F248" s="8">
        <v>45262826</v>
      </c>
      <c r="G248" s="8" t="s">
        <v>24</v>
      </c>
      <c r="H248" s="8" t="s">
        <v>25</v>
      </c>
      <c r="I248" s="8" t="s">
        <v>23</v>
      </c>
      <c r="J248" s="8" t="s">
        <v>4993</v>
      </c>
      <c r="K248" s="8" t="s">
        <v>4995</v>
      </c>
      <c r="L248" s="8" t="s">
        <v>19</v>
      </c>
      <c r="M248" s="8">
        <v>1389</v>
      </c>
      <c r="N248" s="8" t="s">
        <v>205</v>
      </c>
      <c r="O248" s="8">
        <v>440</v>
      </c>
      <c r="P248" s="8" t="s">
        <v>4994</v>
      </c>
      <c r="Q248" s="8" t="s">
        <v>4262</v>
      </c>
      <c r="R248" s="8">
        <v>0.129</v>
      </c>
      <c r="S248" s="8">
        <v>45262826</v>
      </c>
      <c r="T248" s="8" t="s">
        <v>24</v>
      </c>
      <c r="U248" s="8" t="s">
        <v>25</v>
      </c>
    </row>
    <row r="249" spans="1:21">
      <c r="A249" s="8" t="s">
        <v>4416</v>
      </c>
      <c r="B249" s="8" t="s">
        <v>4996</v>
      </c>
      <c r="C249" s="8">
        <v>6543</v>
      </c>
      <c r="D249" s="8" t="s">
        <v>139</v>
      </c>
      <c r="E249" s="8">
        <v>47969347</v>
      </c>
      <c r="F249" s="8">
        <v>47969347</v>
      </c>
      <c r="G249" s="8" t="s">
        <v>41</v>
      </c>
      <c r="H249" s="8" t="s">
        <v>24</v>
      </c>
      <c r="I249" s="8" t="s">
        <v>23</v>
      </c>
      <c r="J249" s="8" t="s">
        <v>4997</v>
      </c>
      <c r="K249" s="8" t="s">
        <v>4999</v>
      </c>
      <c r="L249" s="8" t="s">
        <v>19</v>
      </c>
      <c r="M249" s="8">
        <v>592</v>
      </c>
      <c r="N249" s="8" t="s">
        <v>2989</v>
      </c>
      <c r="O249" s="8">
        <v>105</v>
      </c>
      <c r="P249" s="8" t="s">
        <v>4998</v>
      </c>
      <c r="Q249" s="8" t="s">
        <v>4262</v>
      </c>
      <c r="R249" s="8">
        <v>8.8999999999999996E-2</v>
      </c>
      <c r="S249" s="8">
        <v>47969347</v>
      </c>
      <c r="T249" s="8" t="s">
        <v>41</v>
      </c>
      <c r="U249" s="8" t="s">
        <v>24</v>
      </c>
    </row>
    <row r="250" spans="1:21">
      <c r="A250" s="8" t="s">
        <v>4416</v>
      </c>
      <c r="B250" s="8" t="s">
        <v>2043</v>
      </c>
      <c r="C250" s="8">
        <v>8605</v>
      </c>
      <c r="D250" s="8" t="s">
        <v>139</v>
      </c>
      <c r="E250" s="8">
        <v>48601503</v>
      </c>
      <c r="F250" s="8">
        <v>48601503</v>
      </c>
      <c r="G250" s="8" t="s">
        <v>41</v>
      </c>
      <c r="H250" s="8" t="s">
        <v>25</v>
      </c>
      <c r="I250" s="8" t="s">
        <v>23</v>
      </c>
      <c r="J250" s="8" t="s">
        <v>5000</v>
      </c>
      <c r="K250" s="8" t="s">
        <v>5002</v>
      </c>
      <c r="L250" s="8" t="s">
        <v>19</v>
      </c>
      <c r="M250" s="8">
        <v>859</v>
      </c>
      <c r="N250" s="8" t="s">
        <v>2366</v>
      </c>
      <c r="O250" s="8">
        <v>154</v>
      </c>
      <c r="P250" s="8" t="s">
        <v>5001</v>
      </c>
      <c r="Q250" s="8" t="s">
        <v>4262</v>
      </c>
      <c r="R250" s="8">
        <v>0.21099999999999999</v>
      </c>
      <c r="S250" s="8">
        <v>48601503</v>
      </c>
      <c r="T250" s="8" t="s">
        <v>41</v>
      </c>
      <c r="U250" s="8" t="s">
        <v>25</v>
      </c>
    </row>
    <row r="251" spans="1:21">
      <c r="A251" s="8" t="s">
        <v>4416</v>
      </c>
      <c r="B251" s="8" t="s">
        <v>3867</v>
      </c>
      <c r="C251" s="8">
        <v>57664</v>
      </c>
      <c r="D251" s="8" t="s">
        <v>139</v>
      </c>
      <c r="E251" s="8">
        <v>49348849</v>
      </c>
      <c r="F251" s="8">
        <v>49348849</v>
      </c>
      <c r="G251" s="8" t="s">
        <v>41</v>
      </c>
      <c r="H251" s="8" t="s">
        <v>25</v>
      </c>
      <c r="I251" s="8" t="s">
        <v>23</v>
      </c>
      <c r="J251" s="8" t="s">
        <v>5003</v>
      </c>
      <c r="K251" s="8" t="s">
        <v>5005</v>
      </c>
      <c r="L251" s="8" t="s">
        <v>19</v>
      </c>
      <c r="M251" s="8">
        <v>2142</v>
      </c>
      <c r="N251" s="8" t="s">
        <v>1030</v>
      </c>
      <c r="O251" s="8">
        <v>531</v>
      </c>
      <c r="P251" s="8" t="s">
        <v>5004</v>
      </c>
      <c r="Q251" s="8" t="s">
        <v>4262</v>
      </c>
      <c r="R251" s="8">
        <v>0.45700000000000002</v>
      </c>
      <c r="S251" s="8">
        <v>49348849</v>
      </c>
      <c r="T251" s="8" t="s">
        <v>41</v>
      </c>
      <c r="U251" s="8" t="s">
        <v>25</v>
      </c>
    </row>
    <row r="252" spans="1:21">
      <c r="A252" s="8" t="s">
        <v>4416</v>
      </c>
      <c r="B252" s="8" t="s">
        <v>3876</v>
      </c>
      <c r="C252" s="8">
        <v>8195</v>
      </c>
      <c r="D252" s="8" t="s">
        <v>188</v>
      </c>
      <c r="E252" s="8">
        <v>10386226</v>
      </c>
      <c r="F252" s="8">
        <v>10386226</v>
      </c>
      <c r="G252" s="8" t="s">
        <v>25</v>
      </c>
      <c r="H252" s="8" t="s">
        <v>41</v>
      </c>
      <c r="I252" s="8" t="s">
        <v>23</v>
      </c>
      <c r="J252" s="8" t="s">
        <v>5006</v>
      </c>
      <c r="K252" s="8" t="s">
        <v>5008</v>
      </c>
      <c r="L252" s="8" t="s">
        <v>76</v>
      </c>
      <c r="M252" s="8">
        <v>2141</v>
      </c>
      <c r="N252" s="8" t="s">
        <v>3877</v>
      </c>
      <c r="O252" s="8">
        <v>461</v>
      </c>
      <c r="P252" s="8" t="s">
        <v>5007</v>
      </c>
      <c r="Q252" s="8" t="s">
        <v>4262</v>
      </c>
      <c r="R252" s="8">
        <v>0.32500000000000001</v>
      </c>
      <c r="S252" s="8">
        <v>10386226</v>
      </c>
      <c r="T252" s="8" t="s">
        <v>25</v>
      </c>
      <c r="U252" s="8" t="s">
        <v>41</v>
      </c>
    </row>
    <row r="253" spans="1:21">
      <c r="A253" s="8" t="s">
        <v>4416</v>
      </c>
      <c r="B253" s="8" t="s">
        <v>3878</v>
      </c>
      <c r="C253" s="8">
        <v>83737</v>
      </c>
      <c r="D253" s="8" t="s">
        <v>188</v>
      </c>
      <c r="E253" s="8">
        <v>33080312</v>
      </c>
      <c r="F253" s="8">
        <v>33080312</v>
      </c>
      <c r="G253" s="8" t="s">
        <v>25</v>
      </c>
      <c r="H253" s="8" t="s">
        <v>41</v>
      </c>
      <c r="I253" s="8" t="s">
        <v>23</v>
      </c>
      <c r="J253" s="8" t="s">
        <v>5009</v>
      </c>
      <c r="K253" s="8" t="s">
        <v>5011</v>
      </c>
      <c r="L253" s="8" t="s">
        <v>76</v>
      </c>
      <c r="M253" s="8">
        <v>2518</v>
      </c>
      <c r="N253" s="8" t="s">
        <v>2961</v>
      </c>
      <c r="O253" s="8">
        <v>776</v>
      </c>
      <c r="P253" s="8" t="s">
        <v>5010</v>
      </c>
      <c r="Q253" s="8" t="s">
        <v>4262</v>
      </c>
      <c r="R253" s="8">
        <v>0.42899999999999999</v>
      </c>
      <c r="S253" s="8">
        <v>33080312</v>
      </c>
      <c r="T253" s="8" t="s">
        <v>25</v>
      </c>
      <c r="U253" s="8" t="s">
        <v>41</v>
      </c>
    </row>
    <row r="254" spans="1:21">
      <c r="A254" s="8" t="s">
        <v>4416</v>
      </c>
      <c r="B254" s="8" t="s">
        <v>3879</v>
      </c>
      <c r="C254" s="8">
        <v>11190</v>
      </c>
      <c r="D254" s="8" t="s">
        <v>188</v>
      </c>
      <c r="E254" s="8">
        <v>34067105</v>
      </c>
      <c r="F254" s="8">
        <v>34067105</v>
      </c>
      <c r="G254" s="8" t="s">
        <v>25</v>
      </c>
      <c r="H254" s="8" t="s">
        <v>41</v>
      </c>
      <c r="I254" s="8" t="s">
        <v>23</v>
      </c>
      <c r="J254" s="8" t="s">
        <v>3880</v>
      </c>
      <c r="K254" s="8" t="s">
        <v>5013</v>
      </c>
      <c r="L254" s="8" t="s">
        <v>19</v>
      </c>
      <c r="M254" s="8">
        <v>2791</v>
      </c>
      <c r="N254" s="8" t="s">
        <v>3136</v>
      </c>
      <c r="O254" s="8">
        <v>715</v>
      </c>
      <c r="P254" s="8" t="s">
        <v>5012</v>
      </c>
      <c r="Q254" s="8" t="s">
        <v>4262</v>
      </c>
      <c r="R254" s="8">
        <v>0.41399999999999998</v>
      </c>
      <c r="S254" s="8">
        <v>34067105</v>
      </c>
      <c r="T254" s="8" t="s">
        <v>25</v>
      </c>
      <c r="U254" s="8" t="s">
        <v>41</v>
      </c>
    </row>
    <row r="255" spans="1:21">
      <c r="A255" s="8" t="s">
        <v>4416</v>
      </c>
      <c r="B255" s="8" t="s">
        <v>3879</v>
      </c>
      <c r="C255" s="8">
        <v>11190</v>
      </c>
      <c r="D255" s="8" t="s">
        <v>188</v>
      </c>
      <c r="E255" s="8">
        <v>34091487</v>
      </c>
      <c r="F255" s="8">
        <v>34091487</v>
      </c>
      <c r="G255" s="8" t="s">
        <v>25</v>
      </c>
      <c r="H255" s="8" t="s">
        <v>41</v>
      </c>
      <c r="I255" s="8" t="s">
        <v>23</v>
      </c>
      <c r="J255" s="8" t="s">
        <v>3880</v>
      </c>
      <c r="K255" s="8" t="s">
        <v>5013</v>
      </c>
      <c r="L255" s="8" t="s">
        <v>19</v>
      </c>
      <c r="M255" s="8">
        <v>5937</v>
      </c>
      <c r="N255" s="8" t="s">
        <v>604</v>
      </c>
      <c r="O255" s="8">
        <v>1764</v>
      </c>
      <c r="P255" s="8" t="s">
        <v>5014</v>
      </c>
      <c r="Q255" s="8" t="s">
        <v>4262</v>
      </c>
      <c r="R255" s="8">
        <v>0.45900000000000002</v>
      </c>
      <c r="S255" s="8">
        <v>34091487</v>
      </c>
      <c r="T255" s="8" t="s">
        <v>25</v>
      </c>
      <c r="U255" s="8" t="s">
        <v>41</v>
      </c>
    </row>
    <row r="256" spans="1:21">
      <c r="A256" s="8" t="s">
        <v>4416</v>
      </c>
      <c r="B256" s="8" t="s">
        <v>2648</v>
      </c>
      <c r="C256" s="8">
        <v>81610</v>
      </c>
      <c r="D256" s="8" t="s">
        <v>188</v>
      </c>
      <c r="E256" s="8">
        <v>37580504</v>
      </c>
      <c r="F256" s="8">
        <v>37580504</v>
      </c>
      <c r="G256" s="8" t="s">
        <v>25</v>
      </c>
      <c r="H256" s="8" t="s">
        <v>41</v>
      </c>
      <c r="I256" s="8" t="s">
        <v>23</v>
      </c>
      <c r="J256" s="8" t="s">
        <v>2649</v>
      </c>
      <c r="K256" s="8" t="s">
        <v>5016</v>
      </c>
      <c r="L256" s="8" t="s">
        <v>19</v>
      </c>
      <c r="M256" s="8">
        <v>1230</v>
      </c>
      <c r="N256" s="8" t="s">
        <v>1142</v>
      </c>
      <c r="O256" s="8">
        <v>397</v>
      </c>
      <c r="P256" s="8" t="s">
        <v>5015</v>
      </c>
      <c r="Q256" s="8" t="s">
        <v>4262</v>
      </c>
      <c r="R256" s="8">
        <v>0.28799999999999998</v>
      </c>
      <c r="S256" s="8">
        <v>37580504</v>
      </c>
      <c r="T256" s="8" t="s">
        <v>25</v>
      </c>
      <c r="U256" s="8" t="s">
        <v>41</v>
      </c>
    </row>
    <row r="257" spans="1:21">
      <c r="A257" s="8" t="s">
        <v>4416</v>
      </c>
      <c r="B257" s="8" t="s">
        <v>3882</v>
      </c>
      <c r="C257" s="8">
        <v>6453</v>
      </c>
      <c r="D257" s="8" t="s">
        <v>193</v>
      </c>
      <c r="E257" s="8">
        <v>35122475</v>
      </c>
      <c r="F257" s="8">
        <v>35122475</v>
      </c>
      <c r="G257" s="8" t="s">
        <v>46</v>
      </c>
      <c r="H257" s="8" t="s">
        <v>24</v>
      </c>
      <c r="I257" s="8" t="s">
        <v>23</v>
      </c>
      <c r="J257" s="8" t="s">
        <v>5017</v>
      </c>
      <c r="K257" s="8" t="s">
        <v>5019</v>
      </c>
      <c r="L257" s="8" t="s">
        <v>19</v>
      </c>
      <c r="M257" s="8">
        <v>642</v>
      </c>
      <c r="N257" s="8" t="s">
        <v>3883</v>
      </c>
      <c r="O257" s="8">
        <v>125</v>
      </c>
      <c r="P257" s="8" t="s">
        <v>5018</v>
      </c>
      <c r="Q257" s="8" t="s">
        <v>4262</v>
      </c>
      <c r="R257" s="8">
        <v>0.40600000000000003</v>
      </c>
      <c r="S257" s="8">
        <v>35122475</v>
      </c>
      <c r="T257" s="8" t="s">
        <v>46</v>
      </c>
      <c r="U257" s="8" t="s">
        <v>24</v>
      </c>
    </row>
    <row r="258" spans="1:21">
      <c r="A258" s="8" t="s">
        <v>4416</v>
      </c>
      <c r="B258" s="8" t="s">
        <v>3884</v>
      </c>
      <c r="C258" s="8">
        <v>9814</v>
      </c>
      <c r="D258" s="8" t="s">
        <v>197</v>
      </c>
      <c r="E258" s="8">
        <v>31981076</v>
      </c>
      <c r="F258" s="8">
        <v>31981076</v>
      </c>
      <c r="G258" s="8" t="s">
        <v>25</v>
      </c>
      <c r="H258" s="8" t="s">
        <v>41</v>
      </c>
      <c r="I258" s="8" t="s">
        <v>23</v>
      </c>
      <c r="J258" s="8" t="s">
        <v>5020</v>
      </c>
      <c r="K258" s="8" t="s">
        <v>5022</v>
      </c>
      <c r="L258" s="8" t="s">
        <v>19</v>
      </c>
      <c r="M258" s="8">
        <v>1762</v>
      </c>
      <c r="N258" s="8" t="s">
        <v>1607</v>
      </c>
      <c r="O258" s="8">
        <v>457</v>
      </c>
      <c r="P258" s="8" t="s">
        <v>5021</v>
      </c>
      <c r="Q258" s="8" t="s">
        <v>4262</v>
      </c>
      <c r="R258" s="8">
        <v>0.35199999999999998</v>
      </c>
      <c r="S258" s="8">
        <v>31981076</v>
      </c>
      <c r="T258" s="8" t="s">
        <v>25</v>
      </c>
      <c r="U258" s="8" t="s">
        <v>41</v>
      </c>
    </row>
    <row r="259" spans="1:21">
      <c r="A259" s="8" t="s">
        <v>4416</v>
      </c>
      <c r="B259" s="8" t="s">
        <v>5023</v>
      </c>
      <c r="C259" s="8">
        <v>200316</v>
      </c>
      <c r="D259" s="8" t="s">
        <v>197</v>
      </c>
      <c r="E259" s="8">
        <v>39448095</v>
      </c>
      <c r="F259" s="8">
        <v>39448095</v>
      </c>
      <c r="G259" s="8" t="s">
        <v>25</v>
      </c>
      <c r="H259" s="8" t="s">
        <v>41</v>
      </c>
      <c r="I259" s="8" t="s">
        <v>23</v>
      </c>
      <c r="J259" s="8" t="s">
        <v>5024</v>
      </c>
      <c r="K259" s="8" t="s">
        <v>5026</v>
      </c>
      <c r="L259" s="8" t="s">
        <v>19</v>
      </c>
      <c r="M259" s="8">
        <v>1033</v>
      </c>
      <c r="N259" s="8" t="s">
        <v>2366</v>
      </c>
      <c r="O259" s="8">
        <v>247</v>
      </c>
      <c r="P259" s="8" t="s">
        <v>5025</v>
      </c>
      <c r="Q259" s="8" t="s">
        <v>4262</v>
      </c>
      <c r="R259" s="8">
        <v>0.32500000000000001</v>
      </c>
      <c r="S259" s="8">
        <v>39448095</v>
      </c>
      <c r="T259" s="8" t="s">
        <v>25</v>
      </c>
      <c r="U259" s="8" t="s">
        <v>41</v>
      </c>
    </row>
    <row r="260" spans="1:21">
      <c r="A260" s="8" t="s">
        <v>4416</v>
      </c>
      <c r="B260" s="8" t="s">
        <v>3290</v>
      </c>
      <c r="C260" s="8">
        <v>150365</v>
      </c>
      <c r="D260" s="8" t="s">
        <v>197</v>
      </c>
      <c r="E260" s="8">
        <v>42128255</v>
      </c>
      <c r="F260" s="8">
        <v>42128255</v>
      </c>
      <c r="G260" s="8" t="s">
        <v>25</v>
      </c>
      <c r="H260" s="8" t="s">
        <v>41</v>
      </c>
      <c r="I260" s="8" t="s">
        <v>23</v>
      </c>
      <c r="J260" s="8" t="s">
        <v>3291</v>
      </c>
      <c r="K260" s="8" t="s">
        <v>5028</v>
      </c>
      <c r="L260" s="8" t="s">
        <v>19</v>
      </c>
      <c r="M260" s="8">
        <v>1128</v>
      </c>
      <c r="N260" s="8" t="s">
        <v>1115</v>
      </c>
      <c r="O260" s="8">
        <v>368</v>
      </c>
      <c r="P260" s="8" t="s">
        <v>5027</v>
      </c>
      <c r="Q260" s="8" t="s">
        <v>4262</v>
      </c>
      <c r="R260" s="8">
        <v>0.40799999999999997</v>
      </c>
      <c r="S260" s="8">
        <v>42128255</v>
      </c>
      <c r="T260" s="8" t="s">
        <v>25</v>
      </c>
      <c r="U260" s="8" t="s">
        <v>41</v>
      </c>
    </row>
    <row r="261" spans="1:21">
      <c r="A261" s="8" t="s">
        <v>4416</v>
      </c>
      <c r="B261" s="8" t="s">
        <v>3907</v>
      </c>
      <c r="C261" s="8">
        <v>171483</v>
      </c>
      <c r="D261" s="8" t="s">
        <v>418</v>
      </c>
      <c r="E261" s="8">
        <v>9001011</v>
      </c>
      <c r="F261" s="8">
        <v>9001011</v>
      </c>
      <c r="G261" s="8" t="s">
        <v>41</v>
      </c>
      <c r="H261" s="8" t="s">
        <v>46</v>
      </c>
      <c r="I261" s="8" t="s">
        <v>23</v>
      </c>
      <c r="J261" s="8" t="s">
        <v>3908</v>
      </c>
      <c r="K261" s="8" t="s">
        <v>5030</v>
      </c>
      <c r="L261" s="8" t="s">
        <v>19</v>
      </c>
      <c r="M261" s="8">
        <v>106</v>
      </c>
      <c r="N261" s="8" t="s">
        <v>908</v>
      </c>
      <c r="O261" s="8">
        <v>6</v>
      </c>
      <c r="P261" s="8" t="s">
        <v>5029</v>
      </c>
      <c r="Q261" s="8" t="s">
        <v>4262</v>
      </c>
      <c r="R261" s="8">
        <v>0.73199999999999998</v>
      </c>
      <c r="S261" s="8">
        <v>9001011</v>
      </c>
      <c r="T261" s="8" t="s">
        <v>41</v>
      </c>
      <c r="U261" s="8" t="s">
        <v>46</v>
      </c>
    </row>
    <row r="262" spans="1:21">
      <c r="A262" s="8" t="s">
        <v>4416</v>
      </c>
      <c r="B262" s="8" t="s">
        <v>3905</v>
      </c>
      <c r="C262" s="8">
        <v>5358</v>
      </c>
      <c r="D262" s="8" t="s">
        <v>418</v>
      </c>
      <c r="E262" s="8">
        <v>114871171</v>
      </c>
      <c r="F262" s="8">
        <v>114871171</v>
      </c>
      <c r="G262" s="8" t="s">
        <v>24</v>
      </c>
      <c r="H262" s="8" t="s">
        <v>25</v>
      </c>
      <c r="I262" s="8" t="s">
        <v>23</v>
      </c>
      <c r="J262" s="8" t="s">
        <v>5031</v>
      </c>
      <c r="K262" s="8" t="s">
        <v>5033</v>
      </c>
      <c r="L262" s="8" t="s">
        <v>19</v>
      </c>
      <c r="M262" s="8">
        <v>906</v>
      </c>
      <c r="N262" s="8" t="s">
        <v>878</v>
      </c>
      <c r="O262" s="8">
        <v>258</v>
      </c>
      <c r="P262" s="8" t="s">
        <v>5032</v>
      </c>
      <c r="Q262" s="8" t="s">
        <v>4262</v>
      </c>
      <c r="R262" s="8">
        <v>0.63300000000000001</v>
      </c>
      <c r="S262" s="8">
        <v>114871171</v>
      </c>
      <c r="T262" s="8" t="s">
        <v>24</v>
      </c>
      <c r="U262" s="8" t="s">
        <v>25</v>
      </c>
    </row>
    <row r="263" spans="1:21">
      <c r="A263" s="8" t="s">
        <v>4416</v>
      </c>
      <c r="B263" s="8" t="s">
        <v>3905</v>
      </c>
      <c r="C263" s="8">
        <v>5358</v>
      </c>
      <c r="D263" s="8" t="s">
        <v>418</v>
      </c>
      <c r="E263" s="8">
        <v>114871172</v>
      </c>
      <c r="F263" s="8">
        <v>114871172</v>
      </c>
      <c r="G263" s="8" t="s">
        <v>24</v>
      </c>
      <c r="H263" s="8" t="s">
        <v>41</v>
      </c>
      <c r="I263" s="8" t="s">
        <v>23</v>
      </c>
      <c r="J263" s="8" t="s">
        <v>5031</v>
      </c>
      <c r="K263" s="8" t="s">
        <v>5033</v>
      </c>
      <c r="L263" s="8" t="s">
        <v>19</v>
      </c>
      <c r="M263" s="8">
        <v>907</v>
      </c>
      <c r="N263" s="8" t="s">
        <v>1555</v>
      </c>
      <c r="O263" s="8">
        <v>258</v>
      </c>
      <c r="P263" s="8" t="s">
        <v>5034</v>
      </c>
      <c r="Q263" s="8" t="s">
        <v>4262</v>
      </c>
      <c r="R263" s="8">
        <v>0.63600000000000001</v>
      </c>
      <c r="S263" s="8">
        <v>114871172</v>
      </c>
      <c r="T263" s="8" t="s">
        <v>24</v>
      </c>
      <c r="U263" s="8" t="s">
        <v>41</v>
      </c>
    </row>
    <row r="264" spans="1:21">
      <c r="A264" s="8" t="s">
        <v>4416</v>
      </c>
      <c r="B264" s="8" t="s">
        <v>3906</v>
      </c>
      <c r="C264" s="8">
        <v>3547</v>
      </c>
      <c r="D264" s="8" t="s">
        <v>418</v>
      </c>
      <c r="E264" s="8">
        <v>130409047</v>
      </c>
      <c r="F264" s="8">
        <v>130409047</v>
      </c>
      <c r="G264" s="8" t="s">
        <v>46</v>
      </c>
      <c r="H264" s="8" t="s">
        <v>41</v>
      </c>
      <c r="I264" s="8" t="s">
        <v>23</v>
      </c>
      <c r="J264" s="8" t="s">
        <v>5035</v>
      </c>
      <c r="K264" s="8" t="s">
        <v>5037</v>
      </c>
      <c r="L264" s="8" t="s">
        <v>19</v>
      </c>
      <c r="M264" s="8">
        <v>3696</v>
      </c>
      <c r="N264" s="8" t="s">
        <v>708</v>
      </c>
      <c r="O264" s="8">
        <v>1138</v>
      </c>
      <c r="P264" s="8" t="s">
        <v>5036</v>
      </c>
      <c r="Q264" s="8" t="s">
        <v>4262</v>
      </c>
      <c r="R264" s="8">
        <v>0.37</v>
      </c>
      <c r="S264" s="8">
        <v>130409047</v>
      </c>
      <c r="T264" s="8" t="s">
        <v>46</v>
      </c>
      <c r="U264" s="8" t="s">
        <v>41</v>
      </c>
    </row>
    <row r="265" spans="1:21">
      <c r="A265" s="8" t="s">
        <v>4416</v>
      </c>
      <c r="B265" s="8" t="s">
        <v>3586</v>
      </c>
      <c r="C265" s="8">
        <v>3897</v>
      </c>
      <c r="D265" s="8" t="s">
        <v>418</v>
      </c>
      <c r="E265" s="8">
        <v>153137618</v>
      </c>
      <c r="F265" s="8">
        <v>153137618</v>
      </c>
      <c r="G265" s="8" t="s">
        <v>25</v>
      </c>
      <c r="H265" s="8" t="s">
        <v>24</v>
      </c>
      <c r="I265" s="8" t="s">
        <v>23</v>
      </c>
      <c r="J265" s="8" t="s">
        <v>5038</v>
      </c>
      <c r="K265" s="8" t="s">
        <v>5040</v>
      </c>
      <c r="L265" s="8" t="s">
        <v>19</v>
      </c>
      <c r="M265" s="8">
        <v>497</v>
      </c>
      <c r="N265" s="8" t="s">
        <v>540</v>
      </c>
      <c r="O265" s="8">
        <v>130</v>
      </c>
      <c r="P265" s="8" t="s">
        <v>5039</v>
      </c>
      <c r="Q265" s="8" t="s">
        <v>4262</v>
      </c>
      <c r="R265" s="8">
        <v>0.7</v>
      </c>
      <c r="S265" s="8">
        <v>153137618</v>
      </c>
      <c r="T265" s="8" t="s">
        <v>25</v>
      </c>
      <c r="U265" s="8" t="s">
        <v>24</v>
      </c>
    </row>
    <row r="266" spans="1:21">
      <c r="A266" s="8" t="s">
        <v>5043</v>
      </c>
      <c r="B266" s="8" t="s">
        <v>640</v>
      </c>
      <c r="C266" s="8">
        <v>127254</v>
      </c>
      <c r="D266" s="8" t="s">
        <v>22</v>
      </c>
      <c r="E266" s="8">
        <v>75038242</v>
      </c>
      <c r="F266" s="8">
        <v>75038242</v>
      </c>
      <c r="G266" s="8" t="s">
        <v>24</v>
      </c>
      <c r="H266" s="8" t="s">
        <v>46</v>
      </c>
      <c r="I266" s="8" t="s">
        <v>23</v>
      </c>
      <c r="J266" s="8" t="s">
        <v>641</v>
      </c>
      <c r="K266" s="8" t="s">
        <v>5042</v>
      </c>
      <c r="L266" s="8" t="s">
        <v>19</v>
      </c>
      <c r="M266" s="8">
        <v>3371</v>
      </c>
      <c r="N266" s="8" t="s">
        <v>514</v>
      </c>
      <c r="O266" s="8">
        <v>1051</v>
      </c>
      <c r="P266" s="8" t="s">
        <v>5041</v>
      </c>
      <c r="Q266" s="8" t="s">
        <v>4262</v>
      </c>
      <c r="R266" s="8">
        <v>0.12</v>
      </c>
      <c r="S266" s="8">
        <v>75038242</v>
      </c>
      <c r="T266" s="8" t="s">
        <v>24</v>
      </c>
      <c r="U266" s="8" t="s">
        <v>46</v>
      </c>
    </row>
    <row r="267" spans="1:21">
      <c r="A267" s="8" t="s">
        <v>5043</v>
      </c>
      <c r="B267" s="8" t="s">
        <v>2420</v>
      </c>
      <c r="C267" s="8">
        <v>10726</v>
      </c>
      <c r="D267" s="8" t="s">
        <v>22</v>
      </c>
      <c r="E267" s="8">
        <v>27272083</v>
      </c>
      <c r="F267" s="8">
        <v>27272083</v>
      </c>
      <c r="G267" s="8" t="s">
        <v>46</v>
      </c>
      <c r="H267" s="8" t="s">
        <v>25</v>
      </c>
      <c r="I267" s="8" t="s">
        <v>23</v>
      </c>
      <c r="J267" s="8" t="s">
        <v>2421</v>
      </c>
      <c r="K267" s="8" t="s">
        <v>5045</v>
      </c>
      <c r="L267" s="8" t="s">
        <v>19</v>
      </c>
      <c r="M267" s="8">
        <v>966</v>
      </c>
      <c r="N267" s="8" t="s">
        <v>405</v>
      </c>
      <c r="O267" s="8">
        <v>284</v>
      </c>
      <c r="P267" s="8" t="s">
        <v>5044</v>
      </c>
      <c r="Q267" s="8" t="s">
        <v>4262</v>
      </c>
      <c r="R267" s="8">
        <v>0.31</v>
      </c>
      <c r="S267" s="8">
        <v>27272083</v>
      </c>
      <c r="T267" s="8" t="s">
        <v>46</v>
      </c>
      <c r="U267" s="8" t="s">
        <v>25</v>
      </c>
    </row>
    <row r="268" spans="1:21">
      <c r="A268" s="8" t="s">
        <v>5043</v>
      </c>
      <c r="B268" s="8" t="s">
        <v>3732</v>
      </c>
      <c r="C268" s="8">
        <v>238</v>
      </c>
      <c r="D268" s="8" t="s">
        <v>172</v>
      </c>
      <c r="E268" s="8">
        <v>29450504</v>
      </c>
      <c r="F268" s="8">
        <v>29450504</v>
      </c>
      <c r="G268" s="8" t="s">
        <v>46</v>
      </c>
      <c r="H268" s="8" t="s">
        <v>41</v>
      </c>
      <c r="I268" s="8" t="s">
        <v>23</v>
      </c>
      <c r="J268" s="8" t="s">
        <v>3733</v>
      </c>
      <c r="K268" s="8" t="s">
        <v>5047</v>
      </c>
      <c r="L268" s="8" t="s">
        <v>19</v>
      </c>
      <c r="M268" s="8">
        <v>3802</v>
      </c>
      <c r="N268" s="8" t="s">
        <v>2439</v>
      </c>
      <c r="O268" s="8">
        <v>950</v>
      </c>
      <c r="P268" s="8" t="s">
        <v>5046</v>
      </c>
      <c r="Q268" s="8" t="s">
        <v>4262</v>
      </c>
      <c r="R268" s="8">
        <v>0.222</v>
      </c>
      <c r="S268" s="8">
        <v>29450504</v>
      </c>
      <c r="T268" s="8" t="s">
        <v>46</v>
      </c>
      <c r="U268" s="8" t="s">
        <v>41</v>
      </c>
    </row>
    <row r="269" spans="1:21">
      <c r="A269" s="8" t="s">
        <v>5043</v>
      </c>
      <c r="B269" s="8" t="s">
        <v>3202</v>
      </c>
      <c r="C269" s="8">
        <v>6476</v>
      </c>
      <c r="D269" s="8" t="s">
        <v>201</v>
      </c>
      <c r="E269" s="8">
        <v>164780251</v>
      </c>
      <c r="F269" s="8">
        <v>164780251</v>
      </c>
      <c r="G269" s="8" t="s">
        <v>24</v>
      </c>
      <c r="H269" s="8" t="s">
        <v>41</v>
      </c>
      <c r="I269" s="8" t="s">
        <v>23</v>
      </c>
      <c r="J269" s="8" t="s">
        <v>3203</v>
      </c>
      <c r="K269" s="8" t="s">
        <v>4591</v>
      </c>
      <c r="L269" s="8" t="s">
        <v>19</v>
      </c>
      <c r="M269" s="8">
        <v>991</v>
      </c>
      <c r="N269" s="8" t="s">
        <v>379</v>
      </c>
      <c r="O269" s="8">
        <v>310</v>
      </c>
      <c r="P269" s="8" t="s">
        <v>5048</v>
      </c>
      <c r="Q269" s="8" t="s">
        <v>4262</v>
      </c>
      <c r="R269" s="8">
        <v>0.18</v>
      </c>
      <c r="S269" s="8">
        <v>164780251</v>
      </c>
      <c r="T269" s="8" t="s">
        <v>24</v>
      </c>
      <c r="U269" s="8" t="s">
        <v>41</v>
      </c>
    </row>
    <row r="270" spans="1:21">
      <c r="A270" s="8" t="s">
        <v>5043</v>
      </c>
      <c r="B270" s="8" t="s">
        <v>3736</v>
      </c>
      <c r="C270" s="8">
        <v>5156</v>
      </c>
      <c r="D270" s="8" t="s">
        <v>220</v>
      </c>
      <c r="E270" s="8">
        <v>55133513</v>
      </c>
      <c r="F270" s="8">
        <v>55133513</v>
      </c>
      <c r="G270" s="8" t="s">
        <v>41</v>
      </c>
      <c r="H270" s="8" t="s">
        <v>25</v>
      </c>
      <c r="I270" s="8" t="s">
        <v>23</v>
      </c>
      <c r="J270" s="8" t="s">
        <v>3737</v>
      </c>
      <c r="K270" s="8" t="s">
        <v>5050</v>
      </c>
      <c r="L270" s="8" t="s">
        <v>19</v>
      </c>
      <c r="M270" s="8">
        <v>1148</v>
      </c>
      <c r="N270" s="8" t="s">
        <v>1186</v>
      </c>
      <c r="O270" s="8">
        <v>273</v>
      </c>
      <c r="P270" s="8" t="s">
        <v>5049</v>
      </c>
      <c r="Q270" s="8" t="s">
        <v>4262</v>
      </c>
      <c r="R270" s="8">
        <v>0.371</v>
      </c>
      <c r="S270" s="8">
        <v>55133513</v>
      </c>
      <c r="T270" s="8" t="s">
        <v>41</v>
      </c>
      <c r="U270" s="8" t="s">
        <v>25</v>
      </c>
    </row>
    <row r="271" spans="1:21">
      <c r="A271" s="8" t="s">
        <v>5043</v>
      </c>
      <c r="B271" s="8" t="s">
        <v>3735</v>
      </c>
      <c r="C271" s="8">
        <v>55132</v>
      </c>
      <c r="D271" s="8" t="s">
        <v>220</v>
      </c>
      <c r="E271" s="8">
        <v>129003461</v>
      </c>
      <c r="F271" s="8">
        <v>129003461</v>
      </c>
      <c r="G271" s="8" t="s">
        <v>24</v>
      </c>
      <c r="H271" s="8" t="s">
        <v>25</v>
      </c>
      <c r="I271" s="8" t="s">
        <v>23</v>
      </c>
      <c r="J271" s="8" t="s">
        <v>5051</v>
      </c>
      <c r="K271" s="8" t="s">
        <v>5052</v>
      </c>
      <c r="L271" s="8" t="s">
        <v>68</v>
      </c>
      <c r="M271" s="8">
        <v>0</v>
      </c>
      <c r="N271" s="8" t="s">
        <v>35</v>
      </c>
      <c r="O271" s="8">
        <v>0</v>
      </c>
      <c r="P271" s="8" t="s">
        <v>35</v>
      </c>
      <c r="Q271" s="8" t="s">
        <v>4262</v>
      </c>
      <c r="R271" s="8">
        <v>0.34599999999999997</v>
      </c>
      <c r="S271" s="8">
        <v>129003461</v>
      </c>
      <c r="T271" s="8" t="s">
        <v>24</v>
      </c>
      <c r="U271" s="8" t="s">
        <v>25</v>
      </c>
    </row>
    <row r="272" spans="1:21">
      <c r="A272" s="8" t="s">
        <v>5043</v>
      </c>
      <c r="B272" s="8" t="s">
        <v>5053</v>
      </c>
      <c r="C272" s="8">
        <v>5924</v>
      </c>
      <c r="D272" s="8" t="s">
        <v>226</v>
      </c>
      <c r="E272" s="8">
        <v>80497155</v>
      </c>
      <c r="F272" s="8">
        <v>80497155</v>
      </c>
      <c r="G272" s="8" t="s">
        <v>24</v>
      </c>
      <c r="H272" s="8" t="s">
        <v>25</v>
      </c>
      <c r="I272" s="8" t="s">
        <v>23</v>
      </c>
      <c r="J272" s="8" t="s">
        <v>5054</v>
      </c>
      <c r="K272" s="8" t="s">
        <v>5056</v>
      </c>
      <c r="L272" s="8" t="s">
        <v>19</v>
      </c>
      <c r="M272" s="8">
        <v>2800</v>
      </c>
      <c r="N272" s="8" t="s">
        <v>758</v>
      </c>
      <c r="O272" s="8">
        <v>934</v>
      </c>
      <c r="P272" s="8" t="s">
        <v>5055</v>
      </c>
      <c r="Q272" s="8" t="s">
        <v>4262</v>
      </c>
      <c r="R272" s="8">
        <v>0.11</v>
      </c>
      <c r="S272" s="8">
        <v>80497155</v>
      </c>
      <c r="T272" s="8" t="s">
        <v>24</v>
      </c>
      <c r="U272" s="8" t="s">
        <v>25</v>
      </c>
    </row>
    <row r="273" spans="1:21">
      <c r="A273" s="8" t="s">
        <v>5043</v>
      </c>
      <c r="B273" s="8" t="s">
        <v>5057</v>
      </c>
      <c r="C273" s="8">
        <v>83890</v>
      </c>
      <c r="D273" s="8" t="s">
        <v>226</v>
      </c>
      <c r="E273" s="8">
        <v>95018258</v>
      </c>
      <c r="F273" s="8">
        <v>95018258</v>
      </c>
      <c r="G273" s="8" t="s">
        <v>41</v>
      </c>
      <c r="H273" s="8" t="s">
        <v>46</v>
      </c>
      <c r="I273" s="8" t="s">
        <v>23</v>
      </c>
      <c r="J273" s="8" t="s">
        <v>5058</v>
      </c>
      <c r="K273" s="8" t="s">
        <v>5060</v>
      </c>
      <c r="L273" s="8" t="s">
        <v>19</v>
      </c>
      <c r="M273" s="8">
        <v>280</v>
      </c>
      <c r="N273" s="8" t="s">
        <v>673</v>
      </c>
      <c r="O273" s="8">
        <v>42</v>
      </c>
      <c r="P273" s="8" t="s">
        <v>5059</v>
      </c>
      <c r="Q273" s="8" t="s">
        <v>4262</v>
      </c>
      <c r="R273" s="8">
        <v>0.10299999999999999</v>
      </c>
      <c r="S273" s="8">
        <v>95018258</v>
      </c>
      <c r="T273" s="8" t="s">
        <v>41</v>
      </c>
      <c r="U273" s="8" t="s">
        <v>46</v>
      </c>
    </row>
    <row r="274" spans="1:21">
      <c r="A274" s="8" t="s">
        <v>5043</v>
      </c>
      <c r="B274" s="8" t="s">
        <v>5061</v>
      </c>
      <c r="C274" s="8">
        <v>56146</v>
      </c>
      <c r="D274" s="8" t="s">
        <v>226</v>
      </c>
      <c r="E274" s="8">
        <v>140176495</v>
      </c>
      <c r="F274" s="8">
        <v>140176495</v>
      </c>
      <c r="G274" s="8" t="s">
        <v>41</v>
      </c>
      <c r="H274" s="8" t="s">
        <v>46</v>
      </c>
      <c r="I274" s="8" t="s">
        <v>23</v>
      </c>
      <c r="J274" s="8" t="s">
        <v>5062</v>
      </c>
      <c r="K274" s="8" t="s">
        <v>5064</v>
      </c>
      <c r="L274" s="8" t="s">
        <v>19</v>
      </c>
      <c r="M274" s="8">
        <v>2052</v>
      </c>
      <c r="N274" s="8" t="s">
        <v>3025</v>
      </c>
      <c r="O274" s="8">
        <v>649</v>
      </c>
      <c r="P274" s="8" t="s">
        <v>5063</v>
      </c>
      <c r="Q274" s="8" t="s">
        <v>4262</v>
      </c>
      <c r="R274" s="8">
        <v>0.47099999999999997</v>
      </c>
      <c r="S274" s="8">
        <v>140176495</v>
      </c>
      <c r="T274" s="8" t="s">
        <v>41</v>
      </c>
      <c r="U274" s="8" t="s">
        <v>46</v>
      </c>
    </row>
    <row r="275" spans="1:21">
      <c r="A275" s="8" t="s">
        <v>5043</v>
      </c>
      <c r="B275" s="8" t="s">
        <v>3738</v>
      </c>
      <c r="C275" s="8">
        <v>56923</v>
      </c>
      <c r="D275" s="8" t="s">
        <v>226</v>
      </c>
      <c r="E275" s="8">
        <v>151775109</v>
      </c>
      <c r="F275" s="8">
        <v>151775109</v>
      </c>
      <c r="G275" s="8" t="s">
        <v>24</v>
      </c>
      <c r="H275" s="8" t="s">
        <v>41</v>
      </c>
      <c r="I275" s="8" t="s">
        <v>23</v>
      </c>
      <c r="J275" s="8" t="s">
        <v>3739</v>
      </c>
      <c r="K275" s="8" t="s">
        <v>5066</v>
      </c>
      <c r="L275" s="8" t="s">
        <v>19</v>
      </c>
      <c r="M275" s="8">
        <v>1014</v>
      </c>
      <c r="N275" s="8" t="s">
        <v>1622</v>
      </c>
      <c r="O275" s="8">
        <v>283</v>
      </c>
      <c r="P275" s="8" t="s">
        <v>5065</v>
      </c>
      <c r="Q275" s="8" t="s">
        <v>4262</v>
      </c>
      <c r="R275" s="8">
        <v>0.23</v>
      </c>
      <c r="S275" s="8">
        <v>151775109</v>
      </c>
      <c r="T275" s="8" t="s">
        <v>24</v>
      </c>
      <c r="U275" s="8" t="s">
        <v>41</v>
      </c>
    </row>
    <row r="276" spans="1:21">
      <c r="A276" s="8" t="s">
        <v>5043</v>
      </c>
      <c r="B276" s="8" t="s">
        <v>5067</v>
      </c>
      <c r="C276" s="8">
        <v>140453</v>
      </c>
      <c r="D276" s="8" t="s">
        <v>257</v>
      </c>
      <c r="E276" s="8">
        <v>100685411</v>
      </c>
      <c r="F276" s="8">
        <v>100685411</v>
      </c>
      <c r="G276" s="8" t="s">
        <v>25</v>
      </c>
      <c r="H276" s="8" t="s">
        <v>24</v>
      </c>
      <c r="I276" s="8" t="s">
        <v>23</v>
      </c>
      <c r="J276" s="8" t="s">
        <v>5068</v>
      </c>
      <c r="K276" s="8" t="s">
        <v>5070</v>
      </c>
      <c r="L276" s="8" t="s">
        <v>19</v>
      </c>
      <c r="M276" s="8">
        <v>10767</v>
      </c>
      <c r="N276" s="8" t="s">
        <v>1209</v>
      </c>
      <c r="O276" s="8">
        <v>3572</v>
      </c>
      <c r="P276" s="8" t="s">
        <v>5069</v>
      </c>
      <c r="Q276" s="8" t="s">
        <v>4262</v>
      </c>
      <c r="R276" s="8">
        <v>0.109</v>
      </c>
      <c r="S276" s="8">
        <v>100685411</v>
      </c>
      <c r="T276" s="8" t="s">
        <v>25</v>
      </c>
      <c r="U276" s="8" t="s">
        <v>24</v>
      </c>
    </row>
    <row r="277" spans="1:21">
      <c r="A277" s="8" t="s">
        <v>5043</v>
      </c>
      <c r="B277" s="8" t="s">
        <v>5071</v>
      </c>
      <c r="C277" s="8">
        <v>55039</v>
      </c>
      <c r="D277" s="8" t="s">
        <v>279</v>
      </c>
      <c r="E277" s="8">
        <v>125463217</v>
      </c>
      <c r="F277" s="8">
        <v>125463217</v>
      </c>
      <c r="G277" s="8" t="s">
        <v>46</v>
      </c>
      <c r="H277" s="8" t="s">
        <v>25</v>
      </c>
      <c r="I277" s="8" t="s">
        <v>23</v>
      </c>
      <c r="J277" s="8" t="s">
        <v>5072</v>
      </c>
      <c r="K277" s="8" t="s">
        <v>5074</v>
      </c>
      <c r="L277" s="8" t="s">
        <v>19</v>
      </c>
      <c r="M277" s="8">
        <v>170</v>
      </c>
      <c r="N277" s="8" t="s">
        <v>3150</v>
      </c>
      <c r="O277" s="8">
        <v>17</v>
      </c>
      <c r="P277" s="8" t="s">
        <v>5073</v>
      </c>
      <c r="Q277" s="8" t="s">
        <v>4262</v>
      </c>
      <c r="R277" s="8">
        <v>0.113</v>
      </c>
      <c r="S277" s="8">
        <v>125463217</v>
      </c>
      <c r="T277" s="8" t="s">
        <v>46</v>
      </c>
      <c r="U277" s="8" t="s">
        <v>25</v>
      </c>
    </row>
    <row r="278" spans="1:21">
      <c r="A278" s="8" t="s">
        <v>5043</v>
      </c>
      <c r="B278" s="8" t="s">
        <v>5075</v>
      </c>
      <c r="C278" s="8">
        <v>6832</v>
      </c>
      <c r="D278" s="8" t="s">
        <v>69</v>
      </c>
      <c r="E278" s="8">
        <v>70962728</v>
      </c>
      <c r="F278" s="8">
        <v>70962728</v>
      </c>
      <c r="G278" s="8" t="s">
        <v>46</v>
      </c>
      <c r="H278" s="8" t="s">
        <v>24</v>
      </c>
      <c r="I278" s="8" t="s">
        <v>23</v>
      </c>
      <c r="J278" s="8" t="s">
        <v>5076</v>
      </c>
      <c r="K278" s="8" t="s">
        <v>5078</v>
      </c>
      <c r="L278" s="8" t="s">
        <v>19</v>
      </c>
      <c r="M278" s="8">
        <v>1760</v>
      </c>
      <c r="N278" s="8" t="s">
        <v>2900</v>
      </c>
      <c r="O278" s="8">
        <v>569</v>
      </c>
      <c r="P278" s="8" t="s">
        <v>5077</v>
      </c>
      <c r="Q278" s="8" t="s">
        <v>4262</v>
      </c>
      <c r="R278" s="8">
        <v>0.1</v>
      </c>
      <c r="S278" s="8">
        <v>70962728</v>
      </c>
      <c r="T278" s="8" t="s">
        <v>46</v>
      </c>
      <c r="U278" s="8" t="s">
        <v>24</v>
      </c>
    </row>
    <row r="279" spans="1:21">
      <c r="A279" s="8" t="s">
        <v>5043</v>
      </c>
      <c r="B279" s="8" t="s">
        <v>5079</v>
      </c>
      <c r="C279" s="8">
        <v>22841</v>
      </c>
      <c r="D279" s="8" t="s">
        <v>69</v>
      </c>
      <c r="E279" s="8">
        <v>119799723</v>
      </c>
      <c r="F279" s="8">
        <v>119799723</v>
      </c>
      <c r="G279" s="8" t="s">
        <v>25</v>
      </c>
      <c r="H279" s="8" t="s">
        <v>24</v>
      </c>
      <c r="I279" s="8" t="s">
        <v>23</v>
      </c>
      <c r="J279" s="8" t="s">
        <v>5080</v>
      </c>
      <c r="K279" s="8" t="s">
        <v>5082</v>
      </c>
      <c r="L279" s="8" t="s">
        <v>19</v>
      </c>
      <c r="M279" s="8">
        <v>1147</v>
      </c>
      <c r="N279" s="8" t="s">
        <v>3156</v>
      </c>
      <c r="O279" s="8">
        <v>236</v>
      </c>
      <c r="P279" s="8" t="s">
        <v>5081</v>
      </c>
      <c r="Q279" s="8" t="s">
        <v>4262</v>
      </c>
      <c r="R279" s="8">
        <v>6.5000000000000002E-2</v>
      </c>
      <c r="S279" s="8">
        <v>119799723</v>
      </c>
      <c r="T279" s="8" t="s">
        <v>25</v>
      </c>
      <c r="U279" s="8" t="s">
        <v>24</v>
      </c>
    </row>
    <row r="280" spans="1:21">
      <c r="A280" s="8" t="s">
        <v>5043</v>
      </c>
      <c r="B280" s="8" t="s">
        <v>5083</v>
      </c>
      <c r="C280" s="8">
        <v>3747</v>
      </c>
      <c r="D280" s="8" t="s">
        <v>104</v>
      </c>
      <c r="E280" s="8">
        <v>75442001</v>
      </c>
      <c r="F280" s="8">
        <v>75442001</v>
      </c>
      <c r="G280" s="8" t="s">
        <v>46</v>
      </c>
      <c r="H280" s="8" t="s">
        <v>41</v>
      </c>
      <c r="I280" s="8" t="s">
        <v>23</v>
      </c>
      <c r="J280" s="8" t="s">
        <v>5084</v>
      </c>
      <c r="K280" s="8" t="s">
        <v>5087</v>
      </c>
      <c r="L280" s="8" t="s">
        <v>19</v>
      </c>
      <c r="M280" s="8">
        <v>2256</v>
      </c>
      <c r="N280" s="8" t="s">
        <v>736</v>
      </c>
      <c r="O280" s="8">
        <v>571</v>
      </c>
      <c r="P280" s="8" t="s">
        <v>5085</v>
      </c>
      <c r="Q280" s="8" t="s">
        <v>5086</v>
      </c>
      <c r="R280" s="8">
        <v>0.14000000000000001</v>
      </c>
      <c r="S280" s="8">
        <v>75442001</v>
      </c>
      <c r="T280" s="8" t="s">
        <v>46</v>
      </c>
      <c r="U280" s="8" t="s">
        <v>41</v>
      </c>
    </row>
    <row r="281" spans="1:21">
      <c r="A281" s="8" t="s">
        <v>5043</v>
      </c>
      <c r="B281" s="8" t="s">
        <v>5088</v>
      </c>
      <c r="C281" s="8">
        <v>23091</v>
      </c>
      <c r="D281" s="8" t="s">
        <v>339</v>
      </c>
      <c r="E281" s="8">
        <v>46577282</v>
      </c>
      <c r="F281" s="8">
        <v>46577282</v>
      </c>
      <c r="G281" s="8" t="s">
        <v>24</v>
      </c>
      <c r="H281" s="8" t="s">
        <v>41</v>
      </c>
      <c r="I281" s="8" t="s">
        <v>23</v>
      </c>
      <c r="J281" s="8" t="s">
        <v>5089</v>
      </c>
      <c r="K281" s="8" t="s">
        <v>5091</v>
      </c>
      <c r="L281" s="8" t="s">
        <v>19</v>
      </c>
      <c r="M281" s="8">
        <v>1007</v>
      </c>
      <c r="N281" s="8" t="s">
        <v>247</v>
      </c>
      <c r="O281" s="8">
        <v>312</v>
      </c>
      <c r="P281" s="8" t="s">
        <v>5090</v>
      </c>
      <c r="Q281" s="8" t="s">
        <v>4262</v>
      </c>
      <c r="R281" s="8">
        <v>0.128</v>
      </c>
      <c r="S281" s="8">
        <v>46577282</v>
      </c>
      <c r="T281" s="8" t="s">
        <v>24</v>
      </c>
      <c r="U281" s="8" t="s">
        <v>41</v>
      </c>
    </row>
    <row r="282" spans="1:21">
      <c r="A282" s="8" t="s">
        <v>5043</v>
      </c>
      <c r="B282" s="8" t="s">
        <v>3731</v>
      </c>
      <c r="C282" s="8">
        <v>4253</v>
      </c>
      <c r="D282" s="8" t="s">
        <v>118</v>
      </c>
      <c r="E282" s="8">
        <v>39764165</v>
      </c>
      <c r="F282" s="8">
        <v>39764165</v>
      </c>
      <c r="G282" s="8" t="s">
        <v>24</v>
      </c>
      <c r="H282" s="8" t="s">
        <v>25</v>
      </c>
      <c r="I282" s="8" t="s">
        <v>23</v>
      </c>
      <c r="J282" s="8" t="s">
        <v>5092</v>
      </c>
      <c r="K282" s="8" t="s">
        <v>5094</v>
      </c>
      <c r="L282" s="8" t="s">
        <v>19</v>
      </c>
      <c r="M282" s="8">
        <v>940</v>
      </c>
      <c r="N282" s="8" t="s">
        <v>758</v>
      </c>
      <c r="O282" s="8">
        <v>202</v>
      </c>
      <c r="P282" s="8" t="s">
        <v>5093</v>
      </c>
      <c r="Q282" s="8" t="s">
        <v>4262</v>
      </c>
      <c r="R282" s="8">
        <v>0.16500000000000001</v>
      </c>
      <c r="S282" s="8">
        <v>39764165</v>
      </c>
      <c r="T282" s="8" t="s">
        <v>24</v>
      </c>
      <c r="U282" s="8" t="s">
        <v>25</v>
      </c>
    </row>
    <row r="283" spans="1:21">
      <c r="A283" s="8" t="s">
        <v>5043</v>
      </c>
      <c r="B283" s="8" t="s">
        <v>5095</v>
      </c>
      <c r="C283" s="8">
        <v>85464</v>
      </c>
      <c r="D283" s="8" t="s">
        <v>133</v>
      </c>
      <c r="E283" s="8">
        <v>27957930</v>
      </c>
      <c r="F283" s="8">
        <v>27957930</v>
      </c>
      <c r="G283" s="8" t="s">
        <v>24</v>
      </c>
      <c r="H283" s="8" t="s">
        <v>25</v>
      </c>
      <c r="I283" s="8" t="s">
        <v>23</v>
      </c>
      <c r="J283" s="8" t="s">
        <v>5096</v>
      </c>
      <c r="K283" s="8" t="s">
        <v>5098</v>
      </c>
      <c r="L283" s="8" t="s">
        <v>19</v>
      </c>
      <c r="M283" s="8">
        <v>4201</v>
      </c>
      <c r="N283" s="8" t="s">
        <v>504</v>
      </c>
      <c r="O283" s="8">
        <v>1401</v>
      </c>
      <c r="P283" s="8" t="s">
        <v>5097</v>
      </c>
      <c r="Q283" s="8" t="s">
        <v>4262</v>
      </c>
      <c r="R283" s="8">
        <v>0.221</v>
      </c>
      <c r="S283" s="8">
        <v>27957930</v>
      </c>
      <c r="T283" s="8" t="s">
        <v>24</v>
      </c>
      <c r="U283" s="8" t="s">
        <v>25</v>
      </c>
    </row>
    <row r="284" spans="1:21">
      <c r="A284" s="8" t="s">
        <v>5043</v>
      </c>
      <c r="B284" s="8" t="s">
        <v>5099</v>
      </c>
      <c r="C284" s="8">
        <v>51284</v>
      </c>
      <c r="D284" s="8" t="s">
        <v>418</v>
      </c>
      <c r="E284" s="8">
        <v>12905411</v>
      </c>
      <c r="F284" s="8">
        <v>12905411</v>
      </c>
      <c r="G284" s="8" t="s">
        <v>41</v>
      </c>
      <c r="H284" s="8" t="s">
        <v>25</v>
      </c>
      <c r="I284" s="8" t="s">
        <v>23</v>
      </c>
      <c r="J284" s="8" t="s">
        <v>5100</v>
      </c>
      <c r="K284" s="8" t="s">
        <v>5102</v>
      </c>
      <c r="L284" s="8" t="s">
        <v>19</v>
      </c>
      <c r="M284" s="8">
        <v>1923</v>
      </c>
      <c r="N284" s="8" t="s">
        <v>3783</v>
      </c>
      <c r="O284" s="8">
        <v>595</v>
      </c>
      <c r="P284" s="8" t="s">
        <v>5101</v>
      </c>
      <c r="Q284" s="8" t="s">
        <v>4262</v>
      </c>
      <c r="R284" s="8">
        <v>0.22</v>
      </c>
      <c r="S284" s="8">
        <v>12905411</v>
      </c>
      <c r="T284" s="8" t="s">
        <v>41</v>
      </c>
      <c r="U284" s="8" t="s">
        <v>25</v>
      </c>
    </row>
    <row r="285" spans="1:21">
      <c r="A285" s="8" t="s">
        <v>5043</v>
      </c>
      <c r="B285" s="8"/>
      <c r="C285" s="8">
        <v>51765</v>
      </c>
      <c r="D285" s="8" t="s">
        <v>418</v>
      </c>
      <c r="E285" s="8">
        <v>131207109</v>
      </c>
      <c r="F285" s="8">
        <v>131207109</v>
      </c>
      <c r="G285" s="8" t="s">
        <v>25</v>
      </c>
      <c r="H285" s="8" t="s">
        <v>24</v>
      </c>
      <c r="I285" s="8" t="s">
        <v>23</v>
      </c>
      <c r="J285" s="8" t="s">
        <v>5103</v>
      </c>
      <c r="K285" s="8" t="s">
        <v>5105</v>
      </c>
      <c r="L285" s="8" t="s">
        <v>19</v>
      </c>
      <c r="M285" s="8">
        <v>1515</v>
      </c>
      <c r="N285" s="8" t="s">
        <v>454</v>
      </c>
      <c r="O285" s="8">
        <v>405</v>
      </c>
      <c r="P285" s="8" t="s">
        <v>5104</v>
      </c>
      <c r="Q285" s="8" t="s">
        <v>4262</v>
      </c>
      <c r="R285" s="8">
        <v>0.21299999999999999</v>
      </c>
      <c r="S285" s="8">
        <v>131207109</v>
      </c>
      <c r="T285" s="8" t="s">
        <v>25</v>
      </c>
      <c r="U285" s="8" t="s">
        <v>24</v>
      </c>
    </row>
    <row r="286" spans="1:21">
      <c r="A286" s="8" t="s">
        <v>5043</v>
      </c>
      <c r="B286" s="8" t="s">
        <v>3742</v>
      </c>
      <c r="C286" s="8">
        <v>6197</v>
      </c>
      <c r="D286" s="8" t="s">
        <v>418</v>
      </c>
      <c r="E286" s="8">
        <v>20213257</v>
      </c>
      <c r="F286" s="8">
        <v>20213257</v>
      </c>
      <c r="G286" s="8" t="s">
        <v>41</v>
      </c>
      <c r="H286" s="8" t="s">
        <v>25</v>
      </c>
      <c r="I286" s="8" t="s">
        <v>23</v>
      </c>
      <c r="J286" s="8" t="s">
        <v>3743</v>
      </c>
      <c r="K286" s="8" t="s">
        <v>5107</v>
      </c>
      <c r="L286" s="8" t="s">
        <v>19</v>
      </c>
      <c r="M286" s="8">
        <v>332</v>
      </c>
      <c r="N286" s="8" t="s">
        <v>469</v>
      </c>
      <c r="O286" s="8">
        <v>111</v>
      </c>
      <c r="P286" s="8" t="s">
        <v>5106</v>
      </c>
      <c r="Q286" s="8" t="s">
        <v>4262</v>
      </c>
      <c r="R286" s="8">
        <v>0.19400000000000001</v>
      </c>
      <c r="S286" s="8">
        <v>20213257</v>
      </c>
      <c r="T286" s="8" t="s">
        <v>41</v>
      </c>
      <c r="U286" s="8" t="s">
        <v>25</v>
      </c>
    </row>
    <row r="287" spans="1:21">
      <c r="A287" s="8" t="s">
        <v>5112</v>
      </c>
      <c r="B287" s="8" t="s">
        <v>5108</v>
      </c>
      <c r="C287" s="8">
        <v>163782</v>
      </c>
      <c r="D287" s="8" t="s">
        <v>22</v>
      </c>
      <c r="E287" s="8">
        <v>62740105</v>
      </c>
      <c r="F287" s="8">
        <v>62740105</v>
      </c>
      <c r="G287" s="8" t="s">
        <v>25</v>
      </c>
      <c r="H287" s="8" t="s">
        <v>41</v>
      </c>
      <c r="I287" s="8" t="s">
        <v>23</v>
      </c>
      <c r="J287" s="8" t="s">
        <v>5109</v>
      </c>
      <c r="K287" s="8" t="s">
        <v>5111</v>
      </c>
      <c r="L287" s="8" t="s">
        <v>19</v>
      </c>
      <c r="M287" s="8">
        <v>1048</v>
      </c>
      <c r="N287" s="8" t="s">
        <v>1416</v>
      </c>
      <c r="O287" s="8">
        <v>224</v>
      </c>
      <c r="P287" s="8" t="s">
        <v>5110</v>
      </c>
      <c r="Q287" s="8" t="s">
        <v>4262</v>
      </c>
      <c r="R287" s="8">
        <v>0.13</v>
      </c>
      <c r="S287" s="8">
        <v>62740105</v>
      </c>
      <c r="T287" s="8" t="s">
        <v>25</v>
      </c>
      <c r="U287" s="8" t="s">
        <v>41</v>
      </c>
    </row>
    <row r="288" spans="1:21">
      <c r="A288" s="8" t="s">
        <v>5112</v>
      </c>
      <c r="B288" s="8" t="s">
        <v>2210</v>
      </c>
      <c r="C288" s="8">
        <v>9909</v>
      </c>
      <c r="D288" s="8" t="s">
        <v>22</v>
      </c>
      <c r="E288" s="8">
        <v>153904851</v>
      </c>
      <c r="F288" s="8">
        <v>153904851</v>
      </c>
      <c r="G288" s="8" t="s">
        <v>46</v>
      </c>
      <c r="H288" s="8" t="s">
        <v>25</v>
      </c>
      <c r="I288" s="8" t="s">
        <v>23</v>
      </c>
      <c r="J288" s="8" t="s">
        <v>5113</v>
      </c>
      <c r="K288" s="8" t="s">
        <v>5115</v>
      </c>
      <c r="L288" s="8" t="s">
        <v>19</v>
      </c>
      <c r="M288" s="8">
        <v>4226</v>
      </c>
      <c r="N288" s="8" t="s">
        <v>1180</v>
      </c>
      <c r="O288" s="8">
        <v>1275</v>
      </c>
      <c r="P288" s="8" t="s">
        <v>5114</v>
      </c>
      <c r="Q288" s="8" t="s">
        <v>4262</v>
      </c>
      <c r="R288" s="8">
        <v>0.19800000000000001</v>
      </c>
      <c r="S288" s="8">
        <v>153904851</v>
      </c>
      <c r="T288" s="8" t="s">
        <v>46</v>
      </c>
      <c r="U288" s="8" t="s">
        <v>25</v>
      </c>
    </row>
    <row r="289" spans="1:21">
      <c r="A289" s="8" t="s">
        <v>5112</v>
      </c>
      <c r="B289" s="8" t="s">
        <v>5116</v>
      </c>
      <c r="C289" s="8">
        <v>2326</v>
      </c>
      <c r="D289" s="8" t="s">
        <v>22</v>
      </c>
      <c r="E289" s="8">
        <v>171251338</v>
      </c>
      <c r="F289" s="8">
        <v>171251338</v>
      </c>
      <c r="G289" s="8" t="s">
        <v>46</v>
      </c>
      <c r="H289" s="8" t="s">
        <v>25</v>
      </c>
      <c r="I289" s="8" t="s">
        <v>23</v>
      </c>
      <c r="J289" s="8" t="s">
        <v>5117</v>
      </c>
      <c r="K289" s="8" t="s">
        <v>5119</v>
      </c>
      <c r="L289" s="8" t="s">
        <v>19</v>
      </c>
      <c r="M289" s="8">
        <v>1146</v>
      </c>
      <c r="N289" s="8" t="s">
        <v>3048</v>
      </c>
      <c r="O289" s="8">
        <v>350</v>
      </c>
      <c r="P289" s="8" t="s">
        <v>5118</v>
      </c>
      <c r="Q289" s="8" t="s">
        <v>4262</v>
      </c>
      <c r="R289" s="8">
        <v>0.193</v>
      </c>
      <c r="S289" s="8">
        <v>171251338</v>
      </c>
      <c r="T289" s="8" t="s">
        <v>46</v>
      </c>
      <c r="U289" s="8" t="s">
        <v>25</v>
      </c>
    </row>
    <row r="290" spans="1:21">
      <c r="A290" s="8" t="s">
        <v>5112</v>
      </c>
      <c r="B290" s="8" t="s">
        <v>5120</v>
      </c>
      <c r="C290" s="8">
        <v>27</v>
      </c>
      <c r="D290" s="8" t="s">
        <v>22</v>
      </c>
      <c r="E290" s="8">
        <v>179076933</v>
      </c>
      <c r="F290" s="8">
        <v>179076933</v>
      </c>
      <c r="G290" s="8" t="s">
        <v>46</v>
      </c>
      <c r="H290" s="8" t="s">
        <v>41</v>
      </c>
      <c r="I290" s="8" t="s">
        <v>23</v>
      </c>
      <c r="J290" s="8" t="s">
        <v>5121</v>
      </c>
      <c r="K290" s="8" t="s">
        <v>5123</v>
      </c>
      <c r="L290" s="8" t="s">
        <v>19</v>
      </c>
      <c r="M290" s="8">
        <v>3469</v>
      </c>
      <c r="N290" s="8" t="s">
        <v>768</v>
      </c>
      <c r="O290" s="8">
        <v>1142</v>
      </c>
      <c r="P290" s="8" t="s">
        <v>5122</v>
      </c>
      <c r="Q290" s="8" t="s">
        <v>4262</v>
      </c>
      <c r="R290" s="8">
        <v>0.20699999999999999</v>
      </c>
      <c r="S290" s="8">
        <v>179076933</v>
      </c>
      <c r="T290" s="8" t="s">
        <v>46</v>
      </c>
      <c r="U290" s="8" t="s">
        <v>41</v>
      </c>
    </row>
    <row r="291" spans="1:21">
      <c r="A291" s="8" t="s">
        <v>5112</v>
      </c>
      <c r="B291" s="8" t="s">
        <v>3224</v>
      </c>
      <c r="C291" s="8">
        <v>3918</v>
      </c>
      <c r="D291" s="8" t="s">
        <v>22</v>
      </c>
      <c r="E291" s="8">
        <v>183192323</v>
      </c>
      <c r="F291" s="8">
        <v>183192323</v>
      </c>
      <c r="G291" s="8" t="s">
        <v>41</v>
      </c>
      <c r="H291" s="8" t="s">
        <v>24</v>
      </c>
      <c r="I291" s="8" t="s">
        <v>23</v>
      </c>
      <c r="J291" s="8" t="s">
        <v>5124</v>
      </c>
      <c r="K291" s="8" t="s">
        <v>5126</v>
      </c>
      <c r="L291" s="8" t="s">
        <v>19</v>
      </c>
      <c r="M291" s="8">
        <v>1131</v>
      </c>
      <c r="N291" s="8" t="s">
        <v>5127</v>
      </c>
      <c r="O291" s="8">
        <v>273</v>
      </c>
      <c r="P291" s="8" t="s">
        <v>5125</v>
      </c>
      <c r="Q291" s="8" t="s">
        <v>4262</v>
      </c>
      <c r="R291" s="8">
        <v>0.154</v>
      </c>
      <c r="S291" s="8">
        <v>183192323</v>
      </c>
      <c r="T291" s="8" t="s">
        <v>41</v>
      </c>
      <c r="U291" s="8" t="s">
        <v>24</v>
      </c>
    </row>
    <row r="292" spans="1:21">
      <c r="A292" s="8" t="s">
        <v>5112</v>
      </c>
      <c r="B292" s="8" t="s">
        <v>989</v>
      </c>
      <c r="C292" s="8">
        <v>89796</v>
      </c>
      <c r="D292" s="8" t="s">
        <v>22</v>
      </c>
      <c r="E292" s="8">
        <v>201751477</v>
      </c>
      <c r="F292" s="8">
        <v>201751477</v>
      </c>
      <c r="G292" s="8" t="s">
        <v>24</v>
      </c>
      <c r="H292" s="8" t="s">
        <v>41</v>
      </c>
      <c r="I292" s="8" t="s">
        <v>23</v>
      </c>
      <c r="J292" s="8" t="s">
        <v>990</v>
      </c>
      <c r="K292" s="8" t="s">
        <v>5129</v>
      </c>
      <c r="L292" s="8" t="s">
        <v>19</v>
      </c>
      <c r="M292" s="8">
        <v>2184</v>
      </c>
      <c r="N292" s="8" t="s">
        <v>256</v>
      </c>
      <c r="O292" s="8">
        <v>613</v>
      </c>
      <c r="P292" s="8" t="s">
        <v>5128</v>
      </c>
      <c r="Q292" s="8" t="s">
        <v>4262</v>
      </c>
      <c r="R292" s="8">
        <v>0.216</v>
      </c>
      <c r="S292" s="8">
        <v>201751477</v>
      </c>
      <c r="T292" s="8" t="s">
        <v>24</v>
      </c>
      <c r="U292" s="8" t="s">
        <v>41</v>
      </c>
    </row>
    <row r="293" spans="1:21">
      <c r="A293" s="8" t="s">
        <v>5112</v>
      </c>
      <c r="B293" s="8" t="s">
        <v>2415</v>
      </c>
      <c r="C293" s="8">
        <v>57568</v>
      </c>
      <c r="D293" s="8" t="s">
        <v>22</v>
      </c>
      <c r="E293" s="8">
        <v>232568036</v>
      </c>
      <c r="F293" s="8">
        <v>232568036</v>
      </c>
      <c r="G293" s="8" t="s">
        <v>46</v>
      </c>
      <c r="H293" s="8" t="s">
        <v>25</v>
      </c>
      <c r="I293" s="8" t="s">
        <v>23</v>
      </c>
      <c r="J293" s="8" t="s">
        <v>2416</v>
      </c>
      <c r="K293" s="8" t="s">
        <v>5131</v>
      </c>
      <c r="L293" s="8" t="s">
        <v>19</v>
      </c>
      <c r="M293" s="8">
        <v>4371</v>
      </c>
      <c r="N293" s="8" t="s">
        <v>1088</v>
      </c>
      <c r="O293" s="8">
        <v>1405</v>
      </c>
      <c r="P293" s="8" t="s">
        <v>5130</v>
      </c>
      <c r="Q293" s="8" t="s">
        <v>4262</v>
      </c>
      <c r="R293" s="8">
        <v>0.17100000000000001</v>
      </c>
      <c r="S293" s="8">
        <v>232568036</v>
      </c>
      <c r="T293" s="8" t="s">
        <v>46</v>
      </c>
      <c r="U293" s="8" t="s">
        <v>25</v>
      </c>
    </row>
    <row r="294" spans="1:21">
      <c r="A294" s="8" t="s">
        <v>5112</v>
      </c>
      <c r="B294" s="8" t="s">
        <v>3594</v>
      </c>
      <c r="C294" s="8">
        <v>128025</v>
      </c>
      <c r="D294" s="8" t="s">
        <v>22</v>
      </c>
      <c r="E294" s="8">
        <v>241823933</v>
      </c>
      <c r="F294" s="8">
        <v>241823933</v>
      </c>
      <c r="G294" s="8" t="s">
        <v>25</v>
      </c>
      <c r="H294" s="8" t="s">
        <v>41</v>
      </c>
      <c r="I294" s="8" t="s">
        <v>23</v>
      </c>
      <c r="J294" s="8" t="s">
        <v>3595</v>
      </c>
      <c r="K294" s="8" t="s">
        <v>5133</v>
      </c>
      <c r="L294" s="8" t="s">
        <v>19</v>
      </c>
      <c r="M294" s="8">
        <v>454</v>
      </c>
      <c r="N294" s="8" t="s">
        <v>3131</v>
      </c>
      <c r="O294" s="8">
        <v>83</v>
      </c>
      <c r="P294" s="8" t="s">
        <v>5132</v>
      </c>
      <c r="Q294" s="8" t="s">
        <v>4262</v>
      </c>
      <c r="R294" s="8">
        <v>0.16500000000000001</v>
      </c>
      <c r="S294" s="8">
        <v>241823933</v>
      </c>
      <c r="T294" s="8" t="s">
        <v>25</v>
      </c>
      <c r="U294" s="8" t="s">
        <v>41</v>
      </c>
    </row>
    <row r="295" spans="1:21">
      <c r="A295" s="8" t="s">
        <v>5112</v>
      </c>
      <c r="B295" s="8" t="s">
        <v>5134</v>
      </c>
      <c r="C295" s="8">
        <v>130940</v>
      </c>
      <c r="D295" s="8" t="s">
        <v>172</v>
      </c>
      <c r="E295" s="8">
        <v>159107420</v>
      </c>
      <c r="F295" s="8">
        <v>159107420</v>
      </c>
      <c r="G295" s="8" t="s">
        <v>46</v>
      </c>
      <c r="H295" s="8" t="s">
        <v>41</v>
      </c>
      <c r="I295" s="8" t="s">
        <v>23</v>
      </c>
      <c r="J295" s="8" t="s">
        <v>5135</v>
      </c>
      <c r="K295" s="8" t="s">
        <v>5137</v>
      </c>
      <c r="L295" s="8" t="s">
        <v>19</v>
      </c>
      <c r="M295" s="8">
        <v>1429</v>
      </c>
      <c r="N295" s="8" t="s">
        <v>297</v>
      </c>
      <c r="O295" s="8">
        <v>372</v>
      </c>
      <c r="P295" s="8" t="s">
        <v>5136</v>
      </c>
      <c r="Q295" s="8" t="s">
        <v>4262</v>
      </c>
      <c r="R295" s="8">
        <v>6.5000000000000002E-2</v>
      </c>
      <c r="S295" s="8">
        <v>159107420</v>
      </c>
      <c r="T295" s="8" t="s">
        <v>46</v>
      </c>
      <c r="U295" s="8" t="s">
        <v>41</v>
      </c>
    </row>
    <row r="296" spans="1:21">
      <c r="A296" s="8" t="s">
        <v>5112</v>
      </c>
      <c r="B296" s="8" t="s">
        <v>5138</v>
      </c>
      <c r="C296" s="8">
        <v>6775</v>
      </c>
      <c r="D296" s="8" t="s">
        <v>172</v>
      </c>
      <c r="E296" s="8">
        <v>191900913</v>
      </c>
      <c r="F296" s="8">
        <v>191900913</v>
      </c>
      <c r="G296" s="8" t="s">
        <v>41</v>
      </c>
      <c r="H296" s="8" t="s">
        <v>46</v>
      </c>
      <c r="I296" s="8" t="s">
        <v>23</v>
      </c>
      <c r="J296" s="8" t="s">
        <v>5139</v>
      </c>
      <c r="K296" s="8" t="s">
        <v>5141</v>
      </c>
      <c r="L296" s="8" t="s">
        <v>19</v>
      </c>
      <c r="M296" s="8">
        <v>1801</v>
      </c>
      <c r="N296" s="8" t="s">
        <v>681</v>
      </c>
      <c r="O296" s="8">
        <v>516</v>
      </c>
      <c r="P296" s="8" t="s">
        <v>5140</v>
      </c>
      <c r="Q296" s="8" t="s">
        <v>4262</v>
      </c>
      <c r="R296" s="8">
        <v>0.315</v>
      </c>
      <c r="S296" s="8">
        <v>191900913</v>
      </c>
      <c r="T296" s="8" t="s">
        <v>41</v>
      </c>
      <c r="U296" s="8" t="s">
        <v>46</v>
      </c>
    </row>
    <row r="297" spans="1:21">
      <c r="A297" s="8" t="s">
        <v>5112</v>
      </c>
      <c r="B297" s="8" t="s">
        <v>5142</v>
      </c>
      <c r="C297" s="8">
        <v>57493</v>
      </c>
      <c r="D297" s="8" t="s">
        <v>201</v>
      </c>
      <c r="E297" s="8">
        <v>124732450</v>
      </c>
      <c r="F297" s="8">
        <v>124732450</v>
      </c>
      <c r="G297" s="8" t="s">
        <v>41</v>
      </c>
      <c r="H297" s="8" t="s">
        <v>24</v>
      </c>
      <c r="I297" s="8" t="s">
        <v>23</v>
      </c>
      <c r="J297" s="8" t="s">
        <v>5143</v>
      </c>
      <c r="K297" s="8" t="s">
        <v>5145</v>
      </c>
      <c r="L297" s="8" t="s">
        <v>19</v>
      </c>
      <c r="M297" s="8">
        <v>2041</v>
      </c>
      <c r="N297" s="8" t="s">
        <v>3734</v>
      </c>
      <c r="O297" s="8">
        <v>658</v>
      </c>
      <c r="P297" s="8" t="s">
        <v>5144</v>
      </c>
      <c r="Q297" s="8" t="s">
        <v>4262</v>
      </c>
      <c r="R297" s="8">
        <v>9.2999999999999999E-2</v>
      </c>
      <c r="S297" s="8">
        <v>124732450</v>
      </c>
      <c r="T297" s="8" t="s">
        <v>41</v>
      </c>
      <c r="U297" s="8" t="s">
        <v>24</v>
      </c>
    </row>
    <row r="298" spans="1:21">
      <c r="A298" s="8" t="s">
        <v>5112</v>
      </c>
      <c r="B298" s="8" t="s">
        <v>5142</v>
      </c>
      <c r="C298" s="8">
        <v>57493</v>
      </c>
      <c r="D298" s="8" t="s">
        <v>201</v>
      </c>
      <c r="E298" s="8">
        <v>124732451</v>
      </c>
      <c r="F298" s="8">
        <v>124732451</v>
      </c>
      <c r="G298" s="8" t="s">
        <v>46</v>
      </c>
      <c r="H298" s="8" t="s">
        <v>25</v>
      </c>
      <c r="I298" s="8" t="s">
        <v>23</v>
      </c>
      <c r="J298" s="8" t="s">
        <v>5143</v>
      </c>
      <c r="K298" s="8" t="s">
        <v>5145</v>
      </c>
      <c r="L298" s="8" t="s">
        <v>19</v>
      </c>
      <c r="M298" s="8">
        <v>2040</v>
      </c>
      <c r="N298" s="8" t="s">
        <v>463</v>
      </c>
      <c r="O298" s="8">
        <v>658</v>
      </c>
      <c r="P298" s="8" t="s">
        <v>5146</v>
      </c>
      <c r="Q298" s="8" t="s">
        <v>4262</v>
      </c>
      <c r="R298" s="8">
        <v>8.1000000000000003E-2</v>
      </c>
      <c r="S298" s="8">
        <v>124732451</v>
      </c>
      <c r="T298" s="8" t="s">
        <v>46</v>
      </c>
      <c r="U298" s="8" t="s">
        <v>25</v>
      </c>
    </row>
    <row r="299" spans="1:21">
      <c r="A299" s="8" t="s">
        <v>5112</v>
      </c>
      <c r="B299" s="8" t="s">
        <v>3808</v>
      </c>
      <c r="C299" s="8">
        <v>23066</v>
      </c>
      <c r="D299" s="8" t="s">
        <v>201</v>
      </c>
      <c r="E299" s="8">
        <v>12859295</v>
      </c>
      <c r="F299" s="8">
        <v>12859295</v>
      </c>
      <c r="G299" s="8" t="s">
        <v>41</v>
      </c>
      <c r="H299" s="8" t="s">
        <v>24</v>
      </c>
      <c r="I299" s="8" t="s">
        <v>23</v>
      </c>
      <c r="J299" s="8" t="s">
        <v>5147</v>
      </c>
      <c r="K299" s="8" t="s">
        <v>5149</v>
      </c>
      <c r="L299" s="8" t="s">
        <v>19</v>
      </c>
      <c r="M299" s="8">
        <v>2913</v>
      </c>
      <c r="N299" s="8" t="s">
        <v>3196</v>
      </c>
      <c r="O299" s="8">
        <v>955</v>
      </c>
      <c r="P299" s="8" t="s">
        <v>5148</v>
      </c>
      <c r="Q299" s="8" t="s">
        <v>4262</v>
      </c>
      <c r="R299" s="8">
        <v>0.33300000000000002</v>
      </c>
      <c r="S299" s="8">
        <v>12859295</v>
      </c>
      <c r="T299" s="8" t="s">
        <v>41</v>
      </c>
      <c r="U299" s="8" t="s">
        <v>24</v>
      </c>
    </row>
    <row r="300" spans="1:21">
      <c r="A300" s="8" t="s">
        <v>5112</v>
      </c>
      <c r="B300" s="8" t="s">
        <v>3810</v>
      </c>
      <c r="C300" s="8">
        <v>2044</v>
      </c>
      <c r="D300" s="8" t="s">
        <v>220</v>
      </c>
      <c r="E300" s="8">
        <v>66467821</v>
      </c>
      <c r="F300" s="8">
        <v>66467821</v>
      </c>
      <c r="G300" s="8" t="s">
        <v>41</v>
      </c>
      <c r="H300" s="8" t="s">
        <v>46</v>
      </c>
      <c r="I300" s="8" t="s">
        <v>23</v>
      </c>
      <c r="J300" s="8" t="s">
        <v>5150</v>
      </c>
      <c r="K300" s="8" t="s">
        <v>5152</v>
      </c>
      <c r="L300" s="8" t="s">
        <v>19</v>
      </c>
      <c r="M300" s="8">
        <v>641</v>
      </c>
      <c r="N300" s="8" t="s">
        <v>283</v>
      </c>
      <c r="O300" s="8">
        <v>150</v>
      </c>
      <c r="P300" s="8" t="s">
        <v>5151</v>
      </c>
      <c r="Q300" s="8" t="s">
        <v>4262</v>
      </c>
      <c r="R300" s="8">
        <v>0.42899999999999999</v>
      </c>
      <c r="S300" s="8">
        <v>66467821</v>
      </c>
      <c r="T300" s="8" t="s">
        <v>41</v>
      </c>
      <c r="U300" s="8" t="s">
        <v>46</v>
      </c>
    </row>
    <row r="301" spans="1:21">
      <c r="A301" s="8" t="s">
        <v>5112</v>
      </c>
      <c r="B301" s="8" t="s">
        <v>3809</v>
      </c>
      <c r="C301" s="8">
        <v>23321</v>
      </c>
      <c r="D301" s="8" t="s">
        <v>220</v>
      </c>
      <c r="E301" s="8">
        <v>154237101</v>
      </c>
      <c r="F301" s="8">
        <v>154237101</v>
      </c>
      <c r="G301" s="8" t="s">
        <v>24</v>
      </c>
      <c r="H301" s="8" t="s">
        <v>25</v>
      </c>
      <c r="I301" s="8" t="s">
        <v>23</v>
      </c>
      <c r="J301" s="8" t="s">
        <v>5153</v>
      </c>
      <c r="K301" s="8" t="s">
        <v>5155</v>
      </c>
      <c r="L301" s="8" t="s">
        <v>19</v>
      </c>
      <c r="M301" s="8">
        <v>1817</v>
      </c>
      <c r="N301" s="8" t="s">
        <v>557</v>
      </c>
      <c r="O301" s="8">
        <v>578</v>
      </c>
      <c r="P301" s="8" t="s">
        <v>5154</v>
      </c>
      <c r="Q301" s="8" t="s">
        <v>4262</v>
      </c>
      <c r="R301" s="8">
        <v>0.33700000000000002</v>
      </c>
      <c r="S301" s="8">
        <v>154237101</v>
      </c>
      <c r="T301" s="8" t="s">
        <v>24</v>
      </c>
      <c r="U301" s="8" t="s">
        <v>25</v>
      </c>
    </row>
    <row r="302" spans="1:21">
      <c r="A302" s="8" t="s">
        <v>5112</v>
      </c>
      <c r="B302" s="8" t="s">
        <v>5156</v>
      </c>
      <c r="C302" s="8">
        <v>4124</v>
      </c>
      <c r="D302" s="8" t="s">
        <v>226</v>
      </c>
      <c r="E302" s="8">
        <v>109124727</v>
      </c>
      <c r="F302" s="8">
        <v>109124727</v>
      </c>
      <c r="G302" s="8" t="s">
        <v>46</v>
      </c>
      <c r="H302" s="8" t="s">
        <v>24</v>
      </c>
      <c r="I302" s="8" t="s">
        <v>23</v>
      </c>
      <c r="J302" s="8" t="s">
        <v>5157</v>
      </c>
      <c r="K302" s="8" t="s">
        <v>5159</v>
      </c>
      <c r="L302" s="8" t="s">
        <v>19</v>
      </c>
      <c r="M302" s="8">
        <v>2816</v>
      </c>
      <c r="N302" s="8" t="s">
        <v>435</v>
      </c>
      <c r="O302" s="8">
        <v>618</v>
      </c>
      <c r="P302" s="8" t="s">
        <v>5158</v>
      </c>
      <c r="Q302" s="8" t="s">
        <v>4262</v>
      </c>
      <c r="R302" s="8">
        <v>5.8999999999999997E-2</v>
      </c>
      <c r="S302" s="8">
        <v>109124727</v>
      </c>
      <c r="T302" s="8" t="s">
        <v>46</v>
      </c>
      <c r="U302" s="8" t="s">
        <v>24</v>
      </c>
    </row>
    <row r="303" spans="1:21">
      <c r="A303" s="8" t="s">
        <v>5112</v>
      </c>
      <c r="B303" s="8" t="s">
        <v>3811</v>
      </c>
      <c r="C303" s="8">
        <v>11063</v>
      </c>
      <c r="D303" s="8" t="s">
        <v>226</v>
      </c>
      <c r="E303" s="8">
        <v>157053486</v>
      </c>
      <c r="F303" s="8">
        <v>157053486</v>
      </c>
      <c r="G303" s="8" t="s">
        <v>41</v>
      </c>
      <c r="H303" s="8" t="s">
        <v>24</v>
      </c>
      <c r="I303" s="8" t="s">
        <v>23</v>
      </c>
      <c r="J303" s="8" t="s">
        <v>3812</v>
      </c>
      <c r="K303" s="8" t="s">
        <v>5161</v>
      </c>
      <c r="L303" s="8" t="s">
        <v>19</v>
      </c>
      <c r="M303" s="8">
        <v>2466</v>
      </c>
      <c r="N303" s="8" t="s">
        <v>3813</v>
      </c>
      <c r="O303" s="8">
        <v>708</v>
      </c>
      <c r="P303" s="8" t="s">
        <v>5160</v>
      </c>
      <c r="Q303" s="8" t="s">
        <v>4262</v>
      </c>
      <c r="R303" s="8">
        <v>0.26500000000000001</v>
      </c>
      <c r="S303" s="8">
        <v>157053486</v>
      </c>
      <c r="T303" s="8" t="s">
        <v>41</v>
      </c>
      <c r="U303" s="8" t="s">
        <v>24</v>
      </c>
    </row>
    <row r="304" spans="1:21">
      <c r="A304" s="8" t="s">
        <v>5112</v>
      </c>
      <c r="B304" s="8" t="s">
        <v>3814</v>
      </c>
      <c r="C304" s="8">
        <v>153572</v>
      </c>
      <c r="D304" s="8" t="s">
        <v>226</v>
      </c>
      <c r="E304" s="8">
        <v>2749609</v>
      </c>
      <c r="F304" s="8">
        <v>2749609</v>
      </c>
      <c r="G304" s="8" t="s">
        <v>24</v>
      </c>
      <c r="H304" s="8" t="s">
        <v>25</v>
      </c>
      <c r="I304" s="8" t="s">
        <v>23</v>
      </c>
      <c r="J304" s="8" t="s">
        <v>5162</v>
      </c>
      <c r="K304" s="8" t="s">
        <v>5164</v>
      </c>
      <c r="L304" s="8" t="s">
        <v>19</v>
      </c>
      <c r="M304" s="8">
        <v>784</v>
      </c>
      <c r="N304" s="8" t="s">
        <v>1421</v>
      </c>
      <c r="O304" s="8">
        <v>181</v>
      </c>
      <c r="P304" s="8" t="s">
        <v>5163</v>
      </c>
      <c r="Q304" s="8" t="s">
        <v>4262</v>
      </c>
      <c r="R304" s="8">
        <v>0.41699999999999998</v>
      </c>
      <c r="S304" s="8">
        <v>2749609</v>
      </c>
      <c r="T304" s="8" t="s">
        <v>24</v>
      </c>
      <c r="U304" s="8" t="s">
        <v>25</v>
      </c>
    </row>
    <row r="305" spans="1:21">
      <c r="A305" s="8" t="s">
        <v>5112</v>
      </c>
      <c r="B305" s="8" t="s">
        <v>2104</v>
      </c>
      <c r="C305" s="8">
        <v>3977</v>
      </c>
      <c r="D305" s="8" t="s">
        <v>226</v>
      </c>
      <c r="E305" s="8">
        <v>38506018</v>
      </c>
      <c r="F305" s="8">
        <v>38506018</v>
      </c>
      <c r="G305" s="8" t="s">
        <v>25</v>
      </c>
      <c r="H305" s="8" t="s">
        <v>24</v>
      </c>
      <c r="I305" s="8" t="s">
        <v>23</v>
      </c>
      <c r="J305" s="8" t="s">
        <v>5165</v>
      </c>
      <c r="K305" s="8" t="s">
        <v>5167</v>
      </c>
      <c r="L305" s="8" t="s">
        <v>19</v>
      </c>
      <c r="M305" s="8">
        <v>1444</v>
      </c>
      <c r="N305" s="8" t="s">
        <v>352</v>
      </c>
      <c r="O305" s="8">
        <v>427</v>
      </c>
      <c r="P305" s="8" t="s">
        <v>5166</v>
      </c>
      <c r="Q305" s="8" t="s">
        <v>4262</v>
      </c>
      <c r="R305" s="8">
        <v>0.33600000000000002</v>
      </c>
      <c r="S305" s="8">
        <v>38506018</v>
      </c>
      <c r="T305" s="8" t="s">
        <v>25</v>
      </c>
      <c r="U305" s="8" t="s">
        <v>24</v>
      </c>
    </row>
    <row r="306" spans="1:21">
      <c r="A306" s="8" t="s">
        <v>5112</v>
      </c>
      <c r="B306" s="8" t="s">
        <v>3815</v>
      </c>
      <c r="C306" s="8">
        <v>10345</v>
      </c>
      <c r="D306" s="8" t="s">
        <v>237</v>
      </c>
      <c r="E306" s="8">
        <v>123586484</v>
      </c>
      <c r="F306" s="8">
        <v>123586484</v>
      </c>
      <c r="G306" s="8" t="s">
        <v>46</v>
      </c>
      <c r="H306" s="8" t="s">
        <v>24</v>
      </c>
      <c r="I306" s="8" t="s">
        <v>23</v>
      </c>
      <c r="J306" s="8" t="s">
        <v>3816</v>
      </c>
      <c r="K306" s="8" t="s">
        <v>5168</v>
      </c>
      <c r="L306" s="8" t="s">
        <v>68</v>
      </c>
      <c r="M306" s="8">
        <v>0</v>
      </c>
      <c r="N306" s="8" t="s">
        <v>35</v>
      </c>
      <c r="O306" s="8">
        <v>0</v>
      </c>
      <c r="P306" s="8" t="s">
        <v>35</v>
      </c>
      <c r="Q306" s="8" t="s">
        <v>4262</v>
      </c>
      <c r="R306" s="8">
        <v>0.33300000000000002</v>
      </c>
      <c r="S306" s="8">
        <v>123586484</v>
      </c>
      <c r="T306" s="8" t="s">
        <v>46</v>
      </c>
      <c r="U306" s="8" t="s">
        <v>24</v>
      </c>
    </row>
    <row r="307" spans="1:21">
      <c r="A307" s="8" t="s">
        <v>5112</v>
      </c>
      <c r="B307" s="8" t="s">
        <v>1531</v>
      </c>
      <c r="C307" s="8">
        <v>23345</v>
      </c>
      <c r="D307" s="8" t="s">
        <v>237</v>
      </c>
      <c r="E307" s="8">
        <v>152454503</v>
      </c>
      <c r="F307" s="8">
        <v>152454503</v>
      </c>
      <c r="G307" s="8" t="s">
        <v>46</v>
      </c>
      <c r="H307" s="8" t="s">
        <v>41</v>
      </c>
      <c r="I307" s="8" t="s">
        <v>23</v>
      </c>
      <c r="J307" s="8" t="s">
        <v>4324</v>
      </c>
      <c r="K307" s="8" t="s">
        <v>4326</v>
      </c>
      <c r="L307" s="8" t="s">
        <v>19</v>
      </c>
      <c r="M307" s="8">
        <v>26511</v>
      </c>
      <c r="N307" s="8" t="s">
        <v>1440</v>
      </c>
      <c r="O307" s="8">
        <v>8637</v>
      </c>
      <c r="P307" s="8" t="s">
        <v>5169</v>
      </c>
      <c r="Q307" s="8" t="s">
        <v>4262</v>
      </c>
      <c r="R307" s="8">
        <v>0.30399999999999999</v>
      </c>
      <c r="S307" s="8">
        <v>152454503</v>
      </c>
      <c r="T307" s="8" t="s">
        <v>46</v>
      </c>
      <c r="U307" s="8" t="s">
        <v>41</v>
      </c>
    </row>
    <row r="308" spans="1:21">
      <c r="A308" s="8" t="s">
        <v>5112</v>
      </c>
      <c r="B308" s="8" t="s">
        <v>3819</v>
      </c>
      <c r="C308" s="8">
        <v>3111</v>
      </c>
      <c r="D308" s="8" t="s">
        <v>237</v>
      </c>
      <c r="E308" s="8">
        <v>32975337</v>
      </c>
      <c r="F308" s="8">
        <v>32975337</v>
      </c>
      <c r="G308" s="8" t="s">
        <v>24</v>
      </c>
      <c r="H308" s="8" t="s">
        <v>25</v>
      </c>
      <c r="I308" s="8" t="s">
        <v>23</v>
      </c>
      <c r="J308" s="8" t="s">
        <v>3820</v>
      </c>
      <c r="K308" s="8" t="s">
        <v>5171</v>
      </c>
      <c r="L308" s="8" t="s">
        <v>19</v>
      </c>
      <c r="M308" s="8">
        <v>440</v>
      </c>
      <c r="N308" s="8" t="s">
        <v>92</v>
      </c>
      <c r="O308" s="8">
        <v>122</v>
      </c>
      <c r="P308" s="8" t="s">
        <v>5170</v>
      </c>
      <c r="Q308" s="8" t="s">
        <v>4262</v>
      </c>
      <c r="R308" s="8">
        <v>0.30499999999999999</v>
      </c>
      <c r="S308" s="8">
        <v>32975337</v>
      </c>
      <c r="T308" s="8" t="s">
        <v>24</v>
      </c>
      <c r="U308" s="8" t="s">
        <v>25</v>
      </c>
    </row>
    <row r="309" spans="1:21">
      <c r="A309" s="8" t="s">
        <v>5112</v>
      </c>
      <c r="B309" s="8" t="s">
        <v>242</v>
      </c>
      <c r="C309" s="8">
        <v>3710</v>
      </c>
      <c r="D309" s="8" t="s">
        <v>237</v>
      </c>
      <c r="E309" s="8">
        <v>33652399</v>
      </c>
      <c r="F309" s="8">
        <v>33652399</v>
      </c>
      <c r="G309" s="8" t="s">
        <v>46</v>
      </c>
      <c r="H309" s="8" t="s">
        <v>25</v>
      </c>
      <c r="I309" s="8" t="s">
        <v>23</v>
      </c>
      <c r="J309" s="8" t="s">
        <v>243</v>
      </c>
      <c r="K309" s="8" t="s">
        <v>5173</v>
      </c>
      <c r="L309" s="8" t="s">
        <v>19</v>
      </c>
      <c r="M309" s="8">
        <v>5295</v>
      </c>
      <c r="N309" s="8" t="s">
        <v>598</v>
      </c>
      <c r="O309" s="8">
        <v>1691</v>
      </c>
      <c r="P309" s="8" t="s">
        <v>5172</v>
      </c>
      <c r="Q309" s="8" t="s">
        <v>4262</v>
      </c>
      <c r="R309" s="8">
        <v>0.314</v>
      </c>
      <c r="S309" s="8">
        <v>33652399</v>
      </c>
      <c r="T309" s="8" t="s">
        <v>46</v>
      </c>
      <c r="U309" s="8" t="s">
        <v>25</v>
      </c>
    </row>
    <row r="310" spans="1:21">
      <c r="A310" s="8" t="s">
        <v>5112</v>
      </c>
      <c r="B310" s="8" t="s">
        <v>2118</v>
      </c>
      <c r="C310" s="8">
        <v>23304</v>
      </c>
      <c r="D310" s="8" t="s">
        <v>237</v>
      </c>
      <c r="E310" s="8">
        <v>42641627</v>
      </c>
      <c r="F310" s="8">
        <v>42641627</v>
      </c>
      <c r="G310" s="8" t="s">
        <v>41</v>
      </c>
      <c r="H310" s="8" t="s">
        <v>46</v>
      </c>
      <c r="I310" s="8" t="s">
        <v>23</v>
      </c>
      <c r="J310" s="8" t="s">
        <v>4690</v>
      </c>
      <c r="K310" s="8" t="s">
        <v>4692</v>
      </c>
      <c r="L310" s="8" t="s">
        <v>68</v>
      </c>
      <c r="M310" s="8">
        <v>0</v>
      </c>
      <c r="N310" s="8" t="s">
        <v>35</v>
      </c>
      <c r="O310" s="8">
        <v>0</v>
      </c>
      <c r="P310" s="8" t="s">
        <v>35</v>
      </c>
      <c r="Q310" s="8" t="s">
        <v>4262</v>
      </c>
      <c r="R310" s="8">
        <v>0.17399999999999999</v>
      </c>
      <c r="S310" s="8">
        <v>42641627</v>
      </c>
      <c r="T310" s="8" t="s">
        <v>41</v>
      </c>
      <c r="U310" s="8" t="s">
        <v>46</v>
      </c>
    </row>
    <row r="311" spans="1:21">
      <c r="A311" s="8" t="s">
        <v>5112</v>
      </c>
      <c r="B311" s="8" t="s">
        <v>3821</v>
      </c>
      <c r="C311" s="8">
        <v>89845</v>
      </c>
      <c r="D311" s="8" t="s">
        <v>237</v>
      </c>
      <c r="E311" s="8">
        <v>43406496</v>
      </c>
      <c r="F311" s="8">
        <v>43406496</v>
      </c>
      <c r="G311" s="8" t="s">
        <v>25</v>
      </c>
      <c r="H311" s="8" t="s">
        <v>41</v>
      </c>
      <c r="I311" s="8" t="s">
        <v>23</v>
      </c>
      <c r="J311" s="8" t="s">
        <v>5174</v>
      </c>
      <c r="K311" s="8" t="s">
        <v>5177</v>
      </c>
      <c r="L311" s="8" t="s">
        <v>19</v>
      </c>
      <c r="M311" s="8">
        <v>2305</v>
      </c>
      <c r="N311" s="8" t="s">
        <v>1115</v>
      </c>
      <c r="O311" s="8">
        <v>697</v>
      </c>
      <c r="P311" s="8" t="s">
        <v>5175</v>
      </c>
      <c r="Q311" s="8" t="s">
        <v>5176</v>
      </c>
      <c r="R311" s="8">
        <v>0.33300000000000002</v>
      </c>
      <c r="S311" s="8">
        <v>43406496</v>
      </c>
      <c r="T311" s="8" t="s">
        <v>25</v>
      </c>
      <c r="U311" s="8" t="s">
        <v>41</v>
      </c>
    </row>
    <row r="312" spans="1:21">
      <c r="A312" s="8" t="s">
        <v>5112</v>
      </c>
      <c r="B312" s="8" t="s">
        <v>3822</v>
      </c>
      <c r="C312" s="8">
        <v>50640</v>
      </c>
      <c r="D312" s="8" t="s">
        <v>257</v>
      </c>
      <c r="E312" s="8">
        <v>108113111</v>
      </c>
      <c r="F312" s="8">
        <v>108113111</v>
      </c>
      <c r="G312" s="8" t="s">
        <v>41</v>
      </c>
      <c r="H312" s="8" t="s">
        <v>46</v>
      </c>
      <c r="I312" s="8" t="s">
        <v>23</v>
      </c>
      <c r="J312" s="8" t="s">
        <v>5178</v>
      </c>
      <c r="K312" s="8" t="s">
        <v>5180</v>
      </c>
      <c r="L312" s="8" t="s">
        <v>19</v>
      </c>
      <c r="M312" s="8">
        <v>2490</v>
      </c>
      <c r="N312" s="8" t="s">
        <v>99</v>
      </c>
      <c r="O312" s="8">
        <v>695</v>
      </c>
      <c r="P312" s="8" t="s">
        <v>5179</v>
      </c>
      <c r="Q312" s="8" t="s">
        <v>4262</v>
      </c>
      <c r="R312" s="8">
        <v>0.30399999999999999</v>
      </c>
      <c r="S312" s="8">
        <v>108113111</v>
      </c>
      <c r="T312" s="8" t="s">
        <v>41</v>
      </c>
      <c r="U312" s="8" t="s">
        <v>46</v>
      </c>
    </row>
    <row r="313" spans="1:21">
      <c r="A313" s="8" t="s">
        <v>5112</v>
      </c>
      <c r="B313" s="8" t="s">
        <v>3823</v>
      </c>
      <c r="C313" s="8">
        <v>64101</v>
      </c>
      <c r="D313" s="8" t="s">
        <v>257</v>
      </c>
      <c r="E313" s="8">
        <v>127669334</v>
      </c>
      <c r="F313" s="8">
        <v>127669334</v>
      </c>
      <c r="G313" s="8" t="s">
        <v>25</v>
      </c>
      <c r="H313" s="8" t="s">
        <v>24</v>
      </c>
      <c r="I313" s="8" t="s">
        <v>23</v>
      </c>
      <c r="J313" s="8" t="s">
        <v>3824</v>
      </c>
      <c r="K313" s="8" t="s">
        <v>5182</v>
      </c>
      <c r="L313" s="8" t="s">
        <v>19</v>
      </c>
      <c r="M313" s="8">
        <v>1497</v>
      </c>
      <c r="N313" s="8" t="s">
        <v>266</v>
      </c>
      <c r="O313" s="8">
        <v>454</v>
      </c>
      <c r="P313" s="8" t="s">
        <v>5181</v>
      </c>
      <c r="Q313" s="8" t="s">
        <v>4262</v>
      </c>
      <c r="R313" s="8">
        <v>0.34599999999999997</v>
      </c>
      <c r="S313" s="8">
        <v>127669334</v>
      </c>
      <c r="T313" s="8" t="s">
        <v>25</v>
      </c>
      <c r="U313" s="8" t="s">
        <v>24</v>
      </c>
    </row>
    <row r="314" spans="1:21">
      <c r="A314" s="8" t="s">
        <v>5112</v>
      </c>
      <c r="B314" s="8" t="s">
        <v>3825</v>
      </c>
      <c r="C314" s="8">
        <v>6604</v>
      </c>
      <c r="D314" s="8" t="s">
        <v>257</v>
      </c>
      <c r="E314" s="8">
        <v>150939602</v>
      </c>
      <c r="F314" s="8">
        <v>150939602</v>
      </c>
      <c r="G314" s="8" t="s">
        <v>25</v>
      </c>
      <c r="H314" s="8" t="s">
        <v>46</v>
      </c>
      <c r="I314" s="8" t="s">
        <v>23</v>
      </c>
      <c r="J314" s="8" t="s">
        <v>5183</v>
      </c>
      <c r="K314" s="8" t="s">
        <v>5185</v>
      </c>
      <c r="L314" s="8" t="s">
        <v>19</v>
      </c>
      <c r="M314" s="8">
        <v>645</v>
      </c>
      <c r="N314" s="8" t="s">
        <v>82</v>
      </c>
      <c r="O314" s="8">
        <v>182</v>
      </c>
      <c r="P314" s="8" t="s">
        <v>5184</v>
      </c>
      <c r="Q314" s="8" t="s">
        <v>4262</v>
      </c>
      <c r="R314" s="8">
        <v>0.34</v>
      </c>
      <c r="S314" s="8">
        <v>150939602</v>
      </c>
      <c r="T314" s="8" t="s">
        <v>25</v>
      </c>
      <c r="U314" s="8" t="s">
        <v>46</v>
      </c>
    </row>
    <row r="315" spans="1:21">
      <c r="A315" s="8" t="s">
        <v>5112</v>
      </c>
      <c r="B315" s="8" t="s">
        <v>5186</v>
      </c>
      <c r="C315" s="8">
        <v>63978</v>
      </c>
      <c r="D315" s="8" t="s">
        <v>279</v>
      </c>
      <c r="E315" s="8">
        <v>70978611</v>
      </c>
      <c r="F315" s="8">
        <v>70978611</v>
      </c>
      <c r="G315" s="8" t="s">
        <v>41</v>
      </c>
      <c r="H315" s="8" t="s">
        <v>25</v>
      </c>
      <c r="I315" s="8" t="s">
        <v>23</v>
      </c>
      <c r="J315" s="8" t="s">
        <v>5187</v>
      </c>
      <c r="K315" s="8" t="s">
        <v>5189</v>
      </c>
      <c r="L315" s="8" t="s">
        <v>19</v>
      </c>
      <c r="M315" s="8">
        <v>1244</v>
      </c>
      <c r="N315" s="8" t="s">
        <v>3609</v>
      </c>
      <c r="O315" s="8">
        <v>348</v>
      </c>
      <c r="P315" s="8" t="s">
        <v>5188</v>
      </c>
      <c r="Q315" s="8" t="s">
        <v>4262</v>
      </c>
      <c r="R315" s="8">
        <v>0.187</v>
      </c>
      <c r="S315" s="8">
        <v>70978611</v>
      </c>
      <c r="T315" s="8" t="s">
        <v>41</v>
      </c>
      <c r="U315" s="8" t="s">
        <v>25</v>
      </c>
    </row>
    <row r="316" spans="1:21">
      <c r="A316" s="8" t="s">
        <v>5112</v>
      </c>
      <c r="B316" s="8" t="s">
        <v>5190</v>
      </c>
      <c r="C316" s="8">
        <v>3786</v>
      </c>
      <c r="D316" s="8" t="s">
        <v>279</v>
      </c>
      <c r="E316" s="8">
        <v>133492464</v>
      </c>
      <c r="F316" s="8">
        <v>133492464</v>
      </c>
      <c r="G316" s="8" t="s">
        <v>24</v>
      </c>
      <c r="H316" s="8" t="s">
        <v>25</v>
      </c>
      <c r="I316" s="8" t="s">
        <v>23</v>
      </c>
      <c r="J316" s="8" t="s">
        <v>5191</v>
      </c>
      <c r="K316" s="8" t="s">
        <v>5194</v>
      </c>
      <c r="L316" s="8" t="s">
        <v>19</v>
      </c>
      <c r="M316" s="8">
        <v>541</v>
      </c>
      <c r="N316" s="8" t="s">
        <v>560</v>
      </c>
      <c r="O316" s="8">
        <v>106</v>
      </c>
      <c r="P316" s="8" t="s">
        <v>5192</v>
      </c>
      <c r="Q316" s="8" t="s">
        <v>5193</v>
      </c>
      <c r="R316" s="8">
        <v>0.26100000000000001</v>
      </c>
      <c r="S316" s="8">
        <v>133492464</v>
      </c>
      <c r="T316" s="8" t="s">
        <v>24</v>
      </c>
      <c r="U316" s="8" t="s">
        <v>25</v>
      </c>
    </row>
    <row r="317" spans="1:21">
      <c r="A317" s="8" t="s">
        <v>5112</v>
      </c>
      <c r="B317" s="8" t="s">
        <v>2794</v>
      </c>
      <c r="C317" s="8">
        <v>5591</v>
      </c>
      <c r="D317" s="8" t="s">
        <v>279</v>
      </c>
      <c r="E317" s="8">
        <v>48846640</v>
      </c>
      <c r="F317" s="8">
        <v>48846640</v>
      </c>
      <c r="G317" s="8" t="s">
        <v>24</v>
      </c>
      <c r="H317" s="8" t="s">
        <v>25</v>
      </c>
      <c r="I317" s="8" t="s">
        <v>23</v>
      </c>
      <c r="J317" s="8" t="s">
        <v>4747</v>
      </c>
      <c r="K317" s="8" t="s">
        <v>4749</v>
      </c>
      <c r="L317" s="8" t="s">
        <v>19</v>
      </c>
      <c r="M317" s="8">
        <v>1565</v>
      </c>
      <c r="N317" s="8" t="s">
        <v>117</v>
      </c>
      <c r="O317" s="8">
        <v>503</v>
      </c>
      <c r="P317" s="8" t="s">
        <v>5195</v>
      </c>
      <c r="Q317" s="8" t="s">
        <v>4262</v>
      </c>
      <c r="R317" s="8">
        <v>0.17399999999999999</v>
      </c>
      <c r="S317" s="8">
        <v>48846640</v>
      </c>
      <c r="T317" s="8" t="s">
        <v>24</v>
      </c>
      <c r="U317" s="8" t="s">
        <v>25</v>
      </c>
    </row>
    <row r="318" spans="1:21">
      <c r="A318" s="8" t="s">
        <v>5112</v>
      </c>
      <c r="B318" s="8" t="s">
        <v>5196</v>
      </c>
      <c r="C318" s="8">
        <v>1474</v>
      </c>
      <c r="D318" s="8" t="s">
        <v>83</v>
      </c>
      <c r="E318" s="8">
        <v>65780307</v>
      </c>
      <c r="F318" s="8">
        <v>65780307</v>
      </c>
      <c r="G318" s="8" t="s">
        <v>24</v>
      </c>
      <c r="H318" s="8" t="s">
        <v>25</v>
      </c>
      <c r="I318" s="8" t="s">
        <v>23</v>
      </c>
      <c r="J318" s="8" t="s">
        <v>5197</v>
      </c>
      <c r="K318" s="8" t="s">
        <v>5199</v>
      </c>
      <c r="L318" s="8" t="s">
        <v>19</v>
      </c>
      <c r="M318" s="8">
        <v>305</v>
      </c>
      <c r="N318" s="8" t="s">
        <v>205</v>
      </c>
      <c r="O318" s="8">
        <v>84</v>
      </c>
      <c r="P318" s="8" t="s">
        <v>5198</v>
      </c>
      <c r="Q318" s="8" t="s">
        <v>4262</v>
      </c>
      <c r="R318" s="8">
        <v>8.8999999999999996E-2</v>
      </c>
      <c r="S318" s="8">
        <v>65780307</v>
      </c>
      <c r="T318" s="8" t="s">
        <v>24</v>
      </c>
      <c r="U318" s="8" t="s">
        <v>25</v>
      </c>
    </row>
    <row r="319" spans="1:21">
      <c r="A319" s="8" t="s">
        <v>5112</v>
      </c>
      <c r="B319" s="8" t="s">
        <v>3797</v>
      </c>
      <c r="C319" s="8">
        <v>51111</v>
      </c>
      <c r="D319" s="8" t="s">
        <v>83</v>
      </c>
      <c r="E319" s="8">
        <v>67925261</v>
      </c>
      <c r="F319" s="8">
        <v>67925261</v>
      </c>
      <c r="G319" s="8" t="s">
        <v>24</v>
      </c>
      <c r="H319" s="8" t="s">
        <v>41</v>
      </c>
      <c r="I319" s="8" t="s">
        <v>23</v>
      </c>
      <c r="J319" s="8" t="s">
        <v>3798</v>
      </c>
      <c r="K319" s="8" t="s">
        <v>5201</v>
      </c>
      <c r="L319" s="8" t="s">
        <v>19</v>
      </c>
      <c r="M319" s="8">
        <v>2808</v>
      </c>
      <c r="N319" s="8" t="s">
        <v>622</v>
      </c>
      <c r="O319" s="8">
        <v>851</v>
      </c>
      <c r="P319" s="8" t="s">
        <v>5200</v>
      </c>
      <c r="Q319" s="8" t="s">
        <v>4262</v>
      </c>
      <c r="R319" s="8">
        <v>0.41799999999999998</v>
      </c>
      <c r="S319" s="8">
        <v>67925261</v>
      </c>
      <c r="T319" s="8" t="s">
        <v>24</v>
      </c>
      <c r="U319" s="8" t="s">
        <v>41</v>
      </c>
    </row>
    <row r="320" spans="1:21">
      <c r="A320" s="8" t="s">
        <v>5112</v>
      </c>
      <c r="B320" s="8" t="s">
        <v>3793</v>
      </c>
      <c r="C320" s="8">
        <v>283160</v>
      </c>
      <c r="D320" s="8" t="s">
        <v>83</v>
      </c>
      <c r="E320" s="8">
        <v>124189600</v>
      </c>
      <c r="F320" s="8">
        <v>124189600</v>
      </c>
      <c r="G320" s="8" t="s">
        <v>25</v>
      </c>
      <c r="H320" s="8" t="s">
        <v>24</v>
      </c>
      <c r="I320" s="8" t="s">
        <v>23</v>
      </c>
      <c r="J320" s="8" t="s">
        <v>3794</v>
      </c>
      <c r="K320" s="8" t="s">
        <v>5203</v>
      </c>
      <c r="L320" s="8" t="s">
        <v>19</v>
      </c>
      <c r="M320" s="8">
        <v>494</v>
      </c>
      <c r="N320" s="8" t="s">
        <v>3025</v>
      </c>
      <c r="O320" s="8">
        <v>165</v>
      </c>
      <c r="P320" s="8" t="s">
        <v>5202</v>
      </c>
      <c r="Q320" s="8" t="s">
        <v>4262</v>
      </c>
      <c r="R320" s="8">
        <v>0.36699999999999999</v>
      </c>
      <c r="S320" s="8">
        <v>124189600</v>
      </c>
      <c r="T320" s="8" t="s">
        <v>25</v>
      </c>
      <c r="U320" s="8" t="s">
        <v>24</v>
      </c>
    </row>
    <row r="321" spans="1:21">
      <c r="A321" s="8" t="s">
        <v>5112</v>
      </c>
      <c r="B321" s="8" t="s">
        <v>3795</v>
      </c>
      <c r="C321" s="8">
        <v>417</v>
      </c>
      <c r="D321" s="8" t="s">
        <v>83</v>
      </c>
      <c r="E321" s="8">
        <v>3681518</v>
      </c>
      <c r="F321" s="8">
        <v>3681518</v>
      </c>
      <c r="G321" s="8" t="s">
        <v>46</v>
      </c>
      <c r="H321" s="8" t="s">
        <v>24</v>
      </c>
      <c r="I321" s="8" t="s">
        <v>23</v>
      </c>
      <c r="J321" s="8" t="s">
        <v>3796</v>
      </c>
      <c r="K321" s="8" t="s">
        <v>5205</v>
      </c>
      <c r="L321" s="8" t="s">
        <v>19</v>
      </c>
      <c r="M321" s="8">
        <v>870</v>
      </c>
      <c r="N321" s="8" t="s">
        <v>3075</v>
      </c>
      <c r="O321" s="8">
        <v>257</v>
      </c>
      <c r="P321" s="8" t="s">
        <v>5204</v>
      </c>
      <c r="Q321" s="8" t="s">
        <v>4262</v>
      </c>
      <c r="R321" s="8">
        <v>0.29599999999999999</v>
      </c>
      <c r="S321" s="8">
        <v>3681518</v>
      </c>
      <c r="T321" s="8" t="s">
        <v>46</v>
      </c>
      <c r="U321" s="8" t="s">
        <v>24</v>
      </c>
    </row>
    <row r="322" spans="1:21">
      <c r="A322" s="8" t="s">
        <v>5112</v>
      </c>
      <c r="B322" s="8" t="s">
        <v>5206</v>
      </c>
      <c r="C322" s="8">
        <v>5897</v>
      </c>
      <c r="D322" s="8" t="s">
        <v>83</v>
      </c>
      <c r="E322" s="8">
        <v>36615363</v>
      </c>
      <c r="F322" s="8">
        <v>36615363</v>
      </c>
      <c r="G322" s="8" t="s">
        <v>41</v>
      </c>
      <c r="H322" s="8" t="s">
        <v>46</v>
      </c>
      <c r="I322" s="8" t="s">
        <v>23</v>
      </c>
      <c r="J322" s="8" t="s">
        <v>5207</v>
      </c>
      <c r="K322" s="8" t="s">
        <v>5209</v>
      </c>
      <c r="L322" s="8" t="s">
        <v>19</v>
      </c>
      <c r="M322" s="8">
        <v>561</v>
      </c>
      <c r="N322" s="8" t="s">
        <v>908</v>
      </c>
      <c r="O322" s="8">
        <v>119</v>
      </c>
      <c r="P322" s="8" t="s">
        <v>5208</v>
      </c>
      <c r="Q322" s="8" t="s">
        <v>4262</v>
      </c>
      <c r="R322" s="8">
        <v>0.13200000000000001</v>
      </c>
      <c r="S322" s="8">
        <v>36615363</v>
      </c>
      <c r="T322" s="8" t="s">
        <v>41</v>
      </c>
      <c r="U322" s="8" t="s">
        <v>46</v>
      </c>
    </row>
    <row r="323" spans="1:21">
      <c r="A323" s="8" t="s">
        <v>5112</v>
      </c>
      <c r="B323" s="8" t="s">
        <v>3799</v>
      </c>
      <c r="C323" s="8">
        <v>259296</v>
      </c>
      <c r="D323" s="8" t="s">
        <v>104</v>
      </c>
      <c r="E323" s="8">
        <v>11138654</v>
      </c>
      <c r="F323" s="8">
        <v>11138654</v>
      </c>
      <c r="G323" s="8" t="s">
        <v>41</v>
      </c>
      <c r="H323" s="8" t="s">
        <v>46</v>
      </c>
      <c r="I323" s="8" t="s">
        <v>23</v>
      </c>
      <c r="J323" s="8" t="s">
        <v>3800</v>
      </c>
      <c r="K323" s="8" t="s">
        <v>5211</v>
      </c>
      <c r="L323" s="8" t="s">
        <v>19</v>
      </c>
      <c r="M323" s="8">
        <v>858</v>
      </c>
      <c r="N323" s="8" t="s">
        <v>394</v>
      </c>
      <c r="O323" s="8">
        <v>269</v>
      </c>
      <c r="P323" s="8" t="s">
        <v>5210</v>
      </c>
      <c r="Q323" s="8" t="s">
        <v>4262</v>
      </c>
      <c r="R323" s="8">
        <v>0.52200000000000002</v>
      </c>
      <c r="S323" s="8">
        <v>11138654</v>
      </c>
      <c r="T323" s="8" t="s">
        <v>41</v>
      </c>
      <c r="U323" s="8" t="s">
        <v>46</v>
      </c>
    </row>
    <row r="324" spans="1:21">
      <c r="A324" s="8" t="s">
        <v>5112</v>
      </c>
      <c r="B324" s="8" t="s">
        <v>5212</v>
      </c>
      <c r="C324" s="8">
        <v>283383</v>
      </c>
      <c r="D324" s="8" t="s">
        <v>104</v>
      </c>
      <c r="E324" s="8">
        <v>131487803</v>
      </c>
      <c r="F324" s="8">
        <v>131487803</v>
      </c>
      <c r="G324" s="8" t="s">
        <v>24</v>
      </c>
      <c r="H324" s="8" t="s">
        <v>25</v>
      </c>
      <c r="I324" s="8" t="s">
        <v>23</v>
      </c>
      <c r="J324" s="8" t="s">
        <v>5213</v>
      </c>
      <c r="K324" s="8" t="s">
        <v>5215</v>
      </c>
      <c r="L324" s="8" t="s">
        <v>19</v>
      </c>
      <c r="M324" s="8">
        <v>1659</v>
      </c>
      <c r="N324" s="8" t="s">
        <v>205</v>
      </c>
      <c r="O324" s="8">
        <v>367</v>
      </c>
      <c r="P324" s="8" t="s">
        <v>5214</v>
      </c>
      <c r="Q324" s="8" t="s">
        <v>4262</v>
      </c>
      <c r="R324" s="8">
        <v>0.38100000000000001</v>
      </c>
      <c r="S324" s="8">
        <v>131487803</v>
      </c>
      <c r="T324" s="8" t="s">
        <v>24</v>
      </c>
      <c r="U324" s="8" t="s">
        <v>25</v>
      </c>
    </row>
    <row r="325" spans="1:21">
      <c r="A325" s="8" t="s">
        <v>5112</v>
      </c>
      <c r="B325" s="8" t="s">
        <v>3802</v>
      </c>
      <c r="C325" s="8">
        <v>57718</v>
      </c>
      <c r="D325" s="8" t="s">
        <v>118</v>
      </c>
      <c r="E325" s="8">
        <v>94708635</v>
      </c>
      <c r="F325" s="8">
        <v>94708635</v>
      </c>
      <c r="G325" s="8" t="s">
        <v>24</v>
      </c>
      <c r="H325" s="8" t="s">
        <v>41</v>
      </c>
      <c r="I325" s="8" t="s">
        <v>23</v>
      </c>
      <c r="J325" s="8" t="s">
        <v>3803</v>
      </c>
      <c r="K325" s="8" t="s">
        <v>5217</v>
      </c>
      <c r="L325" s="8" t="s">
        <v>19</v>
      </c>
      <c r="M325" s="8">
        <v>1310</v>
      </c>
      <c r="N325" s="8" t="s">
        <v>3804</v>
      </c>
      <c r="O325" s="8">
        <v>386</v>
      </c>
      <c r="P325" s="8" t="s">
        <v>5216</v>
      </c>
      <c r="Q325" s="8" t="s">
        <v>4262</v>
      </c>
      <c r="R325" s="8">
        <v>0.371</v>
      </c>
      <c r="S325" s="8">
        <v>94708635</v>
      </c>
      <c r="T325" s="8" t="s">
        <v>24</v>
      </c>
      <c r="U325" s="8" t="s">
        <v>41</v>
      </c>
    </row>
    <row r="326" spans="1:21">
      <c r="A326" s="8" t="s">
        <v>5112</v>
      </c>
      <c r="B326" s="8" t="s">
        <v>566</v>
      </c>
      <c r="C326" s="8">
        <v>8312</v>
      </c>
      <c r="D326" s="8" t="s">
        <v>129</v>
      </c>
      <c r="E326" s="8">
        <v>354351</v>
      </c>
      <c r="F326" s="8">
        <v>354351</v>
      </c>
      <c r="G326" s="8" t="s">
        <v>24</v>
      </c>
      <c r="H326" s="8" t="s">
        <v>25</v>
      </c>
      <c r="I326" s="8" t="s">
        <v>23</v>
      </c>
      <c r="J326" s="8" t="s">
        <v>5218</v>
      </c>
      <c r="K326" s="8" t="s">
        <v>5220</v>
      </c>
      <c r="L326" s="8" t="s">
        <v>19</v>
      </c>
      <c r="M326" s="8">
        <v>1596</v>
      </c>
      <c r="N326" s="8" t="s">
        <v>92</v>
      </c>
      <c r="O326" s="8">
        <v>403</v>
      </c>
      <c r="P326" s="8" t="s">
        <v>5219</v>
      </c>
      <c r="Q326" s="8" t="s">
        <v>4262</v>
      </c>
      <c r="R326" s="8">
        <v>0.56799999999999995</v>
      </c>
      <c r="S326" s="8">
        <v>354351</v>
      </c>
      <c r="T326" s="8" t="s">
        <v>24</v>
      </c>
      <c r="U326" s="8" t="s">
        <v>25</v>
      </c>
    </row>
    <row r="327" spans="1:21">
      <c r="A327" s="8" t="s">
        <v>5112</v>
      </c>
      <c r="B327" s="8" t="s">
        <v>5221</v>
      </c>
      <c r="C327" s="8">
        <v>8632</v>
      </c>
      <c r="D327" s="8" t="s">
        <v>133</v>
      </c>
      <c r="E327" s="8">
        <v>76498725</v>
      </c>
      <c r="F327" s="8">
        <v>76498725</v>
      </c>
      <c r="G327" s="8" t="s">
        <v>24</v>
      </c>
      <c r="H327" s="8" t="s">
        <v>41</v>
      </c>
      <c r="I327" s="8" t="s">
        <v>23</v>
      </c>
      <c r="J327" s="8" t="s">
        <v>5222</v>
      </c>
      <c r="K327" s="8" t="s">
        <v>5224</v>
      </c>
      <c r="L327" s="8" t="s">
        <v>19</v>
      </c>
      <c r="M327" s="8">
        <v>5263</v>
      </c>
      <c r="N327" s="8" t="s">
        <v>3048</v>
      </c>
      <c r="O327" s="8">
        <v>1713</v>
      </c>
      <c r="P327" s="8" t="s">
        <v>5223</v>
      </c>
      <c r="Q327" s="8" t="s">
        <v>4262</v>
      </c>
      <c r="R327" s="8">
        <v>0.16800000000000001</v>
      </c>
      <c r="S327" s="8">
        <v>76498725</v>
      </c>
      <c r="T327" s="8" t="s">
        <v>24</v>
      </c>
      <c r="U327" s="8" t="s">
        <v>41</v>
      </c>
    </row>
    <row r="328" spans="1:21">
      <c r="A328" s="8" t="s">
        <v>5112</v>
      </c>
      <c r="B328" s="8" t="s">
        <v>5225</v>
      </c>
      <c r="C328" s="8">
        <v>84514</v>
      </c>
      <c r="D328" s="8" t="s">
        <v>133</v>
      </c>
      <c r="E328" s="8">
        <v>40342231</v>
      </c>
      <c r="F328" s="8">
        <v>40342231</v>
      </c>
      <c r="G328" s="8" t="s">
        <v>46</v>
      </c>
      <c r="H328" s="8" t="s">
        <v>24</v>
      </c>
      <c r="I328" s="8" t="s">
        <v>23</v>
      </c>
      <c r="J328" s="8" t="s">
        <v>5226</v>
      </c>
      <c r="K328" s="8" t="s">
        <v>5228</v>
      </c>
      <c r="L328" s="8" t="s">
        <v>19</v>
      </c>
      <c r="M328" s="8">
        <v>1583</v>
      </c>
      <c r="N328" s="8" t="s">
        <v>5229</v>
      </c>
      <c r="O328" s="8">
        <v>449</v>
      </c>
      <c r="P328" s="8" t="s">
        <v>5227</v>
      </c>
      <c r="Q328" s="8" t="s">
        <v>4262</v>
      </c>
      <c r="R328" s="8">
        <v>4.1000000000000002E-2</v>
      </c>
      <c r="S328" s="8">
        <v>40342231</v>
      </c>
      <c r="T328" s="8" t="s">
        <v>46</v>
      </c>
      <c r="U328" s="8" t="s">
        <v>24</v>
      </c>
    </row>
    <row r="329" spans="1:21">
      <c r="A329" s="8" t="s">
        <v>5112</v>
      </c>
      <c r="B329" s="8" t="s">
        <v>5230</v>
      </c>
      <c r="C329" s="8">
        <v>126206</v>
      </c>
      <c r="D329" s="8" t="s">
        <v>139</v>
      </c>
      <c r="E329" s="8">
        <v>56515204</v>
      </c>
      <c r="F329" s="8">
        <v>56515204</v>
      </c>
      <c r="G329" s="8" t="s">
        <v>24</v>
      </c>
      <c r="H329" s="8" t="s">
        <v>46</v>
      </c>
      <c r="I329" s="8" t="s">
        <v>23</v>
      </c>
      <c r="J329" s="8" t="s">
        <v>5231</v>
      </c>
      <c r="K329" s="8" t="s">
        <v>5233</v>
      </c>
      <c r="L329" s="8" t="s">
        <v>19</v>
      </c>
      <c r="M329" s="8">
        <v>185</v>
      </c>
      <c r="N329" s="8" t="s">
        <v>2996</v>
      </c>
      <c r="O329" s="8">
        <v>62</v>
      </c>
      <c r="P329" s="8" t="s">
        <v>5232</v>
      </c>
      <c r="Q329" s="8" t="s">
        <v>4262</v>
      </c>
      <c r="R329" s="8">
        <v>0.158</v>
      </c>
      <c r="S329" s="8">
        <v>56515204</v>
      </c>
      <c r="T329" s="8" t="s">
        <v>24</v>
      </c>
      <c r="U329" s="8" t="s">
        <v>46</v>
      </c>
    </row>
    <row r="330" spans="1:21">
      <c r="A330" s="8" t="s">
        <v>5112</v>
      </c>
      <c r="B330" s="8" t="s">
        <v>3805</v>
      </c>
      <c r="C330" s="8">
        <v>100287226</v>
      </c>
      <c r="D330" s="8" t="s">
        <v>139</v>
      </c>
      <c r="E330" s="8">
        <v>22497039</v>
      </c>
      <c r="F330" s="8">
        <v>22497039</v>
      </c>
      <c r="G330" s="8" t="s">
        <v>25</v>
      </c>
      <c r="H330" s="8" t="s">
        <v>46</v>
      </c>
      <c r="I330" s="8" t="s">
        <v>23</v>
      </c>
      <c r="J330" s="8" t="s">
        <v>3806</v>
      </c>
      <c r="K330" s="8" t="s">
        <v>5235</v>
      </c>
      <c r="L330" s="8" t="s">
        <v>19</v>
      </c>
      <c r="M330" s="8">
        <v>896</v>
      </c>
      <c r="N330" s="8" t="s">
        <v>1040</v>
      </c>
      <c r="O330" s="8">
        <v>274</v>
      </c>
      <c r="P330" s="8" t="s">
        <v>5234</v>
      </c>
      <c r="Q330" s="8" t="s">
        <v>4262</v>
      </c>
      <c r="R330" s="8">
        <v>0.372</v>
      </c>
      <c r="S330" s="8">
        <v>22497039</v>
      </c>
      <c r="T330" s="8" t="s">
        <v>25</v>
      </c>
      <c r="U330" s="8" t="s">
        <v>46</v>
      </c>
    </row>
    <row r="331" spans="1:21">
      <c r="A331" s="8" t="s">
        <v>5112</v>
      </c>
      <c r="B331" s="8" t="s">
        <v>3807</v>
      </c>
      <c r="C331" s="8">
        <v>4782</v>
      </c>
      <c r="D331" s="8" t="s">
        <v>139</v>
      </c>
      <c r="E331" s="8">
        <v>3382056</v>
      </c>
      <c r="F331" s="8">
        <v>3382056</v>
      </c>
      <c r="G331" s="8" t="s">
        <v>25</v>
      </c>
      <c r="H331" s="8" t="s">
        <v>41</v>
      </c>
      <c r="I331" s="8" t="s">
        <v>23</v>
      </c>
      <c r="J331" s="8" t="s">
        <v>5236</v>
      </c>
      <c r="K331" s="8" t="s">
        <v>5238</v>
      </c>
      <c r="L331" s="8" t="s">
        <v>19</v>
      </c>
      <c r="M331" s="8">
        <v>447</v>
      </c>
      <c r="N331" s="8" t="s">
        <v>457</v>
      </c>
      <c r="O331" s="8">
        <v>126</v>
      </c>
      <c r="P331" s="8" t="s">
        <v>5237</v>
      </c>
      <c r="Q331" s="8" t="s">
        <v>4262</v>
      </c>
      <c r="R331" s="8">
        <v>0.49199999999999999</v>
      </c>
      <c r="S331" s="8">
        <v>3382056</v>
      </c>
      <c r="T331" s="8" t="s">
        <v>25</v>
      </c>
      <c r="U331" s="8" t="s">
        <v>41</v>
      </c>
    </row>
    <row r="332" spans="1:21">
      <c r="A332" s="8" t="s">
        <v>5112</v>
      </c>
      <c r="B332" s="8" t="s">
        <v>2652</v>
      </c>
      <c r="C332" s="8">
        <v>23515</v>
      </c>
      <c r="D332" s="8" t="s">
        <v>193</v>
      </c>
      <c r="E332" s="8">
        <v>37717240</v>
      </c>
      <c r="F332" s="8">
        <v>37717240</v>
      </c>
      <c r="G332" s="8" t="s">
        <v>25</v>
      </c>
      <c r="H332" s="8" t="s">
        <v>41</v>
      </c>
      <c r="I332" s="8" t="s">
        <v>23</v>
      </c>
      <c r="J332" s="8" t="s">
        <v>2653</v>
      </c>
      <c r="K332" s="8" t="s">
        <v>5240</v>
      </c>
      <c r="L332" s="8" t="s">
        <v>19</v>
      </c>
      <c r="M332" s="8">
        <v>992</v>
      </c>
      <c r="N332" s="8" t="s">
        <v>3131</v>
      </c>
      <c r="O332" s="8">
        <v>306</v>
      </c>
      <c r="P332" s="8" t="s">
        <v>5239</v>
      </c>
      <c r="Q332" s="8" t="s">
        <v>4262</v>
      </c>
      <c r="R332" s="8">
        <v>0.32700000000000001</v>
      </c>
      <c r="S332" s="8">
        <v>37717240</v>
      </c>
      <c r="T332" s="8" t="s">
        <v>25</v>
      </c>
      <c r="U332" s="8" t="s">
        <v>41</v>
      </c>
    </row>
    <row r="333" spans="1:21">
      <c r="A333" s="8" t="s">
        <v>5112</v>
      </c>
      <c r="B333" s="8" t="s">
        <v>5241</v>
      </c>
      <c r="C333" s="8">
        <v>3772</v>
      </c>
      <c r="D333" s="8" t="s">
        <v>193</v>
      </c>
      <c r="E333" s="8">
        <v>39671895</v>
      </c>
      <c r="F333" s="8">
        <v>39671895</v>
      </c>
      <c r="G333" s="8" t="s">
        <v>46</v>
      </c>
      <c r="H333" s="8" t="s">
        <v>24</v>
      </c>
      <c r="I333" s="8" t="s">
        <v>23</v>
      </c>
      <c r="J333" s="8" t="s">
        <v>5242</v>
      </c>
      <c r="K333" s="8" t="s">
        <v>5244</v>
      </c>
      <c r="L333" s="8" t="s">
        <v>19</v>
      </c>
      <c r="M333" s="8">
        <v>879</v>
      </c>
      <c r="N333" s="8" t="s">
        <v>5245</v>
      </c>
      <c r="O333" s="8">
        <v>238</v>
      </c>
      <c r="P333" s="8" t="s">
        <v>5243</v>
      </c>
      <c r="Q333" s="8" t="s">
        <v>4262</v>
      </c>
      <c r="R333" s="8">
        <v>0.23</v>
      </c>
      <c r="S333" s="8">
        <v>39671895</v>
      </c>
      <c r="T333" s="8" t="s">
        <v>46</v>
      </c>
      <c r="U333" s="8" t="s">
        <v>24</v>
      </c>
    </row>
    <row r="334" spans="1:21">
      <c r="A334" s="8" t="s">
        <v>5112</v>
      </c>
      <c r="B334" s="8" t="s">
        <v>5246</v>
      </c>
      <c r="C334" s="8">
        <v>55511</v>
      </c>
      <c r="D334" s="8" t="s">
        <v>418</v>
      </c>
      <c r="E334" s="8">
        <v>134989971</v>
      </c>
      <c r="F334" s="8">
        <v>134989971</v>
      </c>
      <c r="G334" s="8" t="s">
        <v>25</v>
      </c>
      <c r="H334" s="8" t="s">
        <v>24</v>
      </c>
      <c r="I334" s="8" t="s">
        <v>23</v>
      </c>
      <c r="J334" s="8" t="s">
        <v>5247</v>
      </c>
      <c r="K334" s="8" t="s">
        <v>5249</v>
      </c>
      <c r="L334" s="8" t="s">
        <v>19</v>
      </c>
      <c r="M334" s="8">
        <v>1297</v>
      </c>
      <c r="N334" s="8" t="s">
        <v>1033</v>
      </c>
      <c r="O334" s="8">
        <v>377</v>
      </c>
      <c r="P334" s="8" t="s">
        <v>5248</v>
      </c>
      <c r="Q334" s="8" t="s">
        <v>4262</v>
      </c>
      <c r="R334" s="8">
        <v>0.61599999999999999</v>
      </c>
      <c r="S334" s="8">
        <v>134989971</v>
      </c>
      <c r="T334" s="8" t="s">
        <v>25</v>
      </c>
      <c r="U334" s="8" t="s">
        <v>24</v>
      </c>
    </row>
    <row r="335" spans="1:21">
      <c r="A335" s="8" t="s">
        <v>5112</v>
      </c>
      <c r="B335" s="8"/>
      <c r="C335" s="8">
        <v>100509396</v>
      </c>
      <c r="D335" s="8" t="s">
        <v>1887</v>
      </c>
      <c r="E335" s="8">
        <v>13310664</v>
      </c>
      <c r="F335" s="8">
        <v>13310664</v>
      </c>
      <c r="G335" s="8" t="s">
        <v>24</v>
      </c>
      <c r="H335" s="8" t="s">
        <v>25</v>
      </c>
      <c r="I335" s="8" t="s">
        <v>23</v>
      </c>
      <c r="J335" s="8" t="s">
        <v>5250</v>
      </c>
      <c r="K335" s="8" t="s">
        <v>5252</v>
      </c>
      <c r="L335" s="8" t="s">
        <v>19</v>
      </c>
      <c r="M335" s="8">
        <v>350</v>
      </c>
      <c r="N335" s="8" t="s">
        <v>1421</v>
      </c>
      <c r="O335" s="8">
        <v>117</v>
      </c>
      <c r="P335" s="8" t="s">
        <v>5251</v>
      </c>
      <c r="Q335" s="8" t="s">
        <v>4262</v>
      </c>
      <c r="R335" s="8">
        <v>0.156</v>
      </c>
      <c r="S335" s="8">
        <v>13310664</v>
      </c>
      <c r="T335" s="8" t="s">
        <v>24</v>
      </c>
      <c r="U335" s="8" t="s">
        <v>25</v>
      </c>
    </row>
    <row r="336" spans="1:21">
      <c r="A336" s="8" t="s">
        <v>5256</v>
      </c>
      <c r="B336" s="8" t="s">
        <v>2189</v>
      </c>
      <c r="C336" s="8">
        <v>55187</v>
      </c>
      <c r="D336" s="8" t="s">
        <v>22</v>
      </c>
      <c r="E336" s="8">
        <v>12326968</v>
      </c>
      <c r="F336" s="8">
        <v>12326968</v>
      </c>
      <c r="G336" s="8" t="s">
        <v>24</v>
      </c>
      <c r="H336" s="8" t="s">
        <v>25</v>
      </c>
      <c r="I336" s="8" t="s">
        <v>23</v>
      </c>
      <c r="J336" s="8" t="s">
        <v>5253</v>
      </c>
      <c r="K336" s="8" t="s">
        <v>5255</v>
      </c>
      <c r="L336" s="8" t="s">
        <v>19</v>
      </c>
      <c r="M336" s="8">
        <v>1766</v>
      </c>
      <c r="N336" s="8" t="s">
        <v>577</v>
      </c>
      <c r="O336" s="8">
        <v>542</v>
      </c>
      <c r="P336" s="8" t="s">
        <v>5254</v>
      </c>
      <c r="Q336" s="8" t="s">
        <v>4262</v>
      </c>
      <c r="R336" s="8">
        <v>0.373</v>
      </c>
      <c r="S336" s="8">
        <v>12326968</v>
      </c>
      <c r="T336" s="8" t="s">
        <v>24</v>
      </c>
      <c r="U336" s="8" t="s">
        <v>25</v>
      </c>
    </row>
    <row r="337" spans="1:21">
      <c r="A337" s="8" t="s">
        <v>5256</v>
      </c>
      <c r="B337" s="8" t="s">
        <v>874</v>
      </c>
      <c r="C337" s="8">
        <v>81626</v>
      </c>
      <c r="D337" s="8" t="s">
        <v>22</v>
      </c>
      <c r="E337" s="8">
        <v>182908467</v>
      </c>
      <c r="F337" s="8">
        <v>182908467</v>
      </c>
      <c r="G337" s="8" t="s">
        <v>25</v>
      </c>
      <c r="H337" s="8" t="s">
        <v>41</v>
      </c>
      <c r="I337" s="8" t="s">
        <v>23</v>
      </c>
      <c r="J337" s="8" t="s">
        <v>875</v>
      </c>
      <c r="K337" s="8" t="s">
        <v>5258</v>
      </c>
      <c r="L337" s="8" t="s">
        <v>76</v>
      </c>
      <c r="M337" s="8">
        <v>1205</v>
      </c>
      <c r="N337" s="8" t="s">
        <v>3668</v>
      </c>
      <c r="O337" s="8">
        <v>307</v>
      </c>
      <c r="P337" s="8" t="s">
        <v>5257</v>
      </c>
      <c r="Q337" s="8" t="s">
        <v>4262</v>
      </c>
      <c r="R337" s="8">
        <v>0.20399999999999999</v>
      </c>
      <c r="S337" s="8">
        <v>182908467</v>
      </c>
      <c r="T337" s="8" t="s">
        <v>25</v>
      </c>
      <c r="U337" s="8" t="s">
        <v>41</v>
      </c>
    </row>
    <row r="338" spans="1:21">
      <c r="A338" s="8" t="s">
        <v>5256</v>
      </c>
      <c r="B338" s="8" t="s">
        <v>5259</v>
      </c>
      <c r="C338" s="8">
        <v>23418</v>
      </c>
      <c r="D338" s="8" t="s">
        <v>22</v>
      </c>
      <c r="E338" s="8">
        <v>197407761</v>
      </c>
      <c r="F338" s="8">
        <v>197407761</v>
      </c>
      <c r="G338" s="8" t="s">
        <v>24</v>
      </c>
      <c r="H338" s="8" t="s">
        <v>41</v>
      </c>
      <c r="I338" s="8" t="s">
        <v>23</v>
      </c>
      <c r="J338" s="8" t="s">
        <v>5260</v>
      </c>
      <c r="K338" s="8" t="s">
        <v>5262</v>
      </c>
      <c r="L338" s="8" t="s">
        <v>19</v>
      </c>
      <c r="M338" s="8">
        <v>4043</v>
      </c>
      <c r="N338" s="8" t="s">
        <v>251</v>
      </c>
      <c r="O338" s="8">
        <v>1278</v>
      </c>
      <c r="P338" s="8" t="s">
        <v>5261</v>
      </c>
      <c r="Q338" s="8" t="s">
        <v>4262</v>
      </c>
      <c r="R338" s="8">
        <v>0.185</v>
      </c>
      <c r="S338" s="8">
        <v>197407761</v>
      </c>
      <c r="T338" s="8" t="s">
        <v>24</v>
      </c>
      <c r="U338" s="8" t="s">
        <v>41</v>
      </c>
    </row>
    <row r="339" spans="1:21">
      <c r="A339" s="8" t="s">
        <v>5256</v>
      </c>
      <c r="B339" s="8" t="s">
        <v>5263</v>
      </c>
      <c r="C339" s="8">
        <v>5929</v>
      </c>
      <c r="D339" s="8" t="s">
        <v>22</v>
      </c>
      <c r="E339" s="8">
        <v>205074298</v>
      </c>
      <c r="F339" s="8">
        <v>205074298</v>
      </c>
      <c r="G339" s="8" t="s">
        <v>41</v>
      </c>
      <c r="H339" s="8" t="s">
        <v>25</v>
      </c>
      <c r="I339" s="8" t="s">
        <v>23</v>
      </c>
      <c r="J339" s="8" t="s">
        <v>5264</v>
      </c>
      <c r="K339" s="8" t="s">
        <v>5265</v>
      </c>
      <c r="L339" s="8" t="s">
        <v>68</v>
      </c>
      <c r="M339" s="8">
        <v>0</v>
      </c>
      <c r="N339" s="8" t="s">
        <v>35</v>
      </c>
      <c r="O339" s="8">
        <v>0</v>
      </c>
      <c r="P339" s="8" t="s">
        <v>35</v>
      </c>
      <c r="Q339" s="8" t="s">
        <v>4262</v>
      </c>
      <c r="R339" s="8">
        <v>0.19500000000000001</v>
      </c>
      <c r="S339" s="8">
        <v>205074298</v>
      </c>
      <c r="T339" s="8" t="s">
        <v>41</v>
      </c>
      <c r="U339" s="8" t="s">
        <v>25</v>
      </c>
    </row>
    <row r="340" spans="1:21">
      <c r="A340" s="8" t="s">
        <v>5256</v>
      </c>
      <c r="B340" s="8" t="s">
        <v>5266</v>
      </c>
      <c r="C340" s="8">
        <v>1063</v>
      </c>
      <c r="D340" s="8" t="s">
        <v>22</v>
      </c>
      <c r="E340" s="8">
        <v>214814100</v>
      </c>
      <c r="F340" s="8">
        <v>214814100</v>
      </c>
      <c r="G340" s="8" t="s">
        <v>25</v>
      </c>
      <c r="H340" s="8" t="s">
        <v>41</v>
      </c>
      <c r="I340" s="8" t="s">
        <v>23</v>
      </c>
      <c r="J340" s="8" t="s">
        <v>5267</v>
      </c>
      <c r="K340" s="8" t="s">
        <v>5269</v>
      </c>
      <c r="L340" s="8" t="s">
        <v>19</v>
      </c>
      <c r="M340" s="8">
        <v>2593</v>
      </c>
      <c r="N340" s="8" t="s">
        <v>792</v>
      </c>
      <c r="O340" s="8">
        <v>807</v>
      </c>
      <c r="P340" s="8" t="s">
        <v>5268</v>
      </c>
      <c r="Q340" s="8" t="s">
        <v>4262</v>
      </c>
      <c r="R340" s="8">
        <v>0.193</v>
      </c>
      <c r="S340" s="8">
        <v>214814100</v>
      </c>
      <c r="T340" s="8" t="s">
        <v>25</v>
      </c>
      <c r="U340" s="8" t="s">
        <v>41</v>
      </c>
    </row>
    <row r="341" spans="1:21">
      <c r="A341" s="8" t="s">
        <v>5256</v>
      </c>
      <c r="B341" s="8" t="s">
        <v>1931</v>
      </c>
      <c r="C341" s="8">
        <v>183</v>
      </c>
      <c r="D341" s="8" t="s">
        <v>22</v>
      </c>
      <c r="E341" s="8">
        <v>230846593</v>
      </c>
      <c r="F341" s="8">
        <v>230846593</v>
      </c>
      <c r="G341" s="8" t="s">
        <v>24</v>
      </c>
      <c r="H341" s="8" t="s">
        <v>25</v>
      </c>
      <c r="I341" s="8" t="s">
        <v>23</v>
      </c>
      <c r="J341" s="8" t="s">
        <v>5270</v>
      </c>
      <c r="K341" s="8" t="s">
        <v>5272</v>
      </c>
      <c r="L341" s="8" t="s">
        <v>19</v>
      </c>
      <c r="M341" s="8">
        <v>512</v>
      </c>
      <c r="N341" s="8" t="s">
        <v>92</v>
      </c>
      <c r="O341" s="8">
        <v>2</v>
      </c>
      <c r="P341" s="8" t="s">
        <v>5271</v>
      </c>
      <c r="Q341" s="8" t="s">
        <v>4262</v>
      </c>
      <c r="R341" s="8">
        <v>0.26200000000000001</v>
      </c>
      <c r="S341" s="8">
        <v>230846593</v>
      </c>
      <c r="T341" s="8" t="s">
        <v>24</v>
      </c>
      <c r="U341" s="8" t="s">
        <v>25</v>
      </c>
    </row>
    <row r="342" spans="1:21">
      <c r="A342" s="8" t="s">
        <v>5256</v>
      </c>
      <c r="B342" s="8" t="s">
        <v>5273</v>
      </c>
      <c r="C342" s="8">
        <v>200159</v>
      </c>
      <c r="D342" s="8" t="s">
        <v>22</v>
      </c>
      <c r="E342" s="8">
        <v>244552295</v>
      </c>
      <c r="F342" s="8">
        <v>244552295</v>
      </c>
      <c r="G342" s="8" t="s">
        <v>46</v>
      </c>
      <c r="H342" s="8" t="s">
        <v>41</v>
      </c>
      <c r="I342" s="8" t="s">
        <v>23</v>
      </c>
      <c r="J342" s="8" t="s">
        <v>5274</v>
      </c>
      <c r="K342" s="8" t="s">
        <v>5276</v>
      </c>
      <c r="L342" s="8" t="s">
        <v>19</v>
      </c>
      <c r="M342" s="8">
        <v>481</v>
      </c>
      <c r="N342" s="8" t="s">
        <v>365</v>
      </c>
      <c r="O342" s="8">
        <v>123</v>
      </c>
      <c r="P342" s="8" t="s">
        <v>5275</v>
      </c>
      <c r="Q342" s="8" t="s">
        <v>4262</v>
      </c>
      <c r="R342" s="8">
        <v>9.4E-2</v>
      </c>
      <c r="S342" s="8">
        <v>244552295</v>
      </c>
      <c r="T342" s="8" t="s">
        <v>46</v>
      </c>
      <c r="U342" s="8" t="s">
        <v>41</v>
      </c>
    </row>
    <row r="343" spans="1:21">
      <c r="A343" s="8" t="s">
        <v>5256</v>
      </c>
      <c r="B343" s="8" t="s">
        <v>4475</v>
      </c>
      <c r="C343" s="8">
        <v>284532</v>
      </c>
      <c r="D343" s="8" t="s">
        <v>22</v>
      </c>
      <c r="E343" s="8">
        <v>247978193</v>
      </c>
      <c r="F343" s="8">
        <v>247978193</v>
      </c>
      <c r="G343" s="8" t="s">
        <v>24</v>
      </c>
      <c r="H343" s="8" t="s">
        <v>41</v>
      </c>
      <c r="I343" s="8" t="s">
        <v>23</v>
      </c>
      <c r="J343" s="8" t="s">
        <v>4476</v>
      </c>
      <c r="K343" s="8" t="s">
        <v>4478</v>
      </c>
      <c r="L343" s="8" t="s">
        <v>19</v>
      </c>
      <c r="M343" s="8">
        <v>839</v>
      </c>
      <c r="N343" s="8" t="s">
        <v>900</v>
      </c>
      <c r="O343" s="8">
        <v>280</v>
      </c>
      <c r="P343" s="8" t="s">
        <v>5277</v>
      </c>
      <c r="Q343" s="8" t="s">
        <v>4262</v>
      </c>
      <c r="R343" s="8">
        <v>0.20899999999999999</v>
      </c>
      <c r="S343" s="8">
        <v>247978193</v>
      </c>
      <c r="T343" s="8" t="s">
        <v>24</v>
      </c>
      <c r="U343" s="8" t="s">
        <v>41</v>
      </c>
    </row>
    <row r="344" spans="1:21">
      <c r="A344" s="8" t="s">
        <v>5256</v>
      </c>
      <c r="B344" s="8" t="s">
        <v>5278</v>
      </c>
      <c r="C344" s="8">
        <v>127066</v>
      </c>
      <c r="D344" s="8" t="s">
        <v>22</v>
      </c>
      <c r="E344" s="8">
        <v>248512450</v>
      </c>
      <c r="F344" s="8">
        <v>248512450</v>
      </c>
      <c r="G344" s="8" t="s">
        <v>24</v>
      </c>
      <c r="H344" s="8" t="s">
        <v>41</v>
      </c>
      <c r="I344" s="8" t="s">
        <v>23</v>
      </c>
      <c r="J344" s="8" t="s">
        <v>5279</v>
      </c>
      <c r="K344" s="8" t="s">
        <v>5281</v>
      </c>
      <c r="L344" s="8" t="s">
        <v>19</v>
      </c>
      <c r="M344" s="8">
        <v>374</v>
      </c>
      <c r="N344" s="8" t="s">
        <v>2922</v>
      </c>
      <c r="O344" s="8">
        <v>125</v>
      </c>
      <c r="P344" s="8" t="s">
        <v>5280</v>
      </c>
      <c r="Q344" s="8" t="s">
        <v>4262</v>
      </c>
      <c r="R344" s="8">
        <v>0.159</v>
      </c>
      <c r="S344" s="8">
        <v>248512450</v>
      </c>
      <c r="T344" s="8" t="s">
        <v>24</v>
      </c>
      <c r="U344" s="8" t="s">
        <v>41</v>
      </c>
    </row>
    <row r="345" spans="1:21">
      <c r="A345" s="8" t="s">
        <v>5256</v>
      </c>
      <c r="B345" s="8" t="s">
        <v>3712</v>
      </c>
      <c r="C345" s="8">
        <v>27332</v>
      </c>
      <c r="D345" s="8" t="s">
        <v>172</v>
      </c>
      <c r="E345" s="8">
        <v>71577211</v>
      </c>
      <c r="F345" s="8">
        <v>71577211</v>
      </c>
      <c r="G345" s="8" t="s">
        <v>25</v>
      </c>
      <c r="H345" s="8" t="s">
        <v>41</v>
      </c>
      <c r="I345" s="8" t="s">
        <v>23</v>
      </c>
      <c r="J345" s="8" t="s">
        <v>5282</v>
      </c>
      <c r="K345" s="8" t="s">
        <v>5284</v>
      </c>
      <c r="L345" s="8" t="s">
        <v>19</v>
      </c>
      <c r="M345" s="8">
        <v>1436</v>
      </c>
      <c r="N345" s="8" t="s">
        <v>3136</v>
      </c>
      <c r="O345" s="8">
        <v>376</v>
      </c>
      <c r="P345" s="8" t="s">
        <v>5283</v>
      </c>
      <c r="Q345" s="8" t="s">
        <v>4262</v>
      </c>
      <c r="R345" s="8">
        <v>0.28000000000000003</v>
      </c>
      <c r="S345" s="8">
        <v>71577211</v>
      </c>
      <c r="T345" s="8" t="s">
        <v>25</v>
      </c>
      <c r="U345" s="8" t="s">
        <v>41</v>
      </c>
    </row>
    <row r="346" spans="1:21">
      <c r="A346" s="8" t="s">
        <v>5256</v>
      </c>
      <c r="B346" s="8" t="s">
        <v>5285</v>
      </c>
      <c r="C346" s="8">
        <v>445582</v>
      </c>
      <c r="D346" s="8" t="s">
        <v>172</v>
      </c>
      <c r="E346" s="8">
        <v>132021603</v>
      </c>
      <c r="F346" s="8">
        <v>132021603</v>
      </c>
      <c r="G346" s="8" t="s">
        <v>24</v>
      </c>
      <c r="H346" s="8" t="s">
        <v>41</v>
      </c>
      <c r="I346" s="8" t="s">
        <v>23</v>
      </c>
      <c r="J346" s="8" t="s">
        <v>5286</v>
      </c>
      <c r="K346" s="8" t="s">
        <v>5288</v>
      </c>
      <c r="L346" s="8" t="s">
        <v>19</v>
      </c>
      <c r="M346" s="8">
        <v>2627</v>
      </c>
      <c r="N346" s="8" t="s">
        <v>162</v>
      </c>
      <c r="O346" s="8">
        <v>859</v>
      </c>
      <c r="P346" s="8" t="s">
        <v>5287</v>
      </c>
      <c r="Q346" s="8" t="s">
        <v>4262</v>
      </c>
      <c r="R346" s="8">
        <v>0.33300000000000002</v>
      </c>
      <c r="S346" s="8">
        <v>132021603</v>
      </c>
      <c r="T346" s="8" t="s">
        <v>24</v>
      </c>
      <c r="U346" s="8" t="s">
        <v>41</v>
      </c>
    </row>
    <row r="347" spans="1:21">
      <c r="A347" s="8" t="s">
        <v>5256</v>
      </c>
      <c r="B347" s="8" t="s">
        <v>1499</v>
      </c>
      <c r="C347" s="8">
        <v>3938</v>
      </c>
      <c r="D347" s="8" t="s">
        <v>172</v>
      </c>
      <c r="E347" s="8">
        <v>136575158</v>
      </c>
      <c r="F347" s="8">
        <v>136575158</v>
      </c>
      <c r="G347" s="8" t="s">
        <v>24</v>
      </c>
      <c r="H347" s="8" t="s">
        <v>41</v>
      </c>
      <c r="I347" s="8" t="s">
        <v>23</v>
      </c>
      <c r="J347" s="8" t="s">
        <v>1500</v>
      </c>
      <c r="K347" s="8" t="s">
        <v>5290</v>
      </c>
      <c r="L347" s="8" t="s">
        <v>19</v>
      </c>
      <c r="M347" s="8">
        <v>1471</v>
      </c>
      <c r="N347" s="8" t="s">
        <v>629</v>
      </c>
      <c r="O347" s="8">
        <v>487</v>
      </c>
      <c r="P347" s="8" t="s">
        <v>5289</v>
      </c>
      <c r="Q347" s="8" t="s">
        <v>4262</v>
      </c>
      <c r="R347" s="8">
        <v>0.27800000000000002</v>
      </c>
      <c r="S347" s="8">
        <v>136575158</v>
      </c>
      <c r="T347" s="8" t="s">
        <v>24</v>
      </c>
      <c r="U347" s="8" t="s">
        <v>41</v>
      </c>
    </row>
    <row r="348" spans="1:21">
      <c r="A348" s="8" t="s">
        <v>5256</v>
      </c>
      <c r="B348" s="8"/>
      <c r="C348" s="8">
        <v>200726</v>
      </c>
      <c r="D348" s="8" t="s">
        <v>172</v>
      </c>
      <c r="E348" s="8">
        <v>207509180</v>
      </c>
      <c r="F348" s="8">
        <v>207509180</v>
      </c>
      <c r="G348" s="8" t="s">
        <v>24</v>
      </c>
      <c r="H348" s="8" t="s">
        <v>41</v>
      </c>
      <c r="I348" s="8" t="s">
        <v>23</v>
      </c>
      <c r="J348" s="8" t="s">
        <v>5291</v>
      </c>
      <c r="K348" s="8" t="s">
        <v>5293</v>
      </c>
      <c r="L348" s="8" t="s">
        <v>19</v>
      </c>
      <c r="M348" s="8">
        <v>395</v>
      </c>
      <c r="N348" s="8" t="s">
        <v>883</v>
      </c>
      <c r="O348" s="8">
        <v>74</v>
      </c>
      <c r="P348" s="8" t="s">
        <v>5292</v>
      </c>
      <c r="Q348" s="8" t="s">
        <v>4262</v>
      </c>
      <c r="R348" s="8">
        <v>0.26500000000000001</v>
      </c>
      <c r="S348" s="8">
        <v>207509180</v>
      </c>
      <c r="T348" s="8" t="s">
        <v>24</v>
      </c>
      <c r="U348" s="8" t="s">
        <v>41</v>
      </c>
    </row>
    <row r="349" spans="1:21">
      <c r="A349" s="8" t="s">
        <v>5256</v>
      </c>
      <c r="B349" s="8" t="s">
        <v>2288</v>
      </c>
      <c r="C349" s="8">
        <v>2066</v>
      </c>
      <c r="D349" s="8" t="s">
        <v>172</v>
      </c>
      <c r="E349" s="8">
        <v>212578367</v>
      </c>
      <c r="F349" s="8">
        <v>212578367</v>
      </c>
      <c r="G349" s="8" t="s">
        <v>25</v>
      </c>
      <c r="H349" s="8" t="s">
        <v>41</v>
      </c>
      <c r="I349" s="8" t="s">
        <v>23</v>
      </c>
      <c r="J349" s="8" t="s">
        <v>5294</v>
      </c>
      <c r="K349" s="8" t="s">
        <v>5296</v>
      </c>
      <c r="L349" s="8" t="s">
        <v>19</v>
      </c>
      <c r="M349" s="8">
        <v>988</v>
      </c>
      <c r="N349" s="8" t="s">
        <v>3621</v>
      </c>
      <c r="O349" s="8">
        <v>297</v>
      </c>
      <c r="P349" s="8" t="s">
        <v>5295</v>
      </c>
      <c r="Q349" s="8" t="s">
        <v>4262</v>
      </c>
      <c r="R349" s="8">
        <v>0.16300000000000001</v>
      </c>
      <c r="S349" s="8">
        <v>212578367</v>
      </c>
      <c r="T349" s="8" t="s">
        <v>25</v>
      </c>
      <c r="U349" s="8" t="s">
        <v>41</v>
      </c>
    </row>
    <row r="350" spans="1:21">
      <c r="A350" s="8" t="s">
        <v>5256</v>
      </c>
      <c r="B350" s="8" t="s">
        <v>2284</v>
      </c>
      <c r="C350" s="8">
        <v>57448</v>
      </c>
      <c r="D350" s="8" t="s">
        <v>172</v>
      </c>
      <c r="E350" s="8">
        <v>32712728</v>
      </c>
      <c r="F350" s="8">
        <v>32712728</v>
      </c>
      <c r="G350" s="8" t="s">
        <v>25</v>
      </c>
      <c r="H350" s="8" t="s">
        <v>41</v>
      </c>
      <c r="I350" s="8" t="s">
        <v>23</v>
      </c>
      <c r="J350" s="8" t="s">
        <v>3711</v>
      </c>
      <c r="K350" s="8" t="s">
        <v>5298</v>
      </c>
      <c r="L350" s="8" t="s">
        <v>19</v>
      </c>
      <c r="M350" s="8">
        <v>7962</v>
      </c>
      <c r="N350" s="8" t="s">
        <v>1142</v>
      </c>
      <c r="O350" s="8">
        <v>2610</v>
      </c>
      <c r="P350" s="8" t="s">
        <v>5297</v>
      </c>
      <c r="Q350" s="8" t="s">
        <v>4262</v>
      </c>
      <c r="R350" s="8">
        <v>0.30299999999999999</v>
      </c>
      <c r="S350" s="8">
        <v>32712728</v>
      </c>
      <c r="T350" s="8" t="s">
        <v>25</v>
      </c>
      <c r="U350" s="8" t="s">
        <v>41</v>
      </c>
    </row>
    <row r="351" spans="1:21">
      <c r="A351" s="8" t="s">
        <v>5256</v>
      </c>
      <c r="B351" s="8" t="s">
        <v>2065</v>
      </c>
      <c r="C351" s="8">
        <v>6529</v>
      </c>
      <c r="D351" s="8" t="s">
        <v>201</v>
      </c>
      <c r="E351" s="8">
        <v>11059651</v>
      </c>
      <c r="F351" s="8">
        <v>11059651</v>
      </c>
      <c r="G351" s="8" t="s">
        <v>25</v>
      </c>
      <c r="H351" s="8" t="s">
        <v>41</v>
      </c>
      <c r="I351" s="8" t="s">
        <v>23</v>
      </c>
      <c r="J351" s="8" t="s">
        <v>5299</v>
      </c>
      <c r="K351" s="8" t="s">
        <v>5301</v>
      </c>
      <c r="L351" s="8" t="s">
        <v>19</v>
      </c>
      <c r="M351" s="8">
        <v>772</v>
      </c>
      <c r="N351" s="8" t="s">
        <v>792</v>
      </c>
      <c r="O351" s="8">
        <v>121</v>
      </c>
      <c r="P351" s="8" t="s">
        <v>5300</v>
      </c>
      <c r="Q351" s="8" t="s">
        <v>4262</v>
      </c>
      <c r="R351" s="8">
        <v>0.252</v>
      </c>
      <c r="S351" s="8">
        <v>11059651</v>
      </c>
      <c r="T351" s="8" t="s">
        <v>25</v>
      </c>
      <c r="U351" s="8" t="s">
        <v>41</v>
      </c>
    </row>
    <row r="352" spans="1:21">
      <c r="A352" s="8" t="s">
        <v>5256</v>
      </c>
      <c r="B352" s="8" t="s">
        <v>3715</v>
      </c>
      <c r="C352" s="8">
        <v>27032</v>
      </c>
      <c r="D352" s="8" t="s">
        <v>201</v>
      </c>
      <c r="E352" s="8">
        <v>130717163</v>
      </c>
      <c r="F352" s="8">
        <v>130717163</v>
      </c>
      <c r="G352" s="8" t="s">
        <v>24</v>
      </c>
      <c r="H352" s="8" t="s">
        <v>41</v>
      </c>
      <c r="I352" s="8" t="s">
        <v>23</v>
      </c>
      <c r="J352" s="8" t="s">
        <v>5302</v>
      </c>
      <c r="K352" s="8" t="s">
        <v>5304</v>
      </c>
      <c r="L352" s="8" t="s">
        <v>19</v>
      </c>
      <c r="M352" s="8">
        <v>2815</v>
      </c>
      <c r="N352" s="8" t="s">
        <v>437</v>
      </c>
      <c r="O352" s="8">
        <v>840</v>
      </c>
      <c r="P352" s="8" t="s">
        <v>5303</v>
      </c>
      <c r="Q352" s="8" t="s">
        <v>4262</v>
      </c>
      <c r="R352" s="8">
        <v>0.313</v>
      </c>
      <c r="S352" s="8">
        <v>130717163</v>
      </c>
      <c r="T352" s="8" t="s">
        <v>24</v>
      </c>
      <c r="U352" s="8" t="s">
        <v>41</v>
      </c>
    </row>
    <row r="353" spans="1:21">
      <c r="A353" s="8" t="s">
        <v>5256</v>
      </c>
      <c r="B353" s="8" t="s">
        <v>3716</v>
      </c>
      <c r="C353" s="8">
        <v>6498</v>
      </c>
      <c r="D353" s="8" t="s">
        <v>201</v>
      </c>
      <c r="E353" s="8">
        <v>170078915</v>
      </c>
      <c r="F353" s="8">
        <v>170078915</v>
      </c>
      <c r="G353" s="8" t="s">
        <v>46</v>
      </c>
      <c r="H353" s="8" t="s">
        <v>41</v>
      </c>
      <c r="I353" s="8" t="s">
        <v>23</v>
      </c>
      <c r="J353" s="8" t="s">
        <v>5305</v>
      </c>
      <c r="K353" s="8" t="s">
        <v>5307</v>
      </c>
      <c r="L353" s="8" t="s">
        <v>19</v>
      </c>
      <c r="M353" s="8">
        <v>1508</v>
      </c>
      <c r="N353" s="8" t="s">
        <v>2843</v>
      </c>
      <c r="O353" s="8">
        <v>266</v>
      </c>
      <c r="P353" s="8" t="s">
        <v>5306</v>
      </c>
      <c r="Q353" s="8" t="s">
        <v>4262</v>
      </c>
      <c r="R353" s="8">
        <v>0.30399999999999999</v>
      </c>
      <c r="S353" s="8">
        <v>170078915</v>
      </c>
      <c r="T353" s="8" t="s">
        <v>46</v>
      </c>
      <c r="U353" s="8" t="s">
        <v>41</v>
      </c>
    </row>
    <row r="354" spans="1:21">
      <c r="A354" s="8" t="s">
        <v>5256</v>
      </c>
      <c r="B354" s="8" t="s">
        <v>3717</v>
      </c>
      <c r="C354" s="8">
        <v>28512</v>
      </c>
      <c r="D354" s="8" t="s">
        <v>201</v>
      </c>
      <c r="E354" s="8">
        <v>23934801</v>
      </c>
      <c r="F354" s="8">
        <v>23934801</v>
      </c>
      <c r="G354" s="8" t="s">
        <v>41</v>
      </c>
      <c r="H354" s="8" t="s">
        <v>24</v>
      </c>
      <c r="I354" s="8" t="s">
        <v>23</v>
      </c>
      <c r="J354" s="8" t="s">
        <v>3718</v>
      </c>
      <c r="K354" s="8" t="s">
        <v>5309</v>
      </c>
      <c r="L354" s="8" t="s">
        <v>19</v>
      </c>
      <c r="M354" s="8">
        <v>766</v>
      </c>
      <c r="N354" s="8" t="s">
        <v>2871</v>
      </c>
      <c r="O354" s="8">
        <v>122</v>
      </c>
      <c r="P354" s="8" t="s">
        <v>5308</v>
      </c>
      <c r="Q354" s="8" t="s">
        <v>4262</v>
      </c>
      <c r="R354" s="8">
        <v>0.308</v>
      </c>
      <c r="S354" s="8">
        <v>23934801</v>
      </c>
      <c r="T354" s="8" t="s">
        <v>41</v>
      </c>
      <c r="U354" s="8" t="s">
        <v>24</v>
      </c>
    </row>
    <row r="355" spans="1:21">
      <c r="A355" s="8" t="s">
        <v>5256</v>
      </c>
      <c r="B355" s="8" t="s">
        <v>3933</v>
      </c>
      <c r="C355" s="8">
        <v>3791</v>
      </c>
      <c r="D355" s="8" t="s">
        <v>220</v>
      </c>
      <c r="E355" s="8">
        <v>55962498</v>
      </c>
      <c r="F355" s="8">
        <v>55962498</v>
      </c>
      <c r="G355" s="8" t="s">
        <v>24</v>
      </c>
      <c r="H355" s="8" t="s">
        <v>41</v>
      </c>
      <c r="I355" s="8" t="s">
        <v>23</v>
      </c>
      <c r="J355" s="8" t="s">
        <v>3934</v>
      </c>
      <c r="K355" s="8" t="s">
        <v>4308</v>
      </c>
      <c r="L355" s="8" t="s">
        <v>19</v>
      </c>
      <c r="M355" s="8">
        <v>2928</v>
      </c>
      <c r="N355" s="8" t="s">
        <v>2925</v>
      </c>
      <c r="O355" s="8">
        <v>876</v>
      </c>
      <c r="P355" s="8" t="s">
        <v>5310</v>
      </c>
      <c r="Q355" s="8" t="s">
        <v>4262</v>
      </c>
      <c r="R355" s="8">
        <v>0.25</v>
      </c>
      <c r="S355" s="8">
        <v>55962498</v>
      </c>
      <c r="T355" s="8" t="s">
        <v>24</v>
      </c>
      <c r="U355" s="8" t="s">
        <v>41</v>
      </c>
    </row>
    <row r="356" spans="1:21">
      <c r="A356" s="8" t="s">
        <v>5256</v>
      </c>
      <c r="B356" s="8" t="s">
        <v>1389</v>
      </c>
      <c r="C356" s="8">
        <v>1834</v>
      </c>
      <c r="D356" s="8" t="s">
        <v>220</v>
      </c>
      <c r="E356" s="8">
        <v>88535028</v>
      </c>
      <c r="F356" s="8">
        <v>88535028</v>
      </c>
      <c r="G356" s="8" t="s">
        <v>25</v>
      </c>
      <c r="H356" s="8" t="s">
        <v>41</v>
      </c>
      <c r="I356" s="8" t="s">
        <v>23</v>
      </c>
      <c r="J356" s="8" t="s">
        <v>1390</v>
      </c>
      <c r="K356" s="8" t="s">
        <v>5312</v>
      </c>
      <c r="L356" s="8" t="s">
        <v>19</v>
      </c>
      <c r="M356" s="8">
        <v>1334</v>
      </c>
      <c r="N356" s="8" t="s">
        <v>2366</v>
      </c>
      <c r="O356" s="8">
        <v>405</v>
      </c>
      <c r="P356" s="8" t="s">
        <v>5311</v>
      </c>
      <c r="Q356" s="8" t="s">
        <v>4262</v>
      </c>
      <c r="R356" s="8">
        <v>0.25</v>
      </c>
      <c r="S356" s="8">
        <v>88535028</v>
      </c>
      <c r="T356" s="8" t="s">
        <v>25</v>
      </c>
      <c r="U356" s="8" t="s">
        <v>41</v>
      </c>
    </row>
    <row r="357" spans="1:21">
      <c r="A357" s="8" t="s">
        <v>5256</v>
      </c>
      <c r="B357" s="8" t="s">
        <v>3719</v>
      </c>
      <c r="C357" s="8">
        <v>79658</v>
      </c>
      <c r="D357" s="8" t="s">
        <v>220</v>
      </c>
      <c r="E357" s="8">
        <v>148800481</v>
      </c>
      <c r="F357" s="8">
        <v>148800481</v>
      </c>
      <c r="G357" s="8" t="s">
        <v>24</v>
      </c>
      <c r="H357" s="8" t="s">
        <v>25</v>
      </c>
      <c r="I357" s="8" t="s">
        <v>23</v>
      </c>
      <c r="J357" s="8" t="s">
        <v>3720</v>
      </c>
      <c r="K357" s="8" t="s">
        <v>5314</v>
      </c>
      <c r="L357" s="8" t="s">
        <v>19</v>
      </c>
      <c r="M357" s="8">
        <v>931</v>
      </c>
      <c r="N357" s="8" t="s">
        <v>28</v>
      </c>
      <c r="O357" s="8">
        <v>311</v>
      </c>
      <c r="P357" s="8" t="s">
        <v>5313</v>
      </c>
      <c r="Q357" s="8" t="s">
        <v>4262</v>
      </c>
      <c r="R357" s="8">
        <v>0.35599999999999998</v>
      </c>
      <c r="S357" s="8">
        <v>148800481</v>
      </c>
      <c r="T357" s="8" t="s">
        <v>24</v>
      </c>
      <c r="U357" s="8" t="s">
        <v>25</v>
      </c>
    </row>
    <row r="358" spans="1:21">
      <c r="A358" s="8" t="s">
        <v>5256</v>
      </c>
      <c r="B358" s="8" t="s">
        <v>5315</v>
      </c>
      <c r="C358" s="8">
        <v>11019</v>
      </c>
      <c r="D358" s="8" t="s">
        <v>220</v>
      </c>
      <c r="E358" s="8">
        <v>39460751</v>
      </c>
      <c r="F358" s="8">
        <v>39460751</v>
      </c>
      <c r="G358" s="8" t="s">
        <v>24</v>
      </c>
      <c r="H358" s="8" t="s">
        <v>25</v>
      </c>
      <c r="I358" s="8" t="s">
        <v>23</v>
      </c>
      <c r="J358" s="8" t="s">
        <v>5316</v>
      </c>
      <c r="K358" s="8" t="s">
        <v>5318</v>
      </c>
      <c r="L358" s="8" t="s">
        <v>19</v>
      </c>
      <c r="M358" s="8">
        <v>87</v>
      </c>
      <c r="N358" s="8" t="s">
        <v>732</v>
      </c>
      <c r="O358" s="8">
        <v>5</v>
      </c>
      <c r="P358" s="8" t="s">
        <v>5317</v>
      </c>
      <c r="Q358" s="8" t="s">
        <v>4262</v>
      </c>
      <c r="R358" s="8">
        <v>0.26400000000000001</v>
      </c>
      <c r="S358" s="8">
        <v>39460751</v>
      </c>
      <c r="T358" s="8" t="s">
        <v>24</v>
      </c>
      <c r="U358" s="8" t="s">
        <v>25</v>
      </c>
    </row>
    <row r="359" spans="1:21">
      <c r="A359" s="8" t="s">
        <v>5256</v>
      </c>
      <c r="B359" s="8" t="s">
        <v>5319</v>
      </c>
      <c r="C359" s="8">
        <v>57507</v>
      </c>
      <c r="D359" s="8" t="s">
        <v>226</v>
      </c>
      <c r="E359" s="8">
        <v>123983886</v>
      </c>
      <c r="F359" s="8">
        <v>123983886</v>
      </c>
      <c r="G359" s="8" t="s">
        <v>41</v>
      </c>
      <c r="H359" s="8" t="s">
        <v>24</v>
      </c>
      <c r="I359" s="8" t="s">
        <v>23</v>
      </c>
      <c r="J359" s="8" t="s">
        <v>5320</v>
      </c>
      <c r="K359" s="8" t="s">
        <v>5322</v>
      </c>
      <c r="L359" s="8" t="s">
        <v>19</v>
      </c>
      <c r="M359" s="8">
        <v>2314</v>
      </c>
      <c r="N359" s="8" t="s">
        <v>1626</v>
      </c>
      <c r="O359" s="8">
        <v>731</v>
      </c>
      <c r="P359" s="8" t="s">
        <v>5321</v>
      </c>
      <c r="Q359" s="8" t="s">
        <v>4262</v>
      </c>
      <c r="R359" s="8">
        <v>0.224</v>
      </c>
      <c r="S359" s="8">
        <v>123983886</v>
      </c>
      <c r="T359" s="8" t="s">
        <v>41</v>
      </c>
      <c r="U359" s="8" t="s">
        <v>24</v>
      </c>
    </row>
    <row r="360" spans="1:21">
      <c r="A360" s="8" t="s">
        <v>5256</v>
      </c>
      <c r="B360" s="8" t="s">
        <v>3723</v>
      </c>
      <c r="C360" s="8">
        <v>7478</v>
      </c>
      <c r="D360" s="8" t="s">
        <v>226</v>
      </c>
      <c r="E360" s="8">
        <v>137419848</v>
      </c>
      <c r="F360" s="8">
        <v>137419848</v>
      </c>
      <c r="G360" s="8" t="s">
        <v>41</v>
      </c>
      <c r="H360" s="8" t="s">
        <v>25</v>
      </c>
      <c r="I360" s="8" t="s">
        <v>23</v>
      </c>
      <c r="J360" s="8" t="s">
        <v>3724</v>
      </c>
      <c r="K360" s="8" t="s">
        <v>5323</v>
      </c>
      <c r="L360" s="8" t="s">
        <v>68</v>
      </c>
      <c r="M360" s="8">
        <v>0</v>
      </c>
      <c r="N360" s="8" t="s">
        <v>35</v>
      </c>
      <c r="O360" s="8">
        <v>0</v>
      </c>
      <c r="P360" s="8" t="s">
        <v>35</v>
      </c>
      <c r="Q360" s="8" t="s">
        <v>4262</v>
      </c>
      <c r="R360" s="8">
        <v>0.30599999999999999</v>
      </c>
      <c r="S360" s="8">
        <v>137419848</v>
      </c>
      <c r="T360" s="8" t="s">
        <v>41</v>
      </c>
      <c r="U360" s="8" t="s">
        <v>25</v>
      </c>
    </row>
    <row r="361" spans="1:21">
      <c r="A361" s="8" t="s">
        <v>5256</v>
      </c>
      <c r="B361" s="8" t="s">
        <v>3725</v>
      </c>
      <c r="C361" s="8">
        <v>135138</v>
      </c>
      <c r="D361" s="8" t="s">
        <v>237</v>
      </c>
      <c r="E361" s="8">
        <v>163483262</v>
      </c>
      <c r="F361" s="8">
        <v>163483262</v>
      </c>
      <c r="G361" s="8" t="s">
        <v>24</v>
      </c>
      <c r="H361" s="8" t="s">
        <v>41</v>
      </c>
      <c r="I361" s="8" t="s">
        <v>23</v>
      </c>
      <c r="J361" s="8" t="s">
        <v>5324</v>
      </c>
      <c r="K361" s="8" t="s">
        <v>5326</v>
      </c>
      <c r="L361" s="8" t="s">
        <v>19</v>
      </c>
      <c r="M361" s="8">
        <v>596</v>
      </c>
      <c r="N361" s="8" t="s">
        <v>1180</v>
      </c>
      <c r="O361" s="8">
        <v>124</v>
      </c>
      <c r="P361" s="8" t="s">
        <v>5325</v>
      </c>
      <c r="Q361" s="8" t="s">
        <v>4262</v>
      </c>
      <c r="R361" s="8">
        <v>0.28000000000000003</v>
      </c>
      <c r="S361" s="8">
        <v>163483262</v>
      </c>
      <c r="T361" s="8" t="s">
        <v>24</v>
      </c>
      <c r="U361" s="8" t="s">
        <v>41</v>
      </c>
    </row>
    <row r="362" spans="1:21">
      <c r="A362" s="8" t="s">
        <v>5256</v>
      </c>
      <c r="B362" s="8" t="s">
        <v>3726</v>
      </c>
      <c r="C362" s="8">
        <v>8366</v>
      </c>
      <c r="D362" s="8" t="s">
        <v>237</v>
      </c>
      <c r="E362" s="8">
        <v>26027411</v>
      </c>
      <c r="F362" s="8">
        <v>26027411</v>
      </c>
      <c r="G362" s="8" t="s">
        <v>24</v>
      </c>
      <c r="H362" s="8" t="s">
        <v>25</v>
      </c>
      <c r="I362" s="8" t="s">
        <v>23</v>
      </c>
      <c r="J362" s="8" t="s">
        <v>3727</v>
      </c>
      <c r="K362" s="8" t="s">
        <v>5328</v>
      </c>
      <c r="L362" s="8" t="s">
        <v>19</v>
      </c>
      <c r="M362" s="8">
        <v>70</v>
      </c>
      <c r="N362" s="8" t="s">
        <v>92</v>
      </c>
      <c r="O362" s="8">
        <v>24</v>
      </c>
      <c r="P362" s="8" t="s">
        <v>5327</v>
      </c>
      <c r="Q362" s="8" t="s">
        <v>4262</v>
      </c>
      <c r="R362" s="8">
        <v>0.314</v>
      </c>
      <c r="S362" s="8">
        <v>26027411</v>
      </c>
      <c r="T362" s="8" t="s">
        <v>24</v>
      </c>
      <c r="U362" s="8" t="s">
        <v>25</v>
      </c>
    </row>
    <row r="363" spans="1:21">
      <c r="A363" s="8" t="s">
        <v>5256</v>
      </c>
      <c r="B363" s="8" t="s">
        <v>3403</v>
      </c>
      <c r="C363" s="8">
        <v>2550</v>
      </c>
      <c r="D363" s="8" t="s">
        <v>237</v>
      </c>
      <c r="E363" s="8">
        <v>29591771</v>
      </c>
      <c r="F363" s="8">
        <v>29591771</v>
      </c>
      <c r="G363" s="8" t="s">
        <v>25</v>
      </c>
      <c r="H363" s="8" t="s">
        <v>24</v>
      </c>
      <c r="I363" s="8" t="s">
        <v>23</v>
      </c>
      <c r="J363" s="8" t="s">
        <v>5329</v>
      </c>
      <c r="K363" s="8" t="s">
        <v>5331</v>
      </c>
      <c r="L363" s="8" t="s">
        <v>19</v>
      </c>
      <c r="M363" s="8">
        <v>1024</v>
      </c>
      <c r="N363" s="8" t="s">
        <v>933</v>
      </c>
      <c r="O363" s="8">
        <v>230</v>
      </c>
      <c r="P363" s="8" t="s">
        <v>5330</v>
      </c>
      <c r="Q363" s="8" t="s">
        <v>4262</v>
      </c>
      <c r="R363" s="8">
        <v>0.25</v>
      </c>
      <c r="S363" s="8">
        <v>29591771</v>
      </c>
      <c r="T363" s="8" t="s">
        <v>25</v>
      </c>
      <c r="U363" s="8" t="s">
        <v>24</v>
      </c>
    </row>
    <row r="364" spans="1:21">
      <c r="A364" s="8" t="s">
        <v>5256</v>
      </c>
      <c r="B364" s="8" t="s">
        <v>5332</v>
      </c>
      <c r="C364" s="8">
        <v>154907</v>
      </c>
      <c r="D364" s="8" t="s">
        <v>257</v>
      </c>
      <c r="E364" s="8">
        <v>108524158</v>
      </c>
      <c r="F364" s="8">
        <v>108524158</v>
      </c>
      <c r="G364" s="8" t="s">
        <v>46</v>
      </c>
      <c r="H364" s="8" t="s">
        <v>41</v>
      </c>
      <c r="I364" s="8" t="s">
        <v>23</v>
      </c>
      <c r="J364" s="8" t="s">
        <v>5333</v>
      </c>
      <c r="K364" s="8" t="s">
        <v>5335</v>
      </c>
      <c r="L364" s="8" t="s">
        <v>19</v>
      </c>
      <c r="M364" s="8">
        <v>302</v>
      </c>
      <c r="N364" s="8" t="s">
        <v>494</v>
      </c>
      <c r="O364" s="8">
        <v>85</v>
      </c>
      <c r="P364" s="8" t="s">
        <v>5334</v>
      </c>
      <c r="Q364" s="8" t="s">
        <v>4262</v>
      </c>
      <c r="R364" s="8">
        <v>0.254</v>
      </c>
      <c r="S364" s="8">
        <v>108524158</v>
      </c>
      <c r="T364" s="8" t="s">
        <v>46</v>
      </c>
      <c r="U364" s="8" t="s">
        <v>41</v>
      </c>
    </row>
    <row r="365" spans="1:21">
      <c r="A365" s="8" t="s">
        <v>5256</v>
      </c>
      <c r="B365" s="8" t="s">
        <v>1738</v>
      </c>
      <c r="C365" s="8">
        <v>137964</v>
      </c>
      <c r="D365" s="8" t="s">
        <v>279</v>
      </c>
      <c r="E365" s="8">
        <v>41467387</v>
      </c>
      <c r="F365" s="8">
        <v>41467387</v>
      </c>
      <c r="G365" s="8" t="s">
        <v>25</v>
      </c>
      <c r="H365" s="8" t="s">
        <v>24</v>
      </c>
      <c r="I365" s="8" t="s">
        <v>23</v>
      </c>
      <c r="J365" s="8" t="s">
        <v>3728</v>
      </c>
      <c r="K365" s="8" t="s">
        <v>5337</v>
      </c>
      <c r="L365" s="8" t="s">
        <v>19</v>
      </c>
      <c r="M365" s="8">
        <v>1388</v>
      </c>
      <c r="N365" s="8" t="s">
        <v>955</v>
      </c>
      <c r="O365" s="8">
        <v>150</v>
      </c>
      <c r="P365" s="8" t="s">
        <v>5336</v>
      </c>
      <c r="Q365" s="8" t="s">
        <v>4262</v>
      </c>
      <c r="R365" s="8">
        <v>0.375</v>
      </c>
      <c r="S365" s="8">
        <v>41467387</v>
      </c>
      <c r="T365" s="8" t="s">
        <v>25</v>
      </c>
      <c r="U365" s="8" t="s">
        <v>24</v>
      </c>
    </row>
    <row r="366" spans="1:21">
      <c r="A366" s="8" t="s">
        <v>5256</v>
      </c>
      <c r="B366" s="8" t="s">
        <v>3330</v>
      </c>
      <c r="C366" s="8">
        <v>286234</v>
      </c>
      <c r="D366" s="8" t="s">
        <v>292</v>
      </c>
      <c r="E366" s="8">
        <v>90502800</v>
      </c>
      <c r="F366" s="8">
        <v>90502800</v>
      </c>
      <c r="G366" s="8" t="s">
        <v>24</v>
      </c>
      <c r="H366" s="8" t="s">
        <v>25</v>
      </c>
      <c r="I366" s="8" t="s">
        <v>23</v>
      </c>
      <c r="J366" s="8" t="s">
        <v>3331</v>
      </c>
      <c r="K366" s="8" t="s">
        <v>5339</v>
      </c>
      <c r="L366" s="8" t="s">
        <v>19</v>
      </c>
      <c r="M366" s="8">
        <v>3433</v>
      </c>
      <c r="N366" s="8" t="s">
        <v>73</v>
      </c>
      <c r="O366" s="8">
        <v>1133</v>
      </c>
      <c r="P366" s="8" t="s">
        <v>5338</v>
      </c>
      <c r="Q366" s="8" t="s">
        <v>4262</v>
      </c>
      <c r="R366" s="8">
        <v>0.27100000000000002</v>
      </c>
      <c r="S366" s="8">
        <v>90502800</v>
      </c>
      <c r="T366" s="8" t="s">
        <v>24</v>
      </c>
      <c r="U366" s="8" t="s">
        <v>25</v>
      </c>
    </row>
    <row r="367" spans="1:21">
      <c r="A367" s="8" t="s">
        <v>5256</v>
      </c>
      <c r="B367" s="8" t="s">
        <v>3702</v>
      </c>
      <c r="C367" s="8">
        <v>2572</v>
      </c>
      <c r="D367" s="8" t="s">
        <v>69</v>
      </c>
      <c r="E367" s="8">
        <v>26575412</v>
      </c>
      <c r="F367" s="8">
        <v>26575412</v>
      </c>
      <c r="G367" s="8" t="s">
        <v>41</v>
      </c>
      <c r="H367" s="8" t="s">
        <v>25</v>
      </c>
      <c r="I367" s="8" t="s">
        <v>23</v>
      </c>
      <c r="J367" s="8" t="s">
        <v>5340</v>
      </c>
      <c r="K367" s="8" t="s">
        <v>5342</v>
      </c>
      <c r="L367" s="8" t="s">
        <v>19</v>
      </c>
      <c r="M367" s="8">
        <v>1878</v>
      </c>
      <c r="N367" s="8" t="s">
        <v>40</v>
      </c>
      <c r="O367" s="8">
        <v>459</v>
      </c>
      <c r="P367" s="8" t="s">
        <v>5341</v>
      </c>
      <c r="Q367" s="8" t="s">
        <v>4262</v>
      </c>
      <c r="R367" s="8">
        <v>0.372</v>
      </c>
      <c r="S367" s="8">
        <v>26575412</v>
      </c>
      <c r="T367" s="8" t="s">
        <v>41</v>
      </c>
      <c r="U367" s="8" t="s">
        <v>25</v>
      </c>
    </row>
    <row r="368" spans="1:21">
      <c r="A368" s="8" t="s">
        <v>5256</v>
      </c>
      <c r="B368" s="8" t="s">
        <v>90</v>
      </c>
      <c r="C368" s="8">
        <v>22941</v>
      </c>
      <c r="D368" s="8" t="s">
        <v>83</v>
      </c>
      <c r="E368" s="8">
        <v>70331491</v>
      </c>
      <c r="F368" s="8">
        <v>70331491</v>
      </c>
      <c r="G368" s="8" t="s">
        <v>46</v>
      </c>
      <c r="H368" s="8" t="s">
        <v>25</v>
      </c>
      <c r="I368" s="8" t="s">
        <v>23</v>
      </c>
      <c r="J368" s="8" t="s">
        <v>2478</v>
      </c>
      <c r="K368" s="8" t="s">
        <v>5344</v>
      </c>
      <c r="L368" s="8" t="s">
        <v>19</v>
      </c>
      <c r="M368" s="8">
        <v>4985</v>
      </c>
      <c r="N368" s="8" t="s">
        <v>437</v>
      </c>
      <c r="O368" s="8">
        <v>1636</v>
      </c>
      <c r="P368" s="8" t="s">
        <v>5343</v>
      </c>
      <c r="Q368" s="8" t="s">
        <v>4262</v>
      </c>
      <c r="R368" s="8">
        <v>0.23899999999999999</v>
      </c>
      <c r="S368" s="8">
        <v>70331491</v>
      </c>
      <c r="T368" s="8" t="s">
        <v>46</v>
      </c>
      <c r="U368" s="8" t="s">
        <v>25</v>
      </c>
    </row>
    <row r="369" spans="1:21">
      <c r="A369" s="8" t="s">
        <v>5256</v>
      </c>
      <c r="B369" s="8" t="s">
        <v>3229</v>
      </c>
      <c r="C369" s="8">
        <v>143872</v>
      </c>
      <c r="D369" s="8" t="s">
        <v>83</v>
      </c>
      <c r="E369" s="8">
        <v>100832462</v>
      </c>
      <c r="F369" s="8">
        <v>100832462</v>
      </c>
      <c r="G369" s="8" t="s">
        <v>25</v>
      </c>
      <c r="H369" s="8" t="s">
        <v>41</v>
      </c>
      <c r="I369" s="8" t="s">
        <v>23</v>
      </c>
      <c r="J369" s="8" t="s">
        <v>3230</v>
      </c>
      <c r="K369" s="8" t="s">
        <v>5346</v>
      </c>
      <c r="L369" s="8" t="s">
        <v>19</v>
      </c>
      <c r="M369" s="8">
        <v>1351</v>
      </c>
      <c r="N369" s="8" t="s">
        <v>3703</v>
      </c>
      <c r="O369" s="8">
        <v>450</v>
      </c>
      <c r="P369" s="8" t="s">
        <v>5345</v>
      </c>
      <c r="Q369" s="8" t="s">
        <v>4262</v>
      </c>
      <c r="R369" s="8">
        <v>0.373</v>
      </c>
      <c r="S369" s="8">
        <v>100832462</v>
      </c>
      <c r="T369" s="8" t="s">
        <v>25</v>
      </c>
      <c r="U369" s="8" t="s">
        <v>41</v>
      </c>
    </row>
    <row r="370" spans="1:21">
      <c r="A370" s="8" t="s">
        <v>5256</v>
      </c>
      <c r="B370" s="8" t="s">
        <v>3704</v>
      </c>
      <c r="C370" s="8">
        <v>11095</v>
      </c>
      <c r="D370" s="8" t="s">
        <v>83</v>
      </c>
      <c r="E370" s="8">
        <v>130286958</v>
      </c>
      <c r="F370" s="8">
        <v>130286958</v>
      </c>
      <c r="G370" s="8" t="s">
        <v>24</v>
      </c>
      <c r="H370" s="8" t="s">
        <v>41</v>
      </c>
      <c r="I370" s="8" t="s">
        <v>23</v>
      </c>
      <c r="J370" s="8" t="s">
        <v>3705</v>
      </c>
      <c r="K370" s="8" t="s">
        <v>5348</v>
      </c>
      <c r="L370" s="8" t="s">
        <v>19</v>
      </c>
      <c r="M370" s="8">
        <v>1331</v>
      </c>
      <c r="N370" s="8" t="s">
        <v>54</v>
      </c>
      <c r="O370" s="8">
        <v>325</v>
      </c>
      <c r="P370" s="8" t="s">
        <v>5347</v>
      </c>
      <c r="Q370" s="8" t="s">
        <v>4262</v>
      </c>
      <c r="R370" s="8">
        <v>0.30099999999999999</v>
      </c>
      <c r="S370" s="8">
        <v>130286958</v>
      </c>
      <c r="T370" s="8" t="s">
        <v>24</v>
      </c>
      <c r="U370" s="8" t="s">
        <v>41</v>
      </c>
    </row>
    <row r="371" spans="1:21">
      <c r="A371" s="8" t="s">
        <v>5256</v>
      </c>
      <c r="B371" s="8" t="s">
        <v>5349</v>
      </c>
      <c r="C371" s="8">
        <v>55626</v>
      </c>
      <c r="D371" s="8" t="s">
        <v>83</v>
      </c>
      <c r="E371" s="8">
        <v>46563764</v>
      </c>
      <c r="F371" s="8">
        <v>46563764</v>
      </c>
      <c r="G371" s="8" t="s">
        <v>46</v>
      </c>
      <c r="H371" s="8" t="s">
        <v>25</v>
      </c>
      <c r="I371" s="8" t="s">
        <v>23</v>
      </c>
      <c r="J371" s="8" t="s">
        <v>5350</v>
      </c>
      <c r="K371" s="8" t="s">
        <v>5352</v>
      </c>
      <c r="L371" s="8" t="s">
        <v>19</v>
      </c>
      <c r="M371" s="8">
        <v>1893</v>
      </c>
      <c r="N371" s="8" t="s">
        <v>251</v>
      </c>
      <c r="O371" s="8">
        <v>511</v>
      </c>
      <c r="P371" s="8" t="s">
        <v>5351</v>
      </c>
      <c r="Q371" s="8" t="s">
        <v>4262</v>
      </c>
      <c r="R371" s="8">
        <v>0.315</v>
      </c>
      <c r="S371" s="8">
        <v>46563764</v>
      </c>
      <c r="T371" s="8" t="s">
        <v>46</v>
      </c>
      <c r="U371" s="8" t="s">
        <v>25</v>
      </c>
    </row>
    <row r="372" spans="1:21">
      <c r="A372" s="8" t="s">
        <v>5256</v>
      </c>
      <c r="B372" s="8" t="s">
        <v>3706</v>
      </c>
      <c r="C372" s="8">
        <v>441639</v>
      </c>
      <c r="D372" s="8" t="s">
        <v>104</v>
      </c>
      <c r="E372" s="8">
        <v>55524354</v>
      </c>
      <c r="F372" s="8">
        <v>55524354</v>
      </c>
      <c r="G372" s="8" t="s">
        <v>41</v>
      </c>
      <c r="H372" s="8" t="s">
        <v>25</v>
      </c>
      <c r="I372" s="8" t="s">
        <v>23</v>
      </c>
      <c r="J372" s="8" t="s">
        <v>3707</v>
      </c>
      <c r="K372" s="8" t="s">
        <v>5354</v>
      </c>
      <c r="L372" s="8" t="s">
        <v>19</v>
      </c>
      <c r="M372" s="8">
        <v>802</v>
      </c>
      <c r="N372" s="8" t="s">
        <v>726</v>
      </c>
      <c r="O372" s="8">
        <v>268</v>
      </c>
      <c r="P372" s="8" t="s">
        <v>5353</v>
      </c>
      <c r="Q372" s="8" t="s">
        <v>4262</v>
      </c>
      <c r="R372" s="8">
        <v>0.30099999999999999</v>
      </c>
      <c r="S372" s="8">
        <v>55524354</v>
      </c>
      <c r="T372" s="8" t="s">
        <v>41</v>
      </c>
      <c r="U372" s="8" t="s">
        <v>25</v>
      </c>
    </row>
    <row r="373" spans="1:21">
      <c r="A373" s="8" t="s">
        <v>5256</v>
      </c>
      <c r="B373" s="8" t="s">
        <v>1036</v>
      </c>
      <c r="C373" s="8">
        <v>4035</v>
      </c>
      <c r="D373" s="8" t="s">
        <v>104</v>
      </c>
      <c r="E373" s="8">
        <v>57570941</v>
      </c>
      <c r="F373" s="8">
        <v>57570941</v>
      </c>
      <c r="G373" s="8" t="s">
        <v>41</v>
      </c>
      <c r="H373" s="8" t="s">
        <v>46</v>
      </c>
      <c r="I373" s="8" t="s">
        <v>23</v>
      </c>
      <c r="J373" s="8" t="s">
        <v>1037</v>
      </c>
      <c r="K373" s="8" t="s">
        <v>5356</v>
      </c>
      <c r="L373" s="8" t="s">
        <v>19</v>
      </c>
      <c r="M373" s="8">
        <v>4575</v>
      </c>
      <c r="N373" s="8" t="s">
        <v>3025</v>
      </c>
      <c r="O373" s="8">
        <v>1370</v>
      </c>
      <c r="P373" s="8" t="s">
        <v>5355</v>
      </c>
      <c r="Q373" s="8" t="s">
        <v>4262</v>
      </c>
      <c r="R373" s="8">
        <v>0.314</v>
      </c>
      <c r="S373" s="8">
        <v>57570941</v>
      </c>
      <c r="T373" s="8" t="s">
        <v>41</v>
      </c>
      <c r="U373" s="8" t="s">
        <v>46</v>
      </c>
    </row>
    <row r="374" spans="1:21">
      <c r="A374" s="8" t="s">
        <v>5256</v>
      </c>
      <c r="B374" s="8" t="s">
        <v>3708</v>
      </c>
      <c r="C374" s="8">
        <v>5787</v>
      </c>
      <c r="D374" s="8" t="s">
        <v>104</v>
      </c>
      <c r="E374" s="8">
        <v>70980921</v>
      </c>
      <c r="F374" s="8">
        <v>70980921</v>
      </c>
      <c r="G374" s="8" t="s">
        <v>25</v>
      </c>
      <c r="H374" s="8" t="s">
        <v>46</v>
      </c>
      <c r="I374" s="8" t="s">
        <v>23</v>
      </c>
      <c r="J374" s="8" t="s">
        <v>5357</v>
      </c>
      <c r="K374" s="8" t="s">
        <v>5359</v>
      </c>
      <c r="L374" s="8" t="s">
        <v>19</v>
      </c>
      <c r="M374" s="8">
        <v>2222</v>
      </c>
      <c r="N374" s="8" t="s">
        <v>295</v>
      </c>
      <c r="O374" s="8">
        <v>726</v>
      </c>
      <c r="P374" s="8" t="s">
        <v>5358</v>
      </c>
      <c r="Q374" s="8" t="s">
        <v>4262</v>
      </c>
      <c r="R374" s="8">
        <v>0.26800000000000002</v>
      </c>
      <c r="S374" s="8">
        <v>70980921</v>
      </c>
      <c r="T374" s="8" t="s">
        <v>25</v>
      </c>
      <c r="U374" s="8" t="s">
        <v>46</v>
      </c>
    </row>
    <row r="375" spans="1:21">
      <c r="A375" s="8" t="s">
        <v>5256</v>
      </c>
      <c r="B375" s="8" t="s">
        <v>5360</v>
      </c>
      <c r="C375" s="8">
        <v>100533467</v>
      </c>
      <c r="D375" s="8" t="s">
        <v>339</v>
      </c>
      <c r="E375" s="8">
        <v>103514028</v>
      </c>
      <c r="F375" s="8">
        <v>103514028</v>
      </c>
      <c r="G375" s="8" t="s">
        <v>24</v>
      </c>
      <c r="H375" s="8" t="s">
        <v>41</v>
      </c>
      <c r="I375" s="8" t="s">
        <v>23</v>
      </c>
      <c r="J375" s="8" t="s">
        <v>5361</v>
      </c>
      <c r="K375" s="8" t="s">
        <v>5363</v>
      </c>
      <c r="L375" s="8" t="s">
        <v>19</v>
      </c>
      <c r="M375" s="8">
        <v>2328</v>
      </c>
      <c r="N375" s="8" t="s">
        <v>162</v>
      </c>
      <c r="O375" s="8">
        <v>736</v>
      </c>
      <c r="P375" s="8" t="s">
        <v>5362</v>
      </c>
      <c r="Q375" s="8" t="s">
        <v>4262</v>
      </c>
      <c r="R375" s="8">
        <v>8.7999999999999995E-2</v>
      </c>
      <c r="S375" s="8">
        <v>103514028</v>
      </c>
      <c r="T375" s="8" t="s">
        <v>24</v>
      </c>
      <c r="U375" s="8" t="s">
        <v>41</v>
      </c>
    </row>
    <row r="376" spans="1:21">
      <c r="A376" s="8" t="s">
        <v>5256</v>
      </c>
      <c r="B376" s="8" t="s">
        <v>5364</v>
      </c>
      <c r="C376" s="8">
        <v>22821</v>
      </c>
      <c r="D376" s="8" t="s">
        <v>339</v>
      </c>
      <c r="E376" s="8">
        <v>114758050</v>
      </c>
      <c r="F376" s="8">
        <v>114758050</v>
      </c>
      <c r="G376" s="8" t="s">
        <v>41</v>
      </c>
      <c r="H376" s="8" t="s">
        <v>46</v>
      </c>
      <c r="I376" s="8" t="s">
        <v>23</v>
      </c>
      <c r="J376" s="8" t="s">
        <v>5365</v>
      </c>
      <c r="K376" s="8" t="s">
        <v>5367</v>
      </c>
      <c r="L376" s="8" t="s">
        <v>19</v>
      </c>
      <c r="M376" s="8">
        <v>2287</v>
      </c>
      <c r="N376" s="8" t="s">
        <v>394</v>
      </c>
      <c r="O376" s="8">
        <v>719</v>
      </c>
      <c r="P376" s="8" t="s">
        <v>5366</v>
      </c>
      <c r="Q376" s="8" t="s">
        <v>4262</v>
      </c>
      <c r="R376" s="8">
        <v>0.104</v>
      </c>
      <c r="S376" s="8">
        <v>114758050</v>
      </c>
      <c r="T376" s="8" t="s">
        <v>41</v>
      </c>
      <c r="U376" s="8" t="s">
        <v>46</v>
      </c>
    </row>
    <row r="377" spans="1:21">
      <c r="A377" s="8" t="s">
        <v>5256</v>
      </c>
      <c r="B377" s="8" t="s">
        <v>3624</v>
      </c>
      <c r="C377" s="8">
        <v>54832</v>
      </c>
      <c r="D377" s="8" t="s">
        <v>120</v>
      </c>
      <c r="E377" s="8">
        <v>62243173</v>
      </c>
      <c r="F377" s="8">
        <v>62243173</v>
      </c>
      <c r="G377" s="8" t="s">
        <v>46</v>
      </c>
      <c r="H377" s="8" t="s">
        <v>41</v>
      </c>
      <c r="I377" s="8" t="s">
        <v>23</v>
      </c>
      <c r="J377" s="8" t="s">
        <v>5368</v>
      </c>
      <c r="K377" s="8" t="s">
        <v>5370</v>
      </c>
      <c r="L377" s="8" t="s">
        <v>19</v>
      </c>
      <c r="M377" s="8">
        <v>4598</v>
      </c>
      <c r="N377" s="8" t="s">
        <v>758</v>
      </c>
      <c r="O377" s="8">
        <v>1503</v>
      </c>
      <c r="P377" s="8" t="s">
        <v>5369</v>
      </c>
      <c r="Q377" s="8" t="s">
        <v>4262</v>
      </c>
      <c r="R377" s="8">
        <v>0.30399999999999999</v>
      </c>
      <c r="S377" s="8">
        <v>62243173</v>
      </c>
      <c r="T377" s="8" t="s">
        <v>46</v>
      </c>
      <c r="U377" s="8" t="s">
        <v>41</v>
      </c>
    </row>
    <row r="378" spans="1:21">
      <c r="A378" s="8" t="s">
        <v>5256</v>
      </c>
      <c r="B378" s="8" t="s">
        <v>2562</v>
      </c>
      <c r="C378" s="8">
        <v>84461</v>
      </c>
      <c r="D378" s="8" t="s">
        <v>133</v>
      </c>
      <c r="E378" s="8">
        <v>7224928</v>
      </c>
      <c r="F378" s="8">
        <v>7224928</v>
      </c>
      <c r="G378" s="8" t="s">
        <v>41</v>
      </c>
      <c r="H378" s="8" t="s">
        <v>46</v>
      </c>
      <c r="I378" s="8" t="s">
        <v>23</v>
      </c>
      <c r="J378" s="8" t="s">
        <v>5371</v>
      </c>
      <c r="K378" s="8" t="s">
        <v>5373</v>
      </c>
      <c r="L378" s="8" t="s">
        <v>19</v>
      </c>
      <c r="M378" s="8">
        <v>3057</v>
      </c>
      <c r="N378" s="8" t="s">
        <v>1033</v>
      </c>
      <c r="O378" s="8">
        <v>1017</v>
      </c>
      <c r="P378" s="8" t="s">
        <v>5372</v>
      </c>
      <c r="Q378" s="8" t="s">
        <v>4262</v>
      </c>
      <c r="R378" s="8">
        <v>0.35299999999999998</v>
      </c>
      <c r="S378" s="8">
        <v>7224928</v>
      </c>
      <c r="T378" s="8" t="s">
        <v>41</v>
      </c>
      <c r="U378" s="8" t="s">
        <v>46</v>
      </c>
    </row>
    <row r="379" spans="1:21">
      <c r="A379" s="8" t="s">
        <v>5256</v>
      </c>
      <c r="B379" s="8" t="s">
        <v>3709</v>
      </c>
      <c r="C379" s="8">
        <v>7153</v>
      </c>
      <c r="D379" s="8" t="s">
        <v>133</v>
      </c>
      <c r="E379" s="8">
        <v>38556484</v>
      </c>
      <c r="F379" s="8">
        <v>38556484</v>
      </c>
      <c r="G379" s="8" t="s">
        <v>41</v>
      </c>
      <c r="H379" s="8" t="s">
        <v>46</v>
      </c>
      <c r="I379" s="8" t="s">
        <v>23</v>
      </c>
      <c r="J379" s="8" t="s">
        <v>3710</v>
      </c>
      <c r="K379" s="8" t="s">
        <v>5375</v>
      </c>
      <c r="L379" s="8" t="s">
        <v>19</v>
      </c>
      <c r="M379" s="8">
        <v>3136</v>
      </c>
      <c r="N379" s="8" t="s">
        <v>1160</v>
      </c>
      <c r="O379" s="8">
        <v>993</v>
      </c>
      <c r="P379" s="8" t="s">
        <v>5374</v>
      </c>
      <c r="Q379" s="8" t="s">
        <v>4262</v>
      </c>
      <c r="R379" s="8">
        <v>0.28599999999999998</v>
      </c>
      <c r="S379" s="8">
        <v>38556484</v>
      </c>
      <c r="T379" s="8" t="s">
        <v>41</v>
      </c>
      <c r="U379" s="8" t="s">
        <v>46</v>
      </c>
    </row>
    <row r="380" spans="1:21">
      <c r="A380" s="8" t="s">
        <v>5256</v>
      </c>
      <c r="B380" s="8" t="s">
        <v>1346</v>
      </c>
      <c r="C380" s="8">
        <v>284217</v>
      </c>
      <c r="D380" s="8" t="s">
        <v>135</v>
      </c>
      <c r="E380" s="8">
        <v>6974912</v>
      </c>
      <c r="F380" s="8">
        <v>6974912</v>
      </c>
      <c r="G380" s="8" t="s">
        <v>24</v>
      </c>
      <c r="H380" s="8" t="s">
        <v>25</v>
      </c>
      <c r="I380" s="8" t="s">
        <v>23</v>
      </c>
      <c r="J380" s="8" t="s">
        <v>1347</v>
      </c>
      <c r="K380" s="8" t="s">
        <v>5377</v>
      </c>
      <c r="L380" s="8" t="s">
        <v>19</v>
      </c>
      <c r="M380" s="8">
        <v>6707</v>
      </c>
      <c r="N380" s="8" t="s">
        <v>2843</v>
      </c>
      <c r="O380" s="8">
        <v>2205</v>
      </c>
      <c r="P380" s="8" t="s">
        <v>5376</v>
      </c>
      <c r="Q380" s="8" t="s">
        <v>4262</v>
      </c>
      <c r="R380" s="8">
        <v>0.34699999999999998</v>
      </c>
      <c r="S380" s="8">
        <v>6974912</v>
      </c>
      <c r="T380" s="8" t="s">
        <v>24</v>
      </c>
      <c r="U380" s="8" t="s">
        <v>25</v>
      </c>
    </row>
    <row r="381" spans="1:21">
      <c r="A381" s="8" t="s">
        <v>5256</v>
      </c>
      <c r="B381" s="8" t="s">
        <v>5378</v>
      </c>
      <c r="C381" s="8">
        <v>64763</v>
      </c>
      <c r="D381" s="8" t="s">
        <v>139</v>
      </c>
      <c r="E381" s="8">
        <v>42585237</v>
      </c>
      <c r="F381" s="8">
        <v>42585237</v>
      </c>
      <c r="G381" s="8" t="s">
        <v>41</v>
      </c>
      <c r="H381" s="8" t="s">
        <v>46</v>
      </c>
      <c r="I381" s="8" t="s">
        <v>23</v>
      </c>
      <c r="J381" s="8" t="s">
        <v>5379</v>
      </c>
      <c r="K381" s="8" t="s">
        <v>5381</v>
      </c>
      <c r="L381" s="8" t="s">
        <v>19</v>
      </c>
      <c r="M381" s="8">
        <v>2648</v>
      </c>
      <c r="N381" s="8" t="s">
        <v>1168</v>
      </c>
      <c r="O381" s="8">
        <v>827</v>
      </c>
      <c r="P381" s="8" t="s">
        <v>5380</v>
      </c>
      <c r="Q381" s="8" t="s">
        <v>4262</v>
      </c>
      <c r="R381" s="8">
        <v>0.28899999999999998</v>
      </c>
      <c r="S381" s="8">
        <v>42585237</v>
      </c>
      <c r="T381" s="8" t="s">
        <v>41</v>
      </c>
      <c r="U381" s="8" t="s">
        <v>46</v>
      </c>
    </row>
    <row r="382" spans="1:21">
      <c r="A382" s="8" t="s">
        <v>5256</v>
      </c>
      <c r="B382" s="8" t="s">
        <v>5382</v>
      </c>
      <c r="C382" s="8">
        <v>10388</v>
      </c>
      <c r="D382" s="8" t="s">
        <v>188</v>
      </c>
      <c r="E382" s="8">
        <v>58441640</v>
      </c>
      <c r="F382" s="8">
        <v>58441640</v>
      </c>
      <c r="G382" s="8" t="s">
        <v>46</v>
      </c>
      <c r="H382" s="8" t="s">
        <v>41</v>
      </c>
      <c r="I382" s="8" t="s">
        <v>23</v>
      </c>
      <c r="J382" s="8" t="s">
        <v>5383</v>
      </c>
      <c r="K382" s="8" t="s">
        <v>5385</v>
      </c>
      <c r="L382" s="8" t="s">
        <v>19</v>
      </c>
      <c r="M382" s="8">
        <v>4269</v>
      </c>
      <c r="N382" s="8" t="s">
        <v>577</v>
      </c>
      <c r="O382" s="8">
        <v>1377</v>
      </c>
      <c r="P382" s="8" t="s">
        <v>5384</v>
      </c>
      <c r="Q382" s="8" t="s">
        <v>4262</v>
      </c>
      <c r="R382" s="8">
        <v>0.25800000000000001</v>
      </c>
      <c r="S382" s="8">
        <v>58441640</v>
      </c>
      <c r="T382" s="8" t="s">
        <v>46</v>
      </c>
      <c r="U382" s="8" t="s">
        <v>41</v>
      </c>
    </row>
    <row r="383" spans="1:21">
      <c r="A383" s="8" t="s">
        <v>5256</v>
      </c>
      <c r="B383" s="8" t="s">
        <v>5386</v>
      </c>
      <c r="C383" s="8">
        <v>55251</v>
      </c>
      <c r="D383" s="8" t="s">
        <v>188</v>
      </c>
      <c r="E383" s="8">
        <v>62891443</v>
      </c>
      <c r="F383" s="8">
        <v>62891443</v>
      </c>
      <c r="G383" s="8" t="s">
        <v>25</v>
      </c>
      <c r="H383" s="8" t="s">
        <v>24</v>
      </c>
      <c r="I383" s="8" t="s">
        <v>23</v>
      </c>
      <c r="J383" s="8" t="s">
        <v>5387</v>
      </c>
      <c r="K383" s="8" t="s">
        <v>5389</v>
      </c>
      <c r="L383" s="8" t="s">
        <v>19</v>
      </c>
      <c r="M383" s="8">
        <v>325</v>
      </c>
      <c r="N383" s="8" t="s">
        <v>1055</v>
      </c>
      <c r="O383" s="8">
        <v>42</v>
      </c>
      <c r="P383" s="8" t="s">
        <v>5388</v>
      </c>
      <c r="Q383" s="8" t="s">
        <v>4262</v>
      </c>
      <c r="R383" s="8">
        <v>0.44400000000000001</v>
      </c>
      <c r="S383" s="8">
        <v>62891443</v>
      </c>
      <c r="T383" s="8" t="s">
        <v>25</v>
      </c>
      <c r="U383" s="8" t="s">
        <v>24</v>
      </c>
    </row>
    <row r="384" spans="1:21">
      <c r="A384" s="8" t="s">
        <v>5256</v>
      </c>
      <c r="B384" s="8" t="s">
        <v>3713</v>
      </c>
      <c r="C384" s="8">
        <v>113278</v>
      </c>
      <c r="D384" s="8" t="s">
        <v>188</v>
      </c>
      <c r="E384" s="8">
        <v>744212</v>
      </c>
      <c r="F384" s="8">
        <v>744212</v>
      </c>
      <c r="G384" s="8" t="s">
        <v>24</v>
      </c>
      <c r="H384" s="8" t="s">
        <v>25</v>
      </c>
      <c r="I384" s="8" t="s">
        <v>23</v>
      </c>
      <c r="J384" s="8" t="s">
        <v>3714</v>
      </c>
      <c r="K384" s="8" t="s">
        <v>5391</v>
      </c>
      <c r="L384" s="8" t="s">
        <v>19</v>
      </c>
      <c r="M384" s="8">
        <v>1342</v>
      </c>
      <c r="N384" s="8" t="s">
        <v>504</v>
      </c>
      <c r="O384" s="8">
        <v>335</v>
      </c>
      <c r="P384" s="8" t="s">
        <v>5390</v>
      </c>
      <c r="Q384" s="8" t="s">
        <v>4262</v>
      </c>
      <c r="R384" s="8">
        <v>0.36699999999999999</v>
      </c>
      <c r="S384" s="8">
        <v>744212</v>
      </c>
      <c r="T384" s="8" t="s">
        <v>24</v>
      </c>
      <c r="U384" s="8" t="s">
        <v>25</v>
      </c>
    </row>
    <row r="385" spans="1:21">
      <c r="A385" s="8" t="s">
        <v>5256</v>
      </c>
      <c r="B385" s="8" t="s">
        <v>5392</v>
      </c>
      <c r="C385" s="8">
        <v>128486</v>
      </c>
      <c r="D385" s="8" t="s">
        <v>188</v>
      </c>
      <c r="E385" s="8">
        <v>42935762</v>
      </c>
      <c r="F385" s="8">
        <v>42935762</v>
      </c>
      <c r="G385" s="8" t="s">
        <v>24</v>
      </c>
      <c r="H385" s="8" t="s">
        <v>25</v>
      </c>
      <c r="I385" s="8" t="s">
        <v>23</v>
      </c>
      <c r="J385" s="8" t="s">
        <v>5393</v>
      </c>
      <c r="K385" s="8" t="s">
        <v>5395</v>
      </c>
      <c r="L385" s="8" t="s">
        <v>19</v>
      </c>
      <c r="M385" s="8">
        <v>393</v>
      </c>
      <c r="N385" s="8" t="s">
        <v>1118</v>
      </c>
      <c r="O385" s="8">
        <v>98</v>
      </c>
      <c r="P385" s="8" t="s">
        <v>5394</v>
      </c>
      <c r="Q385" s="8" t="s">
        <v>4262</v>
      </c>
      <c r="R385" s="8">
        <v>0.183</v>
      </c>
      <c r="S385" s="8">
        <v>42935762</v>
      </c>
      <c r="T385" s="8" t="s">
        <v>24</v>
      </c>
      <c r="U385" s="8" t="s">
        <v>25</v>
      </c>
    </row>
    <row r="386" spans="1:21">
      <c r="A386" s="8" t="s">
        <v>5256</v>
      </c>
      <c r="B386" s="8" t="s">
        <v>5396</v>
      </c>
      <c r="C386" s="8">
        <v>55661</v>
      </c>
      <c r="D386" s="8" t="s">
        <v>188</v>
      </c>
      <c r="E386" s="8">
        <v>47852924</v>
      </c>
      <c r="F386" s="8">
        <v>47852924</v>
      </c>
      <c r="G386" s="8" t="s">
        <v>46</v>
      </c>
      <c r="H386" s="8" t="s">
        <v>41</v>
      </c>
      <c r="I386" s="8" t="s">
        <v>23</v>
      </c>
      <c r="J386" s="8" t="s">
        <v>5397</v>
      </c>
      <c r="K386" s="8" t="s">
        <v>5399</v>
      </c>
      <c r="L386" s="8" t="s">
        <v>76</v>
      </c>
      <c r="M386" s="8">
        <v>1718</v>
      </c>
      <c r="N386" s="8" t="s">
        <v>103</v>
      </c>
      <c r="O386" s="8">
        <v>553</v>
      </c>
      <c r="P386" s="8" t="s">
        <v>5398</v>
      </c>
      <c r="Q386" s="8" t="s">
        <v>4262</v>
      </c>
      <c r="R386" s="8">
        <v>0.18099999999999999</v>
      </c>
      <c r="S386" s="8">
        <v>47852924</v>
      </c>
      <c r="T386" s="8" t="s">
        <v>46</v>
      </c>
      <c r="U386" s="8" t="s">
        <v>41</v>
      </c>
    </row>
    <row r="387" spans="1:21">
      <c r="A387" s="8" t="s">
        <v>5256</v>
      </c>
      <c r="B387" s="8" t="s">
        <v>5400</v>
      </c>
      <c r="C387" s="8">
        <v>129049</v>
      </c>
      <c r="D387" s="8" t="s">
        <v>197</v>
      </c>
      <c r="E387" s="8">
        <v>25282648</v>
      </c>
      <c r="F387" s="8">
        <v>25282648</v>
      </c>
      <c r="G387" s="8" t="s">
        <v>46</v>
      </c>
      <c r="H387" s="8" t="s">
        <v>41</v>
      </c>
      <c r="I387" s="8" t="s">
        <v>23</v>
      </c>
      <c r="J387" s="8" t="s">
        <v>5401</v>
      </c>
      <c r="K387" s="8" t="s">
        <v>5403</v>
      </c>
      <c r="L387" s="8" t="s">
        <v>19</v>
      </c>
      <c r="M387" s="8">
        <v>2045</v>
      </c>
      <c r="N387" s="8" t="s">
        <v>58</v>
      </c>
      <c r="O387" s="8">
        <v>630</v>
      </c>
      <c r="P387" s="8" t="s">
        <v>5402</v>
      </c>
      <c r="Q387" s="8" t="s">
        <v>4262</v>
      </c>
      <c r="R387" s="8">
        <v>0.245</v>
      </c>
      <c r="S387" s="8">
        <v>25282648</v>
      </c>
      <c r="T387" s="8" t="s">
        <v>46</v>
      </c>
      <c r="U387" s="8" t="s">
        <v>41</v>
      </c>
    </row>
    <row r="388" spans="1:21">
      <c r="A388" s="8" t="s">
        <v>5256</v>
      </c>
      <c r="B388" s="8" t="s">
        <v>2658</v>
      </c>
      <c r="C388" s="8">
        <v>9620</v>
      </c>
      <c r="D388" s="8" t="s">
        <v>197</v>
      </c>
      <c r="E388" s="8">
        <v>46761231</v>
      </c>
      <c r="F388" s="8">
        <v>46761231</v>
      </c>
      <c r="G388" s="8" t="s">
        <v>24</v>
      </c>
      <c r="H388" s="8" t="s">
        <v>41</v>
      </c>
      <c r="I388" s="8" t="s">
        <v>23</v>
      </c>
      <c r="J388" s="8" t="s">
        <v>2659</v>
      </c>
      <c r="K388" s="8" t="s">
        <v>5405</v>
      </c>
      <c r="L388" s="8" t="s">
        <v>19</v>
      </c>
      <c r="M388" s="8">
        <v>8451</v>
      </c>
      <c r="N388" s="8" t="s">
        <v>316</v>
      </c>
      <c r="O388" s="8">
        <v>2817</v>
      </c>
      <c r="P388" s="8" t="s">
        <v>5404</v>
      </c>
      <c r="Q388" s="8" t="s">
        <v>4262</v>
      </c>
      <c r="R388" s="8">
        <v>0.35099999999999998</v>
      </c>
      <c r="S388" s="8">
        <v>46761231</v>
      </c>
      <c r="T388" s="8" t="s">
        <v>24</v>
      </c>
      <c r="U388" s="8" t="s">
        <v>41</v>
      </c>
    </row>
    <row r="389" spans="1:21">
      <c r="A389" s="8" t="s">
        <v>5256</v>
      </c>
      <c r="B389" s="8" t="s">
        <v>3729</v>
      </c>
      <c r="C389" s="8">
        <v>11238</v>
      </c>
      <c r="D389" s="8" t="s">
        <v>418</v>
      </c>
      <c r="E389" s="8">
        <v>15792434</v>
      </c>
      <c r="F389" s="8">
        <v>15792434</v>
      </c>
      <c r="G389" s="8" t="s">
        <v>24</v>
      </c>
      <c r="H389" s="8" t="s">
        <v>41</v>
      </c>
      <c r="I389" s="8" t="s">
        <v>23</v>
      </c>
      <c r="J389" s="8" t="s">
        <v>3730</v>
      </c>
      <c r="K389" s="8" t="s">
        <v>5407</v>
      </c>
      <c r="L389" s="8" t="s">
        <v>19</v>
      </c>
      <c r="M389" s="8">
        <v>586</v>
      </c>
      <c r="N389" s="8" t="s">
        <v>1248</v>
      </c>
      <c r="O389" s="8">
        <v>157</v>
      </c>
      <c r="P389" s="8" t="s">
        <v>5406</v>
      </c>
      <c r="Q389" s="8" t="s">
        <v>4262</v>
      </c>
      <c r="R389" s="8">
        <v>0.57599999999999996</v>
      </c>
      <c r="S389" s="8">
        <v>15792434</v>
      </c>
      <c r="T389" s="8" t="s">
        <v>24</v>
      </c>
      <c r="U389" s="8" t="s">
        <v>41</v>
      </c>
    </row>
    <row r="390" spans="1:21">
      <c r="A390" s="8" t="s">
        <v>5410</v>
      </c>
      <c r="B390" s="8" t="s">
        <v>3598</v>
      </c>
      <c r="C390" s="8">
        <v>79699</v>
      </c>
      <c r="D390" s="8" t="s">
        <v>22</v>
      </c>
      <c r="E390" s="8">
        <v>53282284</v>
      </c>
      <c r="F390" s="8">
        <v>53282284</v>
      </c>
      <c r="G390" s="8" t="s">
        <v>25</v>
      </c>
      <c r="H390" s="8" t="s">
        <v>46</v>
      </c>
      <c r="I390" s="8" t="s">
        <v>23</v>
      </c>
      <c r="J390" s="8" t="s">
        <v>3599</v>
      </c>
      <c r="K390" s="8" t="s">
        <v>5409</v>
      </c>
      <c r="L390" s="8" t="s">
        <v>19</v>
      </c>
      <c r="M390" s="8">
        <v>2222</v>
      </c>
      <c r="N390" s="8" t="s">
        <v>3600</v>
      </c>
      <c r="O390" s="8">
        <v>676</v>
      </c>
      <c r="P390" s="8" t="s">
        <v>5408</v>
      </c>
      <c r="Q390" s="8" t="s">
        <v>4262</v>
      </c>
      <c r="R390" s="8">
        <v>0.77200000000000002</v>
      </c>
      <c r="S390" s="8">
        <v>53282284</v>
      </c>
      <c r="T390" s="8" t="s">
        <v>25</v>
      </c>
      <c r="U390" s="8" t="s">
        <v>46</v>
      </c>
    </row>
    <row r="391" spans="1:21">
      <c r="A391" s="8" t="s">
        <v>5410</v>
      </c>
      <c r="B391" s="8" t="s">
        <v>3601</v>
      </c>
      <c r="C391" s="8">
        <v>473</v>
      </c>
      <c r="D391" s="8" t="s">
        <v>22</v>
      </c>
      <c r="E391" s="8">
        <v>8418850</v>
      </c>
      <c r="F391" s="8">
        <v>8418850</v>
      </c>
      <c r="G391" s="8" t="s">
        <v>46</v>
      </c>
      <c r="H391" s="8" t="s">
        <v>25</v>
      </c>
      <c r="I391" s="8" t="s">
        <v>23</v>
      </c>
      <c r="J391" s="8" t="s">
        <v>5411</v>
      </c>
      <c r="K391" s="8" t="s">
        <v>5413</v>
      </c>
      <c r="L391" s="8" t="s">
        <v>19</v>
      </c>
      <c r="M391" s="8">
        <v>4370</v>
      </c>
      <c r="N391" s="8" t="s">
        <v>463</v>
      </c>
      <c r="O391" s="8">
        <v>1249</v>
      </c>
      <c r="P391" s="8" t="s">
        <v>5412</v>
      </c>
      <c r="Q391" s="8" t="s">
        <v>4262</v>
      </c>
      <c r="R391" s="8">
        <v>0.78400000000000003</v>
      </c>
      <c r="S391" s="8">
        <v>8418850</v>
      </c>
      <c r="T391" s="8" t="s">
        <v>46</v>
      </c>
      <c r="U391" s="8" t="s">
        <v>25</v>
      </c>
    </row>
    <row r="392" spans="1:21">
      <c r="A392" s="8" t="s">
        <v>5410</v>
      </c>
      <c r="B392" s="8" t="s">
        <v>3587</v>
      </c>
      <c r="C392" s="8">
        <v>57540</v>
      </c>
      <c r="D392" s="8" t="s">
        <v>22</v>
      </c>
      <c r="E392" s="8">
        <v>11577536</v>
      </c>
      <c r="F392" s="8">
        <v>11577536</v>
      </c>
      <c r="G392" s="8" t="s">
        <v>25</v>
      </c>
      <c r="H392" s="8" t="s">
        <v>41</v>
      </c>
      <c r="I392" s="8" t="s">
        <v>23</v>
      </c>
      <c r="J392" s="8" t="s">
        <v>3588</v>
      </c>
      <c r="K392" s="8" t="s">
        <v>5415</v>
      </c>
      <c r="L392" s="8" t="s">
        <v>19</v>
      </c>
      <c r="M392" s="8">
        <v>1904</v>
      </c>
      <c r="N392" s="8" t="s">
        <v>469</v>
      </c>
      <c r="O392" s="8">
        <v>589</v>
      </c>
      <c r="P392" s="8" t="s">
        <v>5414</v>
      </c>
      <c r="Q392" s="8" t="s">
        <v>4262</v>
      </c>
      <c r="R392" s="8">
        <v>0.76200000000000001</v>
      </c>
      <c r="S392" s="8">
        <v>11577536</v>
      </c>
      <c r="T392" s="8" t="s">
        <v>25</v>
      </c>
      <c r="U392" s="8" t="s">
        <v>41</v>
      </c>
    </row>
    <row r="393" spans="1:21">
      <c r="A393" s="8" t="s">
        <v>5410</v>
      </c>
      <c r="B393" s="8" t="s">
        <v>3589</v>
      </c>
      <c r="C393" s="8">
        <v>4803</v>
      </c>
      <c r="D393" s="8" t="s">
        <v>22</v>
      </c>
      <c r="E393" s="8">
        <v>115829003</v>
      </c>
      <c r="F393" s="8">
        <v>115829003</v>
      </c>
      <c r="G393" s="8" t="s">
        <v>25</v>
      </c>
      <c r="H393" s="8" t="s">
        <v>41</v>
      </c>
      <c r="I393" s="8" t="s">
        <v>23</v>
      </c>
      <c r="J393" s="8" t="s">
        <v>3590</v>
      </c>
      <c r="K393" s="8" t="s">
        <v>5417</v>
      </c>
      <c r="L393" s="8" t="s">
        <v>19</v>
      </c>
      <c r="M393" s="8">
        <v>583</v>
      </c>
      <c r="N393" s="8" t="s">
        <v>3591</v>
      </c>
      <c r="O393" s="8">
        <v>138</v>
      </c>
      <c r="P393" s="8" t="s">
        <v>5416</v>
      </c>
      <c r="Q393" s="8" t="s">
        <v>4262</v>
      </c>
      <c r="R393" s="8">
        <v>0.5</v>
      </c>
      <c r="S393" s="8">
        <v>115829003</v>
      </c>
      <c r="T393" s="8" t="s">
        <v>25</v>
      </c>
      <c r="U393" s="8" t="s">
        <v>41</v>
      </c>
    </row>
    <row r="394" spans="1:21">
      <c r="A394" s="8" t="s">
        <v>5410</v>
      </c>
      <c r="B394" s="8" t="s">
        <v>1951</v>
      </c>
      <c r="C394" s="8">
        <v>9554</v>
      </c>
      <c r="D394" s="8" t="s">
        <v>22</v>
      </c>
      <c r="E394" s="8">
        <v>145115764</v>
      </c>
      <c r="F394" s="8">
        <v>145115764</v>
      </c>
      <c r="G394" s="8" t="s">
        <v>25</v>
      </c>
      <c r="H394" s="8" t="s">
        <v>41</v>
      </c>
      <c r="I394" s="8" t="s">
        <v>23</v>
      </c>
      <c r="J394" s="8" t="s">
        <v>5418</v>
      </c>
      <c r="K394" s="8" t="s">
        <v>5420</v>
      </c>
      <c r="L394" s="8" t="s">
        <v>19</v>
      </c>
      <c r="M394" s="8">
        <v>663</v>
      </c>
      <c r="N394" s="8" t="s">
        <v>3177</v>
      </c>
      <c r="O394" s="8">
        <v>175</v>
      </c>
      <c r="P394" s="8" t="s">
        <v>5419</v>
      </c>
      <c r="Q394" s="8" t="s">
        <v>4262</v>
      </c>
      <c r="R394" s="8">
        <v>9.0999999999999998E-2</v>
      </c>
      <c r="S394" s="8">
        <v>145115764</v>
      </c>
      <c r="T394" s="8" t="s">
        <v>25</v>
      </c>
      <c r="U394" s="8" t="s">
        <v>41</v>
      </c>
    </row>
    <row r="395" spans="1:21">
      <c r="A395" s="8" t="s">
        <v>5410</v>
      </c>
      <c r="B395" s="8"/>
      <c r="C395" s="8">
        <v>100293748</v>
      </c>
      <c r="D395" s="8" t="s">
        <v>22</v>
      </c>
      <c r="E395" s="8">
        <v>149242417</v>
      </c>
      <c r="F395" s="8">
        <v>149242417</v>
      </c>
      <c r="G395" s="8" t="s">
        <v>25</v>
      </c>
      <c r="H395" s="8" t="s">
        <v>41</v>
      </c>
      <c r="I395" s="8" t="s">
        <v>23</v>
      </c>
      <c r="J395" s="8" t="s">
        <v>5421</v>
      </c>
      <c r="K395" s="8" t="s">
        <v>5423</v>
      </c>
      <c r="L395" s="8" t="s">
        <v>19</v>
      </c>
      <c r="M395" s="8">
        <v>427</v>
      </c>
      <c r="N395" s="8" t="s">
        <v>604</v>
      </c>
      <c r="O395" s="8">
        <v>92</v>
      </c>
      <c r="P395" s="8" t="s">
        <v>5422</v>
      </c>
      <c r="Q395" s="8" t="s">
        <v>4262</v>
      </c>
      <c r="R395" s="8">
        <v>0.20499999999999999</v>
      </c>
      <c r="S395" s="8">
        <v>149242417</v>
      </c>
      <c r="T395" s="8" t="s">
        <v>25</v>
      </c>
      <c r="U395" s="8" t="s">
        <v>41</v>
      </c>
    </row>
    <row r="396" spans="1:21">
      <c r="A396" s="8" t="s">
        <v>5410</v>
      </c>
      <c r="B396" s="8" t="s">
        <v>5424</v>
      </c>
      <c r="C396" s="8">
        <v>9900</v>
      </c>
      <c r="D396" s="8" t="s">
        <v>22</v>
      </c>
      <c r="E396" s="8">
        <v>149881351</v>
      </c>
      <c r="F396" s="8">
        <v>149881351</v>
      </c>
      <c r="G396" s="8" t="s">
        <v>25</v>
      </c>
      <c r="H396" s="8" t="s">
        <v>46</v>
      </c>
      <c r="I396" s="8" t="s">
        <v>23</v>
      </c>
      <c r="J396" s="8" t="s">
        <v>5425</v>
      </c>
      <c r="K396" s="8" t="s">
        <v>5426</v>
      </c>
      <c r="L396" s="8" t="s">
        <v>68</v>
      </c>
      <c r="M396" s="8">
        <v>0</v>
      </c>
      <c r="N396" s="8" t="s">
        <v>35</v>
      </c>
      <c r="O396" s="8">
        <v>0</v>
      </c>
      <c r="P396" s="8" t="s">
        <v>35</v>
      </c>
      <c r="Q396" s="8" t="s">
        <v>4262</v>
      </c>
      <c r="R396" s="8">
        <v>0.11899999999999999</v>
      </c>
      <c r="S396" s="8">
        <v>149881351</v>
      </c>
      <c r="T396" s="8" t="s">
        <v>25</v>
      </c>
      <c r="U396" s="8" t="s">
        <v>46</v>
      </c>
    </row>
    <row r="397" spans="1:21">
      <c r="A397" s="8" t="s">
        <v>5410</v>
      </c>
      <c r="B397" s="8" t="s">
        <v>5424</v>
      </c>
      <c r="C397" s="8">
        <v>9900</v>
      </c>
      <c r="D397" s="8" t="s">
        <v>22</v>
      </c>
      <c r="E397" s="8">
        <v>149881352</v>
      </c>
      <c r="F397" s="8">
        <v>149881352</v>
      </c>
      <c r="G397" s="8" t="s">
        <v>46</v>
      </c>
      <c r="H397" s="8" t="s">
        <v>41</v>
      </c>
      <c r="I397" s="8" t="s">
        <v>23</v>
      </c>
      <c r="J397" s="8" t="s">
        <v>5425</v>
      </c>
      <c r="K397" s="8" t="s">
        <v>5426</v>
      </c>
      <c r="L397" s="8" t="s">
        <v>68</v>
      </c>
      <c r="M397" s="8">
        <v>0</v>
      </c>
      <c r="N397" s="8" t="s">
        <v>35</v>
      </c>
      <c r="O397" s="8">
        <v>0</v>
      </c>
      <c r="P397" s="8" t="s">
        <v>35</v>
      </c>
      <c r="Q397" s="8" t="s">
        <v>4262</v>
      </c>
      <c r="R397" s="8">
        <v>0.11899999999999999</v>
      </c>
      <c r="S397" s="8">
        <v>149881352</v>
      </c>
      <c r="T397" s="8" t="s">
        <v>46</v>
      </c>
      <c r="U397" s="8" t="s">
        <v>41</v>
      </c>
    </row>
    <row r="398" spans="1:21">
      <c r="A398" s="8" t="s">
        <v>5410</v>
      </c>
      <c r="B398" s="8" t="s">
        <v>5427</v>
      </c>
      <c r="C398" s="8">
        <v>126637</v>
      </c>
      <c r="D398" s="8" t="s">
        <v>22</v>
      </c>
      <c r="E398" s="8">
        <v>152058808</v>
      </c>
      <c r="F398" s="8">
        <v>152058808</v>
      </c>
      <c r="G398" s="8" t="s">
        <v>41</v>
      </c>
      <c r="H398" s="8" t="s">
        <v>25</v>
      </c>
      <c r="I398" s="8" t="s">
        <v>23</v>
      </c>
      <c r="J398" s="8" t="s">
        <v>5428</v>
      </c>
      <c r="K398" s="8" t="s">
        <v>5430</v>
      </c>
      <c r="L398" s="8" t="s">
        <v>19</v>
      </c>
      <c r="M398" s="8">
        <v>1415</v>
      </c>
      <c r="N398" s="8" t="s">
        <v>801</v>
      </c>
      <c r="O398" s="8">
        <v>450</v>
      </c>
      <c r="P398" s="8" t="s">
        <v>5429</v>
      </c>
      <c r="Q398" s="8" t="s">
        <v>4262</v>
      </c>
      <c r="R398" s="8">
        <v>0.30399999999999999</v>
      </c>
      <c r="S398" s="8">
        <v>152058808</v>
      </c>
      <c r="T398" s="8" t="s">
        <v>41</v>
      </c>
      <c r="U398" s="8" t="s">
        <v>25</v>
      </c>
    </row>
    <row r="399" spans="1:21">
      <c r="A399" s="8" t="s">
        <v>5410</v>
      </c>
      <c r="B399" s="8" t="s">
        <v>5431</v>
      </c>
      <c r="C399" s="8">
        <v>388697</v>
      </c>
      <c r="D399" s="8" t="s">
        <v>22</v>
      </c>
      <c r="E399" s="8">
        <v>152193718</v>
      </c>
      <c r="F399" s="8">
        <v>152193718</v>
      </c>
      <c r="G399" s="8" t="s">
        <v>25</v>
      </c>
      <c r="H399" s="8" t="s">
        <v>41</v>
      </c>
      <c r="I399" s="8" t="s">
        <v>23</v>
      </c>
      <c r="J399" s="8" t="s">
        <v>5432</v>
      </c>
      <c r="K399" s="8" t="s">
        <v>5434</v>
      </c>
      <c r="L399" s="8" t="s">
        <v>19</v>
      </c>
      <c r="M399" s="8">
        <v>463</v>
      </c>
      <c r="N399" s="8" t="s">
        <v>3512</v>
      </c>
      <c r="O399" s="8">
        <v>129</v>
      </c>
      <c r="P399" s="8" t="s">
        <v>5433</v>
      </c>
      <c r="Q399" s="8" t="s">
        <v>4262</v>
      </c>
      <c r="R399" s="8">
        <v>0.34100000000000003</v>
      </c>
      <c r="S399" s="8">
        <v>152193718</v>
      </c>
      <c r="T399" s="8" t="s">
        <v>25</v>
      </c>
      <c r="U399" s="8" t="s">
        <v>41</v>
      </c>
    </row>
    <row r="400" spans="1:21">
      <c r="A400" s="8" t="s">
        <v>5410</v>
      </c>
      <c r="B400" s="8" t="s">
        <v>5435</v>
      </c>
      <c r="C400" s="8">
        <v>100527963</v>
      </c>
      <c r="D400" s="8" t="s">
        <v>22</v>
      </c>
      <c r="E400" s="8">
        <v>156203462</v>
      </c>
      <c r="F400" s="8">
        <v>156203462</v>
      </c>
      <c r="G400" s="8" t="s">
        <v>41</v>
      </c>
      <c r="H400" s="8" t="s">
        <v>46</v>
      </c>
      <c r="I400" s="8" t="s">
        <v>23</v>
      </c>
      <c r="J400" s="8" t="s">
        <v>5436</v>
      </c>
      <c r="K400" s="8" t="s">
        <v>5438</v>
      </c>
      <c r="L400" s="8" t="s">
        <v>19</v>
      </c>
      <c r="M400" s="8">
        <v>339</v>
      </c>
      <c r="N400" s="8" t="s">
        <v>766</v>
      </c>
      <c r="O400" s="8">
        <v>104</v>
      </c>
      <c r="P400" s="8" t="s">
        <v>5437</v>
      </c>
      <c r="Q400" s="8" t="s">
        <v>4262</v>
      </c>
      <c r="R400" s="8">
        <v>0.26600000000000001</v>
      </c>
      <c r="S400" s="8">
        <v>156203462</v>
      </c>
      <c r="T400" s="8" t="s">
        <v>41</v>
      </c>
      <c r="U400" s="8" t="s">
        <v>46</v>
      </c>
    </row>
    <row r="401" spans="1:21">
      <c r="A401" s="8" t="s">
        <v>5410</v>
      </c>
      <c r="B401" s="8" t="s">
        <v>5439</v>
      </c>
      <c r="C401" s="8">
        <v>9447</v>
      </c>
      <c r="D401" s="8" t="s">
        <v>22</v>
      </c>
      <c r="E401" s="8">
        <v>159033322</v>
      </c>
      <c r="F401" s="8">
        <v>159033322</v>
      </c>
      <c r="G401" s="8" t="s">
        <v>41</v>
      </c>
      <c r="H401" s="8" t="s">
        <v>25</v>
      </c>
      <c r="I401" s="8" t="s">
        <v>23</v>
      </c>
      <c r="J401" s="8" t="s">
        <v>5440</v>
      </c>
      <c r="K401" s="8" t="s">
        <v>5442</v>
      </c>
      <c r="L401" s="8" t="s">
        <v>19</v>
      </c>
      <c r="M401" s="8">
        <v>1204</v>
      </c>
      <c r="N401" s="8" t="s">
        <v>3549</v>
      </c>
      <c r="O401" s="8">
        <v>320</v>
      </c>
      <c r="P401" s="8" t="s">
        <v>5441</v>
      </c>
      <c r="Q401" s="8" t="s">
        <v>4262</v>
      </c>
      <c r="R401" s="8">
        <v>0.33500000000000002</v>
      </c>
      <c r="S401" s="8">
        <v>159033322</v>
      </c>
      <c r="T401" s="8" t="s">
        <v>41</v>
      </c>
      <c r="U401" s="8" t="s">
        <v>25</v>
      </c>
    </row>
    <row r="402" spans="1:21">
      <c r="A402" s="8" t="s">
        <v>5410</v>
      </c>
      <c r="B402" s="8" t="s">
        <v>5443</v>
      </c>
      <c r="C402" s="8">
        <v>9191</v>
      </c>
      <c r="D402" s="8" t="s">
        <v>22</v>
      </c>
      <c r="E402" s="8">
        <v>161093721</v>
      </c>
      <c r="F402" s="8">
        <v>161093721</v>
      </c>
      <c r="G402" s="8" t="s">
        <v>25</v>
      </c>
      <c r="H402" s="8" t="s">
        <v>24</v>
      </c>
      <c r="I402" s="8" t="s">
        <v>23</v>
      </c>
      <c r="J402" s="8" t="s">
        <v>5444</v>
      </c>
      <c r="K402" s="8" t="s">
        <v>5446</v>
      </c>
      <c r="L402" s="8" t="s">
        <v>19</v>
      </c>
      <c r="M402" s="8">
        <v>514</v>
      </c>
      <c r="N402" s="8" t="s">
        <v>5447</v>
      </c>
      <c r="O402" s="8">
        <v>114</v>
      </c>
      <c r="P402" s="8" t="s">
        <v>5445</v>
      </c>
      <c r="Q402" s="8" t="s">
        <v>4262</v>
      </c>
      <c r="R402" s="8">
        <v>0.31</v>
      </c>
      <c r="S402" s="8">
        <v>161093721</v>
      </c>
      <c r="T402" s="8" t="s">
        <v>25</v>
      </c>
      <c r="U402" s="8" t="s">
        <v>24</v>
      </c>
    </row>
    <row r="403" spans="1:21">
      <c r="A403" s="8" t="s">
        <v>5410</v>
      </c>
      <c r="B403" s="8" t="s">
        <v>5448</v>
      </c>
      <c r="C403" s="8">
        <v>5999</v>
      </c>
      <c r="D403" s="8" t="s">
        <v>22</v>
      </c>
      <c r="E403" s="8">
        <v>163043287</v>
      </c>
      <c r="F403" s="8">
        <v>163043287</v>
      </c>
      <c r="G403" s="8" t="s">
        <v>25</v>
      </c>
      <c r="H403" s="8" t="s">
        <v>41</v>
      </c>
      <c r="I403" s="8" t="s">
        <v>23</v>
      </c>
      <c r="J403" s="8" t="s">
        <v>5449</v>
      </c>
      <c r="K403" s="8" t="s">
        <v>5451</v>
      </c>
      <c r="L403" s="8" t="s">
        <v>19</v>
      </c>
      <c r="M403" s="8">
        <v>873</v>
      </c>
      <c r="N403" s="8" t="s">
        <v>3177</v>
      </c>
      <c r="O403" s="8">
        <v>182</v>
      </c>
      <c r="P403" s="8" t="s">
        <v>5450</v>
      </c>
      <c r="Q403" s="8" t="s">
        <v>4262</v>
      </c>
      <c r="R403" s="8">
        <v>0.34599999999999997</v>
      </c>
      <c r="S403" s="8">
        <v>163043287</v>
      </c>
      <c r="T403" s="8" t="s">
        <v>25</v>
      </c>
      <c r="U403" s="8" t="s">
        <v>41</v>
      </c>
    </row>
    <row r="404" spans="1:21">
      <c r="A404" s="8" t="s">
        <v>5410</v>
      </c>
      <c r="B404" s="8" t="s">
        <v>5452</v>
      </c>
      <c r="C404" s="8">
        <v>356</v>
      </c>
      <c r="D404" s="8" t="s">
        <v>22</v>
      </c>
      <c r="E404" s="8">
        <v>172634964</v>
      </c>
      <c r="F404" s="8">
        <v>172634964</v>
      </c>
      <c r="G404" s="8" t="s">
        <v>41</v>
      </c>
      <c r="H404" s="8" t="s">
        <v>25</v>
      </c>
      <c r="I404" s="8" t="s">
        <v>23</v>
      </c>
      <c r="J404" s="8" t="s">
        <v>5453</v>
      </c>
      <c r="K404" s="8" t="s">
        <v>5455</v>
      </c>
      <c r="L404" s="8" t="s">
        <v>76</v>
      </c>
      <c r="M404" s="8">
        <v>811</v>
      </c>
      <c r="N404" s="8" t="s">
        <v>3881</v>
      </c>
      <c r="O404" s="8">
        <v>218</v>
      </c>
      <c r="P404" s="8" t="s">
        <v>5454</v>
      </c>
      <c r="Q404" s="8" t="s">
        <v>4262</v>
      </c>
      <c r="R404" s="8">
        <v>0.27400000000000002</v>
      </c>
      <c r="S404" s="8">
        <v>172634964</v>
      </c>
      <c r="T404" s="8" t="s">
        <v>41</v>
      </c>
      <c r="U404" s="8" t="s">
        <v>25</v>
      </c>
    </row>
    <row r="405" spans="1:21">
      <c r="A405" s="8" t="s">
        <v>5410</v>
      </c>
      <c r="B405" s="8" t="s">
        <v>4125</v>
      </c>
      <c r="C405" s="8">
        <v>60676</v>
      </c>
      <c r="D405" s="8" t="s">
        <v>22</v>
      </c>
      <c r="E405" s="8">
        <v>176564416</v>
      </c>
      <c r="F405" s="8">
        <v>176564416</v>
      </c>
      <c r="G405" s="8" t="s">
        <v>24</v>
      </c>
      <c r="H405" s="8" t="s">
        <v>25</v>
      </c>
      <c r="I405" s="8" t="s">
        <v>23</v>
      </c>
      <c r="J405" s="8" t="s">
        <v>5456</v>
      </c>
      <c r="K405" s="8" t="s">
        <v>5458</v>
      </c>
      <c r="L405" s="8" t="s">
        <v>19</v>
      </c>
      <c r="M405" s="8">
        <v>2840</v>
      </c>
      <c r="N405" s="8" t="s">
        <v>708</v>
      </c>
      <c r="O405" s="8">
        <v>559</v>
      </c>
      <c r="P405" s="8" t="s">
        <v>5457</v>
      </c>
      <c r="Q405" s="8" t="s">
        <v>4262</v>
      </c>
      <c r="R405" s="8">
        <v>8.7999999999999995E-2</v>
      </c>
      <c r="S405" s="8">
        <v>176564416</v>
      </c>
      <c r="T405" s="8" t="s">
        <v>24</v>
      </c>
      <c r="U405" s="8" t="s">
        <v>25</v>
      </c>
    </row>
    <row r="406" spans="1:21">
      <c r="A406" s="8" t="s">
        <v>5410</v>
      </c>
      <c r="B406" s="8" t="s">
        <v>638</v>
      </c>
      <c r="C406" s="8">
        <v>83872</v>
      </c>
      <c r="D406" s="8" t="s">
        <v>22</v>
      </c>
      <c r="E406" s="8">
        <v>186024749</v>
      </c>
      <c r="F406" s="8">
        <v>186024749</v>
      </c>
      <c r="G406" s="8" t="s">
        <v>41</v>
      </c>
      <c r="H406" s="8" t="s">
        <v>25</v>
      </c>
      <c r="I406" s="8" t="s">
        <v>23</v>
      </c>
      <c r="J406" s="8" t="s">
        <v>639</v>
      </c>
      <c r="K406" s="8" t="s">
        <v>5460</v>
      </c>
      <c r="L406" s="8" t="s">
        <v>19</v>
      </c>
      <c r="M406" s="8">
        <v>7316</v>
      </c>
      <c r="N406" s="8" t="s">
        <v>278</v>
      </c>
      <c r="O406" s="8">
        <v>2363</v>
      </c>
      <c r="P406" s="8" t="s">
        <v>5459</v>
      </c>
      <c r="Q406" s="8" t="s">
        <v>4262</v>
      </c>
      <c r="R406" s="8">
        <v>0.26300000000000001</v>
      </c>
      <c r="S406" s="8">
        <v>186024749</v>
      </c>
      <c r="T406" s="8" t="s">
        <v>41</v>
      </c>
      <c r="U406" s="8" t="s">
        <v>25</v>
      </c>
    </row>
    <row r="407" spans="1:21">
      <c r="A407" s="8" t="s">
        <v>5410</v>
      </c>
      <c r="B407" s="8" t="s">
        <v>3592</v>
      </c>
      <c r="C407" s="8">
        <v>7399</v>
      </c>
      <c r="D407" s="8" t="s">
        <v>22</v>
      </c>
      <c r="E407" s="8">
        <v>216420562</v>
      </c>
      <c r="F407" s="8">
        <v>216420562</v>
      </c>
      <c r="G407" s="8" t="s">
        <v>46</v>
      </c>
      <c r="H407" s="8" t="s">
        <v>25</v>
      </c>
      <c r="I407" s="8" t="s">
        <v>23</v>
      </c>
      <c r="J407" s="8" t="s">
        <v>3593</v>
      </c>
      <c r="K407" s="8" t="s">
        <v>4464</v>
      </c>
      <c r="L407" s="8" t="s">
        <v>19</v>
      </c>
      <c r="M407" s="8">
        <v>2561</v>
      </c>
      <c r="N407" s="8" t="s">
        <v>1368</v>
      </c>
      <c r="O407" s="8">
        <v>725</v>
      </c>
      <c r="P407" s="8" t="s">
        <v>5461</v>
      </c>
      <c r="Q407" s="8" t="s">
        <v>4262</v>
      </c>
      <c r="R407" s="8">
        <v>0.42899999999999999</v>
      </c>
      <c r="S407" s="8">
        <v>216420562</v>
      </c>
      <c r="T407" s="8" t="s">
        <v>46</v>
      </c>
      <c r="U407" s="8" t="s">
        <v>25</v>
      </c>
    </row>
    <row r="408" spans="1:21">
      <c r="A408" s="8" t="s">
        <v>5410</v>
      </c>
      <c r="B408" s="8" t="s">
        <v>996</v>
      </c>
      <c r="C408" s="8">
        <v>9816</v>
      </c>
      <c r="D408" s="8" t="s">
        <v>22</v>
      </c>
      <c r="E408" s="8">
        <v>229770920</v>
      </c>
      <c r="F408" s="8">
        <v>229770920</v>
      </c>
      <c r="G408" s="8" t="s">
        <v>25</v>
      </c>
      <c r="H408" s="8" t="s">
        <v>41</v>
      </c>
      <c r="I408" s="8" t="s">
        <v>23</v>
      </c>
      <c r="J408" s="8" t="s">
        <v>997</v>
      </c>
      <c r="K408" s="8" t="s">
        <v>5463</v>
      </c>
      <c r="L408" s="8" t="s">
        <v>19</v>
      </c>
      <c r="M408" s="8">
        <v>696</v>
      </c>
      <c r="N408" s="8" t="s">
        <v>3136</v>
      </c>
      <c r="O408" s="8">
        <v>187</v>
      </c>
      <c r="P408" s="8" t="s">
        <v>5462</v>
      </c>
      <c r="Q408" s="8" t="s">
        <v>4262</v>
      </c>
      <c r="R408" s="8">
        <v>0.44500000000000001</v>
      </c>
      <c r="S408" s="8">
        <v>229770920</v>
      </c>
      <c r="T408" s="8" t="s">
        <v>25</v>
      </c>
      <c r="U408" s="8" t="s">
        <v>41</v>
      </c>
    </row>
    <row r="409" spans="1:21">
      <c r="A409" s="8" t="s">
        <v>5410</v>
      </c>
      <c r="B409" s="8" t="s">
        <v>3594</v>
      </c>
      <c r="C409" s="8">
        <v>128025</v>
      </c>
      <c r="D409" s="8" t="s">
        <v>22</v>
      </c>
      <c r="E409" s="8">
        <v>241959557</v>
      </c>
      <c r="F409" s="8">
        <v>241959557</v>
      </c>
      <c r="G409" s="8" t="s">
        <v>25</v>
      </c>
      <c r="H409" s="8" t="s">
        <v>41</v>
      </c>
      <c r="I409" s="8" t="s">
        <v>23</v>
      </c>
      <c r="J409" s="8" t="s">
        <v>3595</v>
      </c>
      <c r="K409" s="8" t="s">
        <v>5133</v>
      </c>
      <c r="L409" s="8" t="s">
        <v>68</v>
      </c>
      <c r="M409" s="8">
        <v>0</v>
      </c>
      <c r="N409" s="8" t="s">
        <v>35</v>
      </c>
      <c r="O409" s="8">
        <v>0</v>
      </c>
      <c r="P409" s="8" t="s">
        <v>35</v>
      </c>
      <c r="Q409" s="8" t="s">
        <v>4262</v>
      </c>
      <c r="R409" s="8">
        <v>0.41199999999999998</v>
      </c>
      <c r="S409" s="8">
        <v>241959557</v>
      </c>
      <c r="T409" s="8" t="s">
        <v>25</v>
      </c>
      <c r="U409" s="8" t="s">
        <v>41</v>
      </c>
    </row>
    <row r="410" spans="1:21">
      <c r="A410" s="8" t="s">
        <v>5410</v>
      </c>
      <c r="B410" s="8" t="s">
        <v>5464</v>
      </c>
      <c r="C410" s="8">
        <v>9859</v>
      </c>
      <c r="D410" s="8" t="s">
        <v>22</v>
      </c>
      <c r="E410" s="8">
        <v>243349222</v>
      </c>
      <c r="F410" s="8">
        <v>243349222</v>
      </c>
      <c r="G410" s="8" t="s">
        <v>46</v>
      </c>
      <c r="H410" s="8" t="s">
        <v>41</v>
      </c>
      <c r="I410" s="8" t="s">
        <v>23</v>
      </c>
      <c r="J410" s="8" t="s">
        <v>5465</v>
      </c>
      <c r="K410" s="8" t="s">
        <v>5467</v>
      </c>
      <c r="L410" s="8" t="s">
        <v>19</v>
      </c>
      <c r="M410" s="8">
        <v>1833</v>
      </c>
      <c r="N410" s="8" t="s">
        <v>2439</v>
      </c>
      <c r="O410" s="8">
        <v>475</v>
      </c>
      <c r="P410" s="8" t="s">
        <v>5466</v>
      </c>
      <c r="Q410" s="8" t="s">
        <v>4262</v>
      </c>
      <c r="R410" s="8">
        <v>0.20100000000000001</v>
      </c>
      <c r="S410" s="8">
        <v>243349222</v>
      </c>
      <c r="T410" s="8" t="s">
        <v>46</v>
      </c>
      <c r="U410" s="8" t="s">
        <v>41</v>
      </c>
    </row>
    <row r="411" spans="1:21">
      <c r="A411" s="8" t="s">
        <v>5410</v>
      </c>
      <c r="B411" s="8" t="s">
        <v>5468</v>
      </c>
      <c r="C411" s="8">
        <v>151516</v>
      </c>
      <c r="D411" s="8" t="s">
        <v>172</v>
      </c>
      <c r="E411" s="8">
        <v>70188060</v>
      </c>
      <c r="F411" s="8">
        <v>70188060</v>
      </c>
      <c r="G411" s="8" t="s">
        <v>25</v>
      </c>
      <c r="H411" s="8" t="s">
        <v>41</v>
      </c>
      <c r="I411" s="8" t="s">
        <v>23</v>
      </c>
      <c r="J411" s="8" t="s">
        <v>5469</v>
      </c>
      <c r="K411" s="8" t="s">
        <v>5471</v>
      </c>
      <c r="L411" s="8" t="s">
        <v>19</v>
      </c>
      <c r="M411" s="8">
        <v>1338</v>
      </c>
      <c r="N411" s="8" t="s">
        <v>1096</v>
      </c>
      <c r="O411" s="8">
        <v>254</v>
      </c>
      <c r="P411" s="8" t="s">
        <v>5470</v>
      </c>
      <c r="Q411" s="8" t="s">
        <v>4262</v>
      </c>
      <c r="R411" s="8">
        <v>0.36699999999999999</v>
      </c>
      <c r="S411" s="8">
        <v>70188060</v>
      </c>
      <c r="T411" s="8" t="s">
        <v>25</v>
      </c>
      <c r="U411" s="8" t="s">
        <v>41</v>
      </c>
    </row>
    <row r="412" spans="1:21">
      <c r="A412" s="8" t="s">
        <v>5410</v>
      </c>
      <c r="B412" s="8" t="s">
        <v>3649</v>
      </c>
      <c r="C412" s="8">
        <v>84910</v>
      </c>
      <c r="D412" s="8" t="s">
        <v>172</v>
      </c>
      <c r="E412" s="8">
        <v>112858209</v>
      </c>
      <c r="F412" s="8">
        <v>112858209</v>
      </c>
      <c r="G412" s="8" t="s">
        <v>25</v>
      </c>
      <c r="H412" s="8" t="s">
        <v>41</v>
      </c>
      <c r="I412" s="8" t="s">
        <v>23</v>
      </c>
      <c r="J412" s="8" t="s">
        <v>3650</v>
      </c>
      <c r="K412" s="8" t="s">
        <v>5473</v>
      </c>
      <c r="L412" s="8" t="s">
        <v>19</v>
      </c>
      <c r="M412" s="8">
        <v>1756</v>
      </c>
      <c r="N412" s="8" t="s">
        <v>792</v>
      </c>
      <c r="O412" s="8">
        <v>463</v>
      </c>
      <c r="P412" s="8" t="s">
        <v>5472</v>
      </c>
      <c r="Q412" s="8" t="s">
        <v>4262</v>
      </c>
      <c r="R412" s="8">
        <v>0.42399999999999999</v>
      </c>
      <c r="S412" s="8">
        <v>112858209</v>
      </c>
      <c r="T412" s="8" t="s">
        <v>25</v>
      </c>
      <c r="U412" s="8" t="s">
        <v>41</v>
      </c>
    </row>
    <row r="413" spans="1:21">
      <c r="A413" s="8" t="s">
        <v>5410</v>
      </c>
      <c r="B413" s="8" t="s">
        <v>489</v>
      </c>
      <c r="C413" s="8">
        <v>57628</v>
      </c>
      <c r="D413" s="8" t="s">
        <v>172</v>
      </c>
      <c r="E413" s="8">
        <v>116538458</v>
      </c>
      <c r="F413" s="8">
        <v>116538458</v>
      </c>
      <c r="G413" s="8" t="s">
        <v>46</v>
      </c>
      <c r="H413" s="8" t="s">
        <v>25</v>
      </c>
      <c r="I413" s="8" t="s">
        <v>23</v>
      </c>
      <c r="J413" s="8" t="s">
        <v>5474</v>
      </c>
      <c r="K413" s="8" t="s">
        <v>5476</v>
      </c>
      <c r="L413" s="8" t="s">
        <v>19</v>
      </c>
      <c r="M413" s="8">
        <v>1403</v>
      </c>
      <c r="N413" s="8" t="s">
        <v>2541</v>
      </c>
      <c r="O413" s="8">
        <v>461</v>
      </c>
      <c r="P413" s="8" t="s">
        <v>5475</v>
      </c>
      <c r="Q413" s="8" t="s">
        <v>4262</v>
      </c>
      <c r="R413" s="8">
        <v>0.433</v>
      </c>
      <c r="S413" s="8">
        <v>116538458</v>
      </c>
      <c r="T413" s="8" t="s">
        <v>46</v>
      </c>
      <c r="U413" s="8" t="s">
        <v>25</v>
      </c>
    </row>
    <row r="414" spans="1:21">
      <c r="A414" s="8" t="s">
        <v>5410</v>
      </c>
      <c r="B414" s="8" t="s">
        <v>5477</v>
      </c>
      <c r="C414" s="8">
        <v>57669</v>
      </c>
      <c r="D414" s="8" t="s">
        <v>172</v>
      </c>
      <c r="E414" s="8">
        <v>120833073</v>
      </c>
      <c r="F414" s="8">
        <v>120833073</v>
      </c>
      <c r="G414" s="8" t="s">
        <v>25</v>
      </c>
      <c r="H414" s="8" t="s">
        <v>46</v>
      </c>
      <c r="I414" s="8" t="s">
        <v>23</v>
      </c>
      <c r="J414" s="8" t="s">
        <v>5478</v>
      </c>
      <c r="K414" s="8" t="s">
        <v>5480</v>
      </c>
      <c r="L414" s="8" t="s">
        <v>19</v>
      </c>
      <c r="M414" s="8">
        <v>620</v>
      </c>
      <c r="N414" s="8" t="s">
        <v>3813</v>
      </c>
      <c r="O414" s="8">
        <v>143</v>
      </c>
      <c r="P414" s="8" t="s">
        <v>5479</v>
      </c>
      <c r="Q414" s="8" t="s">
        <v>4262</v>
      </c>
      <c r="R414" s="8">
        <v>0.35299999999999998</v>
      </c>
      <c r="S414" s="8">
        <v>120833073</v>
      </c>
      <c r="T414" s="8" t="s">
        <v>25</v>
      </c>
      <c r="U414" s="8" t="s">
        <v>46</v>
      </c>
    </row>
    <row r="415" spans="1:21">
      <c r="A415" s="8" t="s">
        <v>5410</v>
      </c>
      <c r="B415" s="8" t="s">
        <v>5481</v>
      </c>
      <c r="C415" s="8">
        <v>29842</v>
      </c>
      <c r="D415" s="8" t="s">
        <v>172</v>
      </c>
      <c r="E415" s="8">
        <v>121991700</v>
      </c>
      <c r="F415" s="8">
        <v>121991700</v>
      </c>
      <c r="G415" s="8" t="s">
        <v>41</v>
      </c>
      <c r="H415" s="8" t="s">
        <v>46</v>
      </c>
      <c r="I415" s="8" t="s">
        <v>23</v>
      </c>
      <c r="J415" s="8" t="s">
        <v>5482</v>
      </c>
      <c r="K415" s="8" t="s">
        <v>5484</v>
      </c>
      <c r="L415" s="8" t="s">
        <v>19</v>
      </c>
      <c r="M415" s="8">
        <v>1258</v>
      </c>
      <c r="N415" s="8" t="s">
        <v>5485</v>
      </c>
      <c r="O415" s="8">
        <v>389</v>
      </c>
      <c r="P415" s="8" t="s">
        <v>5483</v>
      </c>
      <c r="Q415" s="8" t="s">
        <v>4262</v>
      </c>
      <c r="R415" s="8">
        <v>0.17799999999999999</v>
      </c>
      <c r="S415" s="8">
        <v>121991700</v>
      </c>
      <c r="T415" s="8" t="s">
        <v>41</v>
      </c>
      <c r="U415" s="8" t="s">
        <v>46</v>
      </c>
    </row>
    <row r="416" spans="1:21">
      <c r="A416" s="8" t="s">
        <v>5410</v>
      </c>
      <c r="B416" s="8" t="s">
        <v>3382</v>
      </c>
      <c r="C416" s="8">
        <v>344148</v>
      </c>
      <c r="D416" s="8" t="s">
        <v>172</v>
      </c>
      <c r="E416" s="8">
        <v>133489486</v>
      </c>
      <c r="F416" s="8">
        <v>133489486</v>
      </c>
      <c r="G416" s="8" t="s">
        <v>24</v>
      </c>
      <c r="H416" s="8" t="s">
        <v>25</v>
      </c>
      <c r="I416" s="8" t="s">
        <v>23</v>
      </c>
      <c r="J416" s="8" t="s">
        <v>5486</v>
      </c>
      <c r="K416" s="8" t="s">
        <v>5488</v>
      </c>
      <c r="L416" s="8" t="s">
        <v>19</v>
      </c>
      <c r="M416" s="8">
        <v>5641</v>
      </c>
      <c r="N416" s="8" t="s">
        <v>2694</v>
      </c>
      <c r="O416" s="8">
        <v>1756</v>
      </c>
      <c r="P416" s="8" t="s">
        <v>5487</v>
      </c>
      <c r="Q416" s="8" t="s">
        <v>4262</v>
      </c>
      <c r="R416" s="8">
        <v>0.45600000000000002</v>
      </c>
      <c r="S416" s="8">
        <v>133489486</v>
      </c>
      <c r="T416" s="8" t="s">
        <v>24</v>
      </c>
      <c r="U416" s="8" t="s">
        <v>25</v>
      </c>
    </row>
    <row r="417" spans="1:21">
      <c r="A417" s="8" t="s">
        <v>5410</v>
      </c>
      <c r="B417" s="8" t="s">
        <v>737</v>
      </c>
      <c r="C417" s="8">
        <v>7273</v>
      </c>
      <c r="D417" s="8" t="s">
        <v>172</v>
      </c>
      <c r="E417" s="8">
        <v>179417398</v>
      </c>
      <c r="F417" s="8">
        <v>179417398</v>
      </c>
      <c r="G417" s="8" t="s">
        <v>25</v>
      </c>
      <c r="H417" s="8" t="s">
        <v>41</v>
      </c>
      <c r="I417" s="8" t="s">
        <v>23</v>
      </c>
      <c r="J417" s="8" t="s">
        <v>4530</v>
      </c>
      <c r="K417" s="8" t="s">
        <v>4532</v>
      </c>
      <c r="L417" s="8" t="s">
        <v>19</v>
      </c>
      <c r="M417" s="8">
        <v>82750</v>
      </c>
      <c r="N417" s="8" t="s">
        <v>40</v>
      </c>
      <c r="O417" s="8">
        <v>27509</v>
      </c>
      <c r="P417" s="8" t="s">
        <v>5489</v>
      </c>
      <c r="Q417" s="8" t="s">
        <v>4262</v>
      </c>
      <c r="R417" s="8">
        <v>0.436</v>
      </c>
      <c r="S417" s="8">
        <v>179417398</v>
      </c>
      <c r="T417" s="8" t="s">
        <v>25</v>
      </c>
      <c r="U417" s="8" t="s">
        <v>41</v>
      </c>
    </row>
    <row r="418" spans="1:21">
      <c r="A418" s="8" t="s">
        <v>5410</v>
      </c>
      <c r="B418" s="8" t="s">
        <v>737</v>
      </c>
      <c r="C418" s="8">
        <v>7273</v>
      </c>
      <c r="D418" s="8" t="s">
        <v>172</v>
      </c>
      <c r="E418" s="8">
        <v>179429825</v>
      </c>
      <c r="F418" s="8">
        <v>179429825</v>
      </c>
      <c r="G418" s="8" t="s">
        <v>41</v>
      </c>
      <c r="H418" s="8" t="s">
        <v>25</v>
      </c>
      <c r="I418" s="8" t="s">
        <v>23</v>
      </c>
      <c r="J418" s="8" t="s">
        <v>4530</v>
      </c>
      <c r="K418" s="8" t="s">
        <v>4532</v>
      </c>
      <c r="L418" s="8" t="s">
        <v>76</v>
      </c>
      <c r="M418" s="8">
        <v>73555</v>
      </c>
      <c r="N418" s="8" t="s">
        <v>1103</v>
      </c>
      <c r="O418" s="8">
        <v>24444</v>
      </c>
      <c r="P418" s="8" t="s">
        <v>5490</v>
      </c>
      <c r="Q418" s="8" t="s">
        <v>4262</v>
      </c>
      <c r="R418" s="8">
        <v>0.42199999999999999</v>
      </c>
      <c r="S418" s="8">
        <v>179429825</v>
      </c>
      <c r="T418" s="8" t="s">
        <v>41</v>
      </c>
      <c r="U418" s="8" t="s">
        <v>25</v>
      </c>
    </row>
    <row r="419" spans="1:21">
      <c r="A419" s="8" t="s">
        <v>5410</v>
      </c>
      <c r="B419" s="8" t="s">
        <v>737</v>
      </c>
      <c r="C419" s="8">
        <v>7273</v>
      </c>
      <c r="D419" s="8" t="s">
        <v>172</v>
      </c>
      <c r="E419" s="8">
        <v>179579895</v>
      </c>
      <c r="F419" s="8">
        <v>179579895</v>
      </c>
      <c r="G419" s="8" t="s">
        <v>41</v>
      </c>
      <c r="H419" s="8" t="s">
        <v>25</v>
      </c>
      <c r="I419" s="8" t="s">
        <v>23</v>
      </c>
      <c r="J419" s="8" t="s">
        <v>4530</v>
      </c>
      <c r="K419" s="8" t="s">
        <v>4532</v>
      </c>
      <c r="L419" s="8" t="s">
        <v>19</v>
      </c>
      <c r="M419" s="8">
        <v>22511</v>
      </c>
      <c r="N419" s="8" t="s">
        <v>3614</v>
      </c>
      <c r="O419" s="8">
        <v>7429</v>
      </c>
      <c r="P419" s="8" t="s">
        <v>5491</v>
      </c>
      <c r="Q419" s="8" t="s">
        <v>4262</v>
      </c>
      <c r="R419" s="8">
        <v>0.39900000000000002</v>
      </c>
      <c r="S419" s="8">
        <v>179579895</v>
      </c>
      <c r="T419" s="8" t="s">
        <v>41</v>
      </c>
      <c r="U419" s="8" t="s">
        <v>25</v>
      </c>
    </row>
    <row r="420" spans="1:21">
      <c r="A420" s="8" t="s">
        <v>5410</v>
      </c>
      <c r="B420" s="8" t="s">
        <v>3651</v>
      </c>
      <c r="C420" s="8">
        <v>6744</v>
      </c>
      <c r="D420" s="8" t="s">
        <v>172</v>
      </c>
      <c r="E420" s="8">
        <v>182780666</v>
      </c>
      <c r="F420" s="8">
        <v>182780666</v>
      </c>
      <c r="G420" s="8" t="s">
        <v>25</v>
      </c>
      <c r="H420" s="8" t="s">
        <v>41</v>
      </c>
      <c r="I420" s="8" t="s">
        <v>23</v>
      </c>
      <c r="J420" s="8" t="s">
        <v>5492</v>
      </c>
      <c r="K420" s="8" t="s">
        <v>5494</v>
      </c>
      <c r="L420" s="8" t="s">
        <v>19</v>
      </c>
      <c r="M420" s="8">
        <v>2621</v>
      </c>
      <c r="N420" s="8" t="s">
        <v>1030</v>
      </c>
      <c r="O420" s="8">
        <v>767</v>
      </c>
      <c r="P420" s="8" t="s">
        <v>5493</v>
      </c>
      <c r="Q420" s="8" t="s">
        <v>4262</v>
      </c>
      <c r="R420" s="8">
        <v>0.48899999999999999</v>
      </c>
      <c r="S420" s="8">
        <v>182780666</v>
      </c>
      <c r="T420" s="8" t="s">
        <v>25</v>
      </c>
      <c r="U420" s="8" t="s">
        <v>41</v>
      </c>
    </row>
    <row r="421" spans="1:21">
      <c r="A421" s="8" t="s">
        <v>5410</v>
      </c>
      <c r="B421" s="8" t="s">
        <v>2622</v>
      </c>
      <c r="C421" s="8">
        <v>57520</v>
      </c>
      <c r="D421" s="8" t="s">
        <v>172</v>
      </c>
      <c r="E421" s="8">
        <v>197183681</v>
      </c>
      <c r="F421" s="8">
        <v>197183681</v>
      </c>
      <c r="G421" s="8" t="s">
        <v>25</v>
      </c>
      <c r="H421" s="8" t="s">
        <v>41</v>
      </c>
      <c r="I421" s="8" t="s">
        <v>23</v>
      </c>
      <c r="J421" s="8" t="s">
        <v>2623</v>
      </c>
      <c r="K421" s="8" t="s">
        <v>5496</v>
      </c>
      <c r="L421" s="8" t="s">
        <v>19</v>
      </c>
      <c r="M421" s="8">
        <v>2116</v>
      </c>
      <c r="N421" s="8" t="s">
        <v>3260</v>
      </c>
      <c r="O421" s="8">
        <v>645</v>
      </c>
      <c r="P421" s="8" t="s">
        <v>5495</v>
      </c>
      <c r="Q421" s="8" t="s">
        <v>4262</v>
      </c>
      <c r="R421" s="8">
        <v>0.434</v>
      </c>
      <c r="S421" s="8">
        <v>197183681</v>
      </c>
      <c r="T421" s="8" t="s">
        <v>25</v>
      </c>
      <c r="U421" s="8" t="s">
        <v>41</v>
      </c>
    </row>
    <row r="422" spans="1:21">
      <c r="A422" s="8" t="s">
        <v>5410</v>
      </c>
      <c r="B422" s="8" t="s">
        <v>1936</v>
      </c>
      <c r="C422" s="8">
        <v>316</v>
      </c>
      <c r="D422" s="8" t="s">
        <v>172</v>
      </c>
      <c r="E422" s="8">
        <v>201488582</v>
      </c>
      <c r="F422" s="8">
        <v>201488582</v>
      </c>
      <c r="G422" s="8" t="s">
        <v>25</v>
      </c>
      <c r="H422" s="8" t="s">
        <v>41</v>
      </c>
      <c r="I422" s="8" t="s">
        <v>23</v>
      </c>
      <c r="J422" s="8" t="s">
        <v>5497</v>
      </c>
      <c r="K422" s="8" t="s">
        <v>5498</v>
      </c>
      <c r="L422" s="8" t="s">
        <v>68</v>
      </c>
      <c r="M422" s="8">
        <v>0</v>
      </c>
      <c r="N422" s="8" t="s">
        <v>35</v>
      </c>
      <c r="O422" s="8">
        <v>0</v>
      </c>
      <c r="P422" s="8" t="s">
        <v>35</v>
      </c>
      <c r="Q422" s="8" t="s">
        <v>4262</v>
      </c>
      <c r="R422" s="8">
        <v>0.372</v>
      </c>
      <c r="S422" s="8">
        <v>201488582</v>
      </c>
      <c r="T422" s="8" t="s">
        <v>25</v>
      </c>
      <c r="U422" s="8" t="s">
        <v>41</v>
      </c>
    </row>
    <row r="423" spans="1:21">
      <c r="A423" s="8" t="s">
        <v>5410</v>
      </c>
      <c r="B423" s="8" t="s">
        <v>3652</v>
      </c>
      <c r="C423" s="8">
        <v>250</v>
      </c>
      <c r="D423" s="8" t="s">
        <v>172</v>
      </c>
      <c r="E423" s="8">
        <v>233243679</v>
      </c>
      <c r="F423" s="8">
        <v>233243679</v>
      </c>
      <c r="G423" s="8" t="s">
        <v>25</v>
      </c>
      <c r="H423" s="8" t="s">
        <v>41</v>
      </c>
      <c r="I423" s="8" t="s">
        <v>23</v>
      </c>
      <c r="J423" s="8" t="s">
        <v>3653</v>
      </c>
      <c r="K423" s="8" t="s">
        <v>5499</v>
      </c>
      <c r="L423" s="8" t="s">
        <v>68</v>
      </c>
      <c r="M423" s="8">
        <v>0</v>
      </c>
      <c r="N423" s="8" t="s">
        <v>35</v>
      </c>
      <c r="O423" s="8">
        <v>0</v>
      </c>
      <c r="P423" s="8" t="s">
        <v>35</v>
      </c>
      <c r="Q423" s="8" t="s">
        <v>4262</v>
      </c>
      <c r="R423" s="8">
        <v>0.72299999999999998</v>
      </c>
      <c r="S423" s="8">
        <v>233243679</v>
      </c>
      <c r="T423" s="8" t="s">
        <v>25</v>
      </c>
      <c r="U423" s="8" t="s">
        <v>41</v>
      </c>
    </row>
    <row r="424" spans="1:21">
      <c r="A424" s="8" t="s">
        <v>5410</v>
      </c>
      <c r="B424" s="8" t="s">
        <v>5500</v>
      </c>
      <c r="C424" s="8">
        <v>54657</v>
      </c>
      <c r="D424" s="8" t="s">
        <v>172</v>
      </c>
      <c r="E424" s="8">
        <v>234628160</v>
      </c>
      <c r="F424" s="8">
        <v>234628160</v>
      </c>
      <c r="G424" s="8" t="s">
        <v>24</v>
      </c>
      <c r="H424" s="8" t="s">
        <v>25</v>
      </c>
      <c r="I424" s="8" t="s">
        <v>23</v>
      </c>
      <c r="J424" s="8" t="s">
        <v>5501</v>
      </c>
      <c r="K424" s="8" t="s">
        <v>5503</v>
      </c>
      <c r="L424" s="8" t="s">
        <v>19</v>
      </c>
      <c r="M424" s="8">
        <v>723</v>
      </c>
      <c r="N424" s="8" t="s">
        <v>1070</v>
      </c>
      <c r="O424" s="8">
        <v>232</v>
      </c>
      <c r="P424" s="8" t="s">
        <v>5502</v>
      </c>
      <c r="Q424" s="8" t="s">
        <v>4262</v>
      </c>
      <c r="R424" s="8">
        <v>0.371</v>
      </c>
      <c r="S424" s="8">
        <v>234628160</v>
      </c>
      <c r="T424" s="8" t="s">
        <v>24</v>
      </c>
      <c r="U424" s="8" t="s">
        <v>25</v>
      </c>
    </row>
    <row r="425" spans="1:21">
      <c r="A425" s="8" t="s">
        <v>5410</v>
      </c>
      <c r="B425" s="8" t="s">
        <v>5504</v>
      </c>
      <c r="C425" s="8">
        <v>11321</v>
      </c>
      <c r="D425" s="8" t="s">
        <v>172</v>
      </c>
      <c r="E425" s="8">
        <v>27861770</v>
      </c>
      <c r="F425" s="8">
        <v>27861770</v>
      </c>
      <c r="G425" s="8" t="s">
        <v>25</v>
      </c>
      <c r="H425" s="8" t="s">
        <v>41</v>
      </c>
      <c r="I425" s="8" t="s">
        <v>23</v>
      </c>
      <c r="J425" s="8" t="s">
        <v>5505</v>
      </c>
      <c r="K425" s="8" t="s">
        <v>5507</v>
      </c>
      <c r="L425" s="8" t="s">
        <v>19</v>
      </c>
      <c r="M425" s="8">
        <v>652</v>
      </c>
      <c r="N425" s="8" t="s">
        <v>1030</v>
      </c>
      <c r="O425" s="8">
        <v>211</v>
      </c>
      <c r="P425" s="8" t="s">
        <v>5506</v>
      </c>
      <c r="Q425" s="8" t="s">
        <v>4262</v>
      </c>
      <c r="R425" s="8">
        <v>0.38800000000000001</v>
      </c>
      <c r="S425" s="8">
        <v>27861770</v>
      </c>
      <c r="T425" s="8" t="s">
        <v>25</v>
      </c>
      <c r="U425" s="8" t="s">
        <v>41</v>
      </c>
    </row>
    <row r="426" spans="1:21">
      <c r="A426" s="8" t="s">
        <v>5410</v>
      </c>
      <c r="B426" s="8" t="s">
        <v>3654</v>
      </c>
      <c r="C426" s="8">
        <v>79745</v>
      </c>
      <c r="D426" s="8" t="s">
        <v>172</v>
      </c>
      <c r="E426" s="8">
        <v>29404590</v>
      </c>
      <c r="F426" s="8">
        <v>29404590</v>
      </c>
      <c r="G426" s="8" t="s">
        <v>46</v>
      </c>
      <c r="H426" s="8" t="s">
        <v>24</v>
      </c>
      <c r="I426" s="8" t="s">
        <v>23</v>
      </c>
      <c r="J426" s="8" t="s">
        <v>3655</v>
      </c>
      <c r="K426" s="8" t="s">
        <v>5509</v>
      </c>
      <c r="L426" s="8" t="s">
        <v>76</v>
      </c>
      <c r="M426" s="8">
        <v>2188</v>
      </c>
      <c r="N426" s="8" t="s">
        <v>2361</v>
      </c>
      <c r="O426" s="8">
        <v>650</v>
      </c>
      <c r="P426" s="8" t="s">
        <v>5508</v>
      </c>
      <c r="Q426" s="8" t="s">
        <v>4262</v>
      </c>
      <c r="R426" s="8">
        <v>0.46500000000000002</v>
      </c>
      <c r="S426" s="8">
        <v>29404590</v>
      </c>
      <c r="T426" s="8" t="s">
        <v>46</v>
      </c>
      <c r="U426" s="8" t="s">
        <v>24</v>
      </c>
    </row>
    <row r="427" spans="1:21">
      <c r="A427" s="8" t="s">
        <v>5410</v>
      </c>
      <c r="B427" s="8" t="s">
        <v>3656</v>
      </c>
      <c r="C427" s="8">
        <v>79413</v>
      </c>
      <c r="D427" s="8" t="s">
        <v>201</v>
      </c>
      <c r="E427" s="8">
        <v>111312865</v>
      </c>
      <c r="F427" s="8">
        <v>111312865</v>
      </c>
      <c r="G427" s="8" t="s">
        <v>24</v>
      </c>
      <c r="H427" s="8" t="s">
        <v>41</v>
      </c>
      <c r="I427" s="8" t="s">
        <v>23</v>
      </c>
      <c r="J427" s="8" t="s">
        <v>3657</v>
      </c>
      <c r="K427" s="8" t="s">
        <v>5511</v>
      </c>
      <c r="L427" s="8" t="s">
        <v>19</v>
      </c>
      <c r="M427" s="8">
        <v>1069</v>
      </c>
      <c r="N427" s="8" t="s">
        <v>2925</v>
      </c>
      <c r="O427" s="8">
        <v>62</v>
      </c>
      <c r="P427" s="8" t="s">
        <v>5510</v>
      </c>
      <c r="Q427" s="8" t="s">
        <v>4262</v>
      </c>
      <c r="R427" s="8">
        <v>0.432</v>
      </c>
      <c r="S427" s="8">
        <v>111312865</v>
      </c>
      <c r="T427" s="8" t="s">
        <v>24</v>
      </c>
      <c r="U427" s="8" t="s">
        <v>41</v>
      </c>
    </row>
    <row r="428" spans="1:21">
      <c r="A428" s="8" t="s">
        <v>5410</v>
      </c>
      <c r="B428" s="8" t="s">
        <v>3658</v>
      </c>
      <c r="C428" s="8">
        <v>165631</v>
      </c>
      <c r="D428" s="8" t="s">
        <v>201</v>
      </c>
      <c r="E428" s="8">
        <v>122354033</v>
      </c>
      <c r="F428" s="8">
        <v>122354033</v>
      </c>
      <c r="G428" s="8" t="s">
        <v>24</v>
      </c>
      <c r="H428" s="8" t="s">
        <v>46</v>
      </c>
      <c r="I428" s="8" t="s">
        <v>23</v>
      </c>
      <c r="J428" s="8" t="s">
        <v>5512</v>
      </c>
      <c r="K428" s="8" t="s">
        <v>5514</v>
      </c>
      <c r="L428" s="8" t="s">
        <v>19</v>
      </c>
      <c r="M428" s="8">
        <v>1805</v>
      </c>
      <c r="N428" s="8" t="s">
        <v>3047</v>
      </c>
      <c r="O428" s="8">
        <v>580</v>
      </c>
      <c r="P428" s="8" t="s">
        <v>5513</v>
      </c>
      <c r="Q428" s="8" t="s">
        <v>4262</v>
      </c>
      <c r="R428" s="8">
        <v>0.36399999999999999</v>
      </c>
      <c r="S428" s="8">
        <v>122354033</v>
      </c>
      <c r="T428" s="8" t="s">
        <v>24</v>
      </c>
      <c r="U428" s="8" t="s">
        <v>46</v>
      </c>
    </row>
    <row r="429" spans="1:21">
      <c r="A429" s="8" t="s">
        <v>5410</v>
      </c>
      <c r="B429" s="8" t="s">
        <v>5515</v>
      </c>
      <c r="C429" s="8">
        <v>23200</v>
      </c>
      <c r="D429" s="8" t="s">
        <v>201</v>
      </c>
      <c r="E429" s="8">
        <v>182584154</v>
      </c>
      <c r="F429" s="8">
        <v>182584154</v>
      </c>
      <c r="G429" s="8" t="s">
        <v>25</v>
      </c>
      <c r="H429" s="8" t="s">
        <v>41</v>
      </c>
      <c r="I429" s="8" t="s">
        <v>23</v>
      </c>
      <c r="J429" s="8" t="s">
        <v>5516</v>
      </c>
      <c r="K429" s="8" t="s">
        <v>5518</v>
      </c>
      <c r="L429" s="8" t="s">
        <v>19</v>
      </c>
      <c r="M429" s="8">
        <v>1799</v>
      </c>
      <c r="N429" s="8" t="s">
        <v>1231</v>
      </c>
      <c r="O429" s="8">
        <v>514</v>
      </c>
      <c r="P429" s="8" t="s">
        <v>5517</v>
      </c>
      <c r="Q429" s="8" t="s">
        <v>4262</v>
      </c>
      <c r="R429" s="8">
        <v>0.38900000000000001</v>
      </c>
      <c r="S429" s="8">
        <v>182584154</v>
      </c>
      <c r="T429" s="8" t="s">
        <v>25</v>
      </c>
      <c r="U429" s="8" t="s">
        <v>41</v>
      </c>
    </row>
    <row r="430" spans="1:21">
      <c r="A430" s="8" t="s">
        <v>5410</v>
      </c>
      <c r="B430" s="8" t="s">
        <v>1955</v>
      </c>
      <c r="C430" s="8">
        <v>3556</v>
      </c>
      <c r="D430" s="8" t="s">
        <v>201</v>
      </c>
      <c r="E430" s="8">
        <v>190363633</v>
      </c>
      <c r="F430" s="8">
        <v>190363633</v>
      </c>
      <c r="G430" s="8" t="s">
        <v>41</v>
      </c>
      <c r="H430" s="8" t="s">
        <v>46</v>
      </c>
      <c r="I430" s="8" t="s">
        <v>23</v>
      </c>
      <c r="J430" s="8" t="s">
        <v>5519</v>
      </c>
      <c r="K430" s="8" t="s">
        <v>5520</v>
      </c>
      <c r="L430" s="8" t="s">
        <v>68</v>
      </c>
      <c r="M430" s="8">
        <v>0</v>
      </c>
      <c r="N430" s="8" t="s">
        <v>35</v>
      </c>
      <c r="O430" s="8">
        <v>0</v>
      </c>
      <c r="P430" s="8" t="s">
        <v>35</v>
      </c>
      <c r="Q430" s="8" t="s">
        <v>4262</v>
      </c>
      <c r="R430" s="8">
        <v>0.33300000000000002</v>
      </c>
      <c r="S430" s="8">
        <v>190363633</v>
      </c>
      <c r="T430" s="8" t="s">
        <v>41</v>
      </c>
      <c r="U430" s="8" t="s">
        <v>46</v>
      </c>
    </row>
    <row r="431" spans="1:21">
      <c r="A431" s="8" t="s">
        <v>5410</v>
      </c>
      <c r="B431" s="8" t="s">
        <v>5521</v>
      </c>
      <c r="C431" s="8">
        <v>258</v>
      </c>
      <c r="D431" s="8" t="s">
        <v>220</v>
      </c>
      <c r="E431" s="8">
        <v>71472086</v>
      </c>
      <c r="F431" s="8">
        <v>71472086</v>
      </c>
      <c r="G431" s="8" t="s">
        <v>41</v>
      </c>
      <c r="H431" s="8" t="s">
        <v>46</v>
      </c>
      <c r="I431" s="8" t="s">
        <v>23</v>
      </c>
      <c r="J431" s="8" t="s">
        <v>5522</v>
      </c>
      <c r="K431" s="8" t="s">
        <v>5524</v>
      </c>
      <c r="L431" s="8" t="s">
        <v>19</v>
      </c>
      <c r="M431" s="8">
        <v>1058</v>
      </c>
      <c r="N431" s="8" t="s">
        <v>3156</v>
      </c>
      <c r="O431" s="8">
        <v>328</v>
      </c>
      <c r="P431" s="8" t="s">
        <v>5523</v>
      </c>
      <c r="Q431" s="8" t="s">
        <v>4262</v>
      </c>
      <c r="R431" s="8">
        <v>0.184</v>
      </c>
      <c r="S431" s="8">
        <v>71472086</v>
      </c>
      <c r="T431" s="8" t="s">
        <v>41</v>
      </c>
      <c r="U431" s="8" t="s">
        <v>46</v>
      </c>
    </row>
    <row r="432" spans="1:21">
      <c r="A432" s="8" t="s">
        <v>5410</v>
      </c>
      <c r="B432" s="8" t="s">
        <v>3665</v>
      </c>
      <c r="C432" s="8">
        <v>9508</v>
      </c>
      <c r="D432" s="8" t="s">
        <v>220</v>
      </c>
      <c r="E432" s="8">
        <v>73179515</v>
      </c>
      <c r="F432" s="8">
        <v>73179515</v>
      </c>
      <c r="G432" s="8" t="s">
        <v>25</v>
      </c>
      <c r="H432" s="8" t="s">
        <v>41</v>
      </c>
      <c r="I432" s="8" t="s">
        <v>23</v>
      </c>
      <c r="J432" s="8" t="s">
        <v>3666</v>
      </c>
      <c r="K432" s="8" t="s">
        <v>5526</v>
      </c>
      <c r="L432" s="8" t="s">
        <v>19</v>
      </c>
      <c r="M432" s="8">
        <v>1661</v>
      </c>
      <c r="N432" s="8" t="s">
        <v>40</v>
      </c>
      <c r="O432" s="8">
        <v>542</v>
      </c>
      <c r="P432" s="8" t="s">
        <v>5525</v>
      </c>
      <c r="Q432" s="8" t="s">
        <v>4262</v>
      </c>
      <c r="R432" s="8">
        <v>0.63</v>
      </c>
      <c r="S432" s="8">
        <v>73179515</v>
      </c>
      <c r="T432" s="8" t="s">
        <v>25</v>
      </c>
      <c r="U432" s="8" t="s">
        <v>41</v>
      </c>
    </row>
    <row r="433" spans="1:21">
      <c r="A433" s="8" t="s">
        <v>5410</v>
      </c>
      <c r="B433" s="8" t="s">
        <v>3667</v>
      </c>
      <c r="C433" s="8">
        <v>10855</v>
      </c>
      <c r="D433" s="8" t="s">
        <v>220</v>
      </c>
      <c r="E433" s="8">
        <v>84230640</v>
      </c>
      <c r="F433" s="8">
        <v>84230640</v>
      </c>
      <c r="G433" s="8" t="s">
        <v>25</v>
      </c>
      <c r="H433" s="8" t="s">
        <v>41</v>
      </c>
      <c r="I433" s="8" t="s">
        <v>23</v>
      </c>
      <c r="J433" s="8" t="s">
        <v>5527</v>
      </c>
      <c r="K433" s="8" t="s">
        <v>5529</v>
      </c>
      <c r="L433" s="8" t="s">
        <v>76</v>
      </c>
      <c r="M433" s="8">
        <v>998</v>
      </c>
      <c r="N433" s="8" t="s">
        <v>3668</v>
      </c>
      <c r="O433" s="8">
        <v>300</v>
      </c>
      <c r="P433" s="8" t="s">
        <v>5528</v>
      </c>
      <c r="Q433" s="8" t="s">
        <v>4262</v>
      </c>
      <c r="R433" s="8">
        <v>0.78800000000000003</v>
      </c>
      <c r="S433" s="8">
        <v>84230640</v>
      </c>
      <c r="T433" s="8" t="s">
        <v>25</v>
      </c>
      <c r="U433" s="8" t="s">
        <v>41</v>
      </c>
    </row>
    <row r="434" spans="1:21">
      <c r="A434" s="8" t="s">
        <v>5410</v>
      </c>
      <c r="B434" s="8" t="s">
        <v>5530</v>
      </c>
      <c r="C434" s="8">
        <v>79625</v>
      </c>
      <c r="D434" s="8" t="s">
        <v>220</v>
      </c>
      <c r="E434" s="8">
        <v>121957707</v>
      </c>
      <c r="F434" s="8">
        <v>121957707</v>
      </c>
      <c r="G434" s="8" t="s">
        <v>46</v>
      </c>
      <c r="H434" s="8" t="s">
        <v>24</v>
      </c>
      <c r="I434" s="8" t="s">
        <v>23</v>
      </c>
      <c r="J434" s="8" t="s">
        <v>5531</v>
      </c>
      <c r="K434" s="8" t="s">
        <v>5533</v>
      </c>
      <c r="L434" s="8" t="s">
        <v>19</v>
      </c>
      <c r="M434" s="8">
        <v>1946</v>
      </c>
      <c r="N434" s="8" t="s">
        <v>969</v>
      </c>
      <c r="O434" s="8">
        <v>473</v>
      </c>
      <c r="P434" s="8" t="s">
        <v>5532</v>
      </c>
      <c r="Q434" s="8" t="s">
        <v>4262</v>
      </c>
      <c r="R434" s="8">
        <v>7.0999999999999994E-2</v>
      </c>
      <c r="S434" s="8">
        <v>121957707</v>
      </c>
      <c r="T434" s="8" t="s">
        <v>46</v>
      </c>
      <c r="U434" s="8" t="s">
        <v>24</v>
      </c>
    </row>
    <row r="435" spans="1:21">
      <c r="A435" s="8" t="s">
        <v>5410</v>
      </c>
      <c r="B435" s="8" t="s">
        <v>3661</v>
      </c>
      <c r="C435" s="8">
        <v>51809</v>
      </c>
      <c r="D435" s="8" t="s">
        <v>220</v>
      </c>
      <c r="E435" s="8">
        <v>174169258</v>
      </c>
      <c r="F435" s="8">
        <v>174169258</v>
      </c>
      <c r="G435" s="8" t="s">
        <v>41</v>
      </c>
      <c r="H435" s="8" t="s">
        <v>25</v>
      </c>
      <c r="I435" s="8" t="s">
        <v>23</v>
      </c>
      <c r="J435" s="8" t="s">
        <v>3662</v>
      </c>
      <c r="K435" s="8" t="s">
        <v>4627</v>
      </c>
      <c r="L435" s="8" t="s">
        <v>19</v>
      </c>
      <c r="M435" s="8">
        <v>337</v>
      </c>
      <c r="N435" s="8" t="s">
        <v>1416</v>
      </c>
      <c r="O435" s="8">
        <v>85</v>
      </c>
      <c r="P435" s="8" t="s">
        <v>5534</v>
      </c>
      <c r="Q435" s="8" t="s">
        <v>4262</v>
      </c>
      <c r="R435" s="8">
        <v>0.47899999999999998</v>
      </c>
      <c r="S435" s="8">
        <v>174169258</v>
      </c>
      <c r="T435" s="8" t="s">
        <v>41</v>
      </c>
      <c r="U435" s="8" t="s">
        <v>25</v>
      </c>
    </row>
    <row r="436" spans="1:21">
      <c r="A436" s="8" t="s">
        <v>5410</v>
      </c>
      <c r="B436" s="8" t="s">
        <v>2700</v>
      </c>
      <c r="C436" s="8">
        <v>8470</v>
      </c>
      <c r="D436" s="8" t="s">
        <v>220</v>
      </c>
      <c r="E436" s="8">
        <v>186544656</v>
      </c>
      <c r="F436" s="8">
        <v>186544656</v>
      </c>
      <c r="G436" s="8" t="s">
        <v>41</v>
      </c>
      <c r="H436" s="8" t="s">
        <v>25</v>
      </c>
      <c r="I436" s="8" t="s">
        <v>23</v>
      </c>
      <c r="J436" s="8" t="s">
        <v>5535</v>
      </c>
      <c r="K436" s="8" t="s">
        <v>5537</v>
      </c>
      <c r="L436" s="8" t="s">
        <v>19</v>
      </c>
      <c r="M436" s="8">
        <v>2773</v>
      </c>
      <c r="N436" s="8" t="s">
        <v>1030</v>
      </c>
      <c r="O436" s="8">
        <v>639</v>
      </c>
      <c r="P436" s="8" t="s">
        <v>5536</v>
      </c>
      <c r="Q436" s="8" t="s">
        <v>4262</v>
      </c>
      <c r="R436" s="8">
        <v>0.35399999999999998</v>
      </c>
      <c r="S436" s="8">
        <v>186544656</v>
      </c>
      <c r="T436" s="8" t="s">
        <v>41</v>
      </c>
      <c r="U436" s="8" t="s">
        <v>25</v>
      </c>
    </row>
    <row r="437" spans="1:21">
      <c r="A437" s="8" t="s">
        <v>5410</v>
      </c>
      <c r="B437" s="8" t="s">
        <v>2193</v>
      </c>
      <c r="C437" s="8">
        <v>2195</v>
      </c>
      <c r="D437" s="8" t="s">
        <v>220</v>
      </c>
      <c r="E437" s="8">
        <v>187541302</v>
      </c>
      <c r="F437" s="8">
        <v>187541302</v>
      </c>
      <c r="G437" s="8" t="s">
        <v>41</v>
      </c>
      <c r="H437" s="8" t="s">
        <v>25</v>
      </c>
      <c r="I437" s="8" t="s">
        <v>23</v>
      </c>
      <c r="J437" s="8" t="s">
        <v>3663</v>
      </c>
      <c r="K437" s="8" t="s">
        <v>5539</v>
      </c>
      <c r="L437" s="8" t="s">
        <v>19</v>
      </c>
      <c r="M437" s="8">
        <v>6626</v>
      </c>
      <c r="N437" s="8" t="s">
        <v>3664</v>
      </c>
      <c r="O437" s="8">
        <v>2146</v>
      </c>
      <c r="P437" s="8" t="s">
        <v>5538</v>
      </c>
      <c r="Q437" s="8" t="s">
        <v>4262</v>
      </c>
      <c r="R437" s="8">
        <v>0.73299999999999998</v>
      </c>
      <c r="S437" s="8">
        <v>187541302</v>
      </c>
      <c r="T437" s="8" t="s">
        <v>41</v>
      </c>
      <c r="U437" s="8" t="s">
        <v>25</v>
      </c>
    </row>
    <row r="438" spans="1:21">
      <c r="A438" s="8" t="s">
        <v>5410</v>
      </c>
      <c r="B438" s="8" t="s">
        <v>5540</v>
      </c>
      <c r="C438" s="8">
        <v>10463</v>
      </c>
      <c r="D438" s="8" t="s">
        <v>220</v>
      </c>
      <c r="E438" s="8">
        <v>42067331</v>
      </c>
      <c r="F438" s="8">
        <v>42067331</v>
      </c>
      <c r="G438" s="8" t="s">
        <v>25</v>
      </c>
      <c r="H438" s="8" t="s">
        <v>41</v>
      </c>
      <c r="I438" s="8" t="s">
        <v>23</v>
      </c>
      <c r="J438" s="8" t="s">
        <v>5541</v>
      </c>
      <c r="K438" s="8" t="s">
        <v>5543</v>
      </c>
      <c r="L438" s="8" t="s">
        <v>19</v>
      </c>
      <c r="M438" s="8">
        <v>1183</v>
      </c>
      <c r="N438" s="8" t="s">
        <v>3761</v>
      </c>
      <c r="O438" s="8">
        <v>346</v>
      </c>
      <c r="P438" s="8" t="s">
        <v>5542</v>
      </c>
      <c r="Q438" s="8" t="s">
        <v>4262</v>
      </c>
      <c r="R438" s="8">
        <v>0.40300000000000002</v>
      </c>
      <c r="S438" s="8">
        <v>42067331</v>
      </c>
      <c r="T438" s="8" t="s">
        <v>25</v>
      </c>
      <c r="U438" s="8" t="s">
        <v>41</v>
      </c>
    </row>
    <row r="439" spans="1:21">
      <c r="A439" s="8" t="s">
        <v>5410</v>
      </c>
      <c r="B439" s="8" t="s">
        <v>5544</v>
      </c>
      <c r="C439" s="8">
        <v>79722</v>
      </c>
      <c r="D439" s="8" t="s">
        <v>226</v>
      </c>
      <c r="E439" s="8">
        <v>55407026</v>
      </c>
      <c r="F439" s="8">
        <v>55407026</v>
      </c>
      <c r="G439" s="8" t="s">
        <v>46</v>
      </c>
      <c r="H439" s="8" t="s">
        <v>25</v>
      </c>
      <c r="I439" s="8" t="s">
        <v>23</v>
      </c>
      <c r="J439" s="8" t="s">
        <v>5545</v>
      </c>
      <c r="K439" s="8" t="s">
        <v>5547</v>
      </c>
      <c r="L439" s="8" t="s">
        <v>19</v>
      </c>
      <c r="M439" s="8">
        <v>1701</v>
      </c>
      <c r="N439" s="8" t="s">
        <v>463</v>
      </c>
      <c r="O439" s="8">
        <v>517</v>
      </c>
      <c r="P439" s="8" t="s">
        <v>5546</v>
      </c>
      <c r="Q439" s="8" t="s">
        <v>4262</v>
      </c>
      <c r="R439" s="8">
        <v>0.38900000000000001</v>
      </c>
      <c r="S439" s="8">
        <v>55407026</v>
      </c>
      <c r="T439" s="8" t="s">
        <v>46</v>
      </c>
      <c r="U439" s="8" t="s">
        <v>25</v>
      </c>
    </row>
    <row r="440" spans="1:21">
      <c r="A440" s="8" t="s">
        <v>5410</v>
      </c>
      <c r="B440" s="8" t="s">
        <v>3684</v>
      </c>
      <c r="C440" s="8">
        <v>9456</v>
      </c>
      <c r="D440" s="8" t="s">
        <v>226</v>
      </c>
      <c r="E440" s="8">
        <v>78734924</v>
      </c>
      <c r="F440" s="8">
        <v>78734924</v>
      </c>
      <c r="G440" s="8" t="s">
        <v>41</v>
      </c>
      <c r="H440" s="8" t="s">
        <v>25</v>
      </c>
      <c r="I440" s="8" t="s">
        <v>23</v>
      </c>
      <c r="J440" s="8" t="s">
        <v>3685</v>
      </c>
      <c r="K440" s="8" t="s">
        <v>5549</v>
      </c>
      <c r="L440" s="8" t="s">
        <v>19</v>
      </c>
      <c r="M440" s="8">
        <v>1539</v>
      </c>
      <c r="N440" s="8" t="s">
        <v>3131</v>
      </c>
      <c r="O440" s="8">
        <v>146</v>
      </c>
      <c r="P440" s="8" t="s">
        <v>5548</v>
      </c>
      <c r="Q440" s="8" t="s">
        <v>4262</v>
      </c>
      <c r="R440" s="8">
        <v>0.42699999999999999</v>
      </c>
      <c r="S440" s="8">
        <v>78734924</v>
      </c>
      <c r="T440" s="8" t="s">
        <v>41</v>
      </c>
      <c r="U440" s="8" t="s">
        <v>25</v>
      </c>
    </row>
    <row r="441" spans="1:21">
      <c r="A441" s="8" t="s">
        <v>5410</v>
      </c>
      <c r="B441" s="8" t="s">
        <v>5550</v>
      </c>
      <c r="C441" s="8">
        <v>9867</v>
      </c>
      <c r="D441" s="8" t="s">
        <v>226</v>
      </c>
      <c r="E441" s="8">
        <v>108691690</v>
      </c>
      <c r="F441" s="8">
        <v>108691690</v>
      </c>
      <c r="G441" s="8" t="s">
        <v>46</v>
      </c>
      <c r="H441" s="8" t="s">
        <v>25</v>
      </c>
      <c r="I441" s="8" t="s">
        <v>23</v>
      </c>
      <c r="J441" s="8" t="s">
        <v>5551</v>
      </c>
      <c r="K441" s="8" t="s">
        <v>5553</v>
      </c>
      <c r="L441" s="8" t="s">
        <v>76</v>
      </c>
      <c r="M441" s="8">
        <v>1910</v>
      </c>
      <c r="N441" s="8" t="s">
        <v>625</v>
      </c>
      <c r="O441" s="8">
        <v>564</v>
      </c>
      <c r="P441" s="8" t="s">
        <v>5552</v>
      </c>
      <c r="Q441" s="8" t="s">
        <v>4262</v>
      </c>
      <c r="R441" s="8">
        <v>0.38300000000000001</v>
      </c>
      <c r="S441" s="8">
        <v>108691690</v>
      </c>
      <c r="T441" s="8" t="s">
        <v>46</v>
      </c>
      <c r="U441" s="8" t="s">
        <v>25</v>
      </c>
    </row>
    <row r="442" spans="1:21">
      <c r="A442" s="8" t="s">
        <v>5410</v>
      </c>
      <c r="B442" s="8" t="s">
        <v>3670</v>
      </c>
      <c r="C442" s="8">
        <v>2201</v>
      </c>
      <c r="D442" s="8" t="s">
        <v>226</v>
      </c>
      <c r="E442" s="8">
        <v>127626535</v>
      </c>
      <c r="F442" s="8">
        <v>127626535</v>
      </c>
      <c r="G442" s="8" t="s">
        <v>41</v>
      </c>
      <c r="H442" s="8" t="s">
        <v>25</v>
      </c>
      <c r="I442" s="8" t="s">
        <v>23</v>
      </c>
      <c r="J442" s="8" t="s">
        <v>3671</v>
      </c>
      <c r="K442" s="8" t="s">
        <v>4654</v>
      </c>
      <c r="L442" s="8" t="s">
        <v>76</v>
      </c>
      <c r="M442" s="8">
        <v>6773</v>
      </c>
      <c r="N442" s="8" t="s">
        <v>1103</v>
      </c>
      <c r="O442" s="8">
        <v>2112</v>
      </c>
      <c r="P442" s="8" t="s">
        <v>5554</v>
      </c>
      <c r="Q442" s="8" t="s">
        <v>5555</v>
      </c>
      <c r="R442" s="8">
        <v>0.45300000000000001</v>
      </c>
      <c r="S442" s="8">
        <v>127626535</v>
      </c>
      <c r="T442" s="8" t="s">
        <v>41</v>
      </c>
      <c r="U442" s="8" t="s">
        <v>25</v>
      </c>
    </row>
    <row r="443" spans="1:21">
      <c r="A443" s="8" t="s">
        <v>5410</v>
      </c>
      <c r="B443" s="8" t="s">
        <v>3672</v>
      </c>
      <c r="C443" s="8">
        <v>51520</v>
      </c>
      <c r="D443" s="8" t="s">
        <v>226</v>
      </c>
      <c r="E443" s="8">
        <v>145547830</v>
      </c>
      <c r="F443" s="8">
        <v>145547830</v>
      </c>
      <c r="G443" s="8" t="s">
        <v>41</v>
      </c>
      <c r="H443" s="8" t="s">
        <v>25</v>
      </c>
      <c r="I443" s="8" t="s">
        <v>23</v>
      </c>
      <c r="J443" s="8" t="s">
        <v>3673</v>
      </c>
      <c r="K443" s="8" t="s">
        <v>5556</v>
      </c>
      <c r="L443" s="8" t="s">
        <v>68</v>
      </c>
      <c r="M443" s="8">
        <v>0</v>
      </c>
      <c r="N443" s="8" t="s">
        <v>35</v>
      </c>
      <c r="O443" s="8">
        <v>0</v>
      </c>
      <c r="P443" s="8" t="s">
        <v>35</v>
      </c>
      <c r="Q443" s="8" t="s">
        <v>4262</v>
      </c>
      <c r="R443" s="8">
        <v>0.40899999999999997</v>
      </c>
      <c r="S443" s="8">
        <v>145547830</v>
      </c>
      <c r="T443" s="8" t="s">
        <v>41</v>
      </c>
      <c r="U443" s="8" t="s">
        <v>25</v>
      </c>
    </row>
    <row r="444" spans="1:21">
      <c r="A444" s="8" t="s">
        <v>5410</v>
      </c>
      <c r="B444" s="8" t="s">
        <v>3674</v>
      </c>
      <c r="C444" s="8">
        <v>5159</v>
      </c>
      <c r="D444" s="8" t="s">
        <v>226</v>
      </c>
      <c r="E444" s="8">
        <v>149500462</v>
      </c>
      <c r="F444" s="8">
        <v>149500462</v>
      </c>
      <c r="G444" s="8" t="s">
        <v>25</v>
      </c>
      <c r="H444" s="8" t="s">
        <v>46</v>
      </c>
      <c r="I444" s="8" t="s">
        <v>23</v>
      </c>
      <c r="J444" s="8" t="s">
        <v>3675</v>
      </c>
      <c r="K444" s="8" t="s">
        <v>5558</v>
      </c>
      <c r="L444" s="8" t="s">
        <v>19</v>
      </c>
      <c r="M444" s="8">
        <v>3044</v>
      </c>
      <c r="N444" s="8" t="s">
        <v>3207</v>
      </c>
      <c r="O444" s="8">
        <v>859</v>
      </c>
      <c r="P444" s="8" t="s">
        <v>5557</v>
      </c>
      <c r="Q444" s="8" t="s">
        <v>4262</v>
      </c>
      <c r="R444" s="8">
        <v>0.5</v>
      </c>
      <c r="S444" s="8">
        <v>149500462</v>
      </c>
      <c r="T444" s="8" t="s">
        <v>25</v>
      </c>
      <c r="U444" s="8" t="s">
        <v>46</v>
      </c>
    </row>
    <row r="445" spans="1:21">
      <c r="A445" s="8" t="s">
        <v>5410</v>
      </c>
      <c r="B445" s="8" t="s">
        <v>5559</v>
      </c>
      <c r="C445" s="8">
        <v>3182</v>
      </c>
      <c r="D445" s="8" t="s">
        <v>226</v>
      </c>
      <c r="E445" s="8">
        <v>177634207</v>
      </c>
      <c r="F445" s="8">
        <v>177634207</v>
      </c>
      <c r="G445" s="8" t="s">
        <v>25</v>
      </c>
      <c r="H445" s="8" t="s">
        <v>46</v>
      </c>
      <c r="I445" s="8" t="s">
        <v>23</v>
      </c>
      <c r="J445" s="8" t="s">
        <v>5560</v>
      </c>
      <c r="K445" s="8" t="s">
        <v>5562</v>
      </c>
      <c r="L445" s="8" t="s">
        <v>19</v>
      </c>
      <c r="M445" s="8">
        <v>907</v>
      </c>
      <c r="N445" s="8" t="s">
        <v>3600</v>
      </c>
      <c r="O445" s="8">
        <v>217</v>
      </c>
      <c r="P445" s="8" t="s">
        <v>5561</v>
      </c>
      <c r="Q445" s="8" t="s">
        <v>4262</v>
      </c>
      <c r="R445" s="8">
        <v>0.42599999999999999</v>
      </c>
      <c r="S445" s="8">
        <v>177634207</v>
      </c>
      <c r="T445" s="8" t="s">
        <v>25</v>
      </c>
      <c r="U445" s="8" t="s">
        <v>46</v>
      </c>
    </row>
    <row r="446" spans="1:21">
      <c r="A446" s="8" t="s">
        <v>5410</v>
      </c>
      <c r="B446" s="8" t="s">
        <v>3676</v>
      </c>
      <c r="C446" s="8">
        <v>23061</v>
      </c>
      <c r="D446" s="8" t="s">
        <v>226</v>
      </c>
      <c r="E446" s="8">
        <v>179302107</v>
      </c>
      <c r="F446" s="8">
        <v>179302107</v>
      </c>
      <c r="G446" s="8" t="s">
        <v>46</v>
      </c>
      <c r="H446" s="8" t="s">
        <v>25</v>
      </c>
      <c r="I446" s="8" t="s">
        <v>23</v>
      </c>
      <c r="J446" s="8" t="s">
        <v>5563</v>
      </c>
      <c r="K446" s="8" t="s">
        <v>5565</v>
      </c>
      <c r="L446" s="8" t="s">
        <v>19</v>
      </c>
      <c r="M446" s="8">
        <v>2016</v>
      </c>
      <c r="N446" s="8" t="s">
        <v>132</v>
      </c>
      <c r="O446" s="8">
        <v>661</v>
      </c>
      <c r="P446" s="8" t="s">
        <v>5564</v>
      </c>
      <c r="Q446" s="8" t="s">
        <v>4262</v>
      </c>
      <c r="R446" s="8">
        <v>0.41299999999999998</v>
      </c>
      <c r="S446" s="8">
        <v>179302107</v>
      </c>
      <c r="T446" s="8" t="s">
        <v>46</v>
      </c>
      <c r="U446" s="8" t="s">
        <v>25</v>
      </c>
    </row>
    <row r="447" spans="1:21">
      <c r="A447" s="8" t="s">
        <v>5410</v>
      </c>
      <c r="B447" s="8" t="s">
        <v>3677</v>
      </c>
      <c r="C447" s="8">
        <v>9945</v>
      </c>
      <c r="D447" s="8" t="s">
        <v>226</v>
      </c>
      <c r="E447" s="8">
        <v>179743449</v>
      </c>
      <c r="F447" s="8">
        <v>179743449</v>
      </c>
      <c r="G447" s="8" t="s">
        <v>25</v>
      </c>
      <c r="H447" s="8" t="s">
        <v>41</v>
      </c>
      <c r="I447" s="8" t="s">
        <v>23</v>
      </c>
      <c r="J447" s="8" t="s">
        <v>3678</v>
      </c>
      <c r="K447" s="8" t="s">
        <v>5567</v>
      </c>
      <c r="L447" s="8" t="s">
        <v>19</v>
      </c>
      <c r="M447" s="8">
        <v>1263</v>
      </c>
      <c r="N447" s="8" t="s">
        <v>3316</v>
      </c>
      <c r="O447" s="8">
        <v>389</v>
      </c>
      <c r="P447" s="8" t="s">
        <v>5566</v>
      </c>
      <c r="Q447" s="8" t="s">
        <v>4262</v>
      </c>
      <c r="R447" s="8">
        <v>0.433</v>
      </c>
      <c r="S447" s="8">
        <v>179743449</v>
      </c>
      <c r="T447" s="8" t="s">
        <v>25</v>
      </c>
      <c r="U447" s="8" t="s">
        <v>41</v>
      </c>
    </row>
    <row r="448" spans="1:21">
      <c r="A448" s="8" t="s">
        <v>5410</v>
      </c>
      <c r="B448" s="8" t="s">
        <v>3679</v>
      </c>
      <c r="C448" s="8">
        <v>2324</v>
      </c>
      <c r="D448" s="8" t="s">
        <v>226</v>
      </c>
      <c r="E448" s="8">
        <v>180056954</v>
      </c>
      <c r="F448" s="8">
        <v>180056954</v>
      </c>
      <c r="G448" s="8" t="s">
        <v>25</v>
      </c>
      <c r="H448" s="8" t="s">
        <v>41</v>
      </c>
      <c r="I448" s="8" t="s">
        <v>23</v>
      </c>
      <c r="J448" s="8" t="s">
        <v>5568</v>
      </c>
      <c r="K448" s="8" t="s">
        <v>5570</v>
      </c>
      <c r="L448" s="8" t="s">
        <v>19</v>
      </c>
      <c r="M448" s="8">
        <v>744</v>
      </c>
      <c r="N448" s="8" t="s">
        <v>1046</v>
      </c>
      <c r="O448" s="8">
        <v>222</v>
      </c>
      <c r="P448" s="8" t="s">
        <v>5569</v>
      </c>
      <c r="Q448" s="8" t="s">
        <v>4262</v>
      </c>
      <c r="R448" s="8">
        <v>0.378</v>
      </c>
      <c r="S448" s="8">
        <v>180056954</v>
      </c>
      <c r="T448" s="8" t="s">
        <v>25</v>
      </c>
      <c r="U448" s="8" t="s">
        <v>41</v>
      </c>
    </row>
    <row r="449" spans="1:21">
      <c r="A449" s="8" t="s">
        <v>5410</v>
      </c>
      <c r="B449" s="8" t="s">
        <v>3680</v>
      </c>
      <c r="C449" s="8">
        <v>65250</v>
      </c>
      <c r="D449" s="8" t="s">
        <v>226</v>
      </c>
      <c r="E449" s="8">
        <v>37120381</v>
      </c>
      <c r="F449" s="8">
        <v>37120381</v>
      </c>
      <c r="G449" s="8" t="s">
        <v>41</v>
      </c>
      <c r="H449" s="8" t="s">
        <v>25</v>
      </c>
      <c r="I449" s="8" t="s">
        <v>23</v>
      </c>
      <c r="J449" s="8" t="s">
        <v>3681</v>
      </c>
      <c r="K449" s="8" t="s">
        <v>5572</v>
      </c>
      <c r="L449" s="8" t="s">
        <v>76</v>
      </c>
      <c r="M449" s="8">
        <v>9316</v>
      </c>
      <c r="N449" s="8" t="s">
        <v>2961</v>
      </c>
      <c r="O449" s="8">
        <v>3029</v>
      </c>
      <c r="P449" s="8" t="s">
        <v>5571</v>
      </c>
      <c r="Q449" s="8" t="s">
        <v>4262</v>
      </c>
      <c r="R449" s="8">
        <v>0.439</v>
      </c>
      <c r="S449" s="8">
        <v>37120381</v>
      </c>
      <c r="T449" s="8" t="s">
        <v>41</v>
      </c>
      <c r="U449" s="8" t="s">
        <v>25</v>
      </c>
    </row>
    <row r="450" spans="1:21">
      <c r="A450" s="8" t="s">
        <v>5410</v>
      </c>
      <c r="B450" s="8" t="s">
        <v>3682</v>
      </c>
      <c r="C450" s="8">
        <v>253260</v>
      </c>
      <c r="D450" s="8" t="s">
        <v>226</v>
      </c>
      <c r="E450" s="8">
        <v>38950244</v>
      </c>
      <c r="F450" s="8">
        <v>38950244</v>
      </c>
      <c r="G450" s="8" t="s">
        <v>24</v>
      </c>
      <c r="H450" s="8" t="s">
        <v>46</v>
      </c>
      <c r="I450" s="8" t="s">
        <v>23</v>
      </c>
      <c r="J450" s="8" t="s">
        <v>3683</v>
      </c>
      <c r="K450" s="8" t="s">
        <v>5574</v>
      </c>
      <c r="L450" s="8" t="s">
        <v>19</v>
      </c>
      <c r="M450" s="8">
        <v>3728</v>
      </c>
      <c r="N450" s="8" t="s">
        <v>1549</v>
      </c>
      <c r="O450" s="8">
        <v>1236</v>
      </c>
      <c r="P450" s="8" t="s">
        <v>5573</v>
      </c>
      <c r="Q450" s="8" t="s">
        <v>4262</v>
      </c>
      <c r="R450" s="8">
        <v>0.47599999999999998</v>
      </c>
      <c r="S450" s="8">
        <v>38950244</v>
      </c>
      <c r="T450" s="8" t="s">
        <v>24</v>
      </c>
      <c r="U450" s="8" t="s">
        <v>46</v>
      </c>
    </row>
    <row r="451" spans="1:21">
      <c r="A451" s="8" t="s">
        <v>5410</v>
      </c>
      <c r="B451" s="8" t="s">
        <v>5575</v>
      </c>
      <c r="C451" s="8">
        <v>7021</v>
      </c>
      <c r="D451" s="8" t="s">
        <v>237</v>
      </c>
      <c r="E451" s="8">
        <v>50786644</v>
      </c>
      <c r="F451" s="8">
        <v>50786644</v>
      </c>
      <c r="G451" s="8" t="s">
        <v>41</v>
      </c>
      <c r="H451" s="8" t="s">
        <v>25</v>
      </c>
      <c r="I451" s="8" t="s">
        <v>23</v>
      </c>
      <c r="J451" s="8" t="s">
        <v>5576</v>
      </c>
      <c r="K451" s="8" t="s">
        <v>5578</v>
      </c>
      <c r="L451" s="8" t="s">
        <v>19</v>
      </c>
      <c r="M451" s="8">
        <v>206</v>
      </c>
      <c r="N451" s="8" t="s">
        <v>40</v>
      </c>
      <c r="O451" s="8">
        <v>14</v>
      </c>
      <c r="P451" s="8" t="s">
        <v>5577</v>
      </c>
      <c r="Q451" s="8" t="s">
        <v>4262</v>
      </c>
      <c r="R451" s="8">
        <v>0.45800000000000002</v>
      </c>
      <c r="S451" s="8">
        <v>50786644</v>
      </c>
      <c r="T451" s="8" t="s">
        <v>41</v>
      </c>
      <c r="U451" s="8" t="s">
        <v>25</v>
      </c>
    </row>
    <row r="452" spans="1:21">
      <c r="A452" s="8" t="s">
        <v>5410</v>
      </c>
      <c r="B452" s="8" t="s">
        <v>948</v>
      </c>
      <c r="C452" s="8">
        <v>3910</v>
      </c>
      <c r="D452" s="8" t="s">
        <v>237</v>
      </c>
      <c r="E452" s="8">
        <v>112466108</v>
      </c>
      <c r="F452" s="8">
        <v>112466108</v>
      </c>
      <c r="G452" s="8" t="s">
        <v>41</v>
      </c>
      <c r="H452" s="8" t="s">
        <v>25</v>
      </c>
      <c r="I452" s="8" t="s">
        <v>23</v>
      </c>
      <c r="J452" s="8" t="s">
        <v>5579</v>
      </c>
      <c r="K452" s="8" t="s">
        <v>5581</v>
      </c>
      <c r="L452" s="8" t="s">
        <v>19</v>
      </c>
      <c r="M452" s="8">
        <v>2690</v>
      </c>
      <c r="N452" s="8" t="s">
        <v>3136</v>
      </c>
      <c r="O452" s="8">
        <v>794</v>
      </c>
      <c r="P452" s="8" t="s">
        <v>5580</v>
      </c>
      <c r="Q452" s="8" t="s">
        <v>4262</v>
      </c>
      <c r="R452" s="8">
        <v>0.41</v>
      </c>
      <c r="S452" s="8">
        <v>112466108</v>
      </c>
      <c r="T452" s="8" t="s">
        <v>41</v>
      </c>
      <c r="U452" s="8" t="s">
        <v>25</v>
      </c>
    </row>
    <row r="453" spans="1:21">
      <c r="A453" s="8" t="s">
        <v>5410</v>
      </c>
      <c r="B453" s="8" t="s">
        <v>3686</v>
      </c>
      <c r="C453" s="8">
        <v>387357</v>
      </c>
      <c r="D453" s="8" t="s">
        <v>237</v>
      </c>
      <c r="E453" s="8">
        <v>128176262</v>
      </c>
      <c r="F453" s="8">
        <v>128176262</v>
      </c>
      <c r="G453" s="8" t="s">
        <v>41</v>
      </c>
      <c r="H453" s="8" t="s">
        <v>25</v>
      </c>
      <c r="I453" s="8" t="s">
        <v>23</v>
      </c>
      <c r="J453" s="8" t="s">
        <v>5582</v>
      </c>
      <c r="K453" s="8" t="s">
        <v>5584</v>
      </c>
      <c r="L453" s="8" t="s">
        <v>76</v>
      </c>
      <c r="M453" s="8">
        <v>312</v>
      </c>
      <c r="N453" s="8" t="s">
        <v>2961</v>
      </c>
      <c r="O453" s="8">
        <v>55</v>
      </c>
      <c r="P453" s="8" t="s">
        <v>5583</v>
      </c>
      <c r="Q453" s="8" t="s">
        <v>4262</v>
      </c>
      <c r="R453" s="8">
        <v>0.39700000000000002</v>
      </c>
      <c r="S453" s="8">
        <v>128176262</v>
      </c>
      <c r="T453" s="8" t="s">
        <v>41</v>
      </c>
      <c r="U453" s="8" t="s">
        <v>25</v>
      </c>
    </row>
    <row r="454" spans="1:21">
      <c r="A454" s="8" t="s">
        <v>5410</v>
      </c>
      <c r="B454" s="8" t="s">
        <v>3935</v>
      </c>
      <c r="C454" s="8">
        <v>340146</v>
      </c>
      <c r="D454" s="8" t="s">
        <v>237</v>
      </c>
      <c r="E454" s="8">
        <v>137245653</v>
      </c>
      <c r="F454" s="8">
        <v>137245653</v>
      </c>
      <c r="G454" s="8" t="s">
        <v>25</v>
      </c>
      <c r="H454" s="8" t="s">
        <v>41</v>
      </c>
      <c r="I454" s="8" t="s">
        <v>23</v>
      </c>
      <c r="J454" s="8" t="s">
        <v>3936</v>
      </c>
      <c r="K454" s="8" t="s">
        <v>4323</v>
      </c>
      <c r="L454" s="8" t="s">
        <v>19</v>
      </c>
      <c r="M454" s="8">
        <v>1235</v>
      </c>
      <c r="N454" s="8" t="s">
        <v>3136</v>
      </c>
      <c r="O454" s="8">
        <v>357</v>
      </c>
      <c r="P454" s="8" t="s">
        <v>5585</v>
      </c>
      <c r="Q454" s="8" t="s">
        <v>4262</v>
      </c>
      <c r="R454" s="8">
        <v>0.40500000000000003</v>
      </c>
      <c r="S454" s="8">
        <v>137245653</v>
      </c>
      <c r="T454" s="8" t="s">
        <v>25</v>
      </c>
      <c r="U454" s="8" t="s">
        <v>41</v>
      </c>
    </row>
    <row r="455" spans="1:21">
      <c r="A455" s="8" t="s">
        <v>5410</v>
      </c>
      <c r="B455" s="8" t="s">
        <v>3687</v>
      </c>
      <c r="C455" s="8">
        <v>85313</v>
      </c>
      <c r="D455" s="8" t="s">
        <v>237</v>
      </c>
      <c r="E455" s="8">
        <v>149826752</v>
      </c>
      <c r="F455" s="8">
        <v>149826752</v>
      </c>
      <c r="G455" s="8" t="s">
        <v>41</v>
      </c>
      <c r="H455" s="8" t="s">
        <v>25</v>
      </c>
      <c r="I455" s="8" t="s">
        <v>23</v>
      </c>
      <c r="J455" s="8" t="s">
        <v>3688</v>
      </c>
      <c r="K455" s="8" t="s">
        <v>5587</v>
      </c>
      <c r="L455" s="8" t="s">
        <v>19</v>
      </c>
      <c r="M455" s="8">
        <v>1413</v>
      </c>
      <c r="N455" s="8" t="s">
        <v>3136</v>
      </c>
      <c r="O455" s="8">
        <v>439</v>
      </c>
      <c r="P455" s="8" t="s">
        <v>5586</v>
      </c>
      <c r="Q455" s="8" t="s">
        <v>4262</v>
      </c>
      <c r="R455" s="8">
        <v>0.51100000000000001</v>
      </c>
      <c r="S455" s="8">
        <v>149826752</v>
      </c>
      <c r="T455" s="8" t="s">
        <v>41</v>
      </c>
      <c r="U455" s="8" t="s">
        <v>25</v>
      </c>
    </row>
    <row r="456" spans="1:21">
      <c r="A456" s="8" t="s">
        <v>5410</v>
      </c>
      <c r="B456" s="8" t="s">
        <v>3689</v>
      </c>
      <c r="C456" s="8">
        <v>57480</v>
      </c>
      <c r="D456" s="8" t="s">
        <v>237</v>
      </c>
      <c r="E456" s="8">
        <v>151107539</v>
      </c>
      <c r="F456" s="8">
        <v>151107539</v>
      </c>
      <c r="G456" s="8" t="s">
        <v>24</v>
      </c>
      <c r="H456" s="8" t="s">
        <v>25</v>
      </c>
      <c r="I456" s="8" t="s">
        <v>23</v>
      </c>
      <c r="J456" s="8" t="s">
        <v>3690</v>
      </c>
      <c r="K456" s="8" t="s">
        <v>5589</v>
      </c>
      <c r="L456" s="8" t="s">
        <v>19</v>
      </c>
      <c r="M456" s="8">
        <v>838</v>
      </c>
      <c r="N456" s="8" t="s">
        <v>557</v>
      </c>
      <c r="O456" s="8">
        <v>176</v>
      </c>
      <c r="P456" s="8" t="s">
        <v>5588</v>
      </c>
      <c r="Q456" s="8" t="s">
        <v>4262</v>
      </c>
      <c r="R456" s="8">
        <v>0.40300000000000002</v>
      </c>
      <c r="S456" s="8">
        <v>151107539</v>
      </c>
      <c r="T456" s="8" t="s">
        <v>24</v>
      </c>
      <c r="U456" s="8" t="s">
        <v>25</v>
      </c>
    </row>
    <row r="457" spans="1:21">
      <c r="A457" s="8" t="s">
        <v>5410</v>
      </c>
      <c r="B457" s="8" t="s">
        <v>3691</v>
      </c>
      <c r="C457" s="8">
        <v>135644</v>
      </c>
      <c r="D457" s="8" t="s">
        <v>237</v>
      </c>
      <c r="E457" s="8">
        <v>30114930</v>
      </c>
      <c r="F457" s="8">
        <v>30114930</v>
      </c>
      <c r="G457" s="8" t="s">
        <v>25</v>
      </c>
      <c r="H457" s="8" t="s">
        <v>41</v>
      </c>
      <c r="I457" s="8" t="s">
        <v>23</v>
      </c>
      <c r="J457" s="8" t="s">
        <v>3692</v>
      </c>
      <c r="K457" s="8" t="s">
        <v>5590</v>
      </c>
      <c r="L457" s="8" t="s">
        <v>19</v>
      </c>
      <c r="M457" s="8">
        <v>827</v>
      </c>
      <c r="N457" s="8" t="s">
        <v>1030</v>
      </c>
      <c r="O457" s="8">
        <v>175</v>
      </c>
      <c r="P457" s="8" t="s">
        <v>5419</v>
      </c>
      <c r="Q457" s="8" t="s">
        <v>4262</v>
      </c>
      <c r="R457" s="8">
        <v>0.46200000000000002</v>
      </c>
      <c r="S457" s="8">
        <v>30114930</v>
      </c>
      <c r="T457" s="8" t="s">
        <v>25</v>
      </c>
      <c r="U457" s="8" t="s">
        <v>41</v>
      </c>
    </row>
    <row r="458" spans="1:21">
      <c r="A458" s="8" t="s">
        <v>5410</v>
      </c>
      <c r="B458" s="8" t="s">
        <v>1534</v>
      </c>
      <c r="C458" s="8">
        <v>1769</v>
      </c>
      <c r="D458" s="8" t="s">
        <v>237</v>
      </c>
      <c r="E458" s="8">
        <v>38750837</v>
      </c>
      <c r="F458" s="8">
        <v>38750837</v>
      </c>
      <c r="G458" s="8" t="s">
        <v>25</v>
      </c>
      <c r="H458" s="8" t="s">
        <v>41</v>
      </c>
      <c r="I458" s="8" t="s">
        <v>23</v>
      </c>
      <c r="J458" s="8" t="s">
        <v>1535</v>
      </c>
      <c r="K458" s="8" t="s">
        <v>4682</v>
      </c>
      <c r="L458" s="8" t="s">
        <v>76</v>
      </c>
      <c r="M458" s="8">
        <v>2426</v>
      </c>
      <c r="N458" s="8" t="s">
        <v>1103</v>
      </c>
      <c r="O458" s="8">
        <v>773</v>
      </c>
      <c r="P458" s="8" t="s">
        <v>5591</v>
      </c>
      <c r="Q458" s="8" t="s">
        <v>4262</v>
      </c>
      <c r="R458" s="8">
        <v>0.35099999999999998</v>
      </c>
      <c r="S458" s="8">
        <v>38750837</v>
      </c>
      <c r="T458" s="8" t="s">
        <v>25</v>
      </c>
      <c r="U458" s="8" t="s">
        <v>41</v>
      </c>
    </row>
    <row r="459" spans="1:21">
      <c r="A459" s="8" t="s">
        <v>5410</v>
      </c>
      <c r="B459" s="8" t="s">
        <v>5592</v>
      </c>
      <c r="C459" s="8">
        <v>57157</v>
      </c>
      <c r="D459" s="8" t="s">
        <v>257</v>
      </c>
      <c r="E459" s="8">
        <v>77551938</v>
      </c>
      <c r="F459" s="8">
        <v>77551938</v>
      </c>
      <c r="G459" s="8" t="s">
        <v>25</v>
      </c>
      <c r="H459" s="8" t="s">
        <v>41</v>
      </c>
      <c r="I459" s="8" t="s">
        <v>23</v>
      </c>
      <c r="J459" s="8" t="s">
        <v>5593</v>
      </c>
      <c r="K459" s="8" t="s">
        <v>5594</v>
      </c>
      <c r="L459" s="8" t="s">
        <v>68</v>
      </c>
      <c r="M459" s="8">
        <v>0</v>
      </c>
      <c r="N459" s="8" t="s">
        <v>35</v>
      </c>
      <c r="O459" s="8">
        <v>0</v>
      </c>
      <c r="P459" s="8" t="s">
        <v>35</v>
      </c>
      <c r="Q459" s="8" t="s">
        <v>4262</v>
      </c>
      <c r="R459" s="8">
        <v>0.309</v>
      </c>
      <c r="S459" s="8">
        <v>77551938</v>
      </c>
      <c r="T459" s="8" t="s">
        <v>25</v>
      </c>
      <c r="U459" s="8" t="s">
        <v>41</v>
      </c>
    </row>
    <row r="460" spans="1:21">
      <c r="A460" s="8" t="s">
        <v>5410</v>
      </c>
      <c r="B460" s="8" t="s">
        <v>3695</v>
      </c>
      <c r="C460" s="8">
        <v>10142</v>
      </c>
      <c r="D460" s="8" t="s">
        <v>257</v>
      </c>
      <c r="E460" s="8">
        <v>91708473</v>
      </c>
      <c r="F460" s="8">
        <v>91708473</v>
      </c>
      <c r="G460" s="8" t="s">
        <v>24</v>
      </c>
      <c r="H460" s="8" t="s">
        <v>46</v>
      </c>
      <c r="I460" s="8" t="s">
        <v>23</v>
      </c>
      <c r="J460" s="8" t="s">
        <v>5595</v>
      </c>
      <c r="K460" s="8" t="s">
        <v>5597</v>
      </c>
      <c r="L460" s="8" t="s">
        <v>19</v>
      </c>
      <c r="M460" s="8">
        <v>7251</v>
      </c>
      <c r="N460" s="8" t="s">
        <v>851</v>
      </c>
      <c r="O460" s="8">
        <v>2342</v>
      </c>
      <c r="P460" s="8" t="s">
        <v>5596</v>
      </c>
      <c r="Q460" s="8" t="s">
        <v>4262</v>
      </c>
      <c r="R460" s="8">
        <v>0.41799999999999998</v>
      </c>
      <c r="S460" s="8">
        <v>91708473</v>
      </c>
      <c r="T460" s="8" t="s">
        <v>24</v>
      </c>
      <c r="U460" s="8" t="s">
        <v>46</v>
      </c>
    </row>
    <row r="461" spans="1:21">
      <c r="A461" s="8" t="s">
        <v>5410</v>
      </c>
      <c r="B461" s="8" t="s">
        <v>5598</v>
      </c>
      <c r="C461" s="8">
        <v>54517</v>
      </c>
      <c r="D461" s="8" t="s">
        <v>257</v>
      </c>
      <c r="E461" s="8">
        <v>105111158</v>
      </c>
      <c r="F461" s="8">
        <v>105111158</v>
      </c>
      <c r="G461" s="8" t="s">
        <v>41</v>
      </c>
      <c r="H461" s="8" t="s">
        <v>25</v>
      </c>
      <c r="I461" s="8" t="s">
        <v>23</v>
      </c>
      <c r="J461" s="8" t="s">
        <v>5599</v>
      </c>
      <c r="K461" s="8" t="s">
        <v>5601</v>
      </c>
      <c r="L461" s="8" t="s">
        <v>19</v>
      </c>
      <c r="M461" s="8">
        <v>1594</v>
      </c>
      <c r="N461" s="8" t="s">
        <v>3703</v>
      </c>
      <c r="O461" s="8">
        <v>459</v>
      </c>
      <c r="P461" s="8" t="s">
        <v>5600</v>
      </c>
      <c r="Q461" s="8" t="s">
        <v>4262</v>
      </c>
      <c r="R461" s="8">
        <v>8.7999999999999995E-2</v>
      </c>
      <c r="S461" s="8">
        <v>105111158</v>
      </c>
      <c r="T461" s="8" t="s">
        <v>41</v>
      </c>
      <c r="U461" s="8" t="s">
        <v>25</v>
      </c>
    </row>
    <row r="462" spans="1:21">
      <c r="A462" s="8" t="s">
        <v>5410</v>
      </c>
      <c r="B462" s="8" t="s">
        <v>5602</v>
      </c>
      <c r="C462" s="8">
        <v>222255</v>
      </c>
      <c r="D462" s="8" t="s">
        <v>257</v>
      </c>
      <c r="E462" s="8">
        <v>105254697</v>
      </c>
      <c r="F462" s="8">
        <v>105254697</v>
      </c>
      <c r="G462" s="8" t="s">
        <v>41</v>
      </c>
      <c r="H462" s="8" t="s">
        <v>46</v>
      </c>
      <c r="I462" s="8" t="s">
        <v>23</v>
      </c>
      <c r="J462" s="8" t="s">
        <v>5603</v>
      </c>
      <c r="K462" s="8" t="s">
        <v>5605</v>
      </c>
      <c r="L462" s="8" t="s">
        <v>19</v>
      </c>
      <c r="M462" s="8">
        <v>2111</v>
      </c>
      <c r="N462" s="8" t="s">
        <v>1055</v>
      </c>
      <c r="O462" s="8">
        <v>695</v>
      </c>
      <c r="P462" s="8" t="s">
        <v>5604</v>
      </c>
      <c r="Q462" s="8" t="s">
        <v>4262</v>
      </c>
      <c r="R462" s="8">
        <v>0.52100000000000002</v>
      </c>
      <c r="S462" s="8">
        <v>105254697</v>
      </c>
      <c r="T462" s="8" t="s">
        <v>41</v>
      </c>
      <c r="U462" s="8" t="s">
        <v>46</v>
      </c>
    </row>
    <row r="463" spans="1:21">
      <c r="A463" s="8" t="s">
        <v>5410</v>
      </c>
      <c r="B463" s="8" t="s">
        <v>2132</v>
      </c>
      <c r="C463" s="8">
        <v>9732</v>
      </c>
      <c r="D463" s="8" t="s">
        <v>257</v>
      </c>
      <c r="E463" s="8">
        <v>111508177</v>
      </c>
      <c r="F463" s="8">
        <v>111508177</v>
      </c>
      <c r="G463" s="8" t="s">
        <v>25</v>
      </c>
      <c r="H463" s="8" t="s">
        <v>46</v>
      </c>
      <c r="I463" s="8" t="s">
        <v>23</v>
      </c>
      <c r="J463" s="8" t="s">
        <v>5606</v>
      </c>
      <c r="K463" s="8" t="s">
        <v>5608</v>
      </c>
      <c r="L463" s="8" t="s">
        <v>19</v>
      </c>
      <c r="M463" s="8">
        <v>2412</v>
      </c>
      <c r="N463" s="8" t="s">
        <v>5609</v>
      </c>
      <c r="O463" s="8">
        <v>715</v>
      </c>
      <c r="P463" s="8" t="s">
        <v>5607</v>
      </c>
      <c r="Q463" s="8" t="s">
        <v>4262</v>
      </c>
      <c r="R463" s="8">
        <v>0.42499999999999999</v>
      </c>
      <c r="S463" s="8">
        <v>111508177</v>
      </c>
      <c r="T463" s="8" t="s">
        <v>25</v>
      </c>
      <c r="U463" s="8" t="s">
        <v>46</v>
      </c>
    </row>
    <row r="464" spans="1:21">
      <c r="A464" s="8" t="s">
        <v>5410</v>
      </c>
      <c r="B464" s="8" t="s">
        <v>2244</v>
      </c>
      <c r="C464" s="8">
        <v>800</v>
      </c>
      <c r="D464" s="8" t="s">
        <v>257</v>
      </c>
      <c r="E464" s="8">
        <v>134618736</v>
      </c>
      <c r="F464" s="8">
        <v>134618736</v>
      </c>
      <c r="G464" s="8" t="s">
        <v>24</v>
      </c>
      <c r="H464" s="8" t="s">
        <v>41</v>
      </c>
      <c r="I464" s="8" t="s">
        <v>23</v>
      </c>
      <c r="J464" s="8" t="s">
        <v>3693</v>
      </c>
      <c r="K464" s="8" t="s">
        <v>5611</v>
      </c>
      <c r="L464" s="8" t="s">
        <v>19</v>
      </c>
      <c r="M464" s="8">
        <v>1682</v>
      </c>
      <c r="N464" s="8" t="s">
        <v>132</v>
      </c>
      <c r="O464" s="8">
        <v>406</v>
      </c>
      <c r="P464" s="8" t="s">
        <v>5610</v>
      </c>
      <c r="Q464" s="8" t="s">
        <v>4262</v>
      </c>
      <c r="R464" s="8">
        <v>0.437</v>
      </c>
      <c r="S464" s="8">
        <v>134618736</v>
      </c>
      <c r="T464" s="8" t="s">
        <v>24</v>
      </c>
      <c r="U464" s="8" t="s">
        <v>41</v>
      </c>
    </row>
    <row r="465" spans="1:21">
      <c r="A465" s="8" t="s">
        <v>5410</v>
      </c>
      <c r="B465" s="8" t="s">
        <v>3694</v>
      </c>
      <c r="C465" s="8">
        <v>1129</v>
      </c>
      <c r="D465" s="8" t="s">
        <v>257</v>
      </c>
      <c r="E465" s="8">
        <v>136700823</v>
      </c>
      <c r="F465" s="8">
        <v>136700823</v>
      </c>
      <c r="G465" s="8" t="s">
        <v>25</v>
      </c>
      <c r="H465" s="8" t="s">
        <v>24</v>
      </c>
      <c r="I465" s="8" t="s">
        <v>23</v>
      </c>
      <c r="J465" s="8" t="s">
        <v>5612</v>
      </c>
      <c r="K465" s="8" t="s">
        <v>5614</v>
      </c>
      <c r="L465" s="8" t="s">
        <v>19</v>
      </c>
      <c r="M465" s="8">
        <v>1504</v>
      </c>
      <c r="N465" s="8" t="s">
        <v>955</v>
      </c>
      <c r="O465" s="8">
        <v>404</v>
      </c>
      <c r="P465" s="8" t="s">
        <v>5613</v>
      </c>
      <c r="Q465" s="8" t="s">
        <v>4262</v>
      </c>
      <c r="R465" s="8">
        <v>0.443</v>
      </c>
      <c r="S465" s="8">
        <v>136700823</v>
      </c>
      <c r="T465" s="8" t="s">
        <v>25</v>
      </c>
      <c r="U465" s="8" t="s">
        <v>24</v>
      </c>
    </row>
    <row r="466" spans="1:21">
      <c r="A466" s="8" t="s">
        <v>5410</v>
      </c>
      <c r="B466" s="8" t="s">
        <v>613</v>
      </c>
      <c r="C466" s="8">
        <v>1804</v>
      </c>
      <c r="D466" s="8" t="s">
        <v>257</v>
      </c>
      <c r="E466" s="8">
        <v>154596625</v>
      </c>
      <c r="F466" s="8">
        <v>154596625</v>
      </c>
      <c r="G466" s="8" t="s">
        <v>25</v>
      </c>
      <c r="H466" s="8" t="s">
        <v>41</v>
      </c>
      <c r="I466" s="8" t="s">
        <v>23</v>
      </c>
      <c r="J466" s="8" t="s">
        <v>5615</v>
      </c>
      <c r="K466" s="8" t="s">
        <v>5616</v>
      </c>
      <c r="L466" s="8" t="s">
        <v>68</v>
      </c>
      <c r="M466" s="8">
        <v>0</v>
      </c>
      <c r="N466" s="8" t="s">
        <v>35</v>
      </c>
      <c r="O466" s="8">
        <v>0</v>
      </c>
      <c r="P466" s="8" t="s">
        <v>35</v>
      </c>
      <c r="Q466" s="8" t="s">
        <v>4262</v>
      </c>
      <c r="R466" s="8">
        <v>0.40300000000000002</v>
      </c>
      <c r="S466" s="8">
        <v>154596625</v>
      </c>
      <c r="T466" s="8" t="s">
        <v>25</v>
      </c>
      <c r="U466" s="8" t="s">
        <v>41</v>
      </c>
    </row>
    <row r="467" spans="1:21">
      <c r="A467" s="8" t="s">
        <v>5410</v>
      </c>
      <c r="B467" s="8" t="s">
        <v>5617</v>
      </c>
      <c r="C467" s="8">
        <v>8989</v>
      </c>
      <c r="D467" s="8" t="s">
        <v>279</v>
      </c>
      <c r="E467" s="8">
        <v>72952009</v>
      </c>
      <c r="F467" s="8">
        <v>72952009</v>
      </c>
      <c r="G467" s="8" t="s">
        <v>41</v>
      </c>
      <c r="H467" s="8" t="s">
        <v>46</v>
      </c>
      <c r="I467" s="8" t="s">
        <v>23</v>
      </c>
      <c r="J467" s="8" t="s">
        <v>5618</v>
      </c>
      <c r="K467" s="8" t="s">
        <v>5620</v>
      </c>
      <c r="L467" s="8" t="s">
        <v>19</v>
      </c>
      <c r="M467" s="8">
        <v>2260</v>
      </c>
      <c r="N467" s="8" t="s">
        <v>806</v>
      </c>
      <c r="O467" s="8">
        <v>695</v>
      </c>
      <c r="P467" s="8" t="s">
        <v>5619</v>
      </c>
      <c r="Q467" s="8" t="s">
        <v>4262</v>
      </c>
      <c r="R467" s="8">
        <v>0.33300000000000002</v>
      </c>
      <c r="S467" s="8">
        <v>72952009</v>
      </c>
      <c r="T467" s="8" t="s">
        <v>41</v>
      </c>
      <c r="U467" s="8" t="s">
        <v>46</v>
      </c>
    </row>
    <row r="468" spans="1:21">
      <c r="A468" s="8" t="s">
        <v>5410</v>
      </c>
      <c r="B468" s="8" t="s">
        <v>5621</v>
      </c>
      <c r="C468" s="8">
        <v>734</v>
      </c>
      <c r="D468" s="8" t="s">
        <v>279</v>
      </c>
      <c r="E468" s="8">
        <v>90937593</v>
      </c>
      <c r="F468" s="8">
        <v>90937593</v>
      </c>
      <c r="G468" s="8" t="s">
        <v>41</v>
      </c>
      <c r="H468" s="8" t="s">
        <v>25</v>
      </c>
      <c r="I468" s="8" t="s">
        <v>23</v>
      </c>
      <c r="J468" s="8" t="s">
        <v>5622</v>
      </c>
      <c r="K468" s="8" t="s">
        <v>5624</v>
      </c>
      <c r="L468" s="8" t="s">
        <v>19</v>
      </c>
      <c r="M468" s="8">
        <v>1743</v>
      </c>
      <c r="N468" s="8" t="s">
        <v>3168</v>
      </c>
      <c r="O468" s="8">
        <v>495</v>
      </c>
      <c r="P468" s="8" t="s">
        <v>5623</v>
      </c>
      <c r="Q468" s="8" t="s">
        <v>4262</v>
      </c>
      <c r="R468" s="8">
        <v>0.24299999999999999</v>
      </c>
      <c r="S468" s="8">
        <v>90937593</v>
      </c>
      <c r="T468" s="8" t="s">
        <v>41</v>
      </c>
      <c r="U468" s="8" t="s">
        <v>25</v>
      </c>
    </row>
    <row r="469" spans="1:21">
      <c r="A469" s="8" t="s">
        <v>5410</v>
      </c>
      <c r="B469" s="8" t="s">
        <v>2776</v>
      </c>
      <c r="C469" s="8">
        <v>81501</v>
      </c>
      <c r="D469" s="8" t="s">
        <v>279</v>
      </c>
      <c r="E469" s="8">
        <v>105367283</v>
      </c>
      <c r="F469" s="8">
        <v>105367283</v>
      </c>
      <c r="G469" s="8" t="s">
        <v>41</v>
      </c>
      <c r="H469" s="8" t="s">
        <v>25</v>
      </c>
      <c r="I469" s="8" t="s">
        <v>23</v>
      </c>
      <c r="J469" s="8" t="s">
        <v>2777</v>
      </c>
      <c r="K469" s="8" t="s">
        <v>5626</v>
      </c>
      <c r="L469" s="8" t="s">
        <v>19</v>
      </c>
      <c r="M469" s="8">
        <v>1257</v>
      </c>
      <c r="N469" s="8" t="s">
        <v>1096</v>
      </c>
      <c r="O469" s="8">
        <v>403</v>
      </c>
      <c r="P469" s="8" t="s">
        <v>5625</v>
      </c>
      <c r="Q469" s="8" t="s">
        <v>4262</v>
      </c>
      <c r="R469" s="8">
        <v>0.32600000000000001</v>
      </c>
      <c r="S469" s="8">
        <v>105367283</v>
      </c>
      <c r="T469" s="8" t="s">
        <v>41</v>
      </c>
      <c r="U469" s="8" t="s">
        <v>25</v>
      </c>
    </row>
    <row r="470" spans="1:21">
      <c r="A470" s="8" t="s">
        <v>5410</v>
      </c>
      <c r="B470" s="8" t="s">
        <v>532</v>
      </c>
      <c r="C470" s="8">
        <v>114788</v>
      </c>
      <c r="D470" s="8" t="s">
        <v>279</v>
      </c>
      <c r="E470" s="8">
        <v>114326954</v>
      </c>
      <c r="F470" s="8">
        <v>114326954</v>
      </c>
      <c r="G470" s="8" t="s">
        <v>25</v>
      </c>
      <c r="H470" s="8" t="s">
        <v>41</v>
      </c>
      <c r="I470" s="8" t="s">
        <v>23</v>
      </c>
      <c r="J470" s="8" t="s">
        <v>5627</v>
      </c>
      <c r="K470" s="8" t="s">
        <v>5629</v>
      </c>
      <c r="L470" s="8" t="s">
        <v>19</v>
      </c>
      <c r="M470" s="8">
        <v>406</v>
      </c>
      <c r="N470" s="8" t="s">
        <v>3168</v>
      </c>
      <c r="O470" s="8">
        <v>83</v>
      </c>
      <c r="P470" s="8" t="s">
        <v>5628</v>
      </c>
      <c r="Q470" s="8" t="s">
        <v>4262</v>
      </c>
      <c r="R470" s="8">
        <v>0.26800000000000002</v>
      </c>
      <c r="S470" s="8">
        <v>114326954</v>
      </c>
      <c r="T470" s="8" t="s">
        <v>25</v>
      </c>
      <c r="U470" s="8" t="s">
        <v>41</v>
      </c>
    </row>
    <row r="471" spans="1:21">
      <c r="A471" s="8" t="s">
        <v>5410</v>
      </c>
      <c r="B471" s="8" t="s">
        <v>5630</v>
      </c>
      <c r="C471" s="8">
        <v>4609</v>
      </c>
      <c r="D471" s="8" t="s">
        <v>279</v>
      </c>
      <c r="E471" s="8">
        <v>128751014</v>
      </c>
      <c r="F471" s="8">
        <v>128751014</v>
      </c>
      <c r="G471" s="8" t="s">
        <v>24</v>
      </c>
      <c r="H471" s="8" t="s">
        <v>25</v>
      </c>
      <c r="I471" s="8" t="s">
        <v>23</v>
      </c>
      <c r="J471" s="8" t="s">
        <v>5631</v>
      </c>
      <c r="K471" s="8" t="s">
        <v>5633</v>
      </c>
      <c r="L471" s="8" t="s">
        <v>19</v>
      </c>
      <c r="M471" s="8">
        <v>1076</v>
      </c>
      <c r="N471" s="8" t="s">
        <v>708</v>
      </c>
      <c r="O471" s="8">
        <v>184</v>
      </c>
      <c r="P471" s="8" t="s">
        <v>5632</v>
      </c>
      <c r="Q471" s="8" t="s">
        <v>4262</v>
      </c>
      <c r="R471" s="8">
        <v>0.30299999999999999</v>
      </c>
      <c r="S471" s="8">
        <v>128751014</v>
      </c>
      <c r="T471" s="8" t="s">
        <v>24</v>
      </c>
      <c r="U471" s="8" t="s">
        <v>25</v>
      </c>
    </row>
    <row r="472" spans="1:21">
      <c r="A472" s="8" t="s">
        <v>5410</v>
      </c>
      <c r="B472" s="8" t="s">
        <v>5630</v>
      </c>
      <c r="C472" s="8">
        <v>4609</v>
      </c>
      <c r="D472" s="8" t="s">
        <v>279</v>
      </c>
      <c r="E472" s="8">
        <v>128752801</v>
      </c>
      <c r="F472" s="8">
        <v>128752801</v>
      </c>
      <c r="G472" s="8" t="s">
        <v>25</v>
      </c>
      <c r="H472" s="8" t="s">
        <v>24</v>
      </c>
      <c r="I472" s="8" t="s">
        <v>23</v>
      </c>
      <c r="J472" s="8" t="s">
        <v>5631</v>
      </c>
      <c r="K472" s="8" t="s">
        <v>5633</v>
      </c>
      <c r="L472" s="8" t="s">
        <v>19</v>
      </c>
      <c r="M472" s="8">
        <v>1487</v>
      </c>
      <c r="N472" s="8" t="s">
        <v>386</v>
      </c>
      <c r="O472" s="8">
        <v>321</v>
      </c>
      <c r="P472" s="8" t="s">
        <v>5634</v>
      </c>
      <c r="Q472" s="8" t="s">
        <v>4262</v>
      </c>
      <c r="R472" s="8">
        <v>0.308</v>
      </c>
      <c r="S472" s="8">
        <v>128752801</v>
      </c>
      <c r="T472" s="8" t="s">
        <v>25</v>
      </c>
      <c r="U472" s="8" t="s">
        <v>24</v>
      </c>
    </row>
    <row r="473" spans="1:21">
      <c r="A473" s="8" t="s">
        <v>5410</v>
      </c>
      <c r="B473" s="8" t="s">
        <v>5635</v>
      </c>
      <c r="C473" s="8">
        <v>3297</v>
      </c>
      <c r="D473" s="8" t="s">
        <v>279</v>
      </c>
      <c r="E473" s="8">
        <v>145535510</v>
      </c>
      <c r="F473" s="8">
        <v>145535510</v>
      </c>
      <c r="G473" s="8" t="s">
        <v>24</v>
      </c>
      <c r="H473" s="8" t="s">
        <v>25</v>
      </c>
      <c r="I473" s="8" t="s">
        <v>23</v>
      </c>
      <c r="J473" s="8" t="s">
        <v>5636</v>
      </c>
      <c r="K473" s="8" t="s">
        <v>5638</v>
      </c>
      <c r="L473" s="8" t="s">
        <v>19</v>
      </c>
      <c r="M473" s="8">
        <v>1018</v>
      </c>
      <c r="N473" s="8" t="s">
        <v>708</v>
      </c>
      <c r="O473" s="8">
        <v>283</v>
      </c>
      <c r="P473" s="8" t="s">
        <v>5637</v>
      </c>
      <c r="Q473" s="8" t="s">
        <v>4262</v>
      </c>
      <c r="R473" s="8">
        <v>0.19700000000000001</v>
      </c>
      <c r="S473" s="8">
        <v>145535510</v>
      </c>
      <c r="T473" s="8" t="s">
        <v>24</v>
      </c>
      <c r="U473" s="8" t="s">
        <v>25</v>
      </c>
    </row>
    <row r="474" spans="1:21">
      <c r="A474" s="8" t="s">
        <v>5410</v>
      </c>
      <c r="B474" s="8" t="s">
        <v>5639</v>
      </c>
      <c r="C474" s="8">
        <v>51160</v>
      </c>
      <c r="D474" s="8" t="s">
        <v>279</v>
      </c>
      <c r="E474" s="8">
        <v>145649300</v>
      </c>
      <c r="F474" s="8">
        <v>145649300</v>
      </c>
      <c r="G474" s="8" t="s">
        <v>41</v>
      </c>
      <c r="H474" s="8" t="s">
        <v>25</v>
      </c>
      <c r="I474" s="8" t="s">
        <v>23</v>
      </c>
      <c r="J474" s="8" t="s">
        <v>5640</v>
      </c>
      <c r="K474" s="8" t="s">
        <v>5642</v>
      </c>
      <c r="L474" s="8" t="s">
        <v>19</v>
      </c>
      <c r="M474" s="8">
        <v>644</v>
      </c>
      <c r="N474" s="8" t="s">
        <v>3136</v>
      </c>
      <c r="O474" s="8">
        <v>185</v>
      </c>
      <c r="P474" s="8" t="s">
        <v>5641</v>
      </c>
      <c r="Q474" s="8" t="s">
        <v>4262</v>
      </c>
      <c r="R474" s="8">
        <v>0.24299999999999999</v>
      </c>
      <c r="S474" s="8">
        <v>145649300</v>
      </c>
      <c r="T474" s="8" t="s">
        <v>41</v>
      </c>
      <c r="U474" s="8" t="s">
        <v>25</v>
      </c>
    </row>
    <row r="475" spans="1:21">
      <c r="A475" s="8" t="s">
        <v>5410</v>
      </c>
      <c r="B475" s="8" t="s">
        <v>5643</v>
      </c>
      <c r="C475" s="8">
        <v>80728</v>
      </c>
      <c r="D475" s="8" t="s">
        <v>279</v>
      </c>
      <c r="E475" s="8">
        <v>145770840</v>
      </c>
      <c r="F475" s="8">
        <v>145770840</v>
      </c>
      <c r="G475" s="8" t="s">
        <v>41</v>
      </c>
      <c r="H475" s="8" t="s">
        <v>25</v>
      </c>
      <c r="I475" s="8" t="s">
        <v>23</v>
      </c>
      <c r="J475" s="8" t="s">
        <v>5644</v>
      </c>
      <c r="K475" s="8" t="s">
        <v>5646</v>
      </c>
      <c r="L475" s="8" t="s">
        <v>19</v>
      </c>
      <c r="M475" s="8">
        <v>2872</v>
      </c>
      <c r="N475" s="8" t="s">
        <v>1242</v>
      </c>
      <c r="O475" s="8">
        <v>772</v>
      </c>
      <c r="P475" s="8" t="s">
        <v>5645</v>
      </c>
      <c r="Q475" s="8" t="s">
        <v>4262</v>
      </c>
      <c r="R475" s="8">
        <v>0.34499999999999997</v>
      </c>
      <c r="S475" s="8">
        <v>145770840</v>
      </c>
      <c r="T475" s="8" t="s">
        <v>41</v>
      </c>
      <c r="U475" s="8" t="s">
        <v>25</v>
      </c>
    </row>
    <row r="476" spans="1:21">
      <c r="A476" s="8" t="s">
        <v>5410</v>
      </c>
      <c r="B476" s="8" t="s">
        <v>2790</v>
      </c>
      <c r="C476" s="8">
        <v>6570</v>
      </c>
      <c r="D476" s="8" t="s">
        <v>279</v>
      </c>
      <c r="E476" s="8">
        <v>20036714</v>
      </c>
      <c r="F476" s="8">
        <v>20036714</v>
      </c>
      <c r="G476" s="8" t="s">
        <v>41</v>
      </c>
      <c r="H476" s="8" t="s">
        <v>46</v>
      </c>
      <c r="I476" s="8" t="s">
        <v>23</v>
      </c>
      <c r="J476" s="8" t="s">
        <v>5647</v>
      </c>
      <c r="K476" s="8" t="s">
        <v>5649</v>
      </c>
      <c r="L476" s="8" t="s">
        <v>19</v>
      </c>
      <c r="M476" s="8">
        <v>673</v>
      </c>
      <c r="N476" s="8" t="s">
        <v>2976</v>
      </c>
      <c r="O476" s="8">
        <v>136</v>
      </c>
      <c r="P476" s="8" t="s">
        <v>5648</v>
      </c>
      <c r="Q476" s="8" t="s">
        <v>4262</v>
      </c>
      <c r="R476" s="8">
        <v>0.70399999999999996</v>
      </c>
      <c r="S476" s="8">
        <v>20036714</v>
      </c>
      <c r="T476" s="8" t="s">
        <v>41</v>
      </c>
      <c r="U476" s="8" t="s">
        <v>46</v>
      </c>
    </row>
    <row r="477" spans="1:21">
      <c r="A477" s="8" t="s">
        <v>5410</v>
      </c>
      <c r="B477" s="8" t="s">
        <v>3696</v>
      </c>
      <c r="C477" s="8">
        <v>56154</v>
      </c>
      <c r="D477" s="8" t="s">
        <v>279</v>
      </c>
      <c r="E477" s="8">
        <v>30701805</v>
      </c>
      <c r="F477" s="8">
        <v>30701805</v>
      </c>
      <c r="G477" s="8" t="s">
        <v>41</v>
      </c>
      <c r="H477" s="8" t="s">
        <v>46</v>
      </c>
      <c r="I477" s="8" t="s">
        <v>23</v>
      </c>
      <c r="J477" s="8" t="s">
        <v>3697</v>
      </c>
      <c r="K477" s="8" t="s">
        <v>5651</v>
      </c>
      <c r="L477" s="8" t="s">
        <v>19</v>
      </c>
      <c r="M477" s="8">
        <v>4729</v>
      </c>
      <c r="N477" s="8" t="s">
        <v>2976</v>
      </c>
      <c r="O477" s="8">
        <v>1577</v>
      </c>
      <c r="P477" s="8" t="s">
        <v>5650</v>
      </c>
      <c r="Q477" s="8" t="s">
        <v>4262</v>
      </c>
      <c r="R477" s="8">
        <v>0.69399999999999995</v>
      </c>
      <c r="S477" s="8">
        <v>30701805</v>
      </c>
      <c r="T477" s="8" t="s">
        <v>41</v>
      </c>
      <c r="U477" s="8" t="s">
        <v>46</v>
      </c>
    </row>
    <row r="478" spans="1:21">
      <c r="A478" s="8" t="s">
        <v>5410</v>
      </c>
      <c r="B478" s="8" t="s">
        <v>3698</v>
      </c>
      <c r="C478" s="8">
        <v>3551</v>
      </c>
      <c r="D478" s="8" t="s">
        <v>279</v>
      </c>
      <c r="E478" s="8">
        <v>42183540</v>
      </c>
      <c r="F478" s="8">
        <v>42183540</v>
      </c>
      <c r="G478" s="8" t="s">
        <v>24</v>
      </c>
      <c r="H478" s="8" t="s">
        <v>46</v>
      </c>
      <c r="I478" s="8" t="s">
        <v>23</v>
      </c>
      <c r="J478" s="8" t="s">
        <v>5652</v>
      </c>
      <c r="K478" s="8" t="s">
        <v>5655</v>
      </c>
      <c r="L478" s="8" t="s">
        <v>19</v>
      </c>
      <c r="M478" s="8">
        <v>2225</v>
      </c>
      <c r="N478" s="8" t="s">
        <v>440</v>
      </c>
      <c r="O478" s="8">
        <v>680</v>
      </c>
      <c r="P478" s="8" t="s">
        <v>5653</v>
      </c>
      <c r="Q478" s="8" t="s">
        <v>5654</v>
      </c>
      <c r="R478" s="8">
        <v>0.7</v>
      </c>
      <c r="S478" s="8">
        <v>42183540</v>
      </c>
      <c r="T478" s="8" t="s">
        <v>24</v>
      </c>
      <c r="U478" s="8" t="s">
        <v>46</v>
      </c>
    </row>
    <row r="479" spans="1:21">
      <c r="A479" s="8" t="s">
        <v>5410</v>
      </c>
      <c r="B479" s="8" t="s">
        <v>3699</v>
      </c>
      <c r="C479" s="8">
        <v>4010</v>
      </c>
      <c r="D479" s="8" t="s">
        <v>292</v>
      </c>
      <c r="E479" s="8">
        <v>129458581</v>
      </c>
      <c r="F479" s="8">
        <v>129458581</v>
      </c>
      <c r="G479" s="8" t="s">
        <v>41</v>
      </c>
      <c r="H479" s="8" t="s">
        <v>46</v>
      </c>
      <c r="I479" s="8" t="s">
        <v>23</v>
      </c>
      <c r="J479" s="8" t="s">
        <v>5656</v>
      </c>
      <c r="K479" s="8" t="s">
        <v>5658</v>
      </c>
      <c r="L479" s="8" t="s">
        <v>19</v>
      </c>
      <c r="M479" s="8">
        <v>1067</v>
      </c>
      <c r="N479" s="8" t="s">
        <v>300</v>
      </c>
      <c r="O479" s="8">
        <v>354</v>
      </c>
      <c r="P479" s="8" t="s">
        <v>5657</v>
      </c>
      <c r="Q479" s="8" t="s">
        <v>4262</v>
      </c>
      <c r="R479" s="8">
        <v>0.437</v>
      </c>
      <c r="S479" s="8">
        <v>129458581</v>
      </c>
      <c r="T479" s="8" t="s">
        <v>41</v>
      </c>
      <c r="U479" s="8" t="s">
        <v>46</v>
      </c>
    </row>
    <row r="480" spans="1:21">
      <c r="A480" s="8" t="s">
        <v>5410</v>
      </c>
      <c r="B480" s="8" t="s">
        <v>4046</v>
      </c>
      <c r="C480" s="8">
        <v>84253</v>
      </c>
      <c r="D480" s="8" t="s">
        <v>292</v>
      </c>
      <c r="E480" s="8">
        <v>130145815</v>
      </c>
      <c r="F480" s="8">
        <v>130145815</v>
      </c>
      <c r="G480" s="8" t="s">
        <v>41</v>
      </c>
      <c r="H480" s="8" t="s">
        <v>25</v>
      </c>
      <c r="I480" s="8" t="s">
        <v>23</v>
      </c>
      <c r="J480" s="8" t="s">
        <v>5659</v>
      </c>
      <c r="K480" s="8" t="s">
        <v>5661</v>
      </c>
      <c r="L480" s="8" t="s">
        <v>19</v>
      </c>
      <c r="M480" s="8">
        <v>2661</v>
      </c>
      <c r="N480" s="8" t="s">
        <v>3168</v>
      </c>
      <c r="O480" s="8">
        <v>754</v>
      </c>
      <c r="P480" s="8" t="s">
        <v>5660</v>
      </c>
      <c r="Q480" s="8" t="s">
        <v>4262</v>
      </c>
      <c r="R480" s="8">
        <v>0.41699999999999998</v>
      </c>
      <c r="S480" s="8">
        <v>130145815</v>
      </c>
      <c r="T480" s="8" t="s">
        <v>41</v>
      </c>
      <c r="U480" s="8" t="s">
        <v>25</v>
      </c>
    </row>
    <row r="481" spans="1:21">
      <c r="A481" s="8" t="s">
        <v>5410</v>
      </c>
      <c r="B481" s="8" t="s">
        <v>3700</v>
      </c>
      <c r="C481" s="8">
        <v>30815</v>
      </c>
      <c r="D481" s="8" t="s">
        <v>292</v>
      </c>
      <c r="E481" s="8">
        <v>130653061</v>
      </c>
      <c r="F481" s="8">
        <v>130653061</v>
      </c>
      <c r="G481" s="8" t="s">
        <v>41</v>
      </c>
      <c r="H481" s="8" t="s">
        <v>25</v>
      </c>
      <c r="I481" s="8" t="s">
        <v>23</v>
      </c>
      <c r="J481" s="8" t="s">
        <v>3701</v>
      </c>
      <c r="K481" s="8" t="s">
        <v>5663</v>
      </c>
      <c r="L481" s="8" t="s">
        <v>19</v>
      </c>
      <c r="M481" s="8">
        <v>678</v>
      </c>
      <c r="N481" s="8" t="s">
        <v>1030</v>
      </c>
      <c r="O481" s="8">
        <v>187</v>
      </c>
      <c r="P481" s="8" t="s">
        <v>5662</v>
      </c>
      <c r="Q481" s="8" t="s">
        <v>4262</v>
      </c>
      <c r="R481" s="8">
        <v>0.5</v>
      </c>
      <c r="S481" s="8">
        <v>130653061</v>
      </c>
      <c r="T481" s="8" t="s">
        <v>41</v>
      </c>
      <c r="U481" s="8" t="s">
        <v>25</v>
      </c>
    </row>
    <row r="482" spans="1:21">
      <c r="A482" s="8" t="s">
        <v>5410</v>
      </c>
      <c r="B482" s="8" t="s">
        <v>5664</v>
      </c>
      <c r="C482" s="8">
        <v>3098</v>
      </c>
      <c r="D482" s="8" t="s">
        <v>69</v>
      </c>
      <c r="E482" s="8">
        <v>71160830</v>
      </c>
      <c r="F482" s="8">
        <v>71160830</v>
      </c>
      <c r="G482" s="8" t="s">
        <v>24</v>
      </c>
      <c r="H482" s="8" t="s">
        <v>46</v>
      </c>
      <c r="I482" s="8" t="s">
        <v>23</v>
      </c>
      <c r="J482" s="8" t="s">
        <v>5665</v>
      </c>
      <c r="K482" s="8" t="s">
        <v>5667</v>
      </c>
      <c r="L482" s="8" t="s">
        <v>19</v>
      </c>
      <c r="M482" s="8">
        <v>3009</v>
      </c>
      <c r="N482" s="8" t="s">
        <v>409</v>
      </c>
      <c r="O482" s="8">
        <v>902</v>
      </c>
      <c r="P482" s="8" t="s">
        <v>5666</v>
      </c>
      <c r="Q482" s="8" t="s">
        <v>4262</v>
      </c>
      <c r="R482" s="8">
        <v>0.40600000000000003</v>
      </c>
      <c r="S482" s="8">
        <v>71160830</v>
      </c>
      <c r="T482" s="8" t="s">
        <v>24</v>
      </c>
      <c r="U482" s="8" t="s">
        <v>46</v>
      </c>
    </row>
    <row r="483" spans="1:21">
      <c r="A483" s="8" t="s">
        <v>5410</v>
      </c>
      <c r="B483" s="8" t="s">
        <v>5668</v>
      </c>
      <c r="C483" s="8">
        <v>5309</v>
      </c>
      <c r="D483" s="8" t="s">
        <v>69</v>
      </c>
      <c r="E483" s="8">
        <v>103990813</v>
      </c>
      <c r="F483" s="8">
        <v>103990813</v>
      </c>
      <c r="G483" s="8" t="s">
        <v>41</v>
      </c>
      <c r="H483" s="8" t="s">
        <v>25</v>
      </c>
      <c r="I483" s="8" t="s">
        <v>23</v>
      </c>
      <c r="J483" s="8" t="s">
        <v>5669</v>
      </c>
      <c r="K483" s="8" t="s">
        <v>5671</v>
      </c>
      <c r="L483" s="8" t="s">
        <v>19</v>
      </c>
      <c r="M483" s="8">
        <v>521</v>
      </c>
      <c r="N483" s="8" t="s">
        <v>1030</v>
      </c>
      <c r="O483" s="8">
        <v>123</v>
      </c>
      <c r="P483" s="8" t="s">
        <v>5670</v>
      </c>
      <c r="Q483" s="8" t="s">
        <v>4262</v>
      </c>
      <c r="R483" s="8">
        <v>0.46700000000000003</v>
      </c>
      <c r="S483" s="8">
        <v>103990813</v>
      </c>
      <c r="T483" s="8" t="s">
        <v>41</v>
      </c>
      <c r="U483" s="8" t="s">
        <v>25</v>
      </c>
    </row>
    <row r="484" spans="1:21">
      <c r="A484" s="8" t="s">
        <v>5410</v>
      </c>
      <c r="B484" s="8" t="s">
        <v>1717</v>
      </c>
      <c r="C484" s="8">
        <v>114815</v>
      </c>
      <c r="D484" s="8" t="s">
        <v>69</v>
      </c>
      <c r="E484" s="8">
        <v>108412249</v>
      </c>
      <c r="F484" s="8">
        <v>108412249</v>
      </c>
      <c r="G484" s="8" t="s">
        <v>24</v>
      </c>
      <c r="H484" s="8" t="s">
        <v>25</v>
      </c>
      <c r="I484" s="8" t="s">
        <v>23</v>
      </c>
      <c r="J484" s="8" t="s">
        <v>5672</v>
      </c>
      <c r="K484" s="8" t="s">
        <v>5675</v>
      </c>
      <c r="L484" s="8" t="s">
        <v>19</v>
      </c>
      <c r="M484" s="8">
        <v>2548</v>
      </c>
      <c r="N484" s="8" t="s">
        <v>365</v>
      </c>
      <c r="O484" s="8">
        <v>789</v>
      </c>
      <c r="P484" s="8" t="s">
        <v>5673</v>
      </c>
      <c r="Q484" s="8" t="s">
        <v>5674</v>
      </c>
      <c r="R484" s="8">
        <v>0.45600000000000002</v>
      </c>
      <c r="S484" s="8">
        <v>108412249</v>
      </c>
      <c r="T484" s="8" t="s">
        <v>24</v>
      </c>
      <c r="U484" s="8" t="s">
        <v>25</v>
      </c>
    </row>
    <row r="485" spans="1:21">
      <c r="A485" s="8" t="s">
        <v>5410</v>
      </c>
      <c r="B485" s="8" t="s">
        <v>5676</v>
      </c>
      <c r="C485" s="8">
        <v>57512</v>
      </c>
      <c r="D485" s="8" t="s">
        <v>69</v>
      </c>
      <c r="E485" s="8">
        <v>25887205</v>
      </c>
      <c r="F485" s="8">
        <v>25887205</v>
      </c>
      <c r="G485" s="8" t="s">
        <v>25</v>
      </c>
      <c r="H485" s="8" t="s">
        <v>41</v>
      </c>
      <c r="I485" s="8" t="s">
        <v>23</v>
      </c>
      <c r="J485" s="8" t="s">
        <v>5677</v>
      </c>
      <c r="K485" s="8" t="s">
        <v>5679</v>
      </c>
      <c r="L485" s="8" t="s">
        <v>19</v>
      </c>
      <c r="M485" s="8">
        <v>2710</v>
      </c>
      <c r="N485" s="8" t="s">
        <v>3131</v>
      </c>
      <c r="O485" s="8">
        <v>884</v>
      </c>
      <c r="P485" s="8" t="s">
        <v>5678</v>
      </c>
      <c r="Q485" s="8" t="s">
        <v>4262</v>
      </c>
      <c r="R485" s="8">
        <v>0.42199999999999999</v>
      </c>
      <c r="S485" s="8">
        <v>25887205</v>
      </c>
      <c r="T485" s="8" t="s">
        <v>25</v>
      </c>
      <c r="U485" s="8" t="s">
        <v>41</v>
      </c>
    </row>
    <row r="486" spans="1:21">
      <c r="A486" s="8" t="s">
        <v>5410</v>
      </c>
      <c r="B486" s="8" t="s">
        <v>4182</v>
      </c>
      <c r="C486" s="8">
        <v>83937</v>
      </c>
      <c r="D486" s="8" t="s">
        <v>69</v>
      </c>
      <c r="E486" s="8">
        <v>45478023</v>
      </c>
      <c r="F486" s="8">
        <v>45478023</v>
      </c>
      <c r="G486" s="8" t="s">
        <v>46</v>
      </c>
      <c r="H486" s="8" t="s">
        <v>41</v>
      </c>
      <c r="I486" s="8" t="s">
        <v>23</v>
      </c>
      <c r="J486" s="8" t="s">
        <v>5680</v>
      </c>
      <c r="K486" s="8" t="s">
        <v>5682</v>
      </c>
      <c r="L486" s="8" t="s">
        <v>19</v>
      </c>
      <c r="M486" s="8">
        <v>327</v>
      </c>
      <c r="N486" s="8" t="s">
        <v>92</v>
      </c>
      <c r="O486" s="8">
        <v>65</v>
      </c>
      <c r="P486" s="8" t="s">
        <v>5681</v>
      </c>
      <c r="Q486" s="8" t="s">
        <v>4262</v>
      </c>
      <c r="R486" s="8">
        <v>0.26700000000000002</v>
      </c>
      <c r="S486" s="8">
        <v>45478023</v>
      </c>
      <c r="T486" s="8" t="s">
        <v>46</v>
      </c>
      <c r="U486" s="8" t="s">
        <v>41</v>
      </c>
    </row>
    <row r="487" spans="1:21">
      <c r="A487" s="8" t="s">
        <v>5410</v>
      </c>
      <c r="B487" s="8" t="s">
        <v>5683</v>
      </c>
      <c r="C487" s="8">
        <v>3047</v>
      </c>
      <c r="D487" s="8" t="s">
        <v>83</v>
      </c>
      <c r="E487" s="8">
        <v>5270618</v>
      </c>
      <c r="F487" s="8">
        <v>5270618</v>
      </c>
      <c r="G487" s="8" t="s">
        <v>46</v>
      </c>
      <c r="H487" s="8" t="s">
        <v>25</v>
      </c>
      <c r="I487" s="8" t="s">
        <v>23</v>
      </c>
      <c r="J487" s="8" t="s">
        <v>5684</v>
      </c>
      <c r="K487" s="8" t="s">
        <v>5686</v>
      </c>
      <c r="L487" s="8" t="s">
        <v>19</v>
      </c>
      <c r="M487" s="8">
        <v>348</v>
      </c>
      <c r="N487" s="8" t="s">
        <v>1248</v>
      </c>
      <c r="O487" s="8">
        <v>99</v>
      </c>
      <c r="P487" s="8" t="s">
        <v>5685</v>
      </c>
      <c r="Q487" s="8" t="s">
        <v>4262</v>
      </c>
      <c r="R487" s="8">
        <v>0.51600000000000001</v>
      </c>
      <c r="S487" s="8">
        <v>5270618</v>
      </c>
      <c r="T487" s="8" t="s">
        <v>46</v>
      </c>
      <c r="U487" s="8" t="s">
        <v>25</v>
      </c>
    </row>
    <row r="488" spans="1:21">
      <c r="A488" s="8" t="s">
        <v>5410</v>
      </c>
      <c r="B488" s="8" t="s">
        <v>5687</v>
      </c>
      <c r="C488" s="8">
        <v>81309</v>
      </c>
      <c r="D488" s="8" t="s">
        <v>83</v>
      </c>
      <c r="E488" s="8">
        <v>55322242</v>
      </c>
      <c r="F488" s="8">
        <v>55322242</v>
      </c>
      <c r="G488" s="8" t="s">
        <v>46</v>
      </c>
      <c r="H488" s="8" t="s">
        <v>24</v>
      </c>
      <c r="I488" s="8" t="s">
        <v>23</v>
      </c>
      <c r="J488" s="8" t="s">
        <v>5688</v>
      </c>
      <c r="K488" s="8" t="s">
        <v>5690</v>
      </c>
      <c r="L488" s="8" t="s">
        <v>19</v>
      </c>
      <c r="M488" s="8">
        <v>460</v>
      </c>
      <c r="N488" s="8" t="s">
        <v>3056</v>
      </c>
      <c r="O488" s="8">
        <v>154</v>
      </c>
      <c r="P488" s="8" t="s">
        <v>5689</v>
      </c>
      <c r="Q488" s="8" t="s">
        <v>4262</v>
      </c>
      <c r="R488" s="8">
        <v>0.112</v>
      </c>
      <c r="S488" s="8">
        <v>55322242</v>
      </c>
      <c r="T488" s="8" t="s">
        <v>46</v>
      </c>
      <c r="U488" s="8" t="s">
        <v>24</v>
      </c>
    </row>
    <row r="489" spans="1:21">
      <c r="A489" s="8" t="s">
        <v>5410</v>
      </c>
      <c r="B489" s="8" t="s">
        <v>3604</v>
      </c>
      <c r="C489" s="8">
        <v>219437</v>
      </c>
      <c r="D489" s="8" t="s">
        <v>83</v>
      </c>
      <c r="E489" s="8">
        <v>55579118</v>
      </c>
      <c r="F489" s="8">
        <v>55579118</v>
      </c>
      <c r="G489" s="8" t="s">
        <v>41</v>
      </c>
      <c r="H489" s="8" t="s">
        <v>25</v>
      </c>
      <c r="I489" s="8" t="s">
        <v>23</v>
      </c>
      <c r="J489" s="8" t="s">
        <v>3605</v>
      </c>
      <c r="K489" s="8" t="s">
        <v>5692</v>
      </c>
      <c r="L489" s="8" t="s">
        <v>19</v>
      </c>
      <c r="M489" s="8">
        <v>176</v>
      </c>
      <c r="N489" s="8" t="s">
        <v>3606</v>
      </c>
      <c r="O489" s="8">
        <v>59</v>
      </c>
      <c r="P489" s="8" t="s">
        <v>5691</v>
      </c>
      <c r="Q489" s="8" t="s">
        <v>4262</v>
      </c>
      <c r="R489" s="8">
        <v>0.41699999999999998</v>
      </c>
      <c r="S489" s="8">
        <v>55579118</v>
      </c>
      <c r="T489" s="8" t="s">
        <v>41</v>
      </c>
      <c r="U489" s="8" t="s">
        <v>25</v>
      </c>
    </row>
    <row r="490" spans="1:21">
      <c r="A490" s="8" t="s">
        <v>5410</v>
      </c>
      <c r="B490" s="8" t="s">
        <v>3607</v>
      </c>
      <c r="C490" s="8">
        <v>931</v>
      </c>
      <c r="D490" s="8" t="s">
        <v>83</v>
      </c>
      <c r="E490" s="8">
        <v>60230527</v>
      </c>
      <c r="F490" s="8">
        <v>60230527</v>
      </c>
      <c r="G490" s="8" t="s">
        <v>41</v>
      </c>
      <c r="H490" s="8" t="s">
        <v>25</v>
      </c>
      <c r="I490" s="8" t="s">
        <v>23</v>
      </c>
      <c r="J490" s="8" t="s">
        <v>5693</v>
      </c>
      <c r="K490" s="8" t="s">
        <v>5695</v>
      </c>
      <c r="L490" s="8" t="s">
        <v>19</v>
      </c>
      <c r="M490" s="8">
        <v>365</v>
      </c>
      <c r="N490" s="8" t="s">
        <v>3606</v>
      </c>
      <c r="O490" s="8">
        <v>71</v>
      </c>
      <c r="P490" s="8" t="s">
        <v>5694</v>
      </c>
      <c r="Q490" s="8" t="s">
        <v>4262</v>
      </c>
      <c r="R490" s="8">
        <v>0.44800000000000001</v>
      </c>
      <c r="S490" s="8">
        <v>60230527</v>
      </c>
      <c r="T490" s="8" t="s">
        <v>41</v>
      </c>
      <c r="U490" s="8" t="s">
        <v>25</v>
      </c>
    </row>
    <row r="491" spans="1:21">
      <c r="A491" s="8" t="s">
        <v>5410</v>
      </c>
      <c r="B491" s="8" t="s">
        <v>3607</v>
      </c>
      <c r="C491" s="8">
        <v>931</v>
      </c>
      <c r="D491" s="8" t="s">
        <v>83</v>
      </c>
      <c r="E491" s="8">
        <v>60230529</v>
      </c>
      <c r="F491" s="8">
        <v>60230529</v>
      </c>
      <c r="G491" s="8" t="s">
        <v>25</v>
      </c>
      <c r="H491" s="8" t="s">
        <v>41</v>
      </c>
      <c r="I491" s="8" t="s">
        <v>23</v>
      </c>
      <c r="J491" s="8" t="s">
        <v>5693</v>
      </c>
      <c r="K491" s="8" t="s">
        <v>5695</v>
      </c>
      <c r="L491" s="8" t="s">
        <v>19</v>
      </c>
      <c r="M491" s="8">
        <v>367</v>
      </c>
      <c r="N491" s="8" t="s">
        <v>1607</v>
      </c>
      <c r="O491" s="8">
        <v>72</v>
      </c>
      <c r="P491" s="8" t="s">
        <v>5696</v>
      </c>
      <c r="Q491" s="8" t="s">
        <v>4262</v>
      </c>
      <c r="R491" s="8">
        <v>0.44</v>
      </c>
      <c r="S491" s="8">
        <v>60230529</v>
      </c>
      <c r="T491" s="8" t="s">
        <v>25</v>
      </c>
      <c r="U491" s="8" t="s">
        <v>41</v>
      </c>
    </row>
    <row r="492" spans="1:21">
      <c r="A492" s="8" t="s">
        <v>5410</v>
      </c>
      <c r="B492" s="8" t="s">
        <v>1982</v>
      </c>
      <c r="C492" s="8">
        <v>7536</v>
      </c>
      <c r="D492" s="8" t="s">
        <v>83</v>
      </c>
      <c r="E492" s="8">
        <v>64537058</v>
      </c>
      <c r="F492" s="8">
        <v>64537058</v>
      </c>
      <c r="G492" s="8" t="s">
        <v>41</v>
      </c>
      <c r="H492" s="8" t="s">
        <v>25</v>
      </c>
      <c r="I492" s="8" t="s">
        <v>23</v>
      </c>
      <c r="J492" s="8" t="s">
        <v>5697</v>
      </c>
      <c r="K492" s="8" t="s">
        <v>5699</v>
      </c>
      <c r="L492" s="8" t="s">
        <v>19</v>
      </c>
      <c r="M492" s="8">
        <v>952</v>
      </c>
      <c r="N492" s="8" t="s">
        <v>1115</v>
      </c>
      <c r="O492" s="8">
        <v>293</v>
      </c>
      <c r="P492" s="8" t="s">
        <v>5698</v>
      </c>
      <c r="Q492" s="8" t="s">
        <v>4262</v>
      </c>
      <c r="R492" s="8">
        <v>0.432</v>
      </c>
      <c r="S492" s="8">
        <v>64537058</v>
      </c>
      <c r="T492" s="8" t="s">
        <v>41</v>
      </c>
      <c r="U492" s="8" t="s">
        <v>25</v>
      </c>
    </row>
    <row r="493" spans="1:21">
      <c r="A493" s="8" t="s">
        <v>5410</v>
      </c>
      <c r="B493" s="8" t="s">
        <v>3750</v>
      </c>
      <c r="C493" s="8">
        <v>2915</v>
      </c>
      <c r="D493" s="8" t="s">
        <v>83</v>
      </c>
      <c r="E493" s="8">
        <v>88386551</v>
      </c>
      <c r="F493" s="8">
        <v>88386551</v>
      </c>
      <c r="G493" s="8" t="s">
        <v>41</v>
      </c>
      <c r="H493" s="8" t="s">
        <v>46</v>
      </c>
      <c r="I493" s="8" t="s">
        <v>23</v>
      </c>
      <c r="J493" s="8" t="s">
        <v>5700</v>
      </c>
      <c r="K493" s="8" t="s">
        <v>5702</v>
      </c>
      <c r="L493" s="8" t="s">
        <v>19</v>
      </c>
      <c r="M493" s="8">
        <v>1132</v>
      </c>
      <c r="N493" s="8" t="s">
        <v>1055</v>
      </c>
      <c r="O493" s="8">
        <v>311</v>
      </c>
      <c r="P493" s="8" t="s">
        <v>5701</v>
      </c>
      <c r="Q493" s="8" t="s">
        <v>4262</v>
      </c>
      <c r="R493" s="8">
        <v>0.32900000000000001</v>
      </c>
      <c r="S493" s="8">
        <v>88386551</v>
      </c>
      <c r="T493" s="8" t="s">
        <v>41</v>
      </c>
      <c r="U493" s="8" t="s">
        <v>46</v>
      </c>
    </row>
    <row r="494" spans="1:21">
      <c r="A494" s="8" t="s">
        <v>5410</v>
      </c>
      <c r="B494" s="8" t="s">
        <v>1567</v>
      </c>
      <c r="C494" s="8">
        <v>23258</v>
      </c>
      <c r="D494" s="8" t="s">
        <v>83</v>
      </c>
      <c r="E494" s="8">
        <v>9163548</v>
      </c>
      <c r="F494" s="8">
        <v>9163548</v>
      </c>
      <c r="G494" s="8" t="s">
        <v>41</v>
      </c>
      <c r="H494" s="8" t="s">
        <v>25</v>
      </c>
      <c r="I494" s="8" t="s">
        <v>23</v>
      </c>
      <c r="J494" s="8" t="s">
        <v>5703</v>
      </c>
      <c r="K494" s="8" t="s">
        <v>5705</v>
      </c>
      <c r="L494" s="8" t="s">
        <v>19</v>
      </c>
      <c r="M494" s="8">
        <v>3874</v>
      </c>
      <c r="N494" s="8" t="s">
        <v>3703</v>
      </c>
      <c r="O494" s="8">
        <v>1207</v>
      </c>
      <c r="P494" s="8" t="s">
        <v>5704</v>
      </c>
      <c r="Q494" s="8" t="s">
        <v>4262</v>
      </c>
      <c r="R494" s="8">
        <v>0.36399999999999999</v>
      </c>
      <c r="S494" s="8">
        <v>9163548</v>
      </c>
      <c r="T494" s="8" t="s">
        <v>41</v>
      </c>
      <c r="U494" s="8" t="s">
        <v>25</v>
      </c>
    </row>
    <row r="495" spans="1:21">
      <c r="A495" s="8" t="s">
        <v>5410</v>
      </c>
      <c r="B495" s="8" t="s">
        <v>2451</v>
      </c>
      <c r="C495" s="8">
        <v>2977</v>
      </c>
      <c r="D495" s="8" t="s">
        <v>83</v>
      </c>
      <c r="E495" s="8">
        <v>106810326</v>
      </c>
      <c r="F495" s="8">
        <v>106810326</v>
      </c>
      <c r="G495" s="8" t="s">
        <v>41</v>
      </c>
      <c r="H495" s="8" t="s">
        <v>25</v>
      </c>
      <c r="I495" s="8" t="s">
        <v>23</v>
      </c>
      <c r="J495" s="8" t="s">
        <v>5706</v>
      </c>
      <c r="K495" s="8" t="s">
        <v>5708</v>
      </c>
      <c r="L495" s="8" t="s">
        <v>76</v>
      </c>
      <c r="M495" s="8">
        <v>1456</v>
      </c>
      <c r="N495" s="8" t="s">
        <v>2961</v>
      </c>
      <c r="O495" s="8">
        <v>356</v>
      </c>
      <c r="P495" s="8" t="s">
        <v>5707</v>
      </c>
      <c r="Q495" s="8" t="s">
        <v>4262</v>
      </c>
      <c r="R495" s="8">
        <v>0.376</v>
      </c>
      <c r="S495" s="8">
        <v>106810326</v>
      </c>
      <c r="T495" s="8" t="s">
        <v>41</v>
      </c>
      <c r="U495" s="8" t="s">
        <v>25</v>
      </c>
    </row>
    <row r="496" spans="1:21">
      <c r="A496" s="8" t="s">
        <v>5410</v>
      </c>
      <c r="B496" s="8" t="s">
        <v>3349</v>
      </c>
      <c r="C496" s="8">
        <v>4684</v>
      </c>
      <c r="D496" s="8" t="s">
        <v>83</v>
      </c>
      <c r="E496" s="8">
        <v>113076897</v>
      </c>
      <c r="F496" s="8">
        <v>113076897</v>
      </c>
      <c r="G496" s="8" t="s">
        <v>41</v>
      </c>
      <c r="H496" s="8" t="s">
        <v>25</v>
      </c>
      <c r="I496" s="8" t="s">
        <v>23</v>
      </c>
      <c r="J496" s="8" t="s">
        <v>5709</v>
      </c>
      <c r="K496" s="8" t="s">
        <v>5711</v>
      </c>
      <c r="L496" s="8" t="s">
        <v>19</v>
      </c>
      <c r="M496" s="8">
        <v>989</v>
      </c>
      <c r="N496" s="8" t="s">
        <v>1046</v>
      </c>
      <c r="O496" s="8">
        <v>208</v>
      </c>
      <c r="P496" s="8" t="s">
        <v>5710</v>
      </c>
      <c r="Q496" s="8" t="s">
        <v>4262</v>
      </c>
      <c r="R496" s="8">
        <v>0.44600000000000001</v>
      </c>
      <c r="S496" s="8">
        <v>113076897</v>
      </c>
      <c r="T496" s="8" t="s">
        <v>41</v>
      </c>
      <c r="U496" s="8" t="s">
        <v>25</v>
      </c>
    </row>
    <row r="497" spans="1:21">
      <c r="A497" s="8" t="s">
        <v>5410</v>
      </c>
      <c r="B497" s="8" t="s">
        <v>5712</v>
      </c>
      <c r="C497" s="8">
        <v>9183</v>
      </c>
      <c r="D497" s="8" t="s">
        <v>83</v>
      </c>
      <c r="E497" s="8">
        <v>113628443</v>
      </c>
      <c r="F497" s="8">
        <v>113628443</v>
      </c>
      <c r="G497" s="8" t="s">
        <v>24</v>
      </c>
      <c r="H497" s="8" t="s">
        <v>46</v>
      </c>
      <c r="I497" s="8" t="s">
        <v>23</v>
      </c>
      <c r="J497" s="8" t="s">
        <v>5713</v>
      </c>
      <c r="K497" s="8" t="s">
        <v>5715</v>
      </c>
      <c r="L497" s="8" t="s">
        <v>19</v>
      </c>
      <c r="M497" s="8">
        <v>903</v>
      </c>
      <c r="N497" s="8" t="s">
        <v>5716</v>
      </c>
      <c r="O497" s="8">
        <v>289</v>
      </c>
      <c r="P497" s="8" t="s">
        <v>5714</v>
      </c>
      <c r="Q497" s="8" t="s">
        <v>4262</v>
      </c>
      <c r="R497" s="8">
        <v>0.39100000000000001</v>
      </c>
      <c r="S497" s="8">
        <v>113628443</v>
      </c>
      <c r="T497" s="8" t="s">
        <v>24</v>
      </c>
      <c r="U497" s="8" t="s">
        <v>46</v>
      </c>
    </row>
    <row r="498" spans="1:21">
      <c r="A498" s="8" t="s">
        <v>5410</v>
      </c>
      <c r="B498" s="8" t="s">
        <v>5717</v>
      </c>
      <c r="C498" s="8">
        <v>219858</v>
      </c>
      <c r="D498" s="8" t="s">
        <v>83</v>
      </c>
      <c r="E498" s="8">
        <v>124412739</v>
      </c>
      <c r="F498" s="8">
        <v>124412739</v>
      </c>
      <c r="G498" s="8" t="s">
        <v>41</v>
      </c>
      <c r="H498" s="8" t="s">
        <v>24</v>
      </c>
      <c r="I498" s="8" t="s">
        <v>23</v>
      </c>
      <c r="J498" s="8" t="s">
        <v>5718</v>
      </c>
      <c r="K498" s="8" t="s">
        <v>5720</v>
      </c>
      <c r="L498" s="8" t="s">
        <v>19</v>
      </c>
      <c r="M498" s="8">
        <v>812</v>
      </c>
      <c r="N498" s="8" t="s">
        <v>828</v>
      </c>
      <c r="O498" s="8">
        <v>271</v>
      </c>
      <c r="P498" s="8" t="s">
        <v>5719</v>
      </c>
      <c r="Q498" s="8" t="s">
        <v>4262</v>
      </c>
      <c r="R498" s="8">
        <v>0.28299999999999997</v>
      </c>
      <c r="S498" s="8">
        <v>124412739</v>
      </c>
      <c r="T498" s="8" t="s">
        <v>41</v>
      </c>
      <c r="U498" s="8" t="s">
        <v>24</v>
      </c>
    </row>
    <row r="499" spans="1:21">
      <c r="A499" s="8" t="s">
        <v>5410</v>
      </c>
      <c r="B499" s="8" t="s">
        <v>3602</v>
      </c>
      <c r="C499" s="8">
        <v>144100</v>
      </c>
      <c r="D499" s="8" t="s">
        <v>83</v>
      </c>
      <c r="E499" s="8">
        <v>16838442</v>
      </c>
      <c r="F499" s="8">
        <v>16838442</v>
      </c>
      <c r="G499" s="8" t="s">
        <v>46</v>
      </c>
      <c r="H499" s="8" t="s">
        <v>41</v>
      </c>
      <c r="I499" s="8" t="s">
        <v>23</v>
      </c>
      <c r="J499" s="8" t="s">
        <v>3603</v>
      </c>
      <c r="K499" s="8" t="s">
        <v>5722</v>
      </c>
      <c r="L499" s="8" t="s">
        <v>19</v>
      </c>
      <c r="M499" s="8">
        <v>1786</v>
      </c>
      <c r="N499" s="8" t="s">
        <v>1070</v>
      </c>
      <c r="O499" s="8">
        <v>591</v>
      </c>
      <c r="P499" s="8" t="s">
        <v>5721</v>
      </c>
      <c r="Q499" s="8" t="s">
        <v>4262</v>
      </c>
      <c r="R499" s="8">
        <v>0.46800000000000003</v>
      </c>
      <c r="S499" s="8">
        <v>16838442</v>
      </c>
      <c r="T499" s="8" t="s">
        <v>46</v>
      </c>
      <c r="U499" s="8" t="s">
        <v>41</v>
      </c>
    </row>
    <row r="500" spans="1:21">
      <c r="A500" s="8" t="s">
        <v>5410</v>
      </c>
      <c r="B500" s="8" t="s">
        <v>3463</v>
      </c>
      <c r="C500" s="8">
        <v>10083</v>
      </c>
      <c r="D500" s="8" t="s">
        <v>83</v>
      </c>
      <c r="E500" s="8">
        <v>17565839</v>
      </c>
      <c r="F500" s="8">
        <v>17565839</v>
      </c>
      <c r="G500" s="8" t="s">
        <v>46</v>
      </c>
      <c r="H500" s="8" t="s">
        <v>41</v>
      </c>
      <c r="I500" s="8" t="s">
        <v>23</v>
      </c>
      <c r="J500" s="8" t="s">
        <v>3464</v>
      </c>
      <c r="K500" s="8" t="s">
        <v>5724</v>
      </c>
      <c r="L500" s="8" t="s">
        <v>19</v>
      </c>
      <c r="M500" s="8">
        <v>125</v>
      </c>
      <c r="N500" s="8" t="s">
        <v>155</v>
      </c>
      <c r="O500" s="8">
        <v>6</v>
      </c>
      <c r="P500" s="8" t="s">
        <v>5723</v>
      </c>
      <c r="Q500" s="8" t="s">
        <v>4262</v>
      </c>
      <c r="R500" s="8">
        <v>0.44900000000000001</v>
      </c>
      <c r="S500" s="8">
        <v>17565839</v>
      </c>
      <c r="T500" s="8" t="s">
        <v>46</v>
      </c>
      <c r="U500" s="8" t="s">
        <v>41</v>
      </c>
    </row>
    <row r="501" spans="1:21">
      <c r="A501" s="8" t="s">
        <v>5410</v>
      </c>
      <c r="B501" s="8" t="s">
        <v>5725</v>
      </c>
      <c r="C501" s="8">
        <v>100506627</v>
      </c>
      <c r="D501" s="8" t="s">
        <v>83</v>
      </c>
      <c r="E501" s="8">
        <v>30953390</v>
      </c>
      <c r="F501" s="8">
        <v>30953390</v>
      </c>
      <c r="G501" s="8" t="s">
        <v>41</v>
      </c>
      <c r="H501" s="8" t="s">
        <v>25</v>
      </c>
      <c r="I501" s="8" t="s">
        <v>23</v>
      </c>
      <c r="J501" s="8" t="s">
        <v>5726</v>
      </c>
      <c r="K501" s="8" t="s">
        <v>5728</v>
      </c>
      <c r="L501" s="8" t="s">
        <v>19</v>
      </c>
      <c r="M501" s="8">
        <v>462</v>
      </c>
      <c r="N501" s="8" t="s">
        <v>3136</v>
      </c>
      <c r="O501" s="8">
        <v>49</v>
      </c>
      <c r="P501" s="8" t="s">
        <v>5727</v>
      </c>
      <c r="Q501" s="8" t="s">
        <v>4262</v>
      </c>
      <c r="R501" s="8">
        <v>0.39900000000000002</v>
      </c>
      <c r="S501" s="8">
        <v>30953390</v>
      </c>
      <c r="T501" s="8" t="s">
        <v>41</v>
      </c>
      <c r="U501" s="8" t="s">
        <v>25</v>
      </c>
    </row>
    <row r="502" spans="1:21">
      <c r="A502" s="8" t="s">
        <v>5410</v>
      </c>
      <c r="B502" s="8" t="s">
        <v>2997</v>
      </c>
      <c r="C502" s="8">
        <v>5896</v>
      </c>
      <c r="D502" s="8" t="s">
        <v>83</v>
      </c>
      <c r="E502" s="8">
        <v>36596839</v>
      </c>
      <c r="F502" s="8">
        <v>36596839</v>
      </c>
      <c r="G502" s="8" t="s">
        <v>41</v>
      </c>
      <c r="H502" s="8" t="s">
        <v>25</v>
      </c>
      <c r="I502" s="8" t="s">
        <v>23</v>
      </c>
      <c r="J502" s="8" t="s">
        <v>2998</v>
      </c>
      <c r="K502" s="8" t="s">
        <v>5730</v>
      </c>
      <c r="L502" s="8" t="s">
        <v>19</v>
      </c>
      <c r="M502" s="8">
        <v>2109</v>
      </c>
      <c r="N502" s="8" t="s">
        <v>1096</v>
      </c>
      <c r="O502" s="8">
        <v>662</v>
      </c>
      <c r="P502" s="8" t="s">
        <v>5729</v>
      </c>
      <c r="Q502" s="8" t="s">
        <v>4262</v>
      </c>
      <c r="R502" s="8">
        <v>0.436</v>
      </c>
      <c r="S502" s="8">
        <v>36596839</v>
      </c>
      <c r="T502" s="8" t="s">
        <v>41</v>
      </c>
      <c r="U502" s="8" t="s">
        <v>25</v>
      </c>
    </row>
    <row r="503" spans="1:21">
      <c r="A503" s="8" t="s">
        <v>5410</v>
      </c>
      <c r="B503" s="8" t="s">
        <v>5731</v>
      </c>
      <c r="C503" s="8">
        <v>79841</v>
      </c>
      <c r="D503" s="8" t="s">
        <v>83</v>
      </c>
      <c r="E503" s="8">
        <v>47689184</v>
      </c>
      <c r="F503" s="8">
        <v>47689184</v>
      </c>
      <c r="G503" s="8" t="s">
        <v>46</v>
      </c>
      <c r="H503" s="8" t="s">
        <v>41</v>
      </c>
      <c r="I503" s="8" t="s">
        <v>23</v>
      </c>
      <c r="J503" s="8" t="s">
        <v>5732</v>
      </c>
      <c r="K503" s="8" t="s">
        <v>5734</v>
      </c>
      <c r="L503" s="8" t="s">
        <v>19</v>
      </c>
      <c r="M503" s="8">
        <v>2581</v>
      </c>
      <c r="N503" s="8" t="s">
        <v>577</v>
      </c>
      <c r="O503" s="8">
        <v>760</v>
      </c>
      <c r="P503" s="8" t="s">
        <v>5733</v>
      </c>
      <c r="Q503" s="8" t="s">
        <v>4262</v>
      </c>
      <c r="R503" s="8">
        <v>0.33300000000000002</v>
      </c>
      <c r="S503" s="8">
        <v>47689184</v>
      </c>
      <c r="T503" s="8" t="s">
        <v>46</v>
      </c>
      <c r="U503" s="8" t="s">
        <v>41</v>
      </c>
    </row>
    <row r="504" spans="1:21">
      <c r="A504" s="8" t="s">
        <v>5410</v>
      </c>
      <c r="B504" s="8" t="s">
        <v>5735</v>
      </c>
      <c r="C504" s="8">
        <v>390326</v>
      </c>
      <c r="D504" s="8" t="s">
        <v>104</v>
      </c>
      <c r="E504" s="8">
        <v>55820563</v>
      </c>
      <c r="F504" s="8">
        <v>55820563</v>
      </c>
      <c r="G504" s="8" t="s">
        <v>41</v>
      </c>
      <c r="H504" s="8" t="s">
        <v>25</v>
      </c>
      <c r="I504" s="8" t="s">
        <v>23</v>
      </c>
      <c r="J504" s="8" t="s">
        <v>5736</v>
      </c>
      <c r="K504" s="8" t="s">
        <v>5738</v>
      </c>
      <c r="L504" s="8" t="s">
        <v>19</v>
      </c>
      <c r="M504" s="8">
        <v>526</v>
      </c>
      <c r="N504" s="8" t="s">
        <v>278</v>
      </c>
      <c r="O504" s="8">
        <v>176</v>
      </c>
      <c r="P504" s="8" t="s">
        <v>5737</v>
      </c>
      <c r="Q504" s="8" t="s">
        <v>4262</v>
      </c>
      <c r="R504" s="8">
        <v>0.372</v>
      </c>
      <c r="S504" s="8">
        <v>55820563</v>
      </c>
      <c r="T504" s="8" t="s">
        <v>41</v>
      </c>
      <c r="U504" s="8" t="s">
        <v>25</v>
      </c>
    </row>
    <row r="505" spans="1:21">
      <c r="A505" s="8" t="s">
        <v>5410</v>
      </c>
      <c r="B505" s="8" t="s">
        <v>5739</v>
      </c>
      <c r="C505" s="8">
        <v>196403</v>
      </c>
      <c r="D505" s="8" t="s">
        <v>104</v>
      </c>
      <c r="E505" s="8">
        <v>58001032</v>
      </c>
      <c r="F505" s="8">
        <v>58001032</v>
      </c>
      <c r="G505" s="8" t="s">
        <v>46</v>
      </c>
      <c r="H505" s="8" t="s">
        <v>41</v>
      </c>
      <c r="I505" s="8" t="s">
        <v>23</v>
      </c>
      <c r="J505" s="8" t="s">
        <v>5740</v>
      </c>
      <c r="K505" s="8" t="s">
        <v>5742</v>
      </c>
      <c r="L505" s="8" t="s">
        <v>19</v>
      </c>
      <c r="M505" s="8">
        <v>723</v>
      </c>
      <c r="N505" s="8" t="s">
        <v>522</v>
      </c>
      <c r="O505" s="8">
        <v>129</v>
      </c>
      <c r="P505" s="8" t="s">
        <v>5741</v>
      </c>
      <c r="Q505" s="8" t="s">
        <v>4262</v>
      </c>
      <c r="R505" s="8">
        <v>0.41699999999999998</v>
      </c>
      <c r="S505" s="8">
        <v>58001032</v>
      </c>
      <c r="T505" s="8" t="s">
        <v>46</v>
      </c>
      <c r="U505" s="8" t="s">
        <v>41</v>
      </c>
    </row>
    <row r="506" spans="1:21">
      <c r="A506" s="8" t="s">
        <v>5410</v>
      </c>
      <c r="B506" s="8" t="s">
        <v>3615</v>
      </c>
      <c r="C506" s="8">
        <v>5777</v>
      </c>
      <c r="D506" s="8" t="s">
        <v>104</v>
      </c>
      <c r="E506" s="8">
        <v>7061144</v>
      </c>
      <c r="F506" s="8">
        <v>7061144</v>
      </c>
      <c r="G506" s="8" t="s">
        <v>25</v>
      </c>
      <c r="H506" s="8" t="s">
        <v>41</v>
      </c>
      <c r="I506" s="8" t="s">
        <v>23</v>
      </c>
      <c r="J506" s="8" t="s">
        <v>5743</v>
      </c>
      <c r="K506" s="8" t="s">
        <v>5744</v>
      </c>
      <c r="L506" s="8" t="s">
        <v>68</v>
      </c>
      <c r="M506" s="8">
        <v>0</v>
      </c>
      <c r="N506" s="8" t="s">
        <v>35</v>
      </c>
      <c r="O506" s="8">
        <v>0</v>
      </c>
      <c r="P506" s="8" t="s">
        <v>35</v>
      </c>
      <c r="Q506" s="8" t="s">
        <v>4262</v>
      </c>
      <c r="R506" s="8">
        <v>0.55200000000000005</v>
      </c>
      <c r="S506" s="8">
        <v>7061144</v>
      </c>
      <c r="T506" s="8" t="s">
        <v>25</v>
      </c>
      <c r="U506" s="8" t="s">
        <v>41</v>
      </c>
    </row>
    <row r="507" spans="1:21">
      <c r="A507" s="8" t="s">
        <v>5410</v>
      </c>
      <c r="B507" s="8" t="s">
        <v>3610</v>
      </c>
      <c r="C507" s="8">
        <v>121601</v>
      </c>
      <c r="D507" s="8" t="s">
        <v>104</v>
      </c>
      <c r="E507" s="8">
        <v>101433731</v>
      </c>
      <c r="F507" s="8">
        <v>101433731</v>
      </c>
      <c r="G507" s="8" t="s">
        <v>25</v>
      </c>
      <c r="H507" s="8" t="s">
        <v>41</v>
      </c>
      <c r="I507" s="8" t="s">
        <v>23</v>
      </c>
      <c r="J507" s="8" t="s">
        <v>3611</v>
      </c>
      <c r="K507" s="8" t="s">
        <v>5745</v>
      </c>
      <c r="L507" s="8" t="s">
        <v>68</v>
      </c>
      <c r="M507" s="8">
        <v>0</v>
      </c>
      <c r="N507" s="8" t="s">
        <v>35</v>
      </c>
      <c r="O507" s="8">
        <v>0</v>
      </c>
      <c r="P507" s="8" t="s">
        <v>35</v>
      </c>
      <c r="Q507" s="8" t="s">
        <v>4262</v>
      </c>
      <c r="R507" s="8">
        <v>0.36399999999999999</v>
      </c>
      <c r="S507" s="8">
        <v>101433731</v>
      </c>
      <c r="T507" s="8" t="s">
        <v>25</v>
      </c>
      <c r="U507" s="8" t="s">
        <v>41</v>
      </c>
    </row>
    <row r="508" spans="1:21">
      <c r="A508" s="8" t="s">
        <v>5410</v>
      </c>
      <c r="B508" s="8" t="s">
        <v>3612</v>
      </c>
      <c r="C508" s="8">
        <v>1240</v>
      </c>
      <c r="D508" s="8" t="s">
        <v>104</v>
      </c>
      <c r="E508" s="8">
        <v>108686526</v>
      </c>
      <c r="F508" s="8">
        <v>108686526</v>
      </c>
      <c r="G508" s="8" t="s">
        <v>41</v>
      </c>
      <c r="H508" s="8" t="s">
        <v>25</v>
      </c>
      <c r="I508" s="8" t="s">
        <v>23</v>
      </c>
      <c r="J508" s="8" t="s">
        <v>5746</v>
      </c>
      <c r="K508" s="8" t="s">
        <v>5748</v>
      </c>
      <c r="L508" s="8" t="s">
        <v>19</v>
      </c>
      <c r="M508" s="8">
        <v>405</v>
      </c>
      <c r="N508" s="8" t="s">
        <v>685</v>
      </c>
      <c r="O508" s="8">
        <v>72</v>
      </c>
      <c r="P508" s="8" t="s">
        <v>5747</v>
      </c>
      <c r="Q508" s="8" t="s">
        <v>4262</v>
      </c>
      <c r="R508" s="8">
        <v>0.45900000000000002</v>
      </c>
      <c r="S508" s="8">
        <v>108686526</v>
      </c>
      <c r="T508" s="8" t="s">
        <v>41</v>
      </c>
      <c r="U508" s="8" t="s">
        <v>25</v>
      </c>
    </row>
    <row r="509" spans="1:21">
      <c r="A509" s="8" t="s">
        <v>5410</v>
      </c>
      <c r="B509" s="8" t="s">
        <v>3613</v>
      </c>
      <c r="C509" s="8">
        <v>949</v>
      </c>
      <c r="D509" s="8" t="s">
        <v>104</v>
      </c>
      <c r="E509" s="8">
        <v>125284695</v>
      </c>
      <c r="F509" s="8">
        <v>125284695</v>
      </c>
      <c r="G509" s="8" t="s">
        <v>41</v>
      </c>
      <c r="H509" s="8" t="s">
        <v>25</v>
      </c>
      <c r="I509" s="8" t="s">
        <v>23</v>
      </c>
      <c r="J509" s="8" t="s">
        <v>5749</v>
      </c>
      <c r="K509" s="8" t="s">
        <v>5751</v>
      </c>
      <c r="L509" s="8" t="s">
        <v>19</v>
      </c>
      <c r="M509" s="8">
        <v>1356</v>
      </c>
      <c r="N509" s="8" t="s">
        <v>3614</v>
      </c>
      <c r="O509" s="8">
        <v>368</v>
      </c>
      <c r="P509" s="8" t="s">
        <v>5750</v>
      </c>
      <c r="Q509" s="8" t="s">
        <v>4262</v>
      </c>
      <c r="R509" s="8">
        <v>0.53100000000000003</v>
      </c>
      <c r="S509" s="8">
        <v>125284695</v>
      </c>
      <c r="T509" s="8" t="s">
        <v>41</v>
      </c>
      <c r="U509" s="8" t="s">
        <v>25</v>
      </c>
    </row>
    <row r="510" spans="1:21">
      <c r="A510" s="8" t="s">
        <v>5410</v>
      </c>
      <c r="B510" s="8" t="s">
        <v>5752</v>
      </c>
      <c r="C510" s="8">
        <v>7637</v>
      </c>
      <c r="D510" s="8" t="s">
        <v>104</v>
      </c>
      <c r="E510" s="8">
        <v>133634845</v>
      </c>
      <c r="F510" s="8">
        <v>133634845</v>
      </c>
      <c r="G510" s="8" t="s">
        <v>25</v>
      </c>
      <c r="H510" s="8" t="s">
        <v>24</v>
      </c>
      <c r="I510" s="8" t="s">
        <v>23</v>
      </c>
      <c r="J510" s="8" t="s">
        <v>5753</v>
      </c>
      <c r="K510" s="8" t="s">
        <v>5755</v>
      </c>
      <c r="L510" s="8" t="s">
        <v>19</v>
      </c>
      <c r="M510" s="8">
        <v>1895</v>
      </c>
      <c r="N510" s="8" t="s">
        <v>1055</v>
      </c>
      <c r="O510" s="8">
        <v>515</v>
      </c>
      <c r="P510" s="8" t="s">
        <v>5754</v>
      </c>
      <c r="Q510" s="8" t="s">
        <v>4262</v>
      </c>
      <c r="R510" s="8">
        <v>0.44</v>
      </c>
      <c r="S510" s="8">
        <v>133634845</v>
      </c>
      <c r="T510" s="8" t="s">
        <v>25</v>
      </c>
      <c r="U510" s="8" t="s">
        <v>24</v>
      </c>
    </row>
    <row r="511" spans="1:21">
      <c r="A511" s="8" t="s">
        <v>5410</v>
      </c>
      <c r="B511" s="8" t="s">
        <v>2311</v>
      </c>
      <c r="C511" s="8">
        <v>55729</v>
      </c>
      <c r="D511" s="8" t="s">
        <v>104</v>
      </c>
      <c r="E511" s="8">
        <v>14577817</v>
      </c>
      <c r="F511" s="8">
        <v>14577817</v>
      </c>
      <c r="G511" s="8" t="s">
        <v>25</v>
      </c>
      <c r="H511" s="8" t="s">
        <v>41</v>
      </c>
      <c r="I511" s="8" t="s">
        <v>23</v>
      </c>
      <c r="J511" s="8" t="s">
        <v>3242</v>
      </c>
      <c r="K511" s="8" t="s">
        <v>5757</v>
      </c>
      <c r="L511" s="8" t="s">
        <v>19</v>
      </c>
      <c r="M511" s="8">
        <v>1126</v>
      </c>
      <c r="N511" s="8" t="s">
        <v>771</v>
      </c>
      <c r="O511" s="8">
        <v>323</v>
      </c>
      <c r="P511" s="8" t="s">
        <v>5756</v>
      </c>
      <c r="Q511" s="8" t="s">
        <v>4262</v>
      </c>
      <c r="R511" s="8">
        <v>0.42699999999999999</v>
      </c>
      <c r="S511" s="8">
        <v>14577817</v>
      </c>
      <c r="T511" s="8" t="s">
        <v>25</v>
      </c>
      <c r="U511" s="8" t="s">
        <v>41</v>
      </c>
    </row>
    <row r="512" spans="1:21">
      <c r="A512" s="8" t="s">
        <v>5410</v>
      </c>
      <c r="B512" s="8" t="s">
        <v>5758</v>
      </c>
      <c r="C512" s="8">
        <v>120892</v>
      </c>
      <c r="D512" s="8" t="s">
        <v>104</v>
      </c>
      <c r="E512" s="8">
        <v>40715900</v>
      </c>
      <c r="F512" s="8">
        <v>40715900</v>
      </c>
      <c r="G512" s="8" t="s">
        <v>25</v>
      </c>
      <c r="H512" s="8" t="s">
        <v>24</v>
      </c>
      <c r="I512" s="8" t="s">
        <v>23</v>
      </c>
      <c r="J512" s="8" t="s">
        <v>5759</v>
      </c>
      <c r="K512" s="8" t="s">
        <v>5761</v>
      </c>
      <c r="L512" s="8" t="s">
        <v>19</v>
      </c>
      <c r="M512" s="8">
        <v>5355</v>
      </c>
      <c r="N512" s="8" t="s">
        <v>454</v>
      </c>
      <c r="O512" s="8">
        <v>1745</v>
      </c>
      <c r="P512" s="8" t="s">
        <v>5760</v>
      </c>
      <c r="Q512" s="8" t="s">
        <v>4262</v>
      </c>
      <c r="R512" s="8">
        <v>0.27400000000000002</v>
      </c>
      <c r="S512" s="8">
        <v>40715900</v>
      </c>
      <c r="T512" s="8" t="s">
        <v>25</v>
      </c>
      <c r="U512" s="8" t="s">
        <v>24</v>
      </c>
    </row>
    <row r="513" spans="1:21">
      <c r="A513" s="8" t="s">
        <v>5410</v>
      </c>
      <c r="B513" s="8" t="s">
        <v>3616</v>
      </c>
      <c r="C513" s="8">
        <v>1638</v>
      </c>
      <c r="D513" s="8" t="s">
        <v>339</v>
      </c>
      <c r="E513" s="8">
        <v>95114415</v>
      </c>
      <c r="F513" s="8">
        <v>95114415</v>
      </c>
      <c r="G513" s="8" t="s">
        <v>25</v>
      </c>
      <c r="H513" s="8" t="s">
        <v>41</v>
      </c>
      <c r="I513" s="8" t="s">
        <v>23</v>
      </c>
      <c r="J513" s="8" t="s">
        <v>5762</v>
      </c>
      <c r="K513" s="8" t="s">
        <v>5764</v>
      </c>
      <c r="L513" s="8" t="s">
        <v>19</v>
      </c>
      <c r="M513" s="8">
        <v>1319</v>
      </c>
      <c r="N513" s="8" t="s">
        <v>3316</v>
      </c>
      <c r="O513" s="8">
        <v>298</v>
      </c>
      <c r="P513" s="8" t="s">
        <v>5763</v>
      </c>
      <c r="Q513" s="8" t="s">
        <v>4262</v>
      </c>
      <c r="R513" s="8">
        <v>0.76</v>
      </c>
      <c r="S513" s="8">
        <v>95114415</v>
      </c>
      <c r="T513" s="8" t="s">
        <v>25</v>
      </c>
      <c r="U513" s="8" t="s">
        <v>41</v>
      </c>
    </row>
    <row r="514" spans="1:21">
      <c r="A514" s="8" t="s">
        <v>5410</v>
      </c>
      <c r="B514" s="8" t="s">
        <v>3471</v>
      </c>
      <c r="C514" s="8">
        <v>23503</v>
      </c>
      <c r="D514" s="8" t="s">
        <v>118</v>
      </c>
      <c r="E514" s="8">
        <v>68252912</v>
      </c>
      <c r="F514" s="8">
        <v>68252912</v>
      </c>
      <c r="G514" s="8" t="s">
        <v>41</v>
      </c>
      <c r="H514" s="8" t="s">
        <v>25</v>
      </c>
      <c r="I514" s="8" t="s">
        <v>23</v>
      </c>
      <c r="J514" s="8" t="s">
        <v>3472</v>
      </c>
      <c r="K514" s="8" t="s">
        <v>5766</v>
      </c>
      <c r="L514" s="8" t="s">
        <v>19</v>
      </c>
      <c r="M514" s="8">
        <v>3197</v>
      </c>
      <c r="N514" s="8" t="s">
        <v>3850</v>
      </c>
      <c r="O514" s="8">
        <v>1020</v>
      </c>
      <c r="P514" s="8" t="s">
        <v>5765</v>
      </c>
      <c r="Q514" s="8" t="s">
        <v>4262</v>
      </c>
      <c r="R514" s="8">
        <v>0.49399999999999999</v>
      </c>
      <c r="S514" s="8">
        <v>68252912</v>
      </c>
      <c r="T514" s="8" t="s">
        <v>41</v>
      </c>
      <c r="U514" s="8" t="s">
        <v>25</v>
      </c>
    </row>
    <row r="515" spans="1:21">
      <c r="A515" s="8" t="s">
        <v>5410</v>
      </c>
      <c r="B515" s="8" t="s">
        <v>3617</v>
      </c>
      <c r="C515" s="8">
        <v>29954</v>
      </c>
      <c r="D515" s="8" t="s">
        <v>118</v>
      </c>
      <c r="E515" s="8">
        <v>77772748</v>
      </c>
      <c r="F515" s="8">
        <v>77772748</v>
      </c>
      <c r="G515" s="8" t="s">
        <v>46</v>
      </c>
      <c r="H515" s="8" t="s">
        <v>41</v>
      </c>
      <c r="I515" s="8" t="s">
        <v>23</v>
      </c>
      <c r="J515" s="8" t="s">
        <v>3618</v>
      </c>
      <c r="K515" s="8" t="s">
        <v>5768</v>
      </c>
      <c r="L515" s="8" t="s">
        <v>19</v>
      </c>
      <c r="M515" s="8">
        <v>571</v>
      </c>
      <c r="N515" s="8" t="s">
        <v>557</v>
      </c>
      <c r="O515" s="8">
        <v>124</v>
      </c>
      <c r="P515" s="8" t="s">
        <v>5767</v>
      </c>
      <c r="Q515" s="8" t="s">
        <v>4262</v>
      </c>
      <c r="R515" s="8">
        <v>0.45100000000000001</v>
      </c>
      <c r="S515" s="8">
        <v>77772748</v>
      </c>
      <c r="T515" s="8" t="s">
        <v>46</v>
      </c>
      <c r="U515" s="8" t="s">
        <v>41</v>
      </c>
    </row>
    <row r="516" spans="1:21">
      <c r="A516" s="8" t="s">
        <v>5410</v>
      </c>
      <c r="B516" s="8" t="s">
        <v>5769</v>
      </c>
      <c r="C516" s="8">
        <v>10484</v>
      </c>
      <c r="D516" s="8" t="s">
        <v>118</v>
      </c>
      <c r="E516" s="8">
        <v>39536430</v>
      </c>
      <c r="F516" s="8">
        <v>39536430</v>
      </c>
      <c r="G516" s="8" t="s">
        <v>41</v>
      </c>
      <c r="H516" s="8" t="s">
        <v>46</v>
      </c>
      <c r="I516" s="8" t="s">
        <v>23</v>
      </c>
      <c r="J516" s="8" t="s">
        <v>5770</v>
      </c>
      <c r="K516" s="8" t="s">
        <v>5772</v>
      </c>
      <c r="L516" s="8" t="s">
        <v>19</v>
      </c>
      <c r="M516" s="8">
        <v>1397</v>
      </c>
      <c r="N516" s="8" t="s">
        <v>3138</v>
      </c>
      <c r="O516" s="8">
        <v>392</v>
      </c>
      <c r="P516" s="8" t="s">
        <v>5771</v>
      </c>
      <c r="Q516" s="8" t="s">
        <v>4262</v>
      </c>
      <c r="R516" s="8">
        <v>0.435</v>
      </c>
      <c r="S516" s="8">
        <v>39536430</v>
      </c>
      <c r="T516" s="8" t="s">
        <v>41</v>
      </c>
      <c r="U516" s="8" t="s">
        <v>46</v>
      </c>
    </row>
    <row r="517" spans="1:21">
      <c r="A517" s="8" t="s">
        <v>5410</v>
      </c>
      <c r="B517" s="8" t="s">
        <v>5773</v>
      </c>
      <c r="C517" s="8">
        <v>374618</v>
      </c>
      <c r="D517" s="8" t="s">
        <v>120</v>
      </c>
      <c r="E517" s="8">
        <v>56704611</v>
      </c>
      <c r="F517" s="8">
        <v>56704611</v>
      </c>
      <c r="G517" s="8" t="s">
        <v>25</v>
      </c>
      <c r="H517" s="8" t="s">
        <v>24</v>
      </c>
      <c r="I517" s="8" t="s">
        <v>23</v>
      </c>
      <c r="J517" s="8" t="s">
        <v>5774</v>
      </c>
      <c r="K517" s="8" t="s">
        <v>5776</v>
      </c>
      <c r="L517" s="8" t="s">
        <v>19</v>
      </c>
      <c r="M517" s="8">
        <v>945</v>
      </c>
      <c r="N517" s="8" t="s">
        <v>1209</v>
      </c>
      <c r="O517" s="8">
        <v>314</v>
      </c>
      <c r="P517" s="8" t="s">
        <v>5775</v>
      </c>
      <c r="Q517" s="8" t="s">
        <v>4262</v>
      </c>
      <c r="R517" s="8">
        <v>0.40899999999999997</v>
      </c>
      <c r="S517" s="8">
        <v>56704611</v>
      </c>
      <c r="T517" s="8" t="s">
        <v>25</v>
      </c>
      <c r="U517" s="8" t="s">
        <v>24</v>
      </c>
    </row>
    <row r="518" spans="1:21">
      <c r="A518" s="8" t="s">
        <v>5410</v>
      </c>
      <c r="B518" s="8" t="s">
        <v>3624</v>
      </c>
      <c r="C518" s="8">
        <v>54832</v>
      </c>
      <c r="D518" s="8" t="s">
        <v>120</v>
      </c>
      <c r="E518" s="8">
        <v>62221933</v>
      </c>
      <c r="F518" s="8">
        <v>62221933</v>
      </c>
      <c r="G518" s="8" t="s">
        <v>41</v>
      </c>
      <c r="H518" s="8" t="s">
        <v>25</v>
      </c>
      <c r="I518" s="8" t="s">
        <v>23</v>
      </c>
      <c r="J518" s="8" t="s">
        <v>5368</v>
      </c>
      <c r="K518" s="8" t="s">
        <v>5370</v>
      </c>
      <c r="L518" s="8" t="s">
        <v>19</v>
      </c>
      <c r="M518" s="8">
        <v>6144</v>
      </c>
      <c r="N518" s="8" t="s">
        <v>457</v>
      </c>
      <c r="O518" s="8">
        <v>2018</v>
      </c>
      <c r="P518" s="8" t="s">
        <v>5777</v>
      </c>
      <c r="Q518" s="8" t="s">
        <v>4262</v>
      </c>
      <c r="R518" s="8">
        <v>0.41299999999999998</v>
      </c>
      <c r="S518" s="8">
        <v>62221933</v>
      </c>
      <c r="T518" s="8" t="s">
        <v>41</v>
      </c>
      <c r="U518" s="8" t="s">
        <v>25</v>
      </c>
    </row>
    <row r="519" spans="1:21">
      <c r="A519" s="8" t="s">
        <v>5410</v>
      </c>
      <c r="B519" s="8" t="s">
        <v>3625</v>
      </c>
      <c r="C519" s="8">
        <v>4088</v>
      </c>
      <c r="D519" s="8" t="s">
        <v>120</v>
      </c>
      <c r="E519" s="8">
        <v>67477203</v>
      </c>
      <c r="F519" s="8">
        <v>67477203</v>
      </c>
      <c r="G519" s="8" t="s">
        <v>24</v>
      </c>
      <c r="H519" s="8" t="s">
        <v>25</v>
      </c>
      <c r="I519" s="8" t="s">
        <v>23</v>
      </c>
      <c r="J519" s="8" t="s">
        <v>5778</v>
      </c>
      <c r="K519" s="8" t="s">
        <v>5780</v>
      </c>
      <c r="L519" s="8" t="s">
        <v>68</v>
      </c>
      <c r="M519" s="8">
        <v>0</v>
      </c>
      <c r="N519" s="8" t="s">
        <v>35</v>
      </c>
      <c r="O519" s="8">
        <v>0</v>
      </c>
      <c r="P519" s="8" t="s">
        <v>35</v>
      </c>
      <c r="Q519" s="8" t="s">
        <v>5779</v>
      </c>
      <c r="R519" s="8">
        <v>0.40300000000000002</v>
      </c>
      <c r="S519" s="8">
        <v>67477203</v>
      </c>
      <c r="T519" s="8" t="s">
        <v>24</v>
      </c>
      <c r="U519" s="8" t="s">
        <v>25</v>
      </c>
    </row>
    <row r="520" spans="1:21">
      <c r="A520" s="8" t="s">
        <v>5410</v>
      </c>
      <c r="B520" s="8" t="s">
        <v>3626</v>
      </c>
      <c r="C520" s="8">
        <v>60677</v>
      </c>
      <c r="D520" s="8" t="s">
        <v>120</v>
      </c>
      <c r="E520" s="8">
        <v>72582538</v>
      </c>
      <c r="F520" s="8">
        <v>72582538</v>
      </c>
      <c r="G520" s="8" t="s">
        <v>41</v>
      </c>
      <c r="H520" s="8" t="s">
        <v>25</v>
      </c>
      <c r="I520" s="8" t="s">
        <v>23</v>
      </c>
      <c r="J520" s="8" t="s">
        <v>5781</v>
      </c>
      <c r="K520" s="8" t="s">
        <v>5783</v>
      </c>
      <c r="L520" s="8" t="s">
        <v>19</v>
      </c>
      <c r="M520" s="8">
        <v>763</v>
      </c>
      <c r="N520" s="8" t="s">
        <v>3627</v>
      </c>
      <c r="O520" s="8">
        <v>151</v>
      </c>
      <c r="P520" s="8" t="s">
        <v>5782</v>
      </c>
      <c r="Q520" s="8" t="s">
        <v>4262</v>
      </c>
      <c r="R520" s="8">
        <v>0.5</v>
      </c>
      <c r="S520" s="8">
        <v>72582538</v>
      </c>
      <c r="T520" s="8" t="s">
        <v>41</v>
      </c>
      <c r="U520" s="8" t="s">
        <v>25</v>
      </c>
    </row>
    <row r="521" spans="1:21">
      <c r="A521" s="8" t="s">
        <v>5410</v>
      </c>
      <c r="B521" s="8"/>
      <c r="C521" s="8">
        <v>50810</v>
      </c>
      <c r="D521" s="8" t="s">
        <v>120</v>
      </c>
      <c r="E521" s="8">
        <v>83832805</v>
      </c>
      <c r="F521" s="8">
        <v>83832805</v>
      </c>
      <c r="G521" s="8" t="s">
        <v>24</v>
      </c>
      <c r="H521" s="8" t="s">
        <v>25</v>
      </c>
      <c r="I521" s="8" t="s">
        <v>23</v>
      </c>
      <c r="J521" s="8" t="s">
        <v>5784</v>
      </c>
      <c r="K521" s="8" t="s">
        <v>5786</v>
      </c>
      <c r="L521" s="8" t="s">
        <v>19</v>
      </c>
      <c r="M521" s="8">
        <v>262</v>
      </c>
      <c r="N521" s="8" t="s">
        <v>389</v>
      </c>
      <c r="O521" s="8">
        <v>36</v>
      </c>
      <c r="P521" s="8" t="s">
        <v>5785</v>
      </c>
      <c r="Q521" s="8" t="s">
        <v>4262</v>
      </c>
      <c r="R521" s="8">
        <v>0.433</v>
      </c>
      <c r="S521" s="8">
        <v>83832805</v>
      </c>
      <c r="T521" s="8" t="s">
        <v>24</v>
      </c>
      <c r="U521" s="8" t="s">
        <v>25</v>
      </c>
    </row>
    <row r="522" spans="1:21">
      <c r="A522" s="8" t="s">
        <v>5410</v>
      </c>
      <c r="B522" s="8" t="s">
        <v>3628</v>
      </c>
      <c r="C522" s="8">
        <v>7026</v>
      </c>
      <c r="D522" s="8" t="s">
        <v>120</v>
      </c>
      <c r="E522" s="8">
        <v>96875600</v>
      </c>
      <c r="F522" s="8">
        <v>96875600</v>
      </c>
      <c r="G522" s="8" t="s">
        <v>25</v>
      </c>
      <c r="H522" s="8" t="s">
        <v>46</v>
      </c>
      <c r="I522" s="8" t="s">
        <v>23</v>
      </c>
      <c r="J522" s="8" t="s">
        <v>3629</v>
      </c>
      <c r="K522" s="8" t="s">
        <v>5788</v>
      </c>
      <c r="L522" s="8" t="s">
        <v>19</v>
      </c>
      <c r="M522" s="8">
        <v>1490</v>
      </c>
      <c r="N522" s="8" t="s">
        <v>2989</v>
      </c>
      <c r="O522" s="8">
        <v>89</v>
      </c>
      <c r="P522" s="8" t="s">
        <v>5787</v>
      </c>
      <c r="Q522" s="8" t="s">
        <v>4262</v>
      </c>
      <c r="R522" s="8">
        <v>0.42899999999999999</v>
      </c>
      <c r="S522" s="8">
        <v>96875600</v>
      </c>
      <c r="T522" s="8" t="s">
        <v>25</v>
      </c>
      <c r="U522" s="8" t="s">
        <v>46</v>
      </c>
    </row>
    <row r="523" spans="1:21">
      <c r="A523" s="8" t="s">
        <v>5410</v>
      </c>
      <c r="B523" s="8" t="s">
        <v>5789</v>
      </c>
      <c r="C523" s="8">
        <v>8924</v>
      </c>
      <c r="D523" s="8" t="s">
        <v>120</v>
      </c>
      <c r="E523" s="8">
        <v>28514567</v>
      </c>
      <c r="F523" s="8">
        <v>28514567</v>
      </c>
      <c r="G523" s="8" t="s">
        <v>46</v>
      </c>
      <c r="H523" s="8" t="s">
        <v>25</v>
      </c>
      <c r="I523" s="8" t="s">
        <v>23</v>
      </c>
      <c r="J523" s="8" t="s">
        <v>5790</v>
      </c>
      <c r="K523" s="8" t="s">
        <v>5792</v>
      </c>
      <c r="L523" s="8" t="s">
        <v>19</v>
      </c>
      <c r="M523" s="8">
        <v>1379</v>
      </c>
      <c r="N523" s="8" t="s">
        <v>162</v>
      </c>
      <c r="O523" s="8">
        <v>425</v>
      </c>
      <c r="P523" s="8" t="s">
        <v>5791</v>
      </c>
      <c r="Q523" s="8" t="s">
        <v>4262</v>
      </c>
      <c r="R523" s="8">
        <v>0.32700000000000001</v>
      </c>
      <c r="S523" s="8">
        <v>28514567</v>
      </c>
      <c r="T523" s="8" t="s">
        <v>46</v>
      </c>
      <c r="U523" s="8" t="s">
        <v>25</v>
      </c>
    </row>
    <row r="524" spans="1:21">
      <c r="A524" s="8" t="s">
        <v>5410</v>
      </c>
      <c r="B524" s="8" t="s">
        <v>3619</v>
      </c>
      <c r="C524" s="8">
        <v>283748</v>
      </c>
      <c r="D524" s="8" t="s">
        <v>120</v>
      </c>
      <c r="E524" s="8">
        <v>42379577</v>
      </c>
      <c r="F524" s="8">
        <v>42379577</v>
      </c>
      <c r="G524" s="8" t="s">
        <v>25</v>
      </c>
      <c r="H524" s="8" t="s">
        <v>41</v>
      </c>
      <c r="I524" s="8" t="s">
        <v>23</v>
      </c>
      <c r="J524" s="8" t="s">
        <v>3620</v>
      </c>
      <c r="K524" s="8" t="s">
        <v>4898</v>
      </c>
      <c r="L524" s="8" t="s">
        <v>19</v>
      </c>
      <c r="M524" s="8">
        <v>271</v>
      </c>
      <c r="N524" s="8" t="s">
        <v>3621</v>
      </c>
      <c r="O524" s="8">
        <v>59</v>
      </c>
      <c r="P524" s="8" t="s">
        <v>5793</v>
      </c>
      <c r="Q524" s="8" t="s">
        <v>4262</v>
      </c>
      <c r="R524" s="8">
        <v>0.49</v>
      </c>
      <c r="S524" s="8">
        <v>42379577</v>
      </c>
      <c r="T524" s="8" t="s">
        <v>25</v>
      </c>
      <c r="U524" s="8" t="s">
        <v>41</v>
      </c>
    </row>
    <row r="525" spans="1:21">
      <c r="A525" s="8" t="s">
        <v>5410</v>
      </c>
      <c r="B525" s="8" t="s">
        <v>3622</v>
      </c>
      <c r="C525" s="8">
        <v>2200</v>
      </c>
      <c r="D525" s="8" t="s">
        <v>120</v>
      </c>
      <c r="E525" s="8">
        <v>48787382</v>
      </c>
      <c r="F525" s="8">
        <v>48787382</v>
      </c>
      <c r="G525" s="8" t="s">
        <v>41</v>
      </c>
      <c r="H525" s="8" t="s">
        <v>25</v>
      </c>
      <c r="I525" s="8" t="s">
        <v>23</v>
      </c>
      <c r="J525" s="8" t="s">
        <v>3623</v>
      </c>
      <c r="K525" s="8" t="s">
        <v>5795</v>
      </c>
      <c r="L525" s="8" t="s">
        <v>19</v>
      </c>
      <c r="M525" s="8">
        <v>3010</v>
      </c>
      <c r="N525" s="8" t="s">
        <v>457</v>
      </c>
      <c r="O525" s="8">
        <v>872</v>
      </c>
      <c r="P525" s="8" t="s">
        <v>5794</v>
      </c>
      <c r="Q525" s="8" t="s">
        <v>4262</v>
      </c>
      <c r="R525" s="8">
        <v>0.45700000000000002</v>
      </c>
      <c r="S525" s="8">
        <v>48787382</v>
      </c>
      <c r="T525" s="8" t="s">
        <v>41</v>
      </c>
      <c r="U525" s="8" t="s">
        <v>25</v>
      </c>
    </row>
    <row r="526" spans="1:21">
      <c r="A526" s="8" t="s">
        <v>5410</v>
      </c>
      <c r="B526" s="8" t="s">
        <v>5796</v>
      </c>
      <c r="C526" s="8">
        <v>23536</v>
      </c>
      <c r="D526" s="8" t="s">
        <v>129</v>
      </c>
      <c r="E526" s="8">
        <v>75646460</v>
      </c>
      <c r="F526" s="8">
        <v>75646460</v>
      </c>
      <c r="G526" s="8" t="s">
        <v>41</v>
      </c>
      <c r="H526" s="8" t="s">
        <v>46</v>
      </c>
      <c r="I526" s="8" t="s">
        <v>23</v>
      </c>
      <c r="J526" s="8" t="s">
        <v>5797</v>
      </c>
      <c r="K526" s="8" t="s">
        <v>5800</v>
      </c>
      <c r="L526" s="8" t="s">
        <v>19</v>
      </c>
      <c r="M526" s="8">
        <v>893</v>
      </c>
      <c r="N526" s="8" t="s">
        <v>1160</v>
      </c>
      <c r="O526" s="8">
        <v>242</v>
      </c>
      <c r="P526" s="8" t="s">
        <v>5798</v>
      </c>
      <c r="Q526" s="8" t="s">
        <v>5799</v>
      </c>
      <c r="R526" s="8">
        <v>5.8000000000000003E-2</v>
      </c>
      <c r="S526" s="8">
        <v>75646460</v>
      </c>
      <c r="T526" s="8" t="s">
        <v>41</v>
      </c>
      <c r="U526" s="8" t="s">
        <v>46</v>
      </c>
    </row>
    <row r="527" spans="1:21">
      <c r="A527" s="8" t="s">
        <v>5410</v>
      </c>
      <c r="B527" s="8" t="s">
        <v>1924</v>
      </c>
      <c r="C527" s="8">
        <v>7249</v>
      </c>
      <c r="D527" s="8" t="s">
        <v>129</v>
      </c>
      <c r="E527" s="8">
        <v>2104408</v>
      </c>
      <c r="F527" s="8">
        <v>2104408</v>
      </c>
      <c r="G527" s="8" t="s">
        <v>24</v>
      </c>
      <c r="H527" s="8" t="s">
        <v>25</v>
      </c>
      <c r="I527" s="8" t="s">
        <v>23</v>
      </c>
      <c r="J527" s="8" t="s">
        <v>5801</v>
      </c>
      <c r="K527" s="8" t="s">
        <v>5803</v>
      </c>
      <c r="L527" s="8" t="s">
        <v>19</v>
      </c>
      <c r="M527" s="8">
        <v>554</v>
      </c>
      <c r="N527" s="8" t="s">
        <v>28</v>
      </c>
      <c r="O527" s="8">
        <v>150</v>
      </c>
      <c r="P527" s="8" t="s">
        <v>5802</v>
      </c>
      <c r="Q527" s="8" t="s">
        <v>4262</v>
      </c>
      <c r="R527" s="8">
        <v>0.58699999999999997</v>
      </c>
      <c r="S527" s="8">
        <v>2104408</v>
      </c>
      <c r="T527" s="8" t="s">
        <v>24</v>
      </c>
      <c r="U527" s="8" t="s">
        <v>25</v>
      </c>
    </row>
    <row r="528" spans="1:21">
      <c r="A528" s="8" t="s">
        <v>5410</v>
      </c>
      <c r="B528" s="8" t="s">
        <v>130</v>
      </c>
      <c r="C528" s="8">
        <v>7157</v>
      </c>
      <c r="D528" s="8" t="s">
        <v>133</v>
      </c>
      <c r="E528" s="8">
        <v>7578389</v>
      </c>
      <c r="F528" s="8">
        <v>7578389</v>
      </c>
      <c r="G528" s="8" t="s">
        <v>24</v>
      </c>
      <c r="H528" s="8" t="s">
        <v>25</v>
      </c>
      <c r="I528" s="8" t="s">
        <v>23</v>
      </c>
      <c r="J528" s="8" t="s">
        <v>5804</v>
      </c>
      <c r="K528" s="8" t="s">
        <v>5807</v>
      </c>
      <c r="L528" s="8" t="s">
        <v>19</v>
      </c>
      <c r="M528" s="8">
        <v>738</v>
      </c>
      <c r="N528" s="8" t="s">
        <v>560</v>
      </c>
      <c r="O528" s="8">
        <v>181</v>
      </c>
      <c r="P528" s="8" t="s">
        <v>5805</v>
      </c>
      <c r="Q528" s="8" t="s">
        <v>5806</v>
      </c>
      <c r="R528" s="8">
        <v>0.72699999999999998</v>
      </c>
      <c r="S528" s="8">
        <v>7578389</v>
      </c>
      <c r="T528" s="8" t="s">
        <v>24</v>
      </c>
      <c r="U528" s="8" t="s">
        <v>25</v>
      </c>
    </row>
    <row r="529" spans="1:21">
      <c r="A529" s="8" t="s">
        <v>5410</v>
      </c>
      <c r="B529" s="8" t="s">
        <v>3630</v>
      </c>
      <c r="C529" s="8">
        <v>140775</v>
      </c>
      <c r="D529" s="8" t="s">
        <v>133</v>
      </c>
      <c r="E529" s="8">
        <v>18220114</v>
      </c>
      <c r="F529" s="8">
        <v>18220114</v>
      </c>
      <c r="G529" s="8" t="s">
        <v>24</v>
      </c>
      <c r="H529" s="8" t="s">
        <v>41</v>
      </c>
      <c r="I529" s="8" t="s">
        <v>23</v>
      </c>
      <c r="J529" s="8" t="s">
        <v>3631</v>
      </c>
      <c r="K529" s="8" t="s">
        <v>5809</v>
      </c>
      <c r="L529" s="8" t="s">
        <v>19</v>
      </c>
      <c r="M529" s="8">
        <v>1521</v>
      </c>
      <c r="N529" s="8" t="s">
        <v>251</v>
      </c>
      <c r="O529" s="8">
        <v>337</v>
      </c>
      <c r="P529" s="8" t="s">
        <v>5808</v>
      </c>
      <c r="Q529" s="8" t="s">
        <v>4262</v>
      </c>
      <c r="R529" s="8">
        <v>0.76200000000000001</v>
      </c>
      <c r="S529" s="8">
        <v>18220114</v>
      </c>
      <c r="T529" s="8" t="s">
        <v>24</v>
      </c>
      <c r="U529" s="8" t="s">
        <v>41</v>
      </c>
    </row>
    <row r="530" spans="1:21">
      <c r="A530" s="8" t="s">
        <v>5410</v>
      </c>
      <c r="B530" s="8" t="s">
        <v>3632</v>
      </c>
      <c r="C530" s="8">
        <v>642</v>
      </c>
      <c r="D530" s="8" t="s">
        <v>133</v>
      </c>
      <c r="E530" s="8">
        <v>28612495</v>
      </c>
      <c r="F530" s="8">
        <v>28612495</v>
      </c>
      <c r="G530" s="8" t="s">
        <v>41</v>
      </c>
      <c r="H530" s="8" t="s">
        <v>46</v>
      </c>
      <c r="I530" s="8" t="s">
        <v>23</v>
      </c>
      <c r="J530" s="8" t="s">
        <v>3633</v>
      </c>
      <c r="K530" s="8" t="s">
        <v>5811</v>
      </c>
      <c r="L530" s="8" t="s">
        <v>19</v>
      </c>
      <c r="M530" s="8">
        <v>903</v>
      </c>
      <c r="N530" s="8" t="s">
        <v>382</v>
      </c>
      <c r="O530" s="8">
        <v>186</v>
      </c>
      <c r="P530" s="8" t="s">
        <v>5810</v>
      </c>
      <c r="Q530" s="8" t="s">
        <v>4262</v>
      </c>
      <c r="R530" s="8">
        <v>0.56000000000000005</v>
      </c>
      <c r="S530" s="8">
        <v>28612495</v>
      </c>
      <c r="T530" s="8" t="s">
        <v>41</v>
      </c>
      <c r="U530" s="8" t="s">
        <v>46</v>
      </c>
    </row>
    <row r="531" spans="1:21">
      <c r="A531" s="8" t="s">
        <v>5410</v>
      </c>
      <c r="B531" s="8" t="s">
        <v>3634</v>
      </c>
      <c r="C531" s="8">
        <v>91603</v>
      </c>
      <c r="D531" s="8" t="s">
        <v>133</v>
      </c>
      <c r="E531" s="8">
        <v>33289108</v>
      </c>
      <c r="F531" s="8">
        <v>33289108</v>
      </c>
      <c r="G531" s="8" t="s">
        <v>25</v>
      </c>
      <c r="H531" s="8" t="s">
        <v>41</v>
      </c>
      <c r="I531" s="8" t="s">
        <v>23</v>
      </c>
      <c r="J531" s="8" t="s">
        <v>3635</v>
      </c>
      <c r="K531" s="8" t="s">
        <v>5813</v>
      </c>
      <c r="L531" s="8" t="s">
        <v>76</v>
      </c>
      <c r="M531" s="8">
        <v>560</v>
      </c>
      <c r="N531" s="8" t="s">
        <v>274</v>
      </c>
      <c r="O531" s="8">
        <v>175</v>
      </c>
      <c r="P531" s="8" t="s">
        <v>5812</v>
      </c>
      <c r="Q531" s="8" t="s">
        <v>4262</v>
      </c>
      <c r="R531" s="8">
        <v>0.375</v>
      </c>
      <c r="S531" s="8">
        <v>33289108</v>
      </c>
      <c r="T531" s="8" t="s">
        <v>25</v>
      </c>
      <c r="U531" s="8" t="s">
        <v>41</v>
      </c>
    </row>
    <row r="532" spans="1:21">
      <c r="A532" s="8" t="s">
        <v>5410</v>
      </c>
      <c r="B532" s="8" t="s">
        <v>5814</v>
      </c>
      <c r="C532" s="8">
        <v>8687</v>
      </c>
      <c r="D532" s="8" t="s">
        <v>133</v>
      </c>
      <c r="E532" s="8">
        <v>39596441</v>
      </c>
      <c r="F532" s="8">
        <v>39596441</v>
      </c>
      <c r="G532" s="8" t="s">
        <v>41</v>
      </c>
      <c r="H532" s="8" t="s">
        <v>25</v>
      </c>
      <c r="I532" s="8" t="s">
        <v>23</v>
      </c>
      <c r="J532" s="8" t="s">
        <v>5815</v>
      </c>
      <c r="K532" s="8" t="s">
        <v>5817</v>
      </c>
      <c r="L532" s="8" t="s">
        <v>76</v>
      </c>
      <c r="M532" s="8">
        <v>970</v>
      </c>
      <c r="N532" s="8" t="s">
        <v>1103</v>
      </c>
      <c r="O532" s="8">
        <v>183</v>
      </c>
      <c r="P532" s="8" t="s">
        <v>5816</v>
      </c>
      <c r="Q532" s="8" t="s">
        <v>4262</v>
      </c>
      <c r="R532" s="8">
        <v>0.34499999999999997</v>
      </c>
      <c r="S532" s="8">
        <v>39596441</v>
      </c>
      <c r="T532" s="8" t="s">
        <v>41</v>
      </c>
      <c r="U532" s="8" t="s">
        <v>25</v>
      </c>
    </row>
    <row r="533" spans="1:21">
      <c r="A533" s="8" t="s">
        <v>5410</v>
      </c>
      <c r="B533" s="8" t="s">
        <v>5818</v>
      </c>
      <c r="C533" s="8">
        <v>7484</v>
      </c>
      <c r="D533" s="8" t="s">
        <v>133</v>
      </c>
      <c r="E533" s="8">
        <v>44954017</v>
      </c>
      <c r="F533" s="8">
        <v>44954017</v>
      </c>
      <c r="G533" s="8" t="s">
        <v>25</v>
      </c>
      <c r="H533" s="8" t="s">
        <v>41</v>
      </c>
      <c r="I533" s="8" t="s">
        <v>23</v>
      </c>
      <c r="J533" s="8" t="s">
        <v>5819</v>
      </c>
      <c r="K533" s="8" t="s">
        <v>5821</v>
      </c>
      <c r="L533" s="8" t="s">
        <v>19</v>
      </c>
      <c r="M533" s="8">
        <v>1044</v>
      </c>
      <c r="N533" s="8" t="s">
        <v>3136</v>
      </c>
      <c r="O533" s="8">
        <v>336</v>
      </c>
      <c r="P533" s="8" t="s">
        <v>5820</v>
      </c>
      <c r="Q533" s="8" t="s">
        <v>4262</v>
      </c>
      <c r="R533" s="8">
        <v>0.39</v>
      </c>
      <c r="S533" s="8">
        <v>44954017</v>
      </c>
      <c r="T533" s="8" t="s">
        <v>25</v>
      </c>
      <c r="U533" s="8" t="s">
        <v>41</v>
      </c>
    </row>
    <row r="534" spans="1:21">
      <c r="A534" s="8" t="s">
        <v>5410</v>
      </c>
      <c r="B534" s="8" t="s">
        <v>3636</v>
      </c>
      <c r="C534" s="8">
        <v>147372</v>
      </c>
      <c r="D534" s="8" t="s">
        <v>135</v>
      </c>
      <c r="E534" s="8">
        <v>57136792</v>
      </c>
      <c r="F534" s="8">
        <v>57136792</v>
      </c>
      <c r="G534" s="8" t="s">
        <v>41</v>
      </c>
      <c r="H534" s="8" t="s">
        <v>25</v>
      </c>
      <c r="I534" s="8" t="s">
        <v>23</v>
      </c>
      <c r="J534" s="8" t="s">
        <v>3637</v>
      </c>
      <c r="K534" s="8" t="s">
        <v>5824</v>
      </c>
      <c r="L534" s="8" t="s">
        <v>19</v>
      </c>
      <c r="M534" s="8">
        <v>383</v>
      </c>
      <c r="N534" s="8" t="s">
        <v>3131</v>
      </c>
      <c r="O534" s="8">
        <v>105</v>
      </c>
      <c r="P534" s="8" t="s">
        <v>5822</v>
      </c>
      <c r="Q534" s="8" t="s">
        <v>5823</v>
      </c>
      <c r="R534" s="8">
        <v>0.47899999999999998</v>
      </c>
      <c r="S534" s="8">
        <v>57136792</v>
      </c>
      <c r="T534" s="8" t="s">
        <v>41</v>
      </c>
      <c r="U534" s="8" t="s">
        <v>25</v>
      </c>
    </row>
    <row r="535" spans="1:21">
      <c r="A535" s="8" t="s">
        <v>5410</v>
      </c>
      <c r="B535" s="8" t="s">
        <v>2045</v>
      </c>
      <c r="C535" s="8">
        <v>6320</v>
      </c>
      <c r="D535" s="8" t="s">
        <v>139</v>
      </c>
      <c r="E535" s="8">
        <v>51226919</v>
      </c>
      <c r="F535" s="8">
        <v>51226919</v>
      </c>
      <c r="G535" s="8" t="s">
        <v>41</v>
      </c>
      <c r="H535" s="8" t="s">
        <v>25</v>
      </c>
      <c r="I535" s="8" t="s">
        <v>23</v>
      </c>
      <c r="J535" s="8" t="s">
        <v>2598</v>
      </c>
      <c r="K535" s="8" t="s">
        <v>5826</v>
      </c>
      <c r="L535" s="8" t="s">
        <v>19</v>
      </c>
      <c r="M535" s="8">
        <v>315</v>
      </c>
      <c r="N535" s="8" t="s">
        <v>1096</v>
      </c>
      <c r="O535" s="8">
        <v>46</v>
      </c>
      <c r="P535" s="8" t="s">
        <v>5825</v>
      </c>
      <c r="Q535" s="8" t="s">
        <v>4262</v>
      </c>
      <c r="R535" s="8">
        <v>0.4</v>
      </c>
      <c r="S535" s="8">
        <v>51226919</v>
      </c>
      <c r="T535" s="8" t="s">
        <v>41</v>
      </c>
      <c r="U535" s="8" t="s">
        <v>25</v>
      </c>
    </row>
    <row r="536" spans="1:21">
      <c r="A536" s="8" t="s">
        <v>5410</v>
      </c>
      <c r="B536" s="8" t="s">
        <v>159</v>
      </c>
      <c r="C536" s="8">
        <v>147657</v>
      </c>
      <c r="D536" s="8" t="s">
        <v>139</v>
      </c>
      <c r="E536" s="8">
        <v>52803709</v>
      </c>
      <c r="F536" s="8">
        <v>52803709</v>
      </c>
      <c r="G536" s="8" t="s">
        <v>46</v>
      </c>
      <c r="H536" s="8" t="s">
        <v>41</v>
      </c>
      <c r="I536" s="8" t="s">
        <v>23</v>
      </c>
      <c r="J536" s="8" t="s">
        <v>160</v>
      </c>
      <c r="K536" s="8" t="s">
        <v>5828</v>
      </c>
      <c r="L536" s="8" t="s">
        <v>19</v>
      </c>
      <c r="M536" s="8">
        <v>114</v>
      </c>
      <c r="N536" s="8" t="s">
        <v>417</v>
      </c>
      <c r="O536" s="8">
        <v>15</v>
      </c>
      <c r="P536" s="8" t="s">
        <v>5827</v>
      </c>
      <c r="Q536" s="8" t="s">
        <v>4262</v>
      </c>
      <c r="R536" s="8">
        <v>0.16700000000000001</v>
      </c>
      <c r="S536" s="8">
        <v>52803709</v>
      </c>
      <c r="T536" s="8" t="s">
        <v>46</v>
      </c>
      <c r="U536" s="8" t="s">
        <v>41</v>
      </c>
    </row>
    <row r="537" spans="1:21">
      <c r="A537" s="8" t="s">
        <v>5410</v>
      </c>
      <c r="B537" s="8" t="s">
        <v>5829</v>
      </c>
      <c r="C537" s="8">
        <v>7576</v>
      </c>
      <c r="D537" s="8" t="s">
        <v>139</v>
      </c>
      <c r="E537" s="8">
        <v>53303640</v>
      </c>
      <c r="F537" s="8">
        <v>53303640</v>
      </c>
      <c r="G537" s="8" t="s">
        <v>46</v>
      </c>
      <c r="H537" s="8" t="s">
        <v>24</v>
      </c>
      <c r="I537" s="8" t="s">
        <v>23</v>
      </c>
      <c r="J537" s="8" t="s">
        <v>5830</v>
      </c>
      <c r="K537" s="8" t="s">
        <v>5832</v>
      </c>
      <c r="L537" s="8" t="s">
        <v>19</v>
      </c>
      <c r="M537" s="8">
        <v>1615</v>
      </c>
      <c r="N537" s="8" t="s">
        <v>5833</v>
      </c>
      <c r="O537" s="8">
        <v>486</v>
      </c>
      <c r="P537" s="8" t="s">
        <v>5831</v>
      </c>
      <c r="Q537" s="8" t="s">
        <v>4262</v>
      </c>
      <c r="R537" s="8">
        <v>0.08</v>
      </c>
      <c r="S537" s="8">
        <v>53303640</v>
      </c>
      <c r="T537" s="8" t="s">
        <v>46</v>
      </c>
      <c r="U537" s="8" t="s">
        <v>24</v>
      </c>
    </row>
    <row r="538" spans="1:21">
      <c r="A538" s="8" t="s">
        <v>5410</v>
      </c>
      <c r="B538" s="8" t="s">
        <v>3645</v>
      </c>
      <c r="C538" s="8">
        <v>317701</v>
      </c>
      <c r="D538" s="8" t="s">
        <v>139</v>
      </c>
      <c r="E538" s="8">
        <v>53761998</v>
      </c>
      <c r="F538" s="8">
        <v>53761998</v>
      </c>
      <c r="G538" s="8" t="s">
        <v>25</v>
      </c>
      <c r="H538" s="8" t="s">
        <v>41</v>
      </c>
      <c r="I538" s="8" t="s">
        <v>23</v>
      </c>
      <c r="J538" s="8" t="s">
        <v>3646</v>
      </c>
      <c r="K538" s="8" t="s">
        <v>5835</v>
      </c>
      <c r="L538" s="8" t="s">
        <v>19</v>
      </c>
      <c r="M538" s="8">
        <v>454</v>
      </c>
      <c r="N538" s="8" t="s">
        <v>685</v>
      </c>
      <c r="O538" s="8">
        <v>124</v>
      </c>
      <c r="P538" s="8" t="s">
        <v>5834</v>
      </c>
      <c r="Q538" s="8" t="s">
        <v>4262</v>
      </c>
      <c r="R538" s="8">
        <v>0.42099999999999999</v>
      </c>
      <c r="S538" s="8">
        <v>53761998</v>
      </c>
      <c r="T538" s="8" t="s">
        <v>25</v>
      </c>
      <c r="U538" s="8" t="s">
        <v>41</v>
      </c>
    </row>
    <row r="539" spans="1:21">
      <c r="A539" s="8" t="s">
        <v>5410</v>
      </c>
      <c r="B539" s="8" t="s">
        <v>3647</v>
      </c>
      <c r="C539" s="8">
        <v>9667</v>
      </c>
      <c r="D539" s="8" t="s">
        <v>139</v>
      </c>
      <c r="E539" s="8">
        <v>5604658</v>
      </c>
      <c r="F539" s="8">
        <v>5604658</v>
      </c>
      <c r="G539" s="8" t="s">
        <v>46</v>
      </c>
      <c r="H539" s="8" t="s">
        <v>25</v>
      </c>
      <c r="I539" s="8" t="s">
        <v>23</v>
      </c>
      <c r="J539" s="8" t="s">
        <v>3648</v>
      </c>
      <c r="K539" s="8" t="s">
        <v>5837</v>
      </c>
      <c r="L539" s="8" t="s">
        <v>76</v>
      </c>
      <c r="M539" s="8">
        <v>1707</v>
      </c>
      <c r="N539" s="8" t="s">
        <v>625</v>
      </c>
      <c r="O539" s="8">
        <v>499</v>
      </c>
      <c r="P539" s="8" t="s">
        <v>5836</v>
      </c>
      <c r="Q539" s="8" t="s">
        <v>4262</v>
      </c>
      <c r="R539" s="8">
        <v>0.45900000000000002</v>
      </c>
      <c r="S539" s="8">
        <v>5604658</v>
      </c>
      <c r="T539" s="8" t="s">
        <v>46</v>
      </c>
      <c r="U539" s="8" t="s">
        <v>25</v>
      </c>
    </row>
    <row r="540" spans="1:21">
      <c r="A540" s="8" t="s">
        <v>5410</v>
      </c>
      <c r="B540" s="8" t="s">
        <v>5838</v>
      </c>
      <c r="C540" s="8">
        <v>10172</v>
      </c>
      <c r="D540" s="8" t="s">
        <v>139</v>
      </c>
      <c r="E540" s="8">
        <v>58453901</v>
      </c>
      <c r="F540" s="8">
        <v>58453901</v>
      </c>
      <c r="G540" s="8" t="s">
        <v>46</v>
      </c>
      <c r="H540" s="8" t="s">
        <v>25</v>
      </c>
      <c r="I540" s="8" t="s">
        <v>23</v>
      </c>
      <c r="J540" s="8" t="s">
        <v>5839</v>
      </c>
      <c r="K540" s="8" t="s">
        <v>5841</v>
      </c>
      <c r="L540" s="8" t="s">
        <v>19</v>
      </c>
      <c r="M540" s="8">
        <v>510</v>
      </c>
      <c r="N540" s="8" t="s">
        <v>1126</v>
      </c>
      <c r="O540" s="8">
        <v>92</v>
      </c>
      <c r="P540" s="8" t="s">
        <v>5840</v>
      </c>
      <c r="Q540" s="8" t="s">
        <v>4262</v>
      </c>
      <c r="R540" s="8">
        <v>0.46</v>
      </c>
      <c r="S540" s="8">
        <v>58453901</v>
      </c>
      <c r="T540" s="8" t="s">
        <v>46</v>
      </c>
      <c r="U540" s="8" t="s">
        <v>25</v>
      </c>
    </row>
    <row r="541" spans="1:21">
      <c r="A541" s="8" t="s">
        <v>5410</v>
      </c>
      <c r="B541" s="8" t="s">
        <v>1093</v>
      </c>
      <c r="C541" s="8">
        <v>94025</v>
      </c>
      <c r="D541" s="8" t="s">
        <v>139</v>
      </c>
      <c r="E541" s="8">
        <v>8976639</v>
      </c>
      <c r="F541" s="8">
        <v>8976639</v>
      </c>
      <c r="G541" s="8" t="s">
        <v>25</v>
      </c>
      <c r="H541" s="8" t="s">
        <v>41</v>
      </c>
      <c r="I541" s="8" t="s">
        <v>23</v>
      </c>
      <c r="J541" s="8" t="s">
        <v>1094</v>
      </c>
      <c r="K541" s="8" t="s">
        <v>4408</v>
      </c>
      <c r="L541" s="8" t="s">
        <v>19</v>
      </c>
      <c r="M541" s="8">
        <v>42541</v>
      </c>
      <c r="N541" s="8" t="s">
        <v>3316</v>
      </c>
      <c r="O541" s="8">
        <v>14113</v>
      </c>
      <c r="P541" s="8" t="s">
        <v>5842</v>
      </c>
      <c r="Q541" s="8" t="s">
        <v>4262</v>
      </c>
      <c r="R541" s="8">
        <v>0.27</v>
      </c>
      <c r="S541" s="8">
        <v>8976639</v>
      </c>
      <c r="T541" s="8" t="s">
        <v>25</v>
      </c>
      <c r="U541" s="8" t="s">
        <v>41</v>
      </c>
    </row>
    <row r="542" spans="1:21">
      <c r="A542" s="8" t="s">
        <v>5410</v>
      </c>
      <c r="B542" s="8" t="s">
        <v>3638</v>
      </c>
      <c r="C542" s="8">
        <v>3383</v>
      </c>
      <c r="D542" s="8" t="s">
        <v>139</v>
      </c>
      <c r="E542" s="8">
        <v>10385456</v>
      </c>
      <c r="F542" s="8">
        <v>10385456</v>
      </c>
      <c r="G542" s="8" t="s">
        <v>25</v>
      </c>
      <c r="H542" s="8" t="s">
        <v>41</v>
      </c>
      <c r="I542" s="8" t="s">
        <v>23</v>
      </c>
      <c r="J542" s="8" t="s">
        <v>3639</v>
      </c>
      <c r="K542" s="8" t="s">
        <v>5844</v>
      </c>
      <c r="L542" s="8" t="s">
        <v>19</v>
      </c>
      <c r="M542" s="8">
        <v>402</v>
      </c>
      <c r="N542" s="8" t="s">
        <v>3136</v>
      </c>
      <c r="O542" s="8">
        <v>28</v>
      </c>
      <c r="P542" s="8" t="s">
        <v>5843</v>
      </c>
      <c r="Q542" s="8" t="s">
        <v>4262</v>
      </c>
      <c r="R542" s="8">
        <v>0.41699999999999998</v>
      </c>
      <c r="S542" s="8">
        <v>10385456</v>
      </c>
      <c r="T542" s="8" t="s">
        <v>25</v>
      </c>
      <c r="U542" s="8" t="s">
        <v>41</v>
      </c>
    </row>
    <row r="543" spans="1:21">
      <c r="A543" s="8" t="s">
        <v>5410</v>
      </c>
      <c r="B543" s="8" t="s">
        <v>3640</v>
      </c>
      <c r="C543" s="8">
        <v>79036</v>
      </c>
      <c r="D543" s="8" t="s">
        <v>139</v>
      </c>
      <c r="E543" s="8">
        <v>18672948</v>
      </c>
      <c r="F543" s="8">
        <v>18672948</v>
      </c>
      <c r="G543" s="8" t="s">
        <v>25</v>
      </c>
      <c r="H543" s="8" t="s">
        <v>41</v>
      </c>
      <c r="I543" s="8" t="s">
        <v>23</v>
      </c>
      <c r="J543" s="8" t="s">
        <v>5845</v>
      </c>
      <c r="K543" s="8" t="s">
        <v>5847</v>
      </c>
      <c r="L543" s="8" t="s">
        <v>19</v>
      </c>
      <c r="M543" s="8">
        <v>256</v>
      </c>
      <c r="N543" s="8" t="s">
        <v>1607</v>
      </c>
      <c r="O543" s="8">
        <v>28</v>
      </c>
      <c r="P543" s="8" t="s">
        <v>5846</v>
      </c>
      <c r="Q543" s="8" t="s">
        <v>4262</v>
      </c>
      <c r="R543" s="8">
        <v>0.6</v>
      </c>
      <c r="S543" s="8">
        <v>18672948</v>
      </c>
      <c r="T543" s="8" t="s">
        <v>25</v>
      </c>
      <c r="U543" s="8" t="s">
        <v>41</v>
      </c>
    </row>
    <row r="544" spans="1:21">
      <c r="A544" s="8" t="s">
        <v>5410</v>
      </c>
      <c r="B544" s="8" t="s">
        <v>3641</v>
      </c>
      <c r="C544" s="8">
        <v>284443</v>
      </c>
      <c r="D544" s="8" t="s">
        <v>139</v>
      </c>
      <c r="E544" s="8">
        <v>21607178</v>
      </c>
      <c r="F544" s="8">
        <v>21607178</v>
      </c>
      <c r="G544" s="8" t="s">
        <v>41</v>
      </c>
      <c r="H544" s="8" t="s">
        <v>25</v>
      </c>
      <c r="I544" s="8" t="s">
        <v>23</v>
      </c>
      <c r="J544" s="8" t="s">
        <v>5848</v>
      </c>
      <c r="K544" s="8" t="s">
        <v>5850</v>
      </c>
      <c r="L544" s="8" t="s">
        <v>19</v>
      </c>
      <c r="M544" s="8">
        <v>1836</v>
      </c>
      <c r="N544" s="8" t="s">
        <v>1186</v>
      </c>
      <c r="O544" s="8">
        <v>573</v>
      </c>
      <c r="P544" s="8" t="s">
        <v>5849</v>
      </c>
      <c r="Q544" s="8" t="s">
        <v>4262</v>
      </c>
      <c r="R544" s="8">
        <v>0.438</v>
      </c>
      <c r="S544" s="8">
        <v>21607178</v>
      </c>
      <c r="T544" s="8" t="s">
        <v>41</v>
      </c>
      <c r="U544" s="8" t="s">
        <v>25</v>
      </c>
    </row>
    <row r="545" spans="1:21">
      <c r="A545" s="8" t="s">
        <v>5410</v>
      </c>
      <c r="B545" s="8" t="s">
        <v>1350</v>
      </c>
      <c r="C545" s="8">
        <v>7652</v>
      </c>
      <c r="D545" s="8" t="s">
        <v>139</v>
      </c>
      <c r="E545" s="8">
        <v>22942212</v>
      </c>
      <c r="F545" s="8">
        <v>22942212</v>
      </c>
      <c r="G545" s="8" t="s">
        <v>24</v>
      </c>
      <c r="H545" s="8" t="s">
        <v>46</v>
      </c>
      <c r="I545" s="8" t="s">
        <v>23</v>
      </c>
      <c r="J545" s="8" t="s">
        <v>1351</v>
      </c>
      <c r="K545" s="8" t="s">
        <v>5852</v>
      </c>
      <c r="L545" s="8" t="s">
        <v>19</v>
      </c>
      <c r="M545" s="8">
        <v>654</v>
      </c>
      <c r="N545" s="8" t="s">
        <v>5245</v>
      </c>
      <c r="O545" s="8">
        <v>167</v>
      </c>
      <c r="P545" s="8" t="s">
        <v>5851</v>
      </c>
      <c r="Q545" s="8" t="s">
        <v>4262</v>
      </c>
      <c r="R545" s="8">
        <v>0.39</v>
      </c>
      <c r="S545" s="8">
        <v>22942212</v>
      </c>
      <c r="T545" s="8" t="s">
        <v>24</v>
      </c>
      <c r="U545" s="8" t="s">
        <v>46</v>
      </c>
    </row>
    <row r="546" spans="1:21">
      <c r="A546" s="8" t="s">
        <v>5410</v>
      </c>
      <c r="B546" s="8" t="s">
        <v>3642</v>
      </c>
      <c r="C546" s="8">
        <v>84775</v>
      </c>
      <c r="D546" s="8" t="s">
        <v>139</v>
      </c>
      <c r="E546" s="8">
        <v>38189186</v>
      </c>
      <c r="F546" s="8">
        <v>38189186</v>
      </c>
      <c r="G546" s="8" t="s">
        <v>24</v>
      </c>
      <c r="H546" s="8" t="s">
        <v>46</v>
      </c>
      <c r="I546" s="8" t="s">
        <v>23</v>
      </c>
      <c r="J546" s="8" t="s">
        <v>5853</v>
      </c>
      <c r="K546" s="8" t="s">
        <v>5855</v>
      </c>
      <c r="L546" s="8" t="s">
        <v>19</v>
      </c>
      <c r="M546" s="8">
        <v>2442</v>
      </c>
      <c r="N546" s="8" t="s">
        <v>3312</v>
      </c>
      <c r="O546" s="8">
        <v>616</v>
      </c>
      <c r="P546" s="8" t="s">
        <v>5854</v>
      </c>
      <c r="Q546" s="8" t="s">
        <v>4262</v>
      </c>
      <c r="R546" s="8">
        <v>0.40500000000000003</v>
      </c>
      <c r="S546" s="8">
        <v>38189186</v>
      </c>
      <c r="T546" s="8" t="s">
        <v>24</v>
      </c>
      <c r="U546" s="8" t="s">
        <v>46</v>
      </c>
    </row>
    <row r="547" spans="1:21">
      <c r="A547" s="8" t="s">
        <v>5410</v>
      </c>
      <c r="B547" s="8" t="s">
        <v>3642</v>
      </c>
      <c r="C547" s="8">
        <v>84775</v>
      </c>
      <c r="D547" s="8" t="s">
        <v>139</v>
      </c>
      <c r="E547" s="8">
        <v>38189249</v>
      </c>
      <c r="F547" s="8">
        <v>38189249</v>
      </c>
      <c r="G547" s="8" t="s">
        <v>46</v>
      </c>
      <c r="H547" s="8" t="s">
        <v>25</v>
      </c>
      <c r="I547" s="8" t="s">
        <v>23</v>
      </c>
      <c r="J547" s="8" t="s">
        <v>5853</v>
      </c>
      <c r="K547" s="8" t="s">
        <v>5855</v>
      </c>
      <c r="L547" s="8" t="s">
        <v>19</v>
      </c>
      <c r="M547" s="8">
        <v>2379</v>
      </c>
      <c r="N547" s="8" t="s">
        <v>132</v>
      </c>
      <c r="O547" s="8">
        <v>595</v>
      </c>
      <c r="P547" s="8" t="s">
        <v>5856</v>
      </c>
      <c r="Q547" s="8" t="s">
        <v>4262</v>
      </c>
      <c r="R547" s="8">
        <v>0.36499999999999999</v>
      </c>
      <c r="S547" s="8">
        <v>38189249</v>
      </c>
      <c r="T547" s="8" t="s">
        <v>46</v>
      </c>
      <c r="U547" s="8" t="s">
        <v>25</v>
      </c>
    </row>
    <row r="548" spans="1:21">
      <c r="A548" s="8" t="s">
        <v>5410</v>
      </c>
      <c r="B548" s="8" t="s">
        <v>3643</v>
      </c>
      <c r="C548" s="8">
        <v>57126</v>
      </c>
      <c r="D548" s="8" t="s">
        <v>139</v>
      </c>
      <c r="E548" s="8">
        <v>43859848</v>
      </c>
      <c r="F548" s="8">
        <v>43859848</v>
      </c>
      <c r="G548" s="8" t="s">
        <v>25</v>
      </c>
      <c r="H548" s="8" t="s">
        <v>41</v>
      </c>
      <c r="I548" s="8" t="s">
        <v>23</v>
      </c>
      <c r="J548" s="8" t="s">
        <v>3644</v>
      </c>
      <c r="K548" s="8" t="s">
        <v>5858</v>
      </c>
      <c r="L548" s="8" t="s">
        <v>19</v>
      </c>
      <c r="M548" s="8">
        <v>457</v>
      </c>
      <c r="N548" s="8" t="s">
        <v>792</v>
      </c>
      <c r="O548" s="8">
        <v>139</v>
      </c>
      <c r="P548" s="8" t="s">
        <v>5857</v>
      </c>
      <c r="Q548" s="8" t="s">
        <v>4262</v>
      </c>
      <c r="R548" s="8">
        <v>0.39600000000000002</v>
      </c>
      <c r="S548" s="8">
        <v>43859848</v>
      </c>
      <c r="T548" s="8" t="s">
        <v>25</v>
      </c>
      <c r="U548" s="8" t="s">
        <v>41</v>
      </c>
    </row>
    <row r="549" spans="1:21">
      <c r="A549" s="8" t="s">
        <v>5410</v>
      </c>
      <c r="B549" s="8" t="s">
        <v>5859</v>
      </c>
      <c r="C549" s="8">
        <v>3785</v>
      </c>
      <c r="D549" s="8" t="s">
        <v>188</v>
      </c>
      <c r="E549" s="8">
        <v>62044830</v>
      </c>
      <c r="F549" s="8">
        <v>62044830</v>
      </c>
      <c r="G549" s="8" t="s">
        <v>25</v>
      </c>
      <c r="H549" s="8" t="s">
        <v>41</v>
      </c>
      <c r="I549" s="8" t="s">
        <v>23</v>
      </c>
      <c r="J549" s="8" t="s">
        <v>5860</v>
      </c>
      <c r="K549" s="8" t="s">
        <v>5862</v>
      </c>
      <c r="L549" s="8" t="s">
        <v>19</v>
      </c>
      <c r="M549" s="8">
        <v>1913</v>
      </c>
      <c r="N549" s="8" t="s">
        <v>1096</v>
      </c>
      <c r="O549" s="8">
        <v>579</v>
      </c>
      <c r="P549" s="8" t="s">
        <v>5861</v>
      </c>
      <c r="Q549" s="8" t="s">
        <v>4262</v>
      </c>
      <c r="R549" s="8">
        <v>0.33300000000000002</v>
      </c>
      <c r="S549" s="8">
        <v>62044830</v>
      </c>
      <c r="T549" s="8" t="s">
        <v>25</v>
      </c>
      <c r="U549" s="8" t="s">
        <v>41</v>
      </c>
    </row>
    <row r="550" spans="1:21">
      <c r="A550" s="8" t="s">
        <v>5410</v>
      </c>
      <c r="B550" s="8" t="s">
        <v>5863</v>
      </c>
      <c r="C550" s="8">
        <v>79175</v>
      </c>
      <c r="D550" s="8" t="s">
        <v>188</v>
      </c>
      <c r="E550" s="8">
        <v>2474439</v>
      </c>
      <c r="F550" s="8">
        <v>2474439</v>
      </c>
      <c r="G550" s="8" t="s">
        <v>41</v>
      </c>
      <c r="H550" s="8" t="s">
        <v>25</v>
      </c>
      <c r="I550" s="8" t="s">
        <v>23</v>
      </c>
      <c r="J550" s="8" t="s">
        <v>5864</v>
      </c>
      <c r="K550" s="8" t="s">
        <v>5866</v>
      </c>
      <c r="L550" s="8" t="s">
        <v>19</v>
      </c>
      <c r="M550" s="8">
        <v>591</v>
      </c>
      <c r="N550" s="8" t="s">
        <v>3703</v>
      </c>
      <c r="O550" s="8">
        <v>35</v>
      </c>
      <c r="P550" s="8" t="s">
        <v>5865</v>
      </c>
      <c r="Q550" s="8" t="s">
        <v>4262</v>
      </c>
      <c r="R550" s="8">
        <v>0.29599999999999999</v>
      </c>
      <c r="S550" s="8">
        <v>2474439</v>
      </c>
      <c r="T550" s="8" t="s">
        <v>41</v>
      </c>
      <c r="U550" s="8" t="s">
        <v>25</v>
      </c>
    </row>
    <row r="551" spans="1:21">
      <c r="A551" s="8" t="s">
        <v>5410</v>
      </c>
      <c r="B551" s="8" t="s">
        <v>5867</v>
      </c>
      <c r="C551" s="8">
        <v>140876</v>
      </c>
      <c r="D551" s="8" t="s">
        <v>188</v>
      </c>
      <c r="E551" s="8">
        <v>49212789</v>
      </c>
      <c r="F551" s="8">
        <v>49212789</v>
      </c>
      <c r="G551" s="8" t="s">
        <v>24</v>
      </c>
      <c r="H551" s="8" t="s">
        <v>25</v>
      </c>
      <c r="I551" s="8" t="s">
        <v>23</v>
      </c>
      <c r="J551" s="8" t="s">
        <v>5868</v>
      </c>
      <c r="K551" s="8" t="s">
        <v>5870</v>
      </c>
      <c r="L551" s="8" t="s">
        <v>19</v>
      </c>
      <c r="M551" s="8">
        <v>2108</v>
      </c>
      <c r="N551" s="8" t="s">
        <v>333</v>
      </c>
      <c r="O551" s="8">
        <v>597</v>
      </c>
      <c r="P551" s="8" t="s">
        <v>5869</v>
      </c>
      <c r="Q551" s="8" t="s">
        <v>4262</v>
      </c>
      <c r="R551" s="8">
        <v>0.33800000000000002</v>
      </c>
      <c r="S551" s="8">
        <v>49212789</v>
      </c>
      <c r="T551" s="8" t="s">
        <v>24</v>
      </c>
      <c r="U551" s="8" t="s">
        <v>25</v>
      </c>
    </row>
    <row r="552" spans="1:21">
      <c r="A552" s="8" t="s">
        <v>5410</v>
      </c>
      <c r="B552" s="8" t="s">
        <v>5871</v>
      </c>
      <c r="C552" s="8">
        <v>337974</v>
      </c>
      <c r="D552" s="8" t="s">
        <v>193</v>
      </c>
      <c r="E552" s="8">
        <v>31933431</v>
      </c>
      <c r="F552" s="8">
        <v>31933431</v>
      </c>
      <c r="G552" s="8" t="s">
        <v>25</v>
      </c>
      <c r="H552" s="8" t="s">
        <v>41</v>
      </c>
      <c r="I552" s="8" t="s">
        <v>23</v>
      </c>
      <c r="J552" s="8" t="s">
        <v>5872</v>
      </c>
      <c r="K552" s="8" t="s">
        <v>5874</v>
      </c>
      <c r="L552" s="8" t="s">
        <v>19</v>
      </c>
      <c r="M552" s="8">
        <v>178</v>
      </c>
      <c r="N552" s="8" t="s">
        <v>726</v>
      </c>
      <c r="O552" s="8">
        <v>60</v>
      </c>
      <c r="P552" s="8" t="s">
        <v>5873</v>
      </c>
      <c r="Q552" s="8" t="s">
        <v>4262</v>
      </c>
      <c r="R552" s="8">
        <v>0.33900000000000002</v>
      </c>
      <c r="S552" s="8">
        <v>31933431</v>
      </c>
      <c r="T552" s="8" t="s">
        <v>25</v>
      </c>
      <c r="U552" s="8" t="s">
        <v>41</v>
      </c>
    </row>
    <row r="553" spans="1:21">
      <c r="A553" s="8" t="s">
        <v>5410</v>
      </c>
      <c r="B553" s="8" t="s">
        <v>5875</v>
      </c>
      <c r="C553" s="8">
        <v>254240</v>
      </c>
      <c r="D553" s="8" t="s">
        <v>197</v>
      </c>
      <c r="E553" s="8">
        <v>32831768</v>
      </c>
      <c r="F553" s="8">
        <v>32831768</v>
      </c>
      <c r="G553" s="8" t="s">
        <v>46</v>
      </c>
      <c r="H553" s="8" t="s">
        <v>41</v>
      </c>
      <c r="I553" s="8" t="s">
        <v>23</v>
      </c>
      <c r="J553" s="8" t="s">
        <v>5876</v>
      </c>
      <c r="K553" s="8" t="s">
        <v>5879</v>
      </c>
      <c r="L553" s="8" t="s">
        <v>19</v>
      </c>
      <c r="M553" s="8">
        <v>847</v>
      </c>
      <c r="N553" s="8" t="s">
        <v>155</v>
      </c>
      <c r="O553" s="8">
        <v>283</v>
      </c>
      <c r="P553" s="8" t="s">
        <v>5877</v>
      </c>
      <c r="Q553" s="8" t="s">
        <v>5878</v>
      </c>
      <c r="R553" s="8">
        <v>0.39700000000000002</v>
      </c>
      <c r="S553" s="8">
        <v>32831768</v>
      </c>
      <c r="T553" s="8" t="s">
        <v>46</v>
      </c>
      <c r="U553" s="8" t="s">
        <v>41</v>
      </c>
    </row>
    <row r="554" spans="1:21">
      <c r="A554" s="8" t="s">
        <v>5410</v>
      </c>
      <c r="B554" s="8" t="s">
        <v>5880</v>
      </c>
      <c r="C554" s="8">
        <v>340533</v>
      </c>
      <c r="D554" s="8" t="s">
        <v>418</v>
      </c>
      <c r="E554" s="8">
        <v>73964044</v>
      </c>
      <c r="F554" s="8">
        <v>73964044</v>
      </c>
      <c r="G554" s="8" t="s">
        <v>25</v>
      </c>
      <c r="H554" s="8" t="s">
        <v>41</v>
      </c>
      <c r="I554" s="8" t="s">
        <v>23</v>
      </c>
      <c r="J554" s="8" t="s">
        <v>5881</v>
      </c>
      <c r="K554" s="8" t="s">
        <v>5883</v>
      </c>
      <c r="L554" s="8" t="s">
        <v>19</v>
      </c>
      <c r="M554" s="8">
        <v>965</v>
      </c>
      <c r="N554" s="8" t="s">
        <v>890</v>
      </c>
      <c r="O554" s="8">
        <v>116</v>
      </c>
      <c r="P554" s="8" t="s">
        <v>5882</v>
      </c>
      <c r="Q554" s="8" t="s">
        <v>4262</v>
      </c>
      <c r="R554" s="8">
        <v>0.90100000000000002</v>
      </c>
      <c r="S554" s="8">
        <v>73964044</v>
      </c>
      <c r="T554" s="8" t="s">
        <v>25</v>
      </c>
      <c r="U554" s="8" t="s">
        <v>41</v>
      </c>
    </row>
    <row r="555" spans="1:21">
      <c r="A555" s="8" t="s">
        <v>5410</v>
      </c>
      <c r="B555" s="8" t="s">
        <v>5884</v>
      </c>
      <c r="C555" s="8">
        <v>392509</v>
      </c>
      <c r="D555" s="8" t="s">
        <v>418</v>
      </c>
      <c r="E555" s="8">
        <v>100240795</v>
      </c>
      <c r="F555" s="8">
        <v>100240795</v>
      </c>
      <c r="G555" s="8" t="s">
        <v>41</v>
      </c>
      <c r="H555" s="8" t="s">
        <v>25</v>
      </c>
      <c r="I555" s="8" t="s">
        <v>23</v>
      </c>
      <c r="J555" s="8" t="s">
        <v>5885</v>
      </c>
      <c r="K555" s="8" t="s">
        <v>5887</v>
      </c>
      <c r="L555" s="8" t="s">
        <v>19</v>
      </c>
      <c r="M555" s="8">
        <v>386</v>
      </c>
      <c r="N555" s="8" t="s">
        <v>3512</v>
      </c>
      <c r="O555" s="8">
        <v>90</v>
      </c>
      <c r="P555" s="8" t="s">
        <v>5886</v>
      </c>
      <c r="Q555" s="8" t="s">
        <v>4262</v>
      </c>
      <c r="R555" s="8">
        <v>0.94599999999999995</v>
      </c>
      <c r="S555" s="8">
        <v>100240795</v>
      </c>
      <c r="T555" s="8" t="s">
        <v>41</v>
      </c>
      <c r="U555" s="8" t="s">
        <v>25</v>
      </c>
    </row>
    <row r="556" spans="1:21">
      <c r="A556" s="8" t="s">
        <v>5890</v>
      </c>
      <c r="B556" s="8" t="s">
        <v>3458</v>
      </c>
      <c r="C556" s="8">
        <v>5563</v>
      </c>
      <c r="D556" s="8" t="s">
        <v>22</v>
      </c>
      <c r="E556" s="8">
        <v>57169882</v>
      </c>
      <c r="F556" s="8">
        <v>57169882</v>
      </c>
      <c r="G556" s="8" t="s">
        <v>24</v>
      </c>
      <c r="H556" s="8" t="s">
        <v>41</v>
      </c>
      <c r="I556" s="8" t="s">
        <v>23</v>
      </c>
      <c r="J556" s="8" t="s">
        <v>3459</v>
      </c>
      <c r="K556" s="8" t="s">
        <v>5889</v>
      </c>
      <c r="L556" s="8" t="s">
        <v>19</v>
      </c>
      <c r="M556" s="8">
        <v>1098</v>
      </c>
      <c r="N556" s="8" t="s">
        <v>256</v>
      </c>
      <c r="O556" s="8">
        <v>343</v>
      </c>
      <c r="P556" s="8" t="s">
        <v>5888</v>
      </c>
      <c r="Q556" s="8" t="s">
        <v>4262</v>
      </c>
      <c r="R556" s="8">
        <v>0.38400000000000001</v>
      </c>
      <c r="S556" s="8">
        <v>57169882</v>
      </c>
      <c r="T556" s="8" t="s">
        <v>24</v>
      </c>
      <c r="U556" s="8" t="s">
        <v>41</v>
      </c>
    </row>
    <row r="557" spans="1:21">
      <c r="A557" s="8" t="s">
        <v>5890</v>
      </c>
      <c r="B557" s="8" t="s">
        <v>3460</v>
      </c>
      <c r="C557" s="8">
        <v>84251</v>
      </c>
      <c r="D557" s="8" t="s">
        <v>22</v>
      </c>
      <c r="E557" s="8">
        <v>67145409</v>
      </c>
      <c r="F557" s="8">
        <v>67145409</v>
      </c>
      <c r="G557" s="8" t="s">
        <v>46</v>
      </c>
      <c r="H557" s="8" t="s">
        <v>25</v>
      </c>
      <c r="I557" s="8" t="s">
        <v>23</v>
      </c>
      <c r="J557" s="8" t="s">
        <v>3461</v>
      </c>
      <c r="K557" s="8" t="s">
        <v>5892</v>
      </c>
      <c r="L557" s="8" t="s">
        <v>19</v>
      </c>
      <c r="M557" s="8">
        <v>1005</v>
      </c>
      <c r="N557" s="8" t="s">
        <v>219</v>
      </c>
      <c r="O557" s="8">
        <v>263</v>
      </c>
      <c r="P557" s="8" t="s">
        <v>5891</v>
      </c>
      <c r="Q557" s="8" t="s">
        <v>4262</v>
      </c>
      <c r="R557" s="8">
        <v>0.34899999999999998</v>
      </c>
      <c r="S557" s="8">
        <v>67145409</v>
      </c>
      <c r="T557" s="8" t="s">
        <v>46</v>
      </c>
      <c r="U557" s="8" t="s">
        <v>25</v>
      </c>
    </row>
    <row r="558" spans="1:21">
      <c r="A558" s="8" t="s">
        <v>5890</v>
      </c>
      <c r="B558" s="8" t="s">
        <v>3460</v>
      </c>
      <c r="C558" s="8">
        <v>84251</v>
      </c>
      <c r="D558" s="8" t="s">
        <v>22</v>
      </c>
      <c r="E558" s="8">
        <v>67147980</v>
      </c>
      <c r="F558" s="8">
        <v>67147980</v>
      </c>
      <c r="G558" s="8" t="s">
        <v>46</v>
      </c>
      <c r="H558" s="8" t="s">
        <v>25</v>
      </c>
      <c r="I558" s="8" t="s">
        <v>23</v>
      </c>
      <c r="J558" s="8" t="s">
        <v>3461</v>
      </c>
      <c r="K558" s="8" t="s">
        <v>5892</v>
      </c>
      <c r="L558" s="8" t="s">
        <v>19</v>
      </c>
      <c r="M558" s="8">
        <v>1460</v>
      </c>
      <c r="N558" s="8" t="s">
        <v>379</v>
      </c>
      <c r="O558" s="8">
        <v>415</v>
      </c>
      <c r="P558" s="8" t="s">
        <v>5893</v>
      </c>
      <c r="Q558" s="8" t="s">
        <v>4262</v>
      </c>
      <c r="R558" s="8">
        <v>0.378</v>
      </c>
      <c r="S558" s="8">
        <v>67147980</v>
      </c>
      <c r="T558" s="8" t="s">
        <v>46</v>
      </c>
      <c r="U558" s="8" t="s">
        <v>25</v>
      </c>
    </row>
    <row r="559" spans="1:21">
      <c r="A559" s="8" t="s">
        <v>5890</v>
      </c>
      <c r="B559" s="8" t="s">
        <v>5894</v>
      </c>
      <c r="C559" s="8">
        <v>6814</v>
      </c>
      <c r="D559" s="8" t="s">
        <v>22</v>
      </c>
      <c r="E559" s="8">
        <v>109336251</v>
      </c>
      <c r="F559" s="8">
        <v>109336251</v>
      </c>
      <c r="G559" s="8" t="s">
        <v>46</v>
      </c>
      <c r="H559" s="8" t="s">
        <v>25</v>
      </c>
      <c r="I559" s="8" t="s">
        <v>23</v>
      </c>
      <c r="J559" s="8" t="s">
        <v>5895</v>
      </c>
      <c r="K559" s="8" t="s">
        <v>5897</v>
      </c>
      <c r="L559" s="8" t="s">
        <v>19</v>
      </c>
      <c r="M559" s="8">
        <v>1086</v>
      </c>
      <c r="N559" s="8" t="s">
        <v>326</v>
      </c>
      <c r="O559" s="8">
        <v>337</v>
      </c>
      <c r="P559" s="8" t="s">
        <v>5896</v>
      </c>
      <c r="Q559" s="8" t="s">
        <v>4262</v>
      </c>
      <c r="R559" s="8">
        <v>0.35</v>
      </c>
      <c r="S559" s="8">
        <v>109336251</v>
      </c>
      <c r="T559" s="8" t="s">
        <v>46</v>
      </c>
      <c r="U559" s="8" t="s">
        <v>25</v>
      </c>
    </row>
    <row r="560" spans="1:21">
      <c r="A560" s="8" t="s">
        <v>5890</v>
      </c>
      <c r="B560" s="8" t="s">
        <v>3452</v>
      </c>
      <c r="C560" s="8">
        <v>127002</v>
      </c>
      <c r="D560" s="8" t="s">
        <v>22</v>
      </c>
      <c r="E560" s="8">
        <v>110031467</v>
      </c>
      <c r="F560" s="8">
        <v>110031467</v>
      </c>
      <c r="G560" s="8" t="s">
        <v>25</v>
      </c>
      <c r="H560" s="8" t="s">
        <v>24</v>
      </c>
      <c r="I560" s="8" t="s">
        <v>23</v>
      </c>
      <c r="J560" s="8" t="s">
        <v>3453</v>
      </c>
      <c r="K560" s="8" t="s">
        <v>5898</v>
      </c>
      <c r="L560" s="8" t="s">
        <v>68</v>
      </c>
      <c r="M560" s="8">
        <v>0</v>
      </c>
      <c r="N560" s="8" t="s">
        <v>35</v>
      </c>
      <c r="O560" s="8">
        <v>0</v>
      </c>
      <c r="P560" s="8" t="s">
        <v>35</v>
      </c>
      <c r="Q560" s="8" t="s">
        <v>4262</v>
      </c>
      <c r="R560" s="8">
        <v>0.46899999999999997</v>
      </c>
      <c r="S560" s="8">
        <v>110031467</v>
      </c>
      <c r="T560" s="8" t="s">
        <v>25</v>
      </c>
      <c r="U560" s="8" t="s">
        <v>24</v>
      </c>
    </row>
    <row r="561" spans="1:21">
      <c r="A561" s="8" t="s">
        <v>5890</v>
      </c>
      <c r="B561" s="8" t="s">
        <v>4109</v>
      </c>
      <c r="C561" s="8">
        <v>2475</v>
      </c>
      <c r="D561" s="8" t="s">
        <v>22</v>
      </c>
      <c r="E561" s="8">
        <v>11288773</v>
      </c>
      <c r="F561" s="8">
        <v>11288773</v>
      </c>
      <c r="G561" s="8" t="s">
        <v>46</v>
      </c>
      <c r="H561" s="8" t="s">
        <v>25</v>
      </c>
      <c r="I561" s="8" t="s">
        <v>23</v>
      </c>
      <c r="J561" s="8" t="s">
        <v>5899</v>
      </c>
      <c r="K561" s="8" t="s">
        <v>5901</v>
      </c>
      <c r="L561" s="8" t="s">
        <v>19</v>
      </c>
      <c r="M561" s="8">
        <v>3103</v>
      </c>
      <c r="N561" s="8" t="s">
        <v>2948</v>
      </c>
      <c r="O561" s="8">
        <v>994</v>
      </c>
      <c r="P561" s="8" t="s">
        <v>5900</v>
      </c>
      <c r="Q561" s="8" t="s">
        <v>4262</v>
      </c>
      <c r="R561" s="8">
        <v>0.34100000000000003</v>
      </c>
      <c r="S561" s="8">
        <v>11288773</v>
      </c>
      <c r="T561" s="8" t="s">
        <v>46</v>
      </c>
      <c r="U561" s="8" t="s">
        <v>25</v>
      </c>
    </row>
    <row r="562" spans="1:21">
      <c r="A562" s="8" t="s">
        <v>5890</v>
      </c>
      <c r="B562" s="8" t="s">
        <v>3454</v>
      </c>
      <c r="C562" s="8">
        <v>1378</v>
      </c>
      <c r="D562" s="8" t="s">
        <v>22</v>
      </c>
      <c r="E562" s="8">
        <v>207762038</v>
      </c>
      <c r="F562" s="8">
        <v>207762038</v>
      </c>
      <c r="G562" s="8" t="s">
        <v>46</v>
      </c>
      <c r="H562" s="8" t="s">
        <v>25</v>
      </c>
      <c r="I562" s="8" t="s">
        <v>23</v>
      </c>
      <c r="J562" s="8" t="s">
        <v>5902</v>
      </c>
      <c r="K562" s="8" t="s">
        <v>5904</v>
      </c>
      <c r="L562" s="8" t="s">
        <v>19</v>
      </c>
      <c r="M562" s="8">
        <v>5869</v>
      </c>
      <c r="N562" s="8" t="s">
        <v>900</v>
      </c>
      <c r="O562" s="8">
        <v>1910</v>
      </c>
      <c r="P562" s="8" t="s">
        <v>5903</v>
      </c>
      <c r="Q562" s="8" t="s">
        <v>4262</v>
      </c>
      <c r="R562" s="8">
        <v>0.53800000000000003</v>
      </c>
      <c r="S562" s="8">
        <v>207762038</v>
      </c>
      <c r="T562" s="8" t="s">
        <v>46</v>
      </c>
      <c r="U562" s="8" t="s">
        <v>25</v>
      </c>
    </row>
    <row r="563" spans="1:21">
      <c r="A563" s="8" t="s">
        <v>5890</v>
      </c>
      <c r="B563" s="8" t="s">
        <v>1779</v>
      </c>
      <c r="C563" s="8">
        <v>26750</v>
      </c>
      <c r="D563" s="8" t="s">
        <v>22</v>
      </c>
      <c r="E563" s="8">
        <v>213415630</v>
      </c>
      <c r="F563" s="8">
        <v>213415630</v>
      </c>
      <c r="G563" s="8" t="s">
        <v>24</v>
      </c>
      <c r="H563" s="8" t="s">
        <v>41</v>
      </c>
      <c r="I563" s="8" t="s">
        <v>23</v>
      </c>
      <c r="J563" s="8" t="s">
        <v>5905</v>
      </c>
      <c r="K563" s="8" t="s">
        <v>5907</v>
      </c>
      <c r="L563" s="8" t="s">
        <v>19</v>
      </c>
      <c r="M563" s="8">
        <v>2970</v>
      </c>
      <c r="N563" s="8" t="s">
        <v>212</v>
      </c>
      <c r="O563" s="8">
        <v>937</v>
      </c>
      <c r="P563" s="8" t="s">
        <v>5906</v>
      </c>
      <c r="Q563" s="8" t="s">
        <v>4262</v>
      </c>
      <c r="R563" s="8">
        <v>0.188</v>
      </c>
      <c r="S563" s="8">
        <v>213415630</v>
      </c>
      <c r="T563" s="8" t="s">
        <v>24</v>
      </c>
      <c r="U563" s="8" t="s">
        <v>41</v>
      </c>
    </row>
    <row r="564" spans="1:21">
      <c r="A564" s="8" t="s">
        <v>5890</v>
      </c>
      <c r="B564" s="8" t="s">
        <v>3455</v>
      </c>
      <c r="C564" s="8">
        <v>1889</v>
      </c>
      <c r="D564" s="8" t="s">
        <v>22</v>
      </c>
      <c r="E564" s="8">
        <v>21546612</v>
      </c>
      <c r="F564" s="8">
        <v>21546612</v>
      </c>
      <c r="G564" s="8" t="s">
        <v>46</v>
      </c>
      <c r="H564" s="8" t="s">
        <v>25</v>
      </c>
      <c r="I564" s="8" t="s">
        <v>23</v>
      </c>
      <c r="J564" s="8" t="s">
        <v>5908</v>
      </c>
      <c r="K564" s="8" t="s">
        <v>5911</v>
      </c>
      <c r="L564" s="8" t="s">
        <v>19</v>
      </c>
      <c r="M564" s="8">
        <v>2215</v>
      </c>
      <c r="N564" s="8" t="s">
        <v>162</v>
      </c>
      <c r="O564" s="8">
        <v>714</v>
      </c>
      <c r="P564" s="8" t="s">
        <v>5909</v>
      </c>
      <c r="Q564" s="8" t="s">
        <v>5910</v>
      </c>
      <c r="R564" s="8">
        <v>0.42099999999999999</v>
      </c>
      <c r="S564" s="8">
        <v>21546612</v>
      </c>
      <c r="T564" s="8" t="s">
        <v>46</v>
      </c>
      <c r="U564" s="8" t="s">
        <v>25</v>
      </c>
    </row>
    <row r="565" spans="1:21">
      <c r="A565" s="8" t="s">
        <v>5890</v>
      </c>
      <c r="B565" s="8" t="s">
        <v>5912</v>
      </c>
      <c r="C565" s="8">
        <v>4139</v>
      </c>
      <c r="D565" s="8" t="s">
        <v>22</v>
      </c>
      <c r="E565" s="8">
        <v>220752750</v>
      </c>
      <c r="F565" s="8">
        <v>220752750</v>
      </c>
      <c r="G565" s="8" t="s">
        <v>25</v>
      </c>
      <c r="H565" s="8" t="s">
        <v>24</v>
      </c>
      <c r="I565" s="8" t="s">
        <v>23</v>
      </c>
      <c r="J565" s="8" t="s">
        <v>5913</v>
      </c>
      <c r="K565" s="8" t="s">
        <v>5915</v>
      </c>
      <c r="L565" s="8" t="s">
        <v>19</v>
      </c>
      <c r="M565" s="8">
        <v>703</v>
      </c>
      <c r="N565" s="8" t="s">
        <v>4409</v>
      </c>
      <c r="O565" s="8">
        <v>36</v>
      </c>
      <c r="P565" s="8" t="s">
        <v>5914</v>
      </c>
      <c r="Q565" s="8" t="s">
        <v>4262</v>
      </c>
      <c r="R565" s="8">
        <v>0.19500000000000001</v>
      </c>
      <c r="S565" s="8">
        <v>220752750</v>
      </c>
      <c r="T565" s="8" t="s">
        <v>25</v>
      </c>
      <c r="U565" s="8" t="s">
        <v>24</v>
      </c>
    </row>
    <row r="566" spans="1:21">
      <c r="A566" s="8" t="s">
        <v>5890</v>
      </c>
      <c r="B566" s="8" t="s">
        <v>2044</v>
      </c>
      <c r="C566" s="8">
        <v>6262</v>
      </c>
      <c r="D566" s="8" t="s">
        <v>22</v>
      </c>
      <c r="E566" s="8">
        <v>237755109</v>
      </c>
      <c r="F566" s="8">
        <v>237755109</v>
      </c>
      <c r="G566" s="8" t="s">
        <v>24</v>
      </c>
      <c r="H566" s="8" t="s">
        <v>41</v>
      </c>
      <c r="I566" s="8" t="s">
        <v>23</v>
      </c>
      <c r="J566" s="8" t="s">
        <v>2419</v>
      </c>
      <c r="K566" s="8" t="s">
        <v>5917</v>
      </c>
      <c r="L566" s="8" t="s">
        <v>19</v>
      </c>
      <c r="M566" s="8">
        <v>4351</v>
      </c>
      <c r="N566" s="8" t="s">
        <v>481</v>
      </c>
      <c r="O566" s="8">
        <v>1411</v>
      </c>
      <c r="P566" s="8" t="s">
        <v>5916</v>
      </c>
      <c r="Q566" s="8" t="s">
        <v>4262</v>
      </c>
      <c r="R566" s="8">
        <v>0.625</v>
      </c>
      <c r="S566" s="8">
        <v>237755109</v>
      </c>
      <c r="T566" s="8" t="s">
        <v>24</v>
      </c>
      <c r="U566" s="8" t="s">
        <v>41</v>
      </c>
    </row>
    <row r="567" spans="1:21">
      <c r="A567" s="8" t="s">
        <v>5890</v>
      </c>
      <c r="B567" s="8" t="s">
        <v>5918</v>
      </c>
      <c r="C567" s="8">
        <v>64216</v>
      </c>
      <c r="D567" s="8" t="s">
        <v>22</v>
      </c>
      <c r="E567" s="8">
        <v>246704472</v>
      </c>
      <c r="F567" s="8">
        <v>246704472</v>
      </c>
      <c r="G567" s="8" t="s">
        <v>25</v>
      </c>
      <c r="H567" s="8" t="s">
        <v>24</v>
      </c>
      <c r="I567" s="8" t="s">
        <v>23</v>
      </c>
      <c r="J567" s="8" t="s">
        <v>5919</v>
      </c>
      <c r="K567" s="8" t="s">
        <v>5921</v>
      </c>
      <c r="L567" s="8" t="s">
        <v>19</v>
      </c>
      <c r="M567" s="8">
        <v>1177</v>
      </c>
      <c r="N567" s="8" t="s">
        <v>329</v>
      </c>
      <c r="O567" s="8">
        <v>351</v>
      </c>
      <c r="P567" s="8" t="s">
        <v>5920</v>
      </c>
      <c r="Q567" s="8" t="s">
        <v>4262</v>
      </c>
      <c r="R567" s="8">
        <v>0.19500000000000001</v>
      </c>
      <c r="S567" s="8">
        <v>246704472</v>
      </c>
      <c r="T567" s="8" t="s">
        <v>25</v>
      </c>
      <c r="U567" s="8" t="s">
        <v>24</v>
      </c>
    </row>
    <row r="568" spans="1:21">
      <c r="A568" s="8" t="s">
        <v>5890</v>
      </c>
      <c r="B568" s="8" t="s">
        <v>5922</v>
      </c>
      <c r="C568" s="8">
        <v>27245</v>
      </c>
      <c r="D568" s="8" t="s">
        <v>22</v>
      </c>
      <c r="E568" s="8">
        <v>27874030</v>
      </c>
      <c r="F568" s="8">
        <v>27874030</v>
      </c>
      <c r="G568" s="8" t="s">
        <v>46</v>
      </c>
      <c r="H568" s="8" t="s">
        <v>41</v>
      </c>
      <c r="I568" s="8" t="s">
        <v>23</v>
      </c>
      <c r="J568" s="8" t="s">
        <v>5923</v>
      </c>
      <c r="K568" s="8" t="s">
        <v>5925</v>
      </c>
      <c r="L568" s="8" t="s">
        <v>19</v>
      </c>
      <c r="M568" s="8">
        <v>5566</v>
      </c>
      <c r="N568" s="8" t="s">
        <v>1070</v>
      </c>
      <c r="O568" s="8">
        <v>1533</v>
      </c>
      <c r="P568" s="8" t="s">
        <v>5924</v>
      </c>
      <c r="Q568" s="8" t="s">
        <v>4262</v>
      </c>
      <c r="R568" s="8">
        <v>0.47099999999999997</v>
      </c>
      <c r="S568" s="8">
        <v>27874030</v>
      </c>
      <c r="T568" s="8" t="s">
        <v>46</v>
      </c>
      <c r="U568" s="8" t="s">
        <v>41</v>
      </c>
    </row>
    <row r="569" spans="1:21">
      <c r="A569" s="8" t="s">
        <v>5890</v>
      </c>
      <c r="B569" s="8" t="s">
        <v>3456</v>
      </c>
      <c r="C569" s="8">
        <v>284541</v>
      </c>
      <c r="D569" s="8" t="s">
        <v>22</v>
      </c>
      <c r="E569" s="8">
        <v>47607825</v>
      </c>
      <c r="F569" s="8">
        <v>47607825</v>
      </c>
      <c r="G569" s="8" t="s">
        <v>24</v>
      </c>
      <c r="H569" s="8" t="s">
        <v>41</v>
      </c>
      <c r="I569" s="8" t="s">
        <v>23</v>
      </c>
      <c r="J569" s="8" t="s">
        <v>3457</v>
      </c>
      <c r="K569" s="8" t="s">
        <v>5928</v>
      </c>
      <c r="L569" s="8" t="s">
        <v>19</v>
      </c>
      <c r="M569" s="8">
        <v>479</v>
      </c>
      <c r="N569" s="8" t="s">
        <v>437</v>
      </c>
      <c r="O569" s="8">
        <v>143</v>
      </c>
      <c r="P569" s="8" t="s">
        <v>5926</v>
      </c>
      <c r="Q569" s="8" t="s">
        <v>5927</v>
      </c>
      <c r="R569" s="8">
        <v>0.371</v>
      </c>
      <c r="S569" s="8">
        <v>47607825</v>
      </c>
      <c r="T569" s="8" t="s">
        <v>24</v>
      </c>
      <c r="U569" s="8" t="s">
        <v>41</v>
      </c>
    </row>
    <row r="570" spans="1:21">
      <c r="A570" s="8" t="s">
        <v>5890</v>
      </c>
      <c r="B570" s="8" t="s">
        <v>5929</v>
      </c>
      <c r="C570" s="8">
        <v>10578</v>
      </c>
      <c r="D570" s="8" t="s">
        <v>172</v>
      </c>
      <c r="E570" s="8">
        <v>85921555</v>
      </c>
      <c r="F570" s="8">
        <v>85921555</v>
      </c>
      <c r="G570" s="8" t="s">
        <v>46</v>
      </c>
      <c r="H570" s="8" t="s">
        <v>25</v>
      </c>
      <c r="I570" s="8" t="s">
        <v>23</v>
      </c>
      <c r="J570" s="8" t="s">
        <v>5930</v>
      </c>
      <c r="K570" s="8" t="s">
        <v>5932</v>
      </c>
      <c r="L570" s="8" t="s">
        <v>19</v>
      </c>
      <c r="M570" s="8">
        <v>142</v>
      </c>
      <c r="N570" s="8" t="s">
        <v>3048</v>
      </c>
      <c r="O570" s="8">
        <v>5</v>
      </c>
      <c r="P570" s="8" t="s">
        <v>5931</v>
      </c>
      <c r="Q570" s="8" t="s">
        <v>4262</v>
      </c>
      <c r="R570" s="8">
        <v>0.23599999999999999</v>
      </c>
      <c r="S570" s="8">
        <v>85921555</v>
      </c>
      <c r="T570" s="8" t="s">
        <v>46</v>
      </c>
      <c r="U570" s="8" t="s">
        <v>25</v>
      </c>
    </row>
    <row r="571" spans="1:21">
      <c r="A571" s="8" t="s">
        <v>5890</v>
      </c>
      <c r="B571" s="8" t="s">
        <v>5933</v>
      </c>
      <c r="C571" s="8">
        <v>51455</v>
      </c>
      <c r="D571" s="8" t="s">
        <v>172</v>
      </c>
      <c r="E571" s="8">
        <v>100055722</v>
      </c>
      <c r="F571" s="8">
        <v>100055722</v>
      </c>
      <c r="G571" s="8" t="s">
        <v>46</v>
      </c>
      <c r="H571" s="8" t="s">
        <v>41</v>
      </c>
      <c r="I571" s="8" t="s">
        <v>23</v>
      </c>
      <c r="J571" s="8" t="s">
        <v>5934</v>
      </c>
      <c r="K571" s="8" t="s">
        <v>5936</v>
      </c>
      <c r="L571" s="8" t="s">
        <v>19</v>
      </c>
      <c r="M571" s="8">
        <v>766</v>
      </c>
      <c r="N571" s="8" t="s">
        <v>205</v>
      </c>
      <c r="O571" s="8">
        <v>185</v>
      </c>
      <c r="P571" s="8" t="s">
        <v>5935</v>
      </c>
      <c r="Q571" s="8" t="s">
        <v>4262</v>
      </c>
      <c r="R571" s="8">
        <v>0.25</v>
      </c>
      <c r="S571" s="8">
        <v>100055722</v>
      </c>
      <c r="T571" s="8" t="s">
        <v>46</v>
      </c>
      <c r="U571" s="8" t="s">
        <v>41</v>
      </c>
    </row>
    <row r="572" spans="1:21">
      <c r="A572" s="8" t="s">
        <v>5890</v>
      </c>
      <c r="B572" s="8" t="s">
        <v>5937</v>
      </c>
      <c r="C572" s="8">
        <v>3754</v>
      </c>
      <c r="D572" s="8" t="s">
        <v>172</v>
      </c>
      <c r="E572" s="8">
        <v>11054035</v>
      </c>
      <c r="F572" s="8">
        <v>11054035</v>
      </c>
      <c r="G572" s="8" t="s">
        <v>41</v>
      </c>
      <c r="H572" s="8" t="s">
        <v>46</v>
      </c>
      <c r="I572" s="8" t="s">
        <v>23</v>
      </c>
      <c r="J572" s="8" t="s">
        <v>5938</v>
      </c>
      <c r="K572" s="8" t="s">
        <v>5939</v>
      </c>
      <c r="L572" s="8" t="s">
        <v>4687</v>
      </c>
      <c r="M572" s="8">
        <v>1973</v>
      </c>
      <c r="N572" s="8" t="s">
        <v>5940</v>
      </c>
      <c r="O572" s="8">
        <v>495</v>
      </c>
      <c r="P572" s="8" t="s">
        <v>35</v>
      </c>
      <c r="Q572" s="8" t="s">
        <v>4262</v>
      </c>
      <c r="R572" s="8">
        <v>0.26100000000000001</v>
      </c>
      <c r="S572" s="8">
        <v>11054035</v>
      </c>
      <c r="T572" s="8" t="s">
        <v>41</v>
      </c>
      <c r="U572" s="8" t="s">
        <v>46</v>
      </c>
    </row>
    <row r="573" spans="1:21">
      <c r="A573" s="8" t="s">
        <v>5890</v>
      </c>
      <c r="B573" s="8" t="s">
        <v>5941</v>
      </c>
      <c r="C573" s="8">
        <v>6574</v>
      </c>
      <c r="D573" s="8" t="s">
        <v>172</v>
      </c>
      <c r="E573" s="8">
        <v>113416467</v>
      </c>
      <c r="F573" s="8">
        <v>113416467</v>
      </c>
      <c r="G573" s="8" t="s">
        <v>46</v>
      </c>
      <c r="H573" s="8" t="s">
        <v>41</v>
      </c>
      <c r="I573" s="8" t="s">
        <v>23</v>
      </c>
      <c r="J573" s="8" t="s">
        <v>5942</v>
      </c>
      <c r="K573" s="8" t="s">
        <v>5944</v>
      </c>
      <c r="L573" s="8" t="s">
        <v>19</v>
      </c>
      <c r="M573" s="8">
        <v>1383</v>
      </c>
      <c r="N573" s="8" t="s">
        <v>2843</v>
      </c>
      <c r="O573" s="8">
        <v>282</v>
      </c>
      <c r="P573" s="8" t="s">
        <v>5943</v>
      </c>
      <c r="Q573" s="8" t="s">
        <v>4262</v>
      </c>
      <c r="R573" s="8">
        <v>0.31</v>
      </c>
      <c r="S573" s="8">
        <v>113416467</v>
      </c>
      <c r="T573" s="8" t="s">
        <v>46</v>
      </c>
      <c r="U573" s="8" t="s">
        <v>41</v>
      </c>
    </row>
    <row r="574" spans="1:21">
      <c r="A574" s="8" t="s">
        <v>5890</v>
      </c>
      <c r="B574" s="8" t="s">
        <v>5945</v>
      </c>
      <c r="C574" s="8">
        <v>6335</v>
      </c>
      <c r="D574" s="8" t="s">
        <v>172</v>
      </c>
      <c r="E574" s="8">
        <v>167056008</v>
      </c>
      <c r="F574" s="8">
        <v>167056008</v>
      </c>
      <c r="G574" s="8" t="s">
        <v>41</v>
      </c>
      <c r="H574" s="8" t="s">
        <v>46</v>
      </c>
      <c r="I574" s="8" t="s">
        <v>23</v>
      </c>
      <c r="J574" s="8" t="s">
        <v>5946</v>
      </c>
      <c r="K574" s="8" t="s">
        <v>5948</v>
      </c>
      <c r="L574" s="8" t="s">
        <v>19</v>
      </c>
      <c r="M574" s="8">
        <v>5449</v>
      </c>
      <c r="N574" s="8" t="s">
        <v>551</v>
      </c>
      <c r="O574" s="8">
        <v>1703</v>
      </c>
      <c r="P574" s="8" t="s">
        <v>5947</v>
      </c>
      <c r="Q574" s="8" t="s">
        <v>4262</v>
      </c>
      <c r="R574" s="8">
        <v>7.6999999999999999E-2</v>
      </c>
      <c r="S574" s="8">
        <v>167056008</v>
      </c>
      <c r="T574" s="8" t="s">
        <v>41</v>
      </c>
      <c r="U574" s="8" t="s">
        <v>46</v>
      </c>
    </row>
    <row r="575" spans="1:21">
      <c r="A575" s="8" t="s">
        <v>5890</v>
      </c>
      <c r="B575" s="8"/>
      <c r="C575" s="8">
        <v>51776</v>
      </c>
      <c r="D575" s="8" t="s">
        <v>172</v>
      </c>
      <c r="E575" s="8">
        <v>174104142</v>
      </c>
      <c r="F575" s="8">
        <v>174104142</v>
      </c>
      <c r="G575" s="8" t="s">
        <v>24</v>
      </c>
      <c r="H575" s="8" t="s">
        <v>41</v>
      </c>
      <c r="I575" s="8" t="s">
        <v>23</v>
      </c>
      <c r="J575" s="8" t="s">
        <v>5949</v>
      </c>
      <c r="K575" s="8" t="s">
        <v>5951</v>
      </c>
      <c r="L575" s="8" t="s">
        <v>19</v>
      </c>
      <c r="M575" s="8">
        <v>1477</v>
      </c>
      <c r="N575" s="8" t="s">
        <v>1555</v>
      </c>
      <c r="O575" s="8">
        <v>426</v>
      </c>
      <c r="P575" s="8" t="s">
        <v>5950</v>
      </c>
      <c r="Q575" s="8" t="s">
        <v>4262</v>
      </c>
      <c r="R575" s="8">
        <v>0.24399999999999999</v>
      </c>
      <c r="S575" s="8">
        <v>174104142</v>
      </c>
      <c r="T575" s="8" t="s">
        <v>24</v>
      </c>
      <c r="U575" s="8" t="s">
        <v>41</v>
      </c>
    </row>
    <row r="576" spans="1:21">
      <c r="A576" s="8" t="s">
        <v>5890</v>
      </c>
      <c r="B576" s="8" t="s">
        <v>3491</v>
      </c>
      <c r="C576" s="8">
        <v>285025</v>
      </c>
      <c r="D576" s="8" t="s">
        <v>172</v>
      </c>
      <c r="E576" s="8">
        <v>179702134</v>
      </c>
      <c r="F576" s="8">
        <v>179702134</v>
      </c>
      <c r="G576" s="8" t="s">
        <v>24</v>
      </c>
      <c r="H576" s="8" t="s">
        <v>41</v>
      </c>
      <c r="I576" s="8" t="s">
        <v>23</v>
      </c>
      <c r="J576" s="8" t="s">
        <v>3492</v>
      </c>
      <c r="K576" s="8" t="s">
        <v>5953</v>
      </c>
      <c r="L576" s="8" t="s">
        <v>19</v>
      </c>
      <c r="M576" s="8">
        <v>3930</v>
      </c>
      <c r="N576" s="8" t="s">
        <v>3048</v>
      </c>
      <c r="O576" s="8">
        <v>1271</v>
      </c>
      <c r="P576" s="8" t="s">
        <v>5952</v>
      </c>
      <c r="Q576" s="8" t="s">
        <v>4262</v>
      </c>
      <c r="R576" s="8">
        <v>0.316</v>
      </c>
      <c r="S576" s="8">
        <v>179702134</v>
      </c>
      <c r="T576" s="8" t="s">
        <v>24</v>
      </c>
      <c r="U576" s="8" t="s">
        <v>41</v>
      </c>
    </row>
    <row r="577" spans="1:21">
      <c r="A577" s="8" t="s">
        <v>5890</v>
      </c>
      <c r="B577" s="8" t="s">
        <v>3493</v>
      </c>
      <c r="C577" s="8">
        <v>91752</v>
      </c>
      <c r="D577" s="8" t="s">
        <v>172</v>
      </c>
      <c r="E577" s="8">
        <v>185802626</v>
      </c>
      <c r="F577" s="8">
        <v>185802626</v>
      </c>
      <c r="G577" s="8" t="s">
        <v>46</v>
      </c>
      <c r="H577" s="8" t="s">
        <v>25</v>
      </c>
      <c r="I577" s="8" t="s">
        <v>23</v>
      </c>
      <c r="J577" s="8" t="s">
        <v>3494</v>
      </c>
      <c r="K577" s="8" t="s">
        <v>5955</v>
      </c>
      <c r="L577" s="8" t="s">
        <v>19</v>
      </c>
      <c r="M577" s="8">
        <v>3097</v>
      </c>
      <c r="N577" s="8" t="s">
        <v>3150</v>
      </c>
      <c r="O577" s="8">
        <v>835</v>
      </c>
      <c r="P577" s="8" t="s">
        <v>5954</v>
      </c>
      <c r="Q577" s="8" t="s">
        <v>4262</v>
      </c>
      <c r="R577" s="8">
        <v>0.36399999999999999</v>
      </c>
      <c r="S577" s="8">
        <v>185802626</v>
      </c>
      <c r="T577" s="8" t="s">
        <v>46</v>
      </c>
      <c r="U577" s="8" t="s">
        <v>25</v>
      </c>
    </row>
    <row r="578" spans="1:21">
      <c r="A578" s="8" t="s">
        <v>5890</v>
      </c>
      <c r="B578" s="8" t="s">
        <v>5956</v>
      </c>
      <c r="C578" s="8">
        <v>165215</v>
      </c>
      <c r="D578" s="8" t="s">
        <v>172</v>
      </c>
      <c r="E578" s="8">
        <v>187626905</v>
      </c>
      <c r="F578" s="8">
        <v>187626905</v>
      </c>
      <c r="G578" s="8" t="s">
        <v>46</v>
      </c>
      <c r="H578" s="8" t="s">
        <v>25</v>
      </c>
      <c r="I578" s="8" t="s">
        <v>23</v>
      </c>
      <c r="J578" s="8" t="s">
        <v>5957</v>
      </c>
      <c r="K578" s="8" t="s">
        <v>5959</v>
      </c>
      <c r="L578" s="8" t="s">
        <v>19</v>
      </c>
      <c r="M578" s="8">
        <v>1948</v>
      </c>
      <c r="N578" s="8" t="s">
        <v>316</v>
      </c>
      <c r="O578" s="8">
        <v>612</v>
      </c>
      <c r="P578" s="8" t="s">
        <v>5958</v>
      </c>
      <c r="Q578" s="8" t="s">
        <v>4262</v>
      </c>
      <c r="R578" s="8">
        <v>0.35199999999999998</v>
      </c>
      <c r="S578" s="8">
        <v>187626905</v>
      </c>
      <c r="T578" s="8" t="s">
        <v>46</v>
      </c>
      <c r="U578" s="8" t="s">
        <v>25</v>
      </c>
    </row>
    <row r="579" spans="1:21">
      <c r="A579" s="8" t="s">
        <v>5890</v>
      </c>
      <c r="B579" s="8" t="s">
        <v>3495</v>
      </c>
      <c r="C579" s="8">
        <v>1195</v>
      </c>
      <c r="D579" s="8" t="s">
        <v>172</v>
      </c>
      <c r="E579" s="8">
        <v>201722482</v>
      </c>
      <c r="F579" s="8">
        <v>201722482</v>
      </c>
      <c r="G579" s="8" t="s">
        <v>41</v>
      </c>
      <c r="H579" s="8" t="s">
        <v>46</v>
      </c>
      <c r="I579" s="8" t="s">
        <v>23</v>
      </c>
      <c r="J579" s="8" t="s">
        <v>5960</v>
      </c>
      <c r="K579" s="8" t="s">
        <v>5962</v>
      </c>
      <c r="L579" s="8" t="s">
        <v>19</v>
      </c>
      <c r="M579" s="8">
        <v>972</v>
      </c>
      <c r="N579" s="8" t="s">
        <v>681</v>
      </c>
      <c r="O579" s="8">
        <v>264</v>
      </c>
      <c r="P579" s="8" t="s">
        <v>5961</v>
      </c>
      <c r="Q579" s="8" t="s">
        <v>4262</v>
      </c>
      <c r="R579" s="8">
        <v>0.4</v>
      </c>
      <c r="S579" s="8">
        <v>201722482</v>
      </c>
      <c r="T579" s="8" t="s">
        <v>41</v>
      </c>
      <c r="U579" s="8" t="s">
        <v>46</v>
      </c>
    </row>
    <row r="580" spans="1:21">
      <c r="A580" s="8" t="s">
        <v>5890</v>
      </c>
      <c r="B580" s="8" t="s">
        <v>3496</v>
      </c>
      <c r="C580" s="8">
        <v>8884</v>
      </c>
      <c r="D580" s="8" t="s">
        <v>172</v>
      </c>
      <c r="E580" s="8">
        <v>27428240</v>
      </c>
      <c r="F580" s="8">
        <v>27428240</v>
      </c>
      <c r="G580" s="8" t="s">
        <v>24</v>
      </c>
      <c r="H580" s="8" t="s">
        <v>25</v>
      </c>
      <c r="I580" s="8" t="s">
        <v>23</v>
      </c>
      <c r="J580" s="8" t="s">
        <v>3497</v>
      </c>
      <c r="K580" s="8" t="s">
        <v>5964</v>
      </c>
      <c r="L580" s="8" t="s">
        <v>19</v>
      </c>
      <c r="M580" s="8">
        <v>1207</v>
      </c>
      <c r="N580" s="8" t="s">
        <v>504</v>
      </c>
      <c r="O580" s="8">
        <v>238</v>
      </c>
      <c r="P580" s="8" t="s">
        <v>5963</v>
      </c>
      <c r="Q580" s="8" t="s">
        <v>4262</v>
      </c>
      <c r="R580" s="8">
        <v>0.42899999999999999</v>
      </c>
      <c r="S580" s="8">
        <v>27428240</v>
      </c>
      <c r="T580" s="8" t="s">
        <v>24</v>
      </c>
      <c r="U580" s="8" t="s">
        <v>25</v>
      </c>
    </row>
    <row r="581" spans="1:21">
      <c r="A581" s="8" t="s">
        <v>5890</v>
      </c>
      <c r="B581" s="8" t="s">
        <v>921</v>
      </c>
      <c r="C581" s="8">
        <v>79623</v>
      </c>
      <c r="D581" s="8" t="s">
        <v>172</v>
      </c>
      <c r="E581" s="8">
        <v>31181311</v>
      </c>
      <c r="F581" s="8">
        <v>31181311</v>
      </c>
      <c r="G581" s="8" t="s">
        <v>41</v>
      </c>
      <c r="H581" s="8" t="s">
        <v>46</v>
      </c>
      <c r="I581" s="8" t="s">
        <v>23</v>
      </c>
      <c r="J581" s="8" t="s">
        <v>5965</v>
      </c>
      <c r="K581" s="8" t="s">
        <v>5967</v>
      </c>
      <c r="L581" s="8" t="s">
        <v>19</v>
      </c>
      <c r="M581" s="8">
        <v>1037</v>
      </c>
      <c r="N581" s="8" t="s">
        <v>938</v>
      </c>
      <c r="O581" s="8">
        <v>140</v>
      </c>
      <c r="P581" s="8" t="s">
        <v>5966</v>
      </c>
      <c r="Q581" s="8" t="s">
        <v>4262</v>
      </c>
      <c r="R581" s="8">
        <v>0.28599999999999998</v>
      </c>
      <c r="S581" s="8">
        <v>31181311</v>
      </c>
      <c r="T581" s="8" t="s">
        <v>41</v>
      </c>
      <c r="U581" s="8" t="s">
        <v>46</v>
      </c>
    </row>
    <row r="582" spans="1:21">
      <c r="A582" s="8" t="s">
        <v>5890</v>
      </c>
      <c r="B582" s="8" t="s">
        <v>5968</v>
      </c>
      <c r="C582" s="8">
        <v>56920</v>
      </c>
      <c r="D582" s="8" t="s">
        <v>201</v>
      </c>
      <c r="E582" s="8">
        <v>52469752</v>
      </c>
      <c r="F582" s="8">
        <v>52469752</v>
      </c>
      <c r="G582" s="8" t="s">
        <v>46</v>
      </c>
      <c r="H582" s="8" t="s">
        <v>41</v>
      </c>
      <c r="I582" s="8" t="s">
        <v>23</v>
      </c>
      <c r="J582" s="8" t="s">
        <v>5969</v>
      </c>
      <c r="K582" s="8" t="s">
        <v>5971</v>
      </c>
      <c r="L582" s="8" t="s">
        <v>19</v>
      </c>
      <c r="M582" s="8">
        <v>2216</v>
      </c>
      <c r="N582" s="8" t="s">
        <v>205</v>
      </c>
      <c r="O582" s="8">
        <v>739</v>
      </c>
      <c r="P582" s="8" t="s">
        <v>5970</v>
      </c>
      <c r="Q582" s="8" t="s">
        <v>4262</v>
      </c>
      <c r="R582" s="8">
        <v>0.27500000000000002</v>
      </c>
      <c r="S582" s="8">
        <v>52469752</v>
      </c>
      <c r="T582" s="8" t="s">
        <v>46</v>
      </c>
      <c r="U582" s="8" t="s">
        <v>41</v>
      </c>
    </row>
    <row r="583" spans="1:21">
      <c r="A583" s="8" t="s">
        <v>5890</v>
      </c>
      <c r="B583" s="8" t="s">
        <v>2362</v>
      </c>
      <c r="C583" s="8">
        <v>23024</v>
      </c>
      <c r="D583" s="8" t="s">
        <v>201</v>
      </c>
      <c r="E583" s="8">
        <v>73453351</v>
      </c>
      <c r="F583" s="8">
        <v>73453351</v>
      </c>
      <c r="G583" s="8" t="s">
        <v>41</v>
      </c>
      <c r="H583" s="8" t="s">
        <v>25</v>
      </c>
      <c r="I583" s="8" t="s">
        <v>23</v>
      </c>
      <c r="J583" s="8" t="s">
        <v>2363</v>
      </c>
      <c r="K583" s="8" t="s">
        <v>5973</v>
      </c>
      <c r="L583" s="8" t="s">
        <v>76</v>
      </c>
      <c r="M583" s="8">
        <v>1210</v>
      </c>
      <c r="N583" s="8" t="s">
        <v>1103</v>
      </c>
      <c r="O583" s="8">
        <v>372</v>
      </c>
      <c r="P583" s="8" t="s">
        <v>5972</v>
      </c>
      <c r="Q583" s="8" t="s">
        <v>4262</v>
      </c>
      <c r="R583" s="8">
        <v>0.36399999999999999</v>
      </c>
      <c r="S583" s="8">
        <v>73453351</v>
      </c>
      <c r="T583" s="8" t="s">
        <v>41</v>
      </c>
      <c r="U583" s="8" t="s">
        <v>25</v>
      </c>
    </row>
    <row r="584" spans="1:21">
      <c r="A584" s="8" t="s">
        <v>5890</v>
      </c>
      <c r="B584" s="8" t="s">
        <v>4580</v>
      </c>
      <c r="C584" s="8">
        <v>55167</v>
      </c>
      <c r="D584" s="8" t="s">
        <v>201</v>
      </c>
      <c r="E584" s="8">
        <v>135870151</v>
      </c>
      <c r="F584" s="8">
        <v>135870151</v>
      </c>
      <c r="G584" s="8" t="s">
        <v>46</v>
      </c>
      <c r="H584" s="8" t="s">
        <v>25</v>
      </c>
      <c r="I584" s="8" t="s">
        <v>23</v>
      </c>
      <c r="J584" s="8" t="s">
        <v>4581</v>
      </c>
      <c r="K584" s="8" t="s">
        <v>4583</v>
      </c>
      <c r="L584" s="8" t="s">
        <v>19</v>
      </c>
      <c r="M584" s="8">
        <v>2305</v>
      </c>
      <c r="N584" s="8" t="s">
        <v>553</v>
      </c>
      <c r="O584" s="8">
        <v>524</v>
      </c>
      <c r="P584" s="8" t="s">
        <v>5974</v>
      </c>
      <c r="Q584" s="8" t="s">
        <v>4262</v>
      </c>
      <c r="R584" s="8">
        <v>0.29099999999999998</v>
      </c>
      <c r="S584" s="8">
        <v>135870151</v>
      </c>
      <c r="T584" s="8" t="s">
        <v>46</v>
      </c>
      <c r="U584" s="8" t="s">
        <v>25</v>
      </c>
    </row>
    <row r="585" spans="1:21">
      <c r="A585" s="8" t="s">
        <v>5890</v>
      </c>
      <c r="B585" s="8" t="s">
        <v>3500</v>
      </c>
      <c r="C585" s="8">
        <v>53833</v>
      </c>
      <c r="D585" s="8" t="s">
        <v>201</v>
      </c>
      <c r="E585" s="8">
        <v>136708391</v>
      </c>
      <c r="F585" s="8">
        <v>136708391</v>
      </c>
      <c r="G585" s="8" t="s">
        <v>24</v>
      </c>
      <c r="H585" s="8" t="s">
        <v>41</v>
      </c>
      <c r="I585" s="8" t="s">
        <v>23</v>
      </c>
      <c r="J585" s="8" t="s">
        <v>3501</v>
      </c>
      <c r="K585" s="8" t="s">
        <v>5976</v>
      </c>
      <c r="L585" s="8" t="s">
        <v>19</v>
      </c>
      <c r="M585" s="8">
        <v>764</v>
      </c>
      <c r="N585" s="8" t="s">
        <v>1368</v>
      </c>
      <c r="O585" s="8">
        <v>172</v>
      </c>
      <c r="P585" s="8" t="s">
        <v>5975</v>
      </c>
      <c r="Q585" s="8" t="s">
        <v>4262</v>
      </c>
      <c r="R585" s="8">
        <v>0.432</v>
      </c>
      <c r="S585" s="8">
        <v>136708391</v>
      </c>
      <c r="T585" s="8" t="s">
        <v>24</v>
      </c>
      <c r="U585" s="8" t="s">
        <v>41</v>
      </c>
    </row>
    <row r="586" spans="1:21">
      <c r="A586" s="8" t="s">
        <v>5890</v>
      </c>
      <c r="B586" s="8" t="s">
        <v>4297</v>
      </c>
      <c r="C586" s="8">
        <v>4585</v>
      </c>
      <c r="D586" s="8" t="s">
        <v>201</v>
      </c>
      <c r="E586" s="8">
        <v>195508366</v>
      </c>
      <c r="F586" s="8">
        <v>195508366</v>
      </c>
      <c r="G586" s="8" t="s">
        <v>24</v>
      </c>
      <c r="H586" s="8" t="s">
        <v>41</v>
      </c>
      <c r="I586" s="8" t="s">
        <v>23</v>
      </c>
      <c r="J586" s="8" t="s">
        <v>4298</v>
      </c>
      <c r="K586" s="8" t="s">
        <v>4300</v>
      </c>
      <c r="L586" s="8" t="s">
        <v>19</v>
      </c>
      <c r="M586" s="8">
        <v>10241</v>
      </c>
      <c r="N586" s="8" t="s">
        <v>622</v>
      </c>
      <c r="O586" s="8">
        <v>3362</v>
      </c>
      <c r="P586" s="8" t="s">
        <v>5977</v>
      </c>
      <c r="Q586" s="8" t="s">
        <v>4262</v>
      </c>
      <c r="R586" s="8">
        <v>3.3000000000000002E-2</v>
      </c>
      <c r="S586" s="8">
        <v>195508366</v>
      </c>
      <c r="T586" s="8" t="s">
        <v>24</v>
      </c>
      <c r="U586" s="8" t="s">
        <v>41</v>
      </c>
    </row>
    <row r="587" spans="1:21">
      <c r="A587" s="8" t="s">
        <v>5890</v>
      </c>
      <c r="B587" s="8" t="s">
        <v>4297</v>
      </c>
      <c r="C587" s="8">
        <v>4585</v>
      </c>
      <c r="D587" s="8" t="s">
        <v>201</v>
      </c>
      <c r="E587" s="8">
        <v>195515849</v>
      </c>
      <c r="F587" s="8">
        <v>195515849</v>
      </c>
      <c r="G587" s="8" t="s">
        <v>46</v>
      </c>
      <c r="H587" s="8" t="s">
        <v>25</v>
      </c>
      <c r="I587" s="8" t="s">
        <v>23</v>
      </c>
      <c r="J587" s="8" t="s">
        <v>4298</v>
      </c>
      <c r="K587" s="8" t="s">
        <v>4300</v>
      </c>
      <c r="L587" s="8" t="s">
        <v>19</v>
      </c>
      <c r="M587" s="8">
        <v>2758</v>
      </c>
      <c r="N587" s="8" t="s">
        <v>162</v>
      </c>
      <c r="O587" s="8">
        <v>868</v>
      </c>
      <c r="P587" s="8" t="s">
        <v>5978</v>
      </c>
      <c r="Q587" s="8" t="s">
        <v>4262</v>
      </c>
      <c r="R587" s="8">
        <v>0.30599999999999999</v>
      </c>
      <c r="S587" s="8">
        <v>195515849</v>
      </c>
      <c r="T587" s="8" t="s">
        <v>46</v>
      </c>
      <c r="U587" s="8" t="s">
        <v>25</v>
      </c>
    </row>
    <row r="588" spans="1:21">
      <c r="A588" s="8" t="s">
        <v>5890</v>
      </c>
      <c r="B588" s="8" t="s">
        <v>5979</v>
      </c>
      <c r="C588" s="8">
        <v>2803</v>
      </c>
      <c r="D588" s="8" t="s">
        <v>201</v>
      </c>
      <c r="E588" s="8">
        <v>37365353</v>
      </c>
      <c r="F588" s="8">
        <v>37365353</v>
      </c>
      <c r="G588" s="8" t="s">
        <v>25</v>
      </c>
      <c r="H588" s="8" t="s">
        <v>24</v>
      </c>
      <c r="I588" s="8" t="s">
        <v>23</v>
      </c>
      <c r="J588" s="8" t="s">
        <v>5980</v>
      </c>
      <c r="K588" s="8" t="s">
        <v>5982</v>
      </c>
      <c r="L588" s="8" t="s">
        <v>19</v>
      </c>
      <c r="M588" s="8">
        <v>2402</v>
      </c>
      <c r="N588" s="8" t="s">
        <v>551</v>
      </c>
      <c r="O588" s="8">
        <v>681</v>
      </c>
      <c r="P588" s="8" t="s">
        <v>5981</v>
      </c>
      <c r="Q588" s="8" t="s">
        <v>4262</v>
      </c>
      <c r="R588" s="8">
        <v>0.23899999999999999</v>
      </c>
      <c r="S588" s="8">
        <v>37365353</v>
      </c>
      <c r="T588" s="8" t="s">
        <v>25</v>
      </c>
      <c r="U588" s="8" t="s">
        <v>24</v>
      </c>
    </row>
    <row r="589" spans="1:21">
      <c r="A589" s="8" t="s">
        <v>5890</v>
      </c>
      <c r="B589" s="8" t="s">
        <v>5983</v>
      </c>
      <c r="C589" s="8">
        <v>65010</v>
      </c>
      <c r="D589" s="8" t="s">
        <v>201</v>
      </c>
      <c r="E589" s="8">
        <v>48664373</v>
      </c>
      <c r="F589" s="8">
        <v>48664373</v>
      </c>
      <c r="G589" s="8" t="s">
        <v>46</v>
      </c>
      <c r="H589" s="8" t="s">
        <v>25</v>
      </c>
      <c r="I589" s="8" t="s">
        <v>23</v>
      </c>
      <c r="J589" s="8" t="s">
        <v>5984</v>
      </c>
      <c r="K589" s="8" t="s">
        <v>5986</v>
      </c>
      <c r="L589" s="8" t="s">
        <v>19</v>
      </c>
      <c r="M589" s="8">
        <v>2109</v>
      </c>
      <c r="N589" s="8" t="s">
        <v>2954</v>
      </c>
      <c r="O589" s="8">
        <v>670</v>
      </c>
      <c r="P589" s="8" t="s">
        <v>5985</v>
      </c>
      <c r="Q589" s="8" t="s">
        <v>4262</v>
      </c>
      <c r="R589" s="8">
        <v>0.32400000000000001</v>
      </c>
      <c r="S589" s="8">
        <v>48664373</v>
      </c>
      <c r="T589" s="8" t="s">
        <v>46</v>
      </c>
      <c r="U589" s="8" t="s">
        <v>25</v>
      </c>
    </row>
    <row r="590" spans="1:21">
      <c r="A590" s="8" t="s">
        <v>5890</v>
      </c>
      <c r="B590" s="8" t="s">
        <v>1946</v>
      </c>
      <c r="C590" s="8">
        <v>63891</v>
      </c>
      <c r="D590" s="8" t="s">
        <v>201</v>
      </c>
      <c r="E590" s="8">
        <v>49751377</v>
      </c>
      <c r="F590" s="8">
        <v>49751377</v>
      </c>
      <c r="G590" s="8" t="s">
        <v>41</v>
      </c>
      <c r="H590" s="8" t="s">
        <v>25</v>
      </c>
      <c r="I590" s="8" t="s">
        <v>23</v>
      </c>
      <c r="J590" s="8" t="s">
        <v>3502</v>
      </c>
      <c r="K590" s="8" t="s">
        <v>5988</v>
      </c>
      <c r="L590" s="8" t="s">
        <v>19</v>
      </c>
      <c r="M590" s="8">
        <v>2958</v>
      </c>
      <c r="N590" s="8" t="s">
        <v>3168</v>
      </c>
      <c r="O590" s="8">
        <v>958</v>
      </c>
      <c r="P590" s="8" t="s">
        <v>5987</v>
      </c>
      <c r="Q590" s="8" t="s">
        <v>4262</v>
      </c>
      <c r="R590" s="8">
        <v>0.41699999999999998</v>
      </c>
      <c r="S590" s="8">
        <v>49751377</v>
      </c>
      <c r="T590" s="8" t="s">
        <v>41</v>
      </c>
      <c r="U590" s="8" t="s">
        <v>25</v>
      </c>
    </row>
    <row r="591" spans="1:21">
      <c r="A591" s="8" t="s">
        <v>5890</v>
      </c>
      <c r="B591" s="8" t="s">
        <v>5989</v>
      </c>
      <c r="C591" s="8">
        <v>132671</v>
      </c>
      <c r="D591" s="8" t="s">
        <v>220</v>
      </c>
      <c r="E591" s="8">
        <v>52938224</v>
      </c>
      <c r="F591" s="8">
        <v>52938224</v>
      </c>
      <c r="G591" s="8" t="s">
        <v>24</v>
      </c>
      <c r="H591" s="8" t="s">
        <v>41</v>
      </c>
      <c r="I591" s="8" t="s">
        <v>23</v>
      </c>
      <c r="J591" s="8" t="s">
        <v>5990</v>
      </c>
      <c r="K591" s="8" t="s">
        <v>5992</v>
      </c>
      <c r="L591" s="8" t="s">
        <v>19</v>
      </c>
      <c r="M591" s="8">
        <v>938</v>
      </c>
      <c r="N591" s="8" t="s">
        <v>251</v>
      </c>
      <c r="O591" s="8">
        <v>220</v>
      </c>
      <c r="P591" s="8" t="s">
        <v>5991</v>
      </c>
      <c r="Q591" s="8" t="s">
        <v>4262</v>
      </c>
      <c r="R591" s="8">
        <v>0.28599999999999998</v>
      </c>
      <c r="S591" s="8">
        <v>52938224</v>
      </c>
      <c r="T591" s="8" t="s">
        <v>24</v>
      </c>
      <c r="U591" s="8" t="s">
        <v>41</v>
      </c>
    </row>
    <row r="592" spans="1:21">
      <c r="A592" s="8" t="s">
        <v>5890</v>
      </c>
      <c r="B592" s="8" t="s">
        <v>3933</v>
      </c>
      <c r="C592" s="8">
        <v>3791</v>
      </c>
      <c r="D592" s="8" t="s">
        <v>220</v>
      </c>
      <c r="E592" s="8">
        <v>55946233</v>
      </c>
      <c r="F592" s="8">
        <v>55946233</v>
      </c>
      <c r="G592" s="8" t="s">
        <v>41</v>
      </c>
      <c r="H592" s="8" t="s">
        <v>24</v>
      </c>
      <c r="I592" s="8" t="s">
        <v>23</v>
      </c>
      <c r="J592" s="8" t="s">
        <v>3934</v>
      </c>
      <c r="K592" s="8" t="s">
        <v>4308</v>
      </c>
      <c r="L592" s="8" t="s">
        <v>19</v>
      </c>
      <c r="M592" s="8">
        <v>4248</v>
      </c>
      <c r="N592" s="8" t="s">
        <v>1178</v>
      </c>
      <c r="O592" s="8">
        <v>1316</v>
      </c>
      <c r="P592" s="8" t="s">
        <v>5993</v>
      </c>
      <c r="Q592" s="8" t="s">
        <v>4262</v>
      </c>
      <c r="R592" s="8">
        <v>0.29799999999999999</v>
      </c>
      <c r="S592" s="8">
        <v>55946233</v>
      </c>
      <c r="T592" s="8" t="s">
        <v>41</v>
      </c>
      <c r="U592" s="8" t="s">
        <v>24</v>
      </c>
    </row>
    <row r="593" spans="1:21">
      <c r="A593" s="8" t="s">
        <v>5890</v>
      </c>
      <c r="B593" s="8" t="s">
        <v>5994</v>
      </c>
      <c r="C593" s="8">
        <v>132949</v>
      </c>
      <c r="D593" s="8" t="s">
        <v>220</v>
      </c>
      <c r="E593" s="8">
        <v>57215969</v>
      </c>
      <c r="F593" s="8">
        <v>57215969</v>
      </c>
      <c r="G593" s="8" t="s">
        <v>46</v>
      </c>
      <c r="H593" s="8" t="s">
        <v>25</v>
      </c>
      <c r="I593" s="8" t="s">
        <v>23</v>
      </c>
      <c r="J593" s="8" t="s">
        <v>5995</v>
      </c>
      <c r="K593" s="8" t="s">
        <v>5998</v>
      </c>
      <c r="L593" s="8" t="s">
        <v>19</v>
      </c>
      <c r="M593" s="8">
        <v>2101</v>
      </c>
      <c r="N593" s="8" t="s">
        <v>463</v>
      </c>
      <c r="O593" s="8">
        <v>650</v>
      </c>
      <c r="P593" s="8" t="s">
        <v>5996</v>
      </c>
      <c r="Q593" s="8" t="s">
        <v>5997</v>
      </c>
      <c r="R593" s="8">
        <v>0.316</v>
      </c>
      <c r="S593" s="8">
        <v>57215969</v>
      </c>
      <c r="T593" s="8" t="s">
        <v>46</v>
      </c>
      <c r="U593" s="8" t="s">
        <v>25</v>
      </c>
    </row>
    <row r="594" spans="1:21">
      <c r="A594" s="8" t="s">
        <v>5890</v>
      </c>
      <c r="B594" s="8" t="s">
        <v>3503</v>
      </c>
      <c r="C594" s="8">
        <v>132612</v>
      </c>
      <c r="D594" s="8" t="s">
        <v>220</v>
      </c>
      <c r="E594" s="8">
        <v>123302330</v>
      </c>
      <c r="F594" s="8">
        <v>123302330</v>
      </c>
      <c r="G594" s="8" t="s">
        <v>46</v>
      </c>
      <c r="H594" s="8" t="s">
        <v>25</v>
      </c>
      <c r="I594" s="8" t="s">
        <v>23</v>
      </c>
      <c r="J594" s="8" t="s">
        <v>5999</v>
      </c>
      <c r="K594" s="8" t="s">
        <v>6001</v>
      </c>
      <c r="L594" s="8" t="s">
        <v>19</v>
      </c>
      <c r="M594" s="8">
        <v>510</v>
      </c>
      <c r="N594" s="8" t="s">
        <v>219</v>
      </c>
      <c r="O594" s="8">
        <v>119</v>
      </c>
      <c r="P594" s="8" t="s">
        <v>6000</v>
      </c>
      <c r="Q594" s="8" t="s">
        <v>4262</v>
      </c>
      <c r="R594" s="8">
        <v>0.47799999999999998</v>
      </c>
      <c r="S594" s="8">
        <v>123302330</v>
      </c>
      <c r="T594" s="8" t="s">
        <v>46</v>
      </c>
      <c r="U594" s="8" t="s">
        <v>25</v>
      </c>
    </row>
    <row r="595" spans="1:21">
      <c r="A595" s="8" t="s">
        <v>5890</v>
      </c>
      <c r="B595" s="8" t="s">
        <v>3504</v>
      </c>
      <c r="C595" s="8">
        <v>152485</v>
      </c>
      <c r="D595" s="8" t="s">
        <v>220</v>
      </c>
      <c r="E595" s="8">
        <v>146813423</v>
      </c>
      <c r="F595" s="8">
        <v>146813423</v>
      </c>
      <c r="G595" s="8" t="s">
        <v>46</v>
      </c>
      <c r="H595" s="8" t="s">
        <v>24</v>
      </c>
      <c r="I595" s="8" t="s">
        <v>23</v>
      </c>
      <c r="J595" s="8" t="s">
        <v>3505</v>
      </c>
      <c r="K595" s="8" t="s">
        <v>6003</v>
      </c>
      <c r="L595" s="8" t="s">
        <v>19</v>
      </c>
      <c r="M595" s="8">
        <v>1286</v>
      </c>
      <c r="N595" s="8" t="s">
        <v>3506</v>
      </c>
      <c r="O595" s="8">
        <v>413</v>
      </c>
      <c r="P595" s="8" t="s">
        <v>6002</v>
      </c>
      <c r="Q595" s="8" t="s">
        <v>4262</v>
      </c>
      <c r="R595" s="8">
        <v>0.5</v>
      </c>
      <c r="S595" s="8">
        <v>146813423</v>
      </c>
      <c r="T595" s="8" t="s">
        <v>46</v>
      </c>
      <c r="U595" s="8" t="s">
        <v>24</v>
      </c>
    </row>
    <row r="596" spans="1:21">
      <c r="A596" s="8" t="s">
        <v>5890</v>
      </c>
      <c r="B596" s="8" t="s">
        <v>3507</v>
      </c>
      <c r="C596" s="8">
        <v>339976</v>
      </c>
      <c r="D596" s="8" t="s">
        <v>220</v>
      </c>
      <c r="E596" s="8">
        <v>189068110</v>
      </c>
      <c r="F596" s="8">
        <v>189068110</v>
      </c>
      <c r="G596" s="8" t="s">
        <v>46</v>
      </c>
      <c r="H596" s="8" t="s">
        <v>25</v>
      </c>
      <c r="I596" s="8" t="s">
        <v>23</v>
      </c>
      <c r="J596" s="8" t="s">
        <v>3508</v>
      </c>
      <c r="K596" s="8" t="s">
        <v>4629</v>
      </c>
      <c r="L596" s="8" t="s">
        <v>19</v>
      </c>
      <c r="M596" s="8">
        <v>1106</v>
      </c>
      <c r="N596" s="8" t="s">
        <v>598</v>
      </c>
      <c r="O596" s="8">
        <v>331</v>
      </c>
      <c r="P596" s="8" t="s">
        <v>6004</v>
      </c>
      <c r="Q596" s="8" t="s">
        <v>4262</v>
      </c>
      <c r="R596" s="8">
        <v>0.59699999999999998</v>
      </c>
      <c r="S596" s="8">
        <v>189068110</v>
      </c>
      <c r="T596" s="8" t="s">
        <v>46</v>
      </c>
      <c r="U596" s="8" t="s">
        <v>25</v>
      </c>
    </row>
    <row r="597" spans="1:21">
      <c r="A597" s="8" t="s">
        <v>5890</v>
      </c>
      <c r="B597" s="8" t="s">
        <v>3509</v>
      </c>
      <c r="C597" s="8">
        <v>57620</v>
      </c>
      <c r="D597" s="8" t="s">
        <v>220</v>
      </c>
      <c r="E597" s="8">
        <v>27009205</v>
      </c>
      <c r="F597" s="8">
        <v>27009205</v>
      </c>
      <c r="G597" s="8" t="s">
        <v>41</v>
      </c>
      <c r="H597" s="8" t="s">
        <v>24</v>
      </c>
      <c r="I597" s="8" t="s">
        <v>23</v>
      </c>
      <c r="J597" s="8" t="s">
        <v>6005</v>
      </c>
      <c r="K597" s="8" t="s">
        <v>6007</v>
      </c>
      <c r="L597" s="8" t="s">
        <v>19</v>
      </c>
      <c r="M597" s="8">
        <v>1560</v>
      </c>
      <c r="N597" s="8" t="s">
        <v>3510</v>
      </c>
      <c r="O597" s="8">
        <v>344</v>
      </c>
      <c r="P597" s="8" t="s">
        <v>6006</v>
      </c>
      <c r="Q597" s="8" t="s">
        <v>4262</v>
      </c>
      <c r="R597" s="8">
        <v>0.308</v>
      </c>
      <c r="S597" s="8">
        <v>27009205</v>
      </c>
      <c r="T597" s="8" t="s">
        <v>41</v>
      </c>
      <c r="U597" s="8" t="s">
        <v>24</v>
      </c>
    </row>
    <row r="598" spans="1:21">
      <c r="A598" s="8" t="s">
        <v>5890</v>
      </c>
      <c r="B598" s="8" t="s">
        <v>3669</v>
      </c>
      <c r="C598" s="8">
        <v>84466</v>
      </c>
      <c r="D598" s="8" t="s">
        <v>226</v>
      </c>
      <c r="E598" s="8">
        <v>126771065</v>
      </c>
      <c r="F598" s="8">
        <v>126771065</v>
      </c>
      <c r="G598" s="8" t="s">
        <v>24</v>
      </c>
      <c r="H598" s="8" t="s">
        <v>41</v>
      </c>
      <c r="I598" s="8" t="s">
        <v>23</v>
      </c>
      <c r="J598" s="8" t="s">
        <v>6008</v>
      </c>
      <c r="K598" s="8" t="s">
        <v>6010</v>
      </c>
      <c r="L598" s="8" t="s">
        <v>19</v>
      </c>
      <c r="M598" s="8">
        <v>2350</v>
      </c>
      <c r="N598" s="8" t="s">
        <v>710</v>
      </c>
      <c r="O598" s="8">
        <v>663</v>
      </c>
      <c r="P598" s="8" t="s">
        <v>6009</v>
      </c>
      <c r="Q598" s="8" t="s">
        <v>4262</v>
      </c>
      <c r="R598" s="8">
        <v>0.27300000000000002</v>
      </c>
      <c r="S598" s="8">
        <v>126771065</v>
      </c>
      <c r="T598" s="8" t="s">
        <v>24</v>
      </c>
      <c r="U598" s="8" t="s">
        <v>41</v>
      </c>
    </row>
    <row r="599" spans="1:21">
      <c r="A599" s="8" t="s">
        <v>5890</v>
      </c>
      <c r="B599" s="8" t="s">
        <v>3511</v>
      </c>
      <c r="C599" s="8">
        <v>51306</v>
      </c>
      <c r="D599" s="8" t="s">
        <v>226</v>
      </c>
      <c r="E599" s="8">
        <v>137323307</v>
      </c>
      <c r="F599" s="8">
        <v>137323307</v>
      </c>
      <c r="G599" s="8" t="s">
        <v>41</v>
      </c>
      <c r="H599" s="8" t="s">
        <v>46</v>
      </c>
      <c r="I599" s="8" t="s">
        <v>23</v>
      </c>
      <c r="J599" s="8" t="s">
        <v>6011</v>
      </c>
      <c r="K599" s="8" t="s">
        <v>6012</v>
      </c>
      <c r="L599" s="8" t="s">
        <v>68</v>
      </c>
      <c r="M599" s="8">
        <v>0</v>
      </c>
      <c r="N599" s="8" t="s">
        <v>35</v>
      </c>
      <c r="O599" s="8">
        <v>0</v>
      </c>
      <c r="P599" s="8" t="s">
        <v>35</v>
      </c>
      <c r="Q599" s="8" t="s">
        <v>4262</v>
      </c>
      <c r="R599" s="8">
        <v>0.44400000000000001</v>
      </c>
      <c r="S599" s="8">
        <v>137323307</v>
      </c>
      <c r="T599" s="8" t="s">
        <v>41</v>
      </c>
      <c r="U599" s="8" t="s">
        <v>46</v>
      </c>
    </row>
    <row r="600" spans="1:21">
      <c r="A600" s="8" t="s">
        <v>5890</v>
      </c>
      <c r="B600" s="8" t="s">
        <v>2721</v>
      </c>
      <c r="C600" s="8">
        <v>83697</v>
      </c>
      <c r="D600" s="8" t="s">
        <v>226</v>
      </c>
      <c r="E600" s="8">
        <v>139745502</v>
      </c>
      <c r="F600" s="8">
        <v>139745502</v>
      </c>
      <c r="G600" s="8" t="s">
        <v>41</v>
      </c>
      <c r="H600" s="8" t="s">
        <v>25</v>
      </c>
      <c r="I600" s="8" t="s">
        <v>23</v>
      </c>
      <c r="J600" s="8" t="s">
        <v>6013</v>
      </c>
      <c r="K600" s="8" t="s">
        <v>6015</v>
      </c>
      <c r="L600" s="8" t="s">
        <v>19</v>
      </c>
      <c r="M600" s="8">
        <v>1829</v>
      </c>
      <c r="N600" s="8" t="s">
        <v>3512</v>
      </c>
      <c r="O600" s="8">
        <v>598</v>
      </c>
      <c r="P600" s="8" t="s">
        <v>6014</v>
      </c>
      <c r="Q600" s="8" t="s">
        <v>4262</v>
      </c>
      <c r="R600" s="8">
        <v>0.34699999999999998</v>
      </c>
      <c r="S600" s="8">
        <v>139745502</v>
      </c>
      <c r="T600" s="8" t="s">
        <v>41</v>
      </c>
      <c r="U600" s="8" t="s">
        <v>25</v>
      </c>
    </row>
    <row r="601" spans="1:21">
      <c r="A601" s="8" t="s">
        <v>5890</v>
      </c>
      <c r="B601" s="8" t="s">
        <v>1524</v>
      </c>
      <c r="C601" s="8">
        <v>56109</v>
      </c>
      <c r="D601" s="8" t="s">
        <v>226</v>
      </c>
      <c r="E601" s="8">
        <v>140755529</v>
      </c>
      <c r="F601" s="8">
        <v>140755529</v>
      </c>
      <c r="G601" s="8" t="s">
        <v>46</v>
      </c>
      <c r="H601" s="8" t="s">
        <v>41</v>
      </c>
      <c r="I601" s="8" t="s">
        <v>23</v>
      </c>
      <c r="J601" s="8" t="s">
        <v>6016</v>
      </c>
      <c r="K601" s="8" t="s">
        <v>6018</v>
      </c>
      <c r="L601" s="8" t="s">
        <v>19</v>
      </c>
      <c r="M601" s="8">
        <v>1879</v>
      </c>
      <c r="N601" s="8" t="s">
        <v>560</v>
      </c>
      <c r="O601" s="8">
        <v>627</v>
      </c>
      <c r="P601" s="8" t="s">
        <v>6017</v>
      </c>
      <c r="Q601" s="8" t="s">
        <v>4262</v>
      </c>
      <c r="R601" s="8">
        <v>0.32700000000000001</v>
      </c>
      <c r="S601" s="8">
        <v>140755529</v>
      </c>
      <c r="T601" s="8" t="s">
        <v>46</v>
      </c>
      <c r="U601" s="8" t="s">
        <v>41</v>
      </c>
    </row>
    <row r="602" spans="1:21">
      <c r="A602" s="8" t="s">
        <v>5890</v>
      </c>
      <c r="B602" s="8" t="s">
        <v>6019</v>
      </c>
      <c r="C602" s="8">
        <v>8841</v>
      </c>
      <c r="D602" s="8" t="s">
        <v>226</v>
      </c>
      <c r="E602" s="8">
        <v>141009636</v>
      </c>
      <c r="F602" s="8">
        <v>141009636</v>
      </c>
      <c r="G602" s="8" t="s">
        <v>41</v>
      </c>
      <c r="H602" s="8" t="s">
        <v>46</v>
      </c>
      <c r="I602" s="8" t="s">
        <v>23</v>
      </c>
      <c r="J602" s="8" t="s">
        <v>6020</v>
      </c>
      <c r="K602" s="8" t="s">
        <v>6022</v>
      </c>
      <c r="L602" s="8" t="s">
        <v>19</v>
      </c>
      <c r="M602" s="8">
        <v>404</v>
      </c>
      <c r="N602" s="8" t="s">
        <v>998</v>
      </c>
      <c r="O602" s="8">
        <v>113</v>
      </c>
      <c r="P602" s="8" t="s">
        <v>6021</v>
      </c>
      <c r="Q602" s="8" t="s">
        <v>4262</v>
      </c>
      <c r="R602" s="8">
        <v>0.30499999999999999</v>
      </c>
      <c r="S602" s="8">
        <v>141009636</v>
      </c>
      <c r="T602" s="8" t="s">
        <v>41</v>
      </c>
      <c r="U602" s="8" t="s">
        <v>46</v>
      </c>
    </row>
    <row r="603" spans="1:21">
      <c r="A603" s="8" t="s">
        <v>5890</v>
      </c>
      <c r="B603" s="8" t="s">
        <v>6023</v>
      </c>
      <c r="C603" s="8">
        <v>81848</v>
      </c>
      <c r="D603" s="8" t="s">
        <v>226</v>
      </c>
      <c r="E603" s="8">
        <v>141694211</v>
      </c>
      <c r="F603" s="8">
        <v>141694211</v>
      </c>
      <c r="G603" s="8" t="s">
        <v>24</v>
      </c>
      <c r="H603" s="8" t="s">
        <v>25</v>
      </c>
      <c r="I603" s="8" t="s">
        <v>23</v>
      </c>
      <c r="J603" s="8" t="s">
        <v>6024</v>
      </c>
      <c r="K603" s="8" t="s">
        <v>6026</v>
      </c>
      <c r="L603" s="8" t="s">
        <v>19</v>
      </c>
      <c r="M603" s="8">
        <v>722</v>
      </c>
      <c r="N603" s="8" t="s">
        <v>504</v>
      </c>
      <c r="O603" s="8">
        <v>155</v>
      </c>
      <c r="P603" s="8" t="s">
        <v>6025</v>
      </c>
      <c r="Q603" s="8" t="s">
        <v>4262</v>
      </c>
      <c r="R603" s="8">
        <v>0.36499999999999999</v>
      </c>
      <c r="S603" s="8">
        <v>141694211</v>
      </c>
      <c r="T603" s="8" t="s">
        <v>24</v>
      </c>
      <c r="U603" s="8" t="s">
        <v>25</v>
      </c>
    </row>
    <row r="604" spans="1:21">
      <c r="A604" s="8" t="s">
        <v>5890</v>
      </c>
      <c r="B604" s="8" t="s">
        <v>6027</v>
      </c>
      <c r="C604" s="8">
        <v>84651</v>
      </c>
      <c r="D604" s="8" t="s">
        <v>226</v>
      </c>
      <c r="E604" s="8">
        <v>147692078</v>
      </c>
      <c r="F604" s="8">
        <v>147692078</v>
      </c>
      <c r="G604" s="8" t="s">
        <v>24</v>
      </c>
      <c r="H604" s="8" t="s">
        <v>25</v>
      </c>
      <c r="I604" s="8" t="s">
        <v>23</v>
      </c>
      <c r="J604" s="8" t="s">
        <v>6028</v>
      </c>
      <c r="K604" s="8" t="s">
        <v>6030</v>
      </c>
      <c r="L604" s="8" t="s">
        <v>19</v>
      </c>
      <c r="M604" s="8">
        <v>89</v>
      </c>
      <c r="N604" s="8" t="s">
        <v>618</v>
      </c>
      <c r="O604" s="8">
        <v>11</v>
      </c>
      <c r="P604" s="8" t="s">
        <v>6029</v>
      </c>
      <c r="Q604" s="8" t="s">
        <v>4262</v>
      </c>
      <c r="R604" s="8">
        <v>0.29399999999999998</v>
      </c>
      <c r="S604" s="8">
        <v>147692078</v>
      </c>
      <c r="T604" s="8" t="s">
        <v>24</v>
      </c>
      <c r="U604" s="8" t="s">
        <v>25</v>
      </c>
    </row>
    <row r="605" spans="1:21">
      <c r="A605" s="8" t="s">
        <v>5890</v>
      </c>
      <c r="B605" s="13">
        <v>39882</v>
      </c>
      <c r="C605" s="8">
        <v>441061</v>
      </c>
      <c r="D605" s="8" t="s">
        <v>226</v>
      </c>
      <c r="E605" s="8">
        <v>16091144</v>
      </c>
      <c r="F605" s="8">
        <v>16091144</v>
      </c>
      <c r="G605" s="8" t="s">
        <v>24</v>
      </c>
      <c r="H605" s="8" t="s">
        <v>46</v>
      </c>
      <c r="I605" s="8" t="s">
        <v>23</v>
      </c>
      <c r="J605" s="8" t="s">
        <v>3513</v>
      </c>
      <c r="K605" s="8" t="s">
        <v>6032</v>
      </c>
      <c r="L605" s="8" t="s">
        <v>19</v>
      </c>
      <c r="M605" s="8">
        <v>953</v>
      </c>
      <c r="N605" s="8" t="s">
        <v>443</v>
      </c>
      <c r="O605" s="8">
        <v>247</v>
      </c>
      <c r="P605" s="8" t="s">
        <v>6031</v>
      </c>
      <c r="Q605" s="8" t="s">
        <v>4262</v>
      </c>
      <c r="R605" s="8">
        <v>0.433</v>
      </c>
      <c r="S605" s="8">
        <v>16091144</v>
      </c>
      <c r="T605" s="8" t="s">
        <v>24</v>
      </c>
      <c r="U605" s="8" t="s">
        <v>46</v>
      </c>
    </row>
    <row r="606" spans="1:21">
      <c r="A606" s="8" t="s">
        <v>5890</v>
      </c>
      <c r="B606" s="8" t="s">
        <v>2727</v>
      </c>
      <c r="C606" s="8">
        <v>2561</v>
      </c>
      <c r="D606" s="8" t="s">
        <v>226</v>
      </c>
      <c r="E606" s="8">
        <v>160721248</v>
      </c>
      <c r="F606" s="8">
        <v>160721248</v>
      </c>
      <c r="G606" s="8" t="s">
        <v>25</v>
      </c>
      <c r="H606" s="8" t="s">
        <v>24</v>
      </c>
      <c r="I606" s="8" t="s">
        <v>23</v>
      </c>
      <c r="J606" s="8" t="s">
        <v>6033</v>
      </c>
      <c r="K606" s="8" t="s">
        <v>6035</v>
      </c>
      <c r="L606" s="8" t="s">
        <v>19</v>
      </c>
      <c r="M606" s="8">
        <v>1597</v>
      </c>
      <c r="N606" s="8" t="s">
        <v>3025</v>
      </c>
      <c r="O606" s="8">
        <v>460</v>
      </c>
      <c r="P606" s="8" t="s">
        <v>6034</v>
      </c>
      <c r="Q606" s="8" t="s">
        <v>4262</v>
      </c>
      <c r="R606" s="8">
        <v>0.21199999999999999</v>
      </c>
      <c r="S606" s="8">
        <v>160721248</v>
      </c>
      <c r="T606" s="8" t="s">
        <v>25</v>
      </c>
      <c r="U606" s="8" t="s">
        <v>24</v>
      </c>
    </row>
    <row r="607" spans="1:21">
      <c r="A607" s="8" t="s">
        <v>5890</v>
      </c>
      <c r="B607" s="8" t="s">
        <v>6036</v>
      </c>
      <c r="C607" s="8">
        <v>389400</v>
      </c>
      <c r="D607" s="8" t="s">
        <v>237</v>
      </c>
      <c r="E607" s="8">
        <v>55196632</v>
      </c>
      <c r="F607" s="8">
        <v>55196632</v>
      </c>
      <c r="G607" s="8" t="s">
        <v>24</v>
      </c>
      <c r="H607" s="8" t="s">
        <v>41</v>
      </c>
      <c r="I607" s="8" t="s">
        <v>23</v>
      </c>
      <c r="J607" s="8" t="s">
        <v>6037</v>
      </c>
      <c r="K607" s="8" t="s">
        <v>6039</v>
      </c>
      <c r="L607" s="8" t="s">
        <v>19</v>
      </c>
      <c r="M607" s="8">
        <v>228</v>
      </c>
      <c r="N607" s="8" t="s">
        <v>256</v>
      </c>
      <c r="O607" s="8">
        <v>48</v>
      </c>
      <c r="P607" s="8" t="s">
        <v>6038</v>
      </c>
      <c r="Q607" s="8" t="s">
        <v>4262</v>
      </c>
      <c r="R607" s="8">
        <v>0.375</v>
      </c>
      <c r="S607" s="8">
        <v>55196632</v>
      </c>
      <c r="T607" s="8" t="s">
        <v>24</v>
      </c>
      <c r="U607" s="8" t="s">
        <v>41</v>
      </c>
    </row>
    <row r="608" spans="1:21">
      <c r="A608" s="8" t="s">
        <v>5890</v>
      </c>
      <c r="B608" s="8" t="s">
        <v>1183</v>
      </c>
      <c r="C608" s="8">
        <v>202559</v>
      </c>
      <c r="D608" s="8" t="s">
        <v>237</v>
      </c>
      <c r="E608" s="8">
        <v>62757811</v>
      </c>
      <c r="F608" s="8">
        <v>62757811</v>
      </c>
      <c r="G608" s="8" t="s">
        <v>46</v>
      </c>
      <c r="H608" s="8" t="s">
        <v>25</v>
      </c>
      <c r="I608" s="8" t="s">
        <v>23</v>
      </c>
      <c r="J608" s="8" t="s">
        <v>1184</v>
      </c>
      <c r="K608" s="8" t="s">
        <v>6041</v>
      </c>
      <c r="L608" s="8" t="s">
        <v>19</v>
      </c>
      <c r="M608" s="8">
        <v>555</v>
      </c>
      <c r="N608" s="8" t="s">
        <v>710</v>
      </c>
      <c r="O608" s="8">
        <v>103</v>
      </c>
      <c r="P608" s="8" t="s">
        <v>6040</v>
      </c>
      <c r="Q608" s="8" t="s">
        <v>4262</v>
      </c>
      <c r="R608" s="8">
        <v>0.35599999999999998</v>
      </c>
      <c r="S608" s="8">
        <v>62757811</v>
      </c>
      <c r="T608" s="8" t="s">
        <v>46</v>
      </c>
      <c r="U608" s="8" t="s">
        <v>25</v>
      </c>
    </row>
    <row r="609" spans="1:21">
      <c r="A609" s="8" t="s">
        <v>5890</v>
      </c>
      <c r="B609" s="8" t="s">
        <v>6042</v>
      </c>
      <c r="C609" s="8">
        <v>53832</v>
      </c>
      <c r="D609" s="8" t="s">
        <v>237</v>
      </c>
      <c r="E609" s="8">
        <v>137330494</v>
      </c>
      <c r="F609" s="8">
        <v>137330494</v>
      </c>
      <c r="G609" s="8" t="s">
        <v>41</v>
      </c>
      <c r="H609" s="8" t="s">
        <v>24</v>
      </c>
      <c r="I609" s="8" t="s">
        <v>23</v>
      </c>
      <c r="J609" s="8" t="s">
        <v>6043</v>
      </c>
      <c r="K609" s="8" t="s">
        <v>6045</v>
      </c>
      <c r="L609" s="8" t="s">
        <v>19</v>
      </c>
      <c r="M609" s="8">
        <v>972</v>
      </c>
      <c r="N609" s="8" t="s">
        <v>2989</v>
      </c>
      <c r="O609" s="8">
        <v>180</v>
      </c>
      <c r="P609" s="8" t="s">
        <v>6044</v>
      </c>
      <c r="Q609" s="8" t="s">
        <v>4262</v>
      </c>
      <c r="R609" s="8">
        <v>0.32600000000000001</v>
      </c>
      <c r="S609" s="8">
        <v>137330494</v>
      </c>
      <c r="T609" s="8" t="s">
        <v>41</v>
      </c>
      <c r="U609" s="8" t="s">
        <v>24</v>
      </c>
    </row>
    <row r="610" spans="1:21">
      <c r="A610" s="8" t="s">
        <v>5890</v>
      </c>
      <c r="B610" s="8" t="s">
        <v>1534</v>
      </c>
      <c r="C610" s="8">
        <v>1769</v>
      </c>
      <c r="D610" s="8" t="s">
        <v>237</v>
      </c>
      <c r="E610" s="8">
        <v>38905957</v>
      </c>
      <c r="F610" s="8">
        <v>38905957</v>
      </c>
      <c r="G610" s="8" t="s">
        <v>46</v>
      </c>
      <c r="H610" s="8" t="s">
        <v>25</v>
      </c>
      <c r="I610" s="8" t="s">
        <v>23</v>
      </c>
      <c r="J610" s="8" t="s">
        <v>1535</v>
      </c>
      <c r="K610" s="8" t="s">
        <v>4682</v>
      </c>
      <c r="L610" s="8" t="s">
        <v>19</v>
      </c>
      <c r="M610" s="8">
        <v>11880</v>
      </c>
      <c r="N610" s="8" t="s">
        <v>1304</v>
      </c>
      <c r="O610" s="8">
        <v>3924</v>
      </c>
      <c r="P610" s="8" t="s">
        <v>6046</v>
      </c>
      <c r="Q610" s="8" t="s">
        <v>6047</v>
      </c>
      <c r="R610" s="8">
        <v>0.40300000000000002</v>
      </c>
      <c r="S610" s="8">
        <v>38905957</v>
      </c>
      <c r="T610" s="8" t="s">
        <v>46</v>
      </c>
      <c r="U610" s="8" t="s">
        <v>25</v>
      </c>
    </row>
    <row r="611" spans="1:21">
      <c r="A611" s="8" t="s">
        <v>5890</v>
      </c>
      <c r="B611" s="8" t="s">
        <v>3514</v>
      </c>
      <c r="C611" s="8">
        <v>9863</v>
      </c>
      <c r="D611" s="8" t="s">
        <v>257</v>
      </c>
      <c r="E611" s="8">
        <v>77649177</v>
      </c>
      <c r="F611" s="8">
        <v>77649177</v>
      </c>
      <c r="G611" s="8" t="s">
        <v>46</v>
      </c>
      <c r="H611" s="8" t="s">
        <v>25</v>
      </c>
      <c r="I611" s="8" t="s">
        <v>23</v>
      </c>
      <c r="J611" s="8" t="s">
        <v>3515</v>
      </c>
      <c r="K611" s="8" t="s">
        <v>6049</v>
      </c>
      <c r="L611" s="8" t="s">
        <v>19</v>
      </c>
      <c r="M611" s="8">
        <v>4077</v>
      </c>
      <c r="N611" s="8" t="s">
        <v>463</v>
      </c>
      <c r="O611" s="8">
        <v>1275</v>
      </c>
      <c r="P611" s="8" t="s">
        <v>6048</v>
      </c>
      <c r="Q611" s="8" t="s">
        <v>4262</v>
      </c>
      <c r="R611" s="8">
        <v>0.5</v>
      </c>
      <c r="S611" s="8">
        <v>77649177</v>
      </c>
      <c r="T611" s="8" t="s">
        <v>46</v>
      </c>
      <c r="U611" s="8" t="s">
        <v>25</v>
      </c>
    </row>
    <row r="612" spans="1:21">
      <c r="A612" s="8" t="s">
        <v>5890</v>
      </c>
      <c r="B612" s="8" t="s">
        <v>2129</v>
      </c>
      <c r="C612" s="8">
        <v>3082</v>
      </c>
      <c r="D612" s="8" t="s">
        <v>257</v>
      </c>
      <c r="E612" s="8">
        <v>81334776</v>
      </c>
      <c r="F612" s="8">
        <v>81334776</v>
      </c>
      <c r="G612" s="8" t="s">
        <v>46</v>
      </c>
      <c r="H612" s="8" t="s">
        <v>24</v>
      </c>
      <c r="I612" s="8" t="s">
        <v>23</v>
      </c>
      <c r="J612" s="8" t="s">
        <v>6050</v>
      </c>
      <c r="K612" s="8" t="s">
        <v>6052</v>
      </c>
      <c r="L612" s="8" t="s">
        <v>19</v>
      </c>
      <c r="M612" s="8">
        <v>2105</v>
      </c>
      <c r="N612" s="8" t="s">
        <v>440</v>
      </c>
      <c r="O612" s="8">
        <v>647</v>
      </c>
      <c r="P612" s="8" t="s">
        <v>6051</v>
      </c>
      <c r="Q612" s="8" t="s">
        <v>4262</v>
      </c>
      <c r="R612" s="8">
        <v>0.308</v>
      </c>
      <c r="S612" s="8">
        <v>81334776</v>
      </c>
      <c r="T612" s="8" t="s">
        <v>46</v>
      </c>
      <c r="U612" s="8" t="s">
        <v>24</v>
      </c>
    </row>
    <row r="613" spans="1:21">
      <c r="A613" s="8" t="s">
        <v>5890</v>
      </c>
      <c r="B613" s="8" t="s">
        <v>3516</v>
      </c>
      <c r="C613" s="8">
        <v>9988</v>
      </c>
      <c r="D613" s="8" t="s">
        <v>257</v>
      </c>
      <c r="E613" s="8">
        <v>86794262</v>
      </c>
      <c r="F613" s="8">
        <v>86794262</v>
      </c>
      <c r="G613" s="8" t="s">
        <v>24</v>
      </c>
      <c r="H613" s="8" t="s">
        <v>25</v>
      </c>
      <c r="I613" s="8" t="s">
        <v>23</v>
      </c>
      <c r="J613" s="8" t="s">
        <v>6053</v>
      </c>
      <c r="K613" s="8" t="s">
        <v>6055</v>
      </c>
      <c r="L613" s="8" t="s">
        <v>19</v>
      </c>
      <c r="M613" s="8">
        <v>331</v>
      </c>
      <c r="N613" s="8" t="s">
        <v>708</v>
      </c>
      <c r="O613" s="8">
        <v>2</v>
      </c>
      <c r="P613" s="8" t="s">
        <v>6054</v>
      </c>
      <c r="Q613" s="8" t="s">
        <v>4262</v>
      </c>
      <c r="R613" s="8">
        <v>0.42299999999999999</v>
      </c>
      <c r="S613" s="8">
        <v>86794262</v>
      </c>
      <c r="T613" s="8" t="s">
        <v>24</v>
      </c>
      <c r="U613" s="8" t="s">
        <v>25</v>
      </c>
    </row>
    <row r="614" spans="1:21">
      <c r="A614" s="8" t="s">
        <v>5890</v>
      </c>
      <c r="B614" s="8" t="s">
        <v>6056</v>
      </c>
      <c r="C614" s="8">
        <v>9690</v>
      </c>
      <c r="D614" s="8" t="s">
        <v>257</v>
      </c>
      <c r="E614" s="8">
        <v>157009587</v>
      </c>
      <c r="F614" s="8">
        <v>157009587</v>
      </c>
      <c r="G614" s="8" t="s">
        <v>24</v>
      </c>
      <c r="H614" s="8" t="s">
        <v>41</v>
      </c>
      <c r="I614" s="8" t="s">
        <v>23</v>
      </c>
      <c r="J614" s="8" t="s">
        <v>6057</v>
      </c>
      <c r="K614" s="8" t="s">
        <v>6059</v>
      </c>
      <c r="L614" s="8" t="s">
        <v>19</v>
      </c>
      <c r="M614" s="8">
        <v>2148</v>
      </c>
      <c r="N614" s="8" t="s">
        <v>212</v>
      </c>
      <c r="O614" s="8">
        <v>612</v>
      </c>
      <c r="P614" s="8" t="s">
        <v>6058</v>
      </c>
      <c r="Q614" s="8" t="s">
        <v>4262</v>
      </c>
      <c r="R614" s="8">
        <v>0.24</v>
      </c>
      <c r="S614" s="8">
        <v>157009587</v>
      </c>
      <c r="T614" s="8" t="s">
        <v>24</v>
      </c>
      <c r="U614" s="8" t="s">
        <v>41</v>
      </c>
    </row>
    <row r="615" spans="1:21">
      <c r="A615" s="8" t="s">
        <v>5890</v>
      </c>
      <c r="B615" s="8" t="s">
        <v>6060</v>
      </c>
      <c r="C615" s="8">
        <v>168975</v>
      </c>
      <c r="D615" s="8" t="s">
        <v>279</v>
      </c>
      <c r="E615" s="8">
        <v>88363919</v>
      </c>
      <c r="F615" s="8">
        <v>88363919</v>
      </c>
      <c r="G615" s="8" t="s">
        <v>41</v>
      </c>
      <c r="H615" s="8" t="s">
        <v>24</v>
      </c>
      <c r="I615" s="8" t="s">
        <v>23</v>
      </c>
      <c r="J615" s="8" t="s">
        <v>6061</v>
      </c>
      <c r="K615" s="8" t="s">
        <v>6063</v>
      </c>
      <c r="L615" s="8" t="s">
        <v>19</v>
      </c>
      <c r="M615" s="8">
        <v>1097</v>
      </c>
      <c r="N615" s="8" t="s">
        <v>3196</v>
      </c>
      <c r="O615" s="8">
        <v>350</v>
      </c>
      <c r="P615" s="8" t="s">
        <v>6062</v>
      </c>
      <c r="Q615" s="8" t="s">
        <v>4262</v>
      </c>
      <c r="R615" s="8">
        <v>0.161</v>
      </c>
      <c r="S615" s="8">
        <v>88363919</v>
      </c>
      <c r="T615" s="8" t="s">
        <v>41</v>
      </c>
      <c r="U615" s="8" t="s">
        <v>24</v>
      </c>
    </row>
    <row r="616" spans="1:21">
      <c r="A616" s="8" t="s">
        <v>5890</v>
      </c>
      <c r="B616" s="8" t="s">
        <v>1401</v>
      </c>
      <c r="C616" s="8">
        <v>23414</v>
      </c>
      <c r="D616" s="8" t="s">
        <v>279</v>
      </c>
      <c r="E616" s="8">
        <v>106431466</v>
      </c>
      <c r="F616" s="8">
        <v>106431466</v>
      </c>
      <c r="G616" s="8" t="s">
        <v>46</v>
      </c>
      <c r="H616" s="8" t="s">
        <v>25</v>
      </c>
      <c r="I616" s="8" t="s">
        <v>23</v>
      </c>
      <c r="J616" s="8" t="s">
        <v>1402</v>
      </c>
      <c r="K616" s="8" t="s">
        <v>6065</v>
      </c>
      <c r="L616" s="8" t="s">
        <v>19</v>
      </c>
      <c r="M616" s="8">
        <v>158</v>
      </c>
      <c r="N616" s="8" t="s">
        <v>316</v>
      </c>
      <c r="O616" s="8">
        <v>45</v>
      </c>
      <c r="P616" s="8" t="s">
        <v>6064</v>
      </c>
      <c r="Q616" s="8" t="s">
        <v>4262</v>
      </c>
      <c r="R616" s="8">
        <v>0.46700000000000003</v>
      </c>
      <c r="S616" s="8">
        <v>106431466</v>
      </c>
      <c r="T616" s="8" t="s">
        <v>46</v>
      </c>
      <c r="U616" s="8" t="s">
        <v>25</v>
      </c>
    </row>
    <row r="617" spans="1:21">
      <c r="A617" s="8" t="s">
        <v>5890</v>
      </c>
      <c r="B617" s="8" t="s">
        <v>6066</v>
      </c>
      <c r="C617" s="8">
        <v>9166</v>
      </c>
      <c r="D617" s="8" t="s">
        <v>279</v>
      </c>
      <c r="E617" s="8">
        <v>110569267</v>
      </c>
      <c r="F617" s="8">
        <v>110569267</v>
      </c>
      <c r="G617" s="8" t="s">
        <v>25</v>
      </c>
      <c r="H617" s="8" t="s">
        <v>24</v>
      </c>
      <c r="I617" s="8" t="s">
        <v>23</v>
      </c>
      <c r="J617" s="8" t="s">
        <v>6067</v>
      </c>
      <c r="K617" s="8" t="s">
        <v>6069</v>
      </c>
      <c r="L617" s="8" t="s">
        <v>19</v>
      </c>
      <c r="M617" s="8">
        <v>660</v>
      </c>
      <c r="N617" s="8" t="s">
        <v>386</v>
      </c>
      <c r="O617" s="8">
        <v>142</v>
      </c>
      <c r="P617" s="8" t="s">
        <v>6068</v>
      </c>
      <c r="Q617" s="8" t="s">
        <v>4262</v>
      </c>
      <c r="R617" s="8">
        <v>0.192</v>
      </c>
      <c r="S617" s="8">
        <v>110569267</v>
      </c>
      <c r="T617" s="8" t="s">
        <v>25</v>
      </c>
      <c r="U617" s="8" t="s">
        <v>24</v>
      </c>
    </row>
    <row r="618" spans="1:21">
      <c r="A618" s="8" t="s">
        <v>5890</v>
      </c>
      <c r="B618" s="8" t="s">
        <v>623</v>
      </c>
      <c r="C618" s="8">
        <v>6873</v>
      </c>
      <c r="D618" s="8" t="s">
        <v>279</v>
      </c>
      <c r="E618" s="8">
        <v>120793335</v>
      </c>
      <c r="F618" s="8">
        <v>120793335</v>
      </c>
      <c r="G618" s="8" t="s">
        <v>41</v>
      </c>
      <c r="H618" s="8" t="s">
        <v>25</v>
      </c>
      <c r="I618" s="8" t="s">
        <v>23</v>
      </c>
      <c r="J618" s="8" t="s">
        <v>624</v>
      </c>
      <c r="K618" s="8" t="s">
        <v>6071</v>
      </c>
      <c r="L618" s="8" t="s">
        <v>19</v>
      </c>
      <c r="M618" s="8">
        <v>2481</v>
      </c>
      <c r="N618" s="8" t="s">
        <v>3165</v>
      </c>
      <c r="O618" s="8">
        <v>737</v>
      </c>
      <c r="P618" s="8" t="s">
        <v>6070</v>
      </c>
      <c r="Q618" s="8" t="s">
        <v>4262</v>
      </c>
      <c r="R618" s="8">
        <v>0.14299999999999999</v>
      </c>
      <c r="S618" s="8">
        <v>120793335</v>
      </c>
      <c r="T618" s="8" t="s">
        <v>41</v>
      </c>
      <c r="U618" s="8" t="s">
        <v>25</v>
      </c>
    </row>
    <row r="619" spans="1:21">
      <c r="A619" s="8" t="s">
        <v>5890</v>
      </c>
      <c r="B619" s="8" t="s">
        <v>6072</v>
      </c>
      <c r="C619" s="8">
        <v>55806</v>
      </c>
      <c r="D619" s="8" t="s">
        <v>279</v>
      </c>
      <c r="E619" s="8">
        <v>21979171</v>
      </c>
      <c r="F619" s="8">
        <v>21979171</v>
      </c>
      <c r="G619" s="8" t="s">
        <v>24</v>
      </c>
      <c r="H619" s="8" t="s">
        <v>41</v>
      </c>
      <c r="I619" s="8" t="s">
        <v>23</v>
      </c>
      <c r="J619" s="8" t="s">
        <v>6073</v>
      </c>
      <c r="K619" s="8" t="s">
        <v>6075</v>
      </c>
      <c r="L619" s="8" t="s">
        <v>19</v>
      </c>
      <c r="M619" s="8">
        <v>2823</v>
      </c>
      <c r="N619" s="8" t="s">
        <v>1005</v>
      </c>
      <c r="O619" s="8">
        <v>720</v>
      </c>
      <c r="P619" s="8" t="s">
        <v>6074</v>
      </c>
      <c r="Q619" s="8" t="s">
        <v>4262</v>
      </c>
      <c r="R619" s="8">
        <v>0.152</v>
      </c>
      <c r="S619" s="8">
        <v>21979171</v>
      </c>
      <c r="T619" s="8" t="s">
        <v>24</v>
      </c>
      <c r="U619" s="8" t="s">
        <v>41</v>
      </c>
    </row>
    <row r="620" spans="1:21">
      <c r="A620" s="8" t="s">
        <v>5890</v>
      </c>
      <c r="B620" s="8" t="s">
        <v>6076</v>
      </c>
      <c r="C620" s="8">
        <v>203102</v>
      </c>
      <c r="D620" s="8" t="s">
        <v>279</v>
      </c>
      <c r="E620" s="8">
        <v>39007309</v>
      </c>
      <c r="F620" s="8">
        <v>39007309</v>
      </c>
      <c r="G620" s="8" t="s">
        <v>24</v>
      </c>
      <c r="H620" s="8" t="s">
        <v>41</v>
      </c>
      <c r="I620" s="8" t="s">
        <v>23</v>
      </c>
      <c r="J620" s="8" t="s">
        <v>6077</v>
      </c>
      <c r="K620" s="8" t="s">
        <v>6078</v>
      </c>
      <c r="L620" s="8" t="s">
        <v>68</v>
      </c>
      <c r="M620" s="8">
        <v>0</v>
      </c>
      <c r="N620" s="8" t="s">
        <v>35</v>
      </c>
      <c r="O620" s="8">
        <v>0</v>
      </c>
      <c r="P620" s="8" t="s">
        <v>35</v>
      </c>
      <c r="Q620" s="8" t="s">
        <v>4262</v>
      </c>
      <c r="R620" s="8">
        <v>0.318</v>
      </c>
      <c r="S620" s="8">
        <v>39007309</v>
      </c>
      <c r="T620" s="8" t="s">
        <v>24</v>
      </c>
      <c r="U620" s="8" t="s">
        <v>41</v>
      </c>
    </row>
    <row r="621" spans="1:21">
      <c r="A621" s="8" t="s">
        <v>5890</v>
      </c>
      <c r="B621" s="8" t="s">
        <v>6079</v>
      </c>
      <c r="C621" s="8">
        <v>23230</v>
      </c>
      <c r="D621" s="8" t="s">
        <v>292</v>
      </c>
      <c r="E621" s="8">
        <v>79841460</v>
      </c>
      <c r="F621" s="8">
        <v>79841460</v>
      </c>
      <c r="G621" s="8" t="s">
        <v>41</v>
      </c>
      <c r="H621" s="8" t="s">
        <v>46</v>
      </c>
      <c r="I621" s="8" t="s">
        <v>23</v>
      </c>
      <c r="J621" s="8" t="s">
        <v>6080</v>
      </c>
      <c r="K621" s="8" t="s">
        <v>6082</v>
      </c>
      <c r="L621" s="8" t="s">
        <v>19</v>
      </c>
      <c r="M621" s="8">
        <v>1563</v>
      </c>
      <c r="N621" s="8" t="s">
        <v>3018</v>
      </c>
      <c r="O621" s="8">
        <v>435</v>
      </c>
      <c r="P621" s="8" t="s">
        <v>6081</v>
      </c>
      <c r="Q621" s="8" t="s">
        <v>4262</v>
      </c>
      <c r="R621" s="8">
        <v>0.224</v>
      </c>
      <c r="S621" s="8">
        <v>79841460</v>
      </c>
      <c r="T621" s="8" t="s">
        <v>41</v>
      </c>
      <c r="U621" s="8" t="s">
        <v>46</v>
      </c>
    </row>
    <row r="622" spans="1:21">
      <c r="A622" s="8" t="s">
        <v>5890</v>
      </c>
      <c r="B622" s="8" t="s">
        <v>1408</v>
      </c>
      <c r="C622" s="8">
        <v>53358</v>
      </c>
      <c r="D622" s="8" t="s">
        <v>292</v>
      </c>
      <c r="E622" s="8">
        <v>91793263</v>
      </c>
      <c r="F622" s="8">
        <v>91793263</v>
      </c>
      <c r="G622" s="8" t="s">
        <v>46</v>
      </c>
      <c r="H622" s="8" t="s">
        <v>41</v>
      </c>
      <c r="I622" s="8" t="s">
        <v>23</v>
      </c>
      <c r="J622" s="8" t="s">
        <v>1409</v>
      </c>
      <c r="K622" s="8" t="s">
        <v>6084</v>
      </c>
      <c r="L622" s="8" t="s">
        <v>19</v>
      </c>
      <c r="M622" s="8">
        <v>420</v>
      </c>
      <c r="N622" s="8" t="s">
        <v>73</v>
      </c>
      <c r="O622" s="8">
        <v>38</v>
      </c>
      <c r="P622" s="8" t="s">
        <v>6083</v>
      </c>
      <c r="Q622" s="8" t="s">
        <v>4262</v>
      </c>
      <c r="R622" s="8">
        <v>0.438</v>
      </c>
      <c r="S622" s="8">
        <v>91793263</v>
      </c>
      <c r="T622" s="8" t="s">
        <v>46</v>
      </c>
      <c r="U622" s="8" t="s">
        <v>41</v>
      </c>
    </row>
    <row r="623" spans="1:21">
      <c r="A623" s="8" t="s">
        <v>5890</v>
      </c>
      <c r="B623" s="8" t="s">
        <v>3517</v>
      </c>
      <c r="C623" s="8">
        <v>9966</v>
      </c>
      <c r="D623" s="8" t="s">
        <v>292</v>
      </c>
      <c r="E623" s="8">
        <v>117568100</v>
      </c>
      <c r="F623" s="8">
        <v>117568100</v>
      </c>
      <c r="G623" s="8" t="s">
        <v>46</v>
      </c>
      <c r="H623" s="8" t="s">
        <v>25</v>
      </c>
      <c r="I623" s="8" t="s">
        <v>23</v>
      </c>
      <c r="J623" s="8" t="s">
        <v>3518</v>
      </c>
      <c r="K623" s="8" t="s">
        <v>6086</v>
      </c>
      <c r="L623" s="8" t="s">
        <v>19</v>
      </c>
      <c r="M623" s="8">
        <v>309</v>
      </c>
      <c r="N623" s="8" t="s">
        <v>256</v>
      </c>
      <c r="O623" s="8">
        <v>65</v>
      </c>
      <c r="P623" s="8" t="s">
        <v>6085</v>
      </c>
      <c r="Q623" s="8" t="s">
        <v>4262</v>
      </c>
      <c r="R623" s="8">
        <v>0.40899999999999997</v>
      </c>
      <c r="S623" s="8">
        <v>117568100</v>
      </c>
      <c r="T623" s="8" t="s">
        <v>46</v>
      </c>
      <c r="U623" s="8" t="s">
        <v>25</v>
      </c>
    </row>
    <row r="624" spans="1:21">
      <c r="A624" s="8" t="s">
        <v>5890</v>
      </c>
      <c r="B624" s="8" t="s">
        <v>6087</v>
      </c>
      <c r="C624" s="8">
        <v>5537</v>
      </c>
      <c r="D624" s="8" t="s">
        <v>292</v>
      </c>
      <c r="E624" s="8">
        <v>127912011</v>
      </c>
      <c r="F624" s="8">
        <v>127912011</v>
      </c>
      <c r="G624" s="8" t="s">
        <v>46</v>
      </c>
      <c r="H624" s="8" t="s">
        <v>41</v>
      </c>
      <c r="I624" s="8" t="s">
        <v>23</v>
      </c>
      <c r="J624" s="8" t="s">
        <v>6088</v>
      </c>
      <c r="K624" s="8" t="s">
        <v>6090</v>
      </c>
      <c r="L624" s="8" t="s">
        <v>19</v>
      </c>
      <c r="M624" s="8">
        <v>1080</v>
      </c>
      <c r="N624" s="8" t="s">
        <v>1070</v>
      </c>
      <c r="O624" s="8">
        <v>287</v>
      </c>
      <c r="P624" s="8" t="s">
        <v>6089</v>
      </c>
      <c r="Q624" s="8" t="s">
        <v>4262</v>
      </c>
      <c r="R624" s="8">
        <v>0.16900000000000001</v>
      </c>
      <c r="S624" s="8">
        <v>127912011</v>
      </c>
      <c r="T624" s="8" t="s">
        <v>46</v>
      </c>
      <c r="U624" s="8" t="s">
        <v>41</v>
      </c>
    </row>
    <row r="625" spans="1:21">
      <c r="A625" s="8" t="s">
        <v>5890</v>
      </c>
      <c r="B625" s="8" t="s">
        <v>3519</v>
      </c>
      <c r="C625" s="8">
        <v>10868</v>
      </c>
      <c r="D625" s="8" t="s">
        <v>292</v>
      </c>
      <c r="E625" s="8">
        <v>132631999</v>
      </c>
      <c r="F625" s="8">
        <v>132631999</v>
      </c>
      <c r="G625" s="8" t="s">
        <v>24</v>
      </c>
      <c r="H625" s="8" t="s">
        <v>41</v>
      </c>
      <c r="I625" s="8" t="s">
        <v>23</v>
      </c>
      <c r="J625" s="8" t="s">
        <v>6091</v>
      </c>
      <c r="K625" s="8" t="s">
        <v>6093</v>
      </c>
      <c r="L625" s="8" t="s">
        <v>76</v>
      </c>
      <c r="M625" s="8">
        <v>1652</v>
      </c>
      <c r="N625" s="8" t="s">
        <v>1244</v>
      </c>
      <c r="O625" s="8">
        <v>481</v>
      </c>
      <c r="P625" s="8" t="s">
        <v>6092</v>
      </c>
      <c r="Q625" s="8" t="s">
        <v>4262</v>
      </c>
      <c r="R625" s="8">
        <v>0.56100000000000005</v>
      </c>
      <c r="S625" s="8">
        <v>132631999</v>
      </c>
      <c r="T625" s="8" t="s">
        <v>24</v>
      </c>
      <c r="U625" s="8" t="s">
        <v>41</v>
      </c>
    </row>
    <row r="626" spans="1:21">
      <c r="A626" s="8" t="s">
        <v>5890</v>
      </c>
      <c r="B626" s="8" t="s">
        <v>6094</v>
      </c>
      <c r="C626" s="8">
        <v>9919</v>
      </c>
      <c r="D626" s="8" t="s">
        <v>292</v>
      </c>
      <c r="E626" s="8">
        <v>139371756</v>
      </c>
      <c r="F626" s="8">
        <v>139371756</v>
      </c>
      <c r="G626" s="8" t="s">
        <v>46</v>
      </c>
      <c r="H626" s="8" t="s">
        <v>25</v>
      </c>
      <c r="I626" s="8" t="s">
        <v>23</v>
      </c>
      <c r="J626" s="8" t="s">
        <v>6095</v>
      </c>
      <c r="K626" s="8" t="s">
        <v>6097</v>
      </c>
      <c r="L626" s="8" t="s">
        <v>19</v>
      </c>
      <c r="M626" s="8">
        <v>621</v>
      </c>
      <c r="N626" s="8" t="s">
        <v>251</v>
      </c>
      <c r="O626" s="8">
        <v>104</v>
      </c>
      <c r="P626" s="8" t="s">
        <v>6096</v>
      </c>
      <c r="Q626" s="8" t="s">
        <v>4262</v>
      </c>
      <c r="R626" s="8">
        <v>0.28699999999999998</v>
      </c>
      <c r="S626" s="8">
        <v>139371756</v>
      </c>
      <c r="T626" s="8" t="s">
        <v>46</v>
      </c>
      <c r="U626" s="8" t="s">
        <v>25</v>
      </c>
    </row>
    <row r="627" spans="1:21">
      <c r="A627" s="8" t="s">
        <v>5890</v>
      </c>
      <c r="B627" s="8" t="s">
        <v>3520</v>
      </c>
      <c r="C627" s="8">
        <v>20</v>
      </c>
      <c r="D627" s="8" t="s">
        <v>292</v>
      </c>
      <c r="E627" s="8">
        <v>139908476</v>
      </c>
      <c r="F627" s="8">
        <v>139908476</v>
      </c>
      <c r="G627" s="8" t="s">
        <v>46</v>
      </c>
      <c r="H627" s="8" t="s">
        <v>41</v>
      </c>
      <c r="I627" s="8" t="s">
        <v>23</v>
      </c>
      <c r="J627" s="8" t="s">
        <v>6098</v>
      </c>
      <c r="K627" s="8" t="s">
        <v>6100</v>
      </c>
      <c r="L627" s="8" t="s">
        <v>19</v>
      </c>
      <c r="M627" s="8">
        <v>4403</v>
      </c>
      <c r="N627" s="8" t="s">
        <v>155</v>
      </c>
      <c r="O627" s="8">
        <v>1419</v>
      </c>
      <c r="P627" s="8" t="s">
        <v>6099</v>
      </c>
      <c r="Q627" s="8" t="s">
        <v>4262</v>
      </c>
      <c r="R627" s="8">
        <v>0.53600000000000003</v>
      </c>
      <c r="S627" s="8">
        <v>139908476</v>
      </c>
      <c r="T627" s="8" t="s">
        <v>46</v>
      </c>
      <c r="U627" s="8" t="s">
        <v>41</v>
      </c>
    </row>
    <row r="628" spans="1:21">
      <c r="A628" s="8" t="s">
        <v>5890</v>
      </c>
      <c r="B628" s="8" t="s">
        <v>1881</v>
      </c>
      <c r="C628" s="8">
        <v>4799</v>
      </c>
      <c r="D628" s="8" t="s">
        <v>292</v>
      </c>
      <c r="E628" s="8">
        <v>33294569</v>
      </c>
      <c r="F628" s="8">
        <v>33294569</v>
      </c>
      <c r="G628" s="8" t="s">
        <v>24</v>
      </c>
      <c r="H628" s="8" t="s">
        <v>41</v>
      </c>
      <c r="I628" s="8" t="s">
        <v>23</v>
      </c>
      <c r="J628" s="8" t="s">
        <v>6101</v>
      </c>
      <c r="K628" s="8" t="s">
        <v>6103</v>
      </c>
      <c r="L628" s="8" t="s">
        <v>19</v>
      </c>
      <c r="M628" s="8">
        <v>330</v>
      </c>
      <c r="N628" s="8" t="s">
        <v>251</v>
      </c>
      <c r="O628" s="8">
        <v>59</v>
      </c>
      <c r="P628" s="8" t="s">
        <v>6102</v>
      </c>
      <c r="Q628" s="8" t="s">
        <v>4262</v>
      </c>
      <c r="R628" s="8">
        <v>0.34</v>
      </c>
      <c r="S628" s="8">
        <v>33294569</v>
      </c>
      <c r="T628" s="8" t="s">
        <v>24</v>
      </c>
      <c r="U628" s="8" t="s">
        <v>41</v>
      </c>
    </row>
    <row r="629" spans="1:21">
      <c r="A629" s="8" t="s">
        <v>5890</v>
      </c>
      <c r="B629" s="8" t="s">
        <v>6104</v>
      </c>
      <c r="C629" s="8">
        <v>2074</v>
      </c>
      <c r="D629" s="8" t="s">
        <v>69</v>
      </c>
      <c r="E629" s="8">
        <v>50708701</v>
      </c>
      <c r="F629" s="8">
        <v>50708701</v>
      </c>
      <c r="G629" s="8" t="s">
        <v>46</v>
      </c>
      <c r="H629" s="8" t="s">
        <v>24</v>
      </c>
      <c r="I629" s="8" t="s">
        <v>23</v>
      </c>
      <c r="J629" s="8" t="s">
        <v>6105</v>
      </c>
      <c r="K629" s="8" t="s">
        <v>6107</v>
      </c>
      <c r="L629" s="8" t="s">
        <v>19</v>
      </c>
      <c r="M629" s="8">
        <v>1722</v>
      </c>
      <c r="N629" s="8" t="s">
        <v>6108</v>
      </c>
      <c r="O629" s="8">
        <v>523</v>
      </c>
      <c r="P629" s="8" t="s">
        <v>6106</v>
      </c>
      <c r="Q629" s="8" t="s">
        <v>4262</v>
      </c>
      <c r="R629" s="8">
        <v>0.30099999999999999</v>
      </c>
      <c r="S629" s="8">
        <v>50708701</v>
      </c>
      <c r="T629" s="8" t="s">
        <v>46</v>
      </c>
      <c r="U629" s="8" t="s">
        <v>24</v>
      </c>
    </row>
    <row r="630" spans="1:21">
      <c r="A630" s="8" t="s">
        <v>5890</v>
      </c>
      <c r="B630" s="8" t="s">
        <v>3462</v>
      </c>
      <c r="C630" s="8">
        <v>5551</v>
      </c>
      <c r="D630" s="8" t="s">
        <v>69</v>
      </c>
      <c r="E630" s="8">
        <v>72358651</v>
      </c>
      <c r="F630" s="8">
        <v>72358651</v>
      </c>
      <c r="G630" s="8" t="s">
        <v>46</v>
      </c>
      <c r="H630" s="8" t="s">
        <v>41</v>
      </c>
      <c r="I630" s="8" t="s">
        <v>23</v>
      </c>
      <c r="J630" s="8" t="s">
        <v>4773</v>
      </c>
      <c r="K630" s="8" t="s">
        <v>4775</v>
      </c>
      <c r="L630" s="8" t="s">
        <v>19</v>
      </c>
      <c r="M630" s="8">
        <v>961</v>
      </c>
      <c r="N630" s="8" t="s">
        <v>155</v>
      </c>
      <c r="O630" s="8">
        <v>276</v>
      </c>
      <c r="P630" s="8" t="s">
        <v>6109</v>
      </c>
      <c r="Q630" s="8" t="s">
        <v>4262</v>
      </c>
      <c r="R630" s="8">
        <v>0.443</v>
      </c>
      <c r="S630" s="8">
        <v>72358651</v>
      </c>
      <c r="T630" s="8" t="s">
        <v>46</v>
      </c>
      <c r="U630" s="8" t="s">
        <v>41</v>
      </c>
    </row>
    <row r="631" spans="1:21">
      <c r="A631" s="8" t="s">
        <v>5890</v>
      </c>
      <c r="B631" s="8" t="s">
        <v>2859</v>
      </c>
      <c r="C631" s="8">
        <v>340980</v>
      </c>
      <c r="D631" s="8" t="s">
        <v>83</v>
      </c>
      <c r="E631" s="8">
        <v>5602687</v>
      </c>
      <c r="F631" s="8">
        <v>5602687</v>
      </c>
      <c r="G631" s="8" t="s">
        <v>46</v>
      </c>
      <c r="H631" s="8" t="s">
        <v>25</v>
      </c>
      <c r="I631" s="8" t="s">
        <v>23</v>
      </c>
      <c r="J631" s="8" t="s">
        <v>2860</v>
      </c>
      <c r="K631" s="8" t="s">
        <v>6111</v>
      </c>
      <c r="L631" s="8" t="s">
        <v>19</v>
      </c>
      <c r="M631" s="8">
        <v>581</v>
      </c>
      <c r="N631" s="8" t="s">
        <v>1617</v>
      </c>
      <c r="O631" s="8">
        <v>194</v>
      </c>
      <c r="P631" s="8" t="s">
        <v>6110</v>
      </c>
      <c r="Q631" s="8" t="s">
        <v>4262</v>
      </c>
      <c r="R631" s="8">
        <v>0.29499999999999998</v>
      </c>
      <c r="S631" s="8">
        <v>5602687</v>
      </c>
      <c r="T631" s="8" t="s">
        <v>46</v>
      </c>
      <c r="U631" s="8" t="s">
        <v>25</v>
      </c>
    </row>
    <row r="632" spans="1:21">
      <c r="A632" s="8" t="s">
        <v>5890</v>
      </c>
      <c r="B632" s="8" t="s">
        <v>3356</v>
      </c>
      <c r="C632" s="8">
        <v>219957</v>
      </c>
      <c r="D632" s="8" t="s">
        <v>83</v>
      </c>
      <c r="E632" s="8">
        <v>57958123</v>
      </c>
      <c r="F632" s="8">
        <v>57958123</v>
      </c>
      <c r="G632" s="8" t="s">
        <v>24</v>
      </c>
      <c r="H632" s="8" t="s">
        <v>25</v>
      </c>
      <c r="I632" s="8" t="s">
        <v>23</v>
      </c>
      <c r="J632" s="8" t="s">
        <v>3357</v>
      </c>
      <c r="K632" s="8" t="s">
        <v>6113</v>
      </c>
      <c r="L632" s="8" t="s">
        <v>19</v>
      </c>
      <c r="M632" s="8">
        <v>218</v>
      </c>
      <c r="N632" s="8" t="s">
        <v>61</v>
      </c>
      <c r="O632" s="8">
        <v>54</v>
      </c>
      <c r="P632" s="8" t="s">
        <v>6112</v>
      </c>
      <c r="Q632" s="8" t="s">
        <v>4262</v>
      </c>
      <c r="R632" s="8">
        <v>0.34300000000000003</v>
      </c>
      <c r="S632" s="8">
        <v>57958123</v>
      </c>
      <c r="T632" s="8" t="s">
        <v>24</v>
      </c>
      <c r="U632" s="8" t="s">
        <v>25</v>
      </c>
    </row>
    <row r="633" spans="1:21">
      <c r="A633" s="8" t="s">
        <v>5890</v>
      </c>
      <c r="B633" s="8" t="s">
        <v>6114</v>
      </c>
      <c r="C633" s="8">
        <v>91056</v>
      </c>
      <c r="D633" s="8" t="s">
        <v>83</v>
      </c>
      <c r="E633" s="8">
        <v>65545631</v>
      </c>
      <c r="F633" s="8">
        <v>65545631</v>
      </c>
      <c r="G633" s="8" t="s">
        <v>46</v>
      </c>
      <c r="H633" s="8" t="s">
        <v>25</v>
      </c>
      <c r="I633" s="8" t="s">
        <v>23</v>
      </c>
      <c r="J633" s="8" t="s">
        <v>6115</v>
      </c>
      <c r="K633" s="8" t="s">
        <v>6117</v>
      </c>
      <c r="L633" s="8" t="s">
        <v>19</v>
      </c>
      <c r="M633" s="8">
        <v>2192</v>
      </c>
      <c r="N633" s="8" t="s">
        <v>270</v>
      </c>
      <c r="O633" s="8">
        <v>721</v>
      </c>
      <c r="P633" s="8" t="s">
        <v>6116</v>
      </c>
      <c r="Q633" s="8" t="s">
        <v>4262</v>
      </c>
      <c r="R633" s="8">
        <v>0.36699999999999999</v>
      </c>
      <c r="S633" s="8">
        <v>65545631</v>
      </c>
      <c r="T633" s="8" t="s">
        <v>46</v>
      </c>
      <c r="U633" s="8" t="s">
        <v>25</v>
      </c>
    </row>
    <row r="634" spans="1:21">
      <c r="A634" s="8" t="s">
        <v>5890</v>
      </c>
      <c r="B634" s="8" t="s">
        <v>2205</v>
      </c>
      <c r="C634" s="8">
        <v>64837</v>
      </c>
      <c r="D634" s="8" t="s">
        <v>83</v>
      </c>
      <c r="E634" s="8">
        <v>66031849</v>
      </c>
      <c r="F634" s="8">
        <v>66031849</v>
      </c>
      <c r="G634" s="8" t="s">
        <v>24</v>
      </c>
      <c r="H634" s="8" t="s">
        <v>41</v>
      </c>
      <c r="I634" s="8" t="s">
        <v>23</v>
      </c>
      <c r="J634" s="8" t="s">
        <v>6118</v>
      </c>
      <c r="K634" s="8" t="s">
        <v>6120</v>
      </c>
      <c r="L634" s="8" t="s">
        <v>19</v>
      </c>
      <c r="M634" s="8">
        <v>1367</v>
      </c>
      <c r="N634" s="8" t="s">
        <v>883</v>
      </c>
      <c r="O634" s="8">
        <v>384</v>
      </c>
      <c r="P634" s="8" t="s">
        <v>6119</v>
      </c>
      <c r="Q634" s="8" t="s">
        <v>4262</v>
      </c>
      <c r="R634" s="8">
        <v>0.36399999999999999</v>
      </c>
      <c r="S634" s="8">
        <v>66031849</v>
      </c>
      <c r="T634" s="8" t="s">
        <v>24</v>
      </c>
      <c r="U634" s="8" t="s">
        <v>41</v>
      </c>
    </row>
    <row r="635" spans="1:21">
      <c r="A635" s="8" t="s">
        <v>5890</v>
      </c>
      <c r="B635" s="8" t="s">
        <v>3465</v>
      </c>
      <c r="C635" s="8">
        <v>120065</v>
      </c>
      <c r="D635" s="8" t="s">
        <v>83</v>
      </c>
      <c r="E635" s="8">
        <v>7817583</v>
      </c>
      <c r="F635" s="8">
        <v>7817583</v>
      </c>
      <c r="G635" s="8" t="s">
        <v>41</v>
      </c>
      <c r="H635" s="8" t="s">
        <v>25</v>
      </c>
      <c r="I635" s="8" t="s">
        <v>23</v>
      </c>
      <c r="J635" s="8" t="s">
        <v>3466</v>
      </c>
      <c r="K635" s="8" t="s">
        <v>6122</v>
      </c>
      <c r="L635" s="8" t="s">
        <v>76</v>
      </c>
      <c r="M635" s="8">
        <v>907</v>
      </c>
      <c r="N635" s="8" t="s">
        <v>274</v>
      </c>
      <c r="O635" s="8">
        <v>303</v>
      </c>
      <c r="P635" s="8" t="s">
        <v>6121</v>
      </c>
      <c r="Q635" s="8" t="s">
        <v>4262</v>
      </c>
      <c r="R635" s="8">
        <v>0.42099999999999999</v>
      </c>
      <c r="S635" s="8">
        <v>7817583</v>
      </c>
      <c r="T635" s="8" t="s">
        <v>41</v>
      </c>
      <c r="U635" s="8" t="s">
        <v>25</v>
      </c>
    </row>
    <row r="636" spans="1:21">
      <c r="A636" s="8" t="s">
        <v>5890</v>
      </c>
      <c r="B636" s="8" t="s">
        <v>6123</v>
      </c>
      <c r="C636" s="8">
        <v>23682</v>
      </c>
      <c r="D636" s="8" t="s">
        <v>83</v>
      </c>
      <c r="E636" s="8">
        <v>87882950</v>
      </c>
      <c r="F636" s="8">
        <v>87882950</v>
      </c>
      <c r="G636" s="8" t="s">
        <v>46</v>
      </c>
      <c r="H636" s="8" t="s">
        <v>41</v>
      </c>
      <c r="I636" s="8" t="s">
        <v>23</v>
      </c>
      <c r="J636" s="8" t="s">
        <v>6124</v>
      </c>
      <c r="K636" s="8" t="s">
        <v>6126</v>
      </c>
      <c r="L636" s="8" t="s">
        <v>19</v>
      </c>
      <c r="M636" s="8">
        <v>459</v>
      </c>
      <c r="N636" s="8" t="s">
        <v>155</v>
      </c>
      <c r="O636" s="8">
        <v>126</v>
      </c>
      <c r="P636" s="8" t="s">
        <v>6125</v>
      </c>
      <c r="Q636" s="8" t="s">
        <v>4262</v>
      </c>
      <c r="R636" s="8">
        <v>0.318</v>
      </c>
      <c r="S636" s="8">
        <v>87882950</v>
      </c>
      <c r="T636" s="8" t="s">
        <v>46</v>
      </c>
      <c r="U636" s="8" t="s">
        <v>41</v>
      </c>
    </row>
    <row r="637" spans="1:21">
      <c r="A637" s="8" t="s">
        <v>5890</v>
      </c>
      <c r="B637" s="8" t="s">
        <v>6127</v>
      </c>
      <c r="C637" s="8">
        <v>85459</v>
      </c>
      <c r="D637" s="8" t="s">
        <v>83</v>
      </c>
      <c r="E637" s="8">
        <v>93429490</v>
      </c>
      <c r="F637" s="8">
        <v>93429490</v>
      </c>
      <c r="G637" s="8" t="s">
        <v>24</v>
      </c>
      <c r="H637" s="8" t="s">
        <v>41</v>
      </c>
      <c r="I637" s="8" t="s">
        <v>23</v>
      </c>
      <c r="J637" s="8" t="s">
        <v>6128</v>
      </c>
      <c r="K637" s="8" t="s">
        <v>6130</v>
      </c>
      <c r="L637" s="8" t="s">
        <v>19</v>
      </c>
      <c r="M637" s="8">
        <v>1827</v>
      </c>
      <c r="N637" s="8" t="s">
        <v>710</v>
      </c>
      <c r="O637" s="8">
        <v>559</v>
      </c>
      <c r="P637" s="8" t="s">
        <v>6129</v>
      </c>
      <c r="Q637" s="8" t="s">
        <v>4262</v>
      </c>
      <c r="R637" s="8">
        <v>0.37</v>
      </c>
      <c r="S637" s="8">
        <v>93429490</v>
      </c>
      <c r="T637" s="8" t="s">
        <v>24</v>
      </c>
      <c r="U637" s="8" t="s">
        <v>41</v>
      </c>
    </row>
    <row r="638" spans="1:21">
      <c r="A638" s="8" t="s">
        <v>5890</v>
      </c>
      <c r="B638" s="8" t="s">
        <v>6131</v>
      </c>
      <c r="C638" s="8">
        <v>6327</v>
      </c>
      <c r="D638" s="8" t="s">
        <v>83</v>
      </c>
      <c r="E638" s="8">
        <v>118039004</v>
      </c>
      <c r="F638" s="8">
        <v>118039004</v>
      </c>
      <c r="G638" s="8" t="s">
        <v>24</v>
      </c>
      <c r="H638" s="8" t="s">
        <v>41</v>
      </c>
      <c r="I638" s="8" t="s">
        <v>23</v>
      </c>
      <c r="J638" s="8" t="s">
        <v>6132</v>
      </c>
      <c r="K638" s="8" t="s">
        <v>6134</v>
      </c>
      <c r="L638" s="8" t="s">
        <v>19</v>
      </c>
      <c r="M638" s="8">
        <v>435</v>
      </c>
      <c r="N638" s="8" t="s">
        <v>54</v>
      </c>
      <c r="O638" s="8">
        <v>82</v>
      </c>
      <c r="P638" s="8" t="s">
        <v>6133</v>
      </c>
      <c r="Q638" s="8" t="s">
        <v>4262</v>
      </c>
      <c r="R638" s="8">
        <v>0.38200000000000001</v>
      </c>
      <c r="S638" s="8">
        <v>118039004</v>
      </c>
      <c r="T638" s="8" t="s">
        <v>24</v>
      </c>
      <c r="U638" s="8" t="s">
        <v>41</v>
      </c>
    </row>
    <row r="639" spans="1:21">
      <c r="A639" s="8" t="s">
        <v>5890</v>
      </c>
      <c r="B639" s="8" t="s">
        <v>3463</v>
      </c>
      <c r="C639" s="8">
        <v>10083</v>
      </c>
      <c r="D639" s="8" t="s">
        <v>83</v>
      </c>
      <c r="E639" s="8">
        <v>17527451</v>
      </c>
      <c r="F639" s="8">
        <v>17527451</v>
      </c>
      <c r="G639" s="8" t="s">
        <v>41</v>
      </c>
      <c r="H639" s="8" t="s">
        <v>46</v>
      </c>
      <c r="I639" s="8" t="s">
        <v>23</v>
      </c>
      <c r="J639" s="8" t="s">
        <v>3464</v>
      </c>
      <c r="K639" s="8" t="s">
        <v>5724</v>
      </c>
      <c r="L639" s="8" t="s">
        <v>19</v>
      </c>
      <c r="M639" s="8">
        <v>2168</v>
      </c>
      <c r="N639" s="8" t="s">
        <v>283</v>
      </c>
      <c r="O639" s="8">
        <v>687</v>
      </c>
      <c r="P639" s="8" t="s">
        <v>6135</v>
      </c>
      <c r="Q639" s="8" t="s">
        <v>4262</v>
      </c>
      <c r="R639" s="8">
        <v>0.25900000000000001</v>
      </c>
      <c r="S639" s="8">
        <v>17527451</v>
      </c>
      <c r="T639" s="8" t="s">
        <v>41</v>
      </c>
      <c r="U639" s="8" t="s">
        <v>46</v>
      </c>
    </row>
    <row r="640" spans="1:21">
      <c r="A640" s="8" t="s">
        <v>5890</v>
      </c>
      <c r="B640" s="8" t="s">
        <v>1743</v>
      </c>
      <c r="C640" s="8">
        <v>120237</v>
      </c>
      <c r="D640" s="8" t="s">
        <v>83</v>
      </c>
      <c r="E640" s="8">
        <v>20177956</v>
      </c>
      <c r="F640" s="8">
        <v>20177956</v>
      </c>
      <c r="G640" s="8" t="s">
        <v>41</v>
      </c>
      <c r="H640" s="8" t="s">
        <v>46</v>
      </c>
      <c r="I640" s="8" t="s">
        <v>23</v>
      </c>
      <c r="J640" s="8" t="s">
        <v>6136</v>
      </c>
      <c r="K640" s="8" t="s">
        <v>6138</v>
      </c>
      <c r="L640" s="8" t="s">
        <v>19</v>
      </c>
      <c r="M640" s="8">
        <v>836</v>
      </c>
      <c r="N640" s="8" t="s">
        <v>574</v>
      </c>
      <c r="O640" s="8">
        <v>279</v>
      </c>
      <c r="P640" s="8" t="s">
        <v>6137</v>
      </c>
      <c r="Q640" s="8" t="s">
        <v>4262</v>
      </c>
      <c r="R640" s="8">
        <v>0.35499999999999998</v>
      </c>
      <c r="S640" s="8">
        <v>20177956</v>
      </c>
      <c r="T640" s="8" t="s">
        <v>41</v>
      </c>
      <c r="U640" s="8" t="s">
        <v>46</v>
      </c>
    </row>
    <row r="641" spans="1:21">
      <c r="A641" s="8" t="s">
        <v>5890</v>
      </c>
      <c r="B641" s="8" t="s">
        <v>6139</v>
      </c>
      <c r="C641" s="8">
        <v>143503</v>
      </c>
      <c r="D641" s="8" t="s">
        <v>83</v>
      </c>
      <c r="E641" s="8">
        <v>4673961</v>
      </c>
      <c r="F641" s="8">
        <v>4673961</v>
      </c>
      <c r="G641" s="8" t="s">
        <v>46</v>
      </c>
      <c r="H641" s="8" t="s">
        <v>25</v>
      </c>
      <c r="I641" s="8" t="s">
        <v>23</v>
      </c>
      <c r="J641" s="8" t="s">
        <v>6140</v>
      </c>
      <c r="K641" s="8" t="s">
        <v>6142</v>
      </c>
      <c r="L641" s="8" t="s">
        <v>19</v>
      </c>
      <c r="M641" s="8">
        <v>349</v>
      </c>
      <c r="N641" s="8" t="s">
        <v>983</v>
      </c>
      <c r="O641" s="8">
        <v>69</v>
      </c>
      <c r="P641" s="8" t="s">
        <v>6141</v>
      </c>
      <c r="Q641" s="8" t="s">
        <v>4262</v>
      </c>
      <c r="R641" s="8">
        <v>0.28399999999999997</v>
      </c>
      <c r="S641" s="8">
        <v>4673961</v>
      </c>
      <c r="T641" s="8" t="s">
        <v>46</v>
      </c>
      <c r="U641" s="8" t="s">
        <v>25</v>
      </c>
    </row>
    <row r="642" spans="1:21">
      <c r="A642" s="8" t="s">
        <v>5890</v>
      </c>
      <c r="B642" s="8" t="s">
        <v>1995</v>
      </c>
      <c r="C642" s="8">
        <v>114785</v>
      </c>
      <c r="D642" s="8" t="s">
        <v>104</v>
      </c>
      <c r="E642" s="8">
        <v>57920925</v>
      </c>
      <c r="F642" s="8">
        <v>57920925</v>
      </c>
      <c r="G642" s="8" t="s">
        <v>46</v>
      </c>
      <c r="H642" s="8" t="s">
        <v>41</v>
      </c>
      <c r="I642" s="8" t="s">
        <v>23</v>
      </c>
      <c r="J642" s="8" t="s">
        <v>6143</v>
      </c>
      <c r="K642" s="8" t="s">
        <v>6145</v>
      </c>
      <c r="L642" s="8" t="s">
        <v>19</v>
      </c>
      <c r="M642" s="8">
        <v>2221</v>
      </c>
      <c r="N642" s="8" t="s">
        <v>522</v>
      </c>
      <c r="O642" s="8">
        <v>666</v>
      </c>
      <c r="P642" s="8" t="s">
        <v>6144</v>
      </c>
      <c r="Q642" s="8" t="s">
        <v>4262</v>
      </c>
      <c r="R642" s="8">
        <v>0.38900000000000001</v>
      </c>
      <c r="S642" s="8">
        <v>57920925</v>
      </c>
      <c r="T642" s="8" t="s">
        <v>46</v>
      </c>
      <c r="U642" s="8" t="s">
        <v>41</v>
      </c>
    </row>
    <row r="643" spans="1:21">
      <c r="A643" s="8" t="s">
        <v>5890</v>
      </c>
      <c r="B643" s="8" t="s">
        <v>5739</v>
      </c>
      <c r="C643" s="8">
        <v>196403</v>
      </c>
      <c r="D643" s="8" t="s">
        <v>104</v>
      </c>
      <c r="E643" s="8">
        <v>58000765</v>
      </c>
      <c r="F643" s="8">
        <v>58000765</v>
      </c>
      <c r="G643" s="8" t="s">
        <v>41</v>
      </c>
      <c r="H643" s="8" t="s">
        <v>46</v>
      </c>
      <c r="I643" s="8" t="s">
        <v>23</v>
      </c>
      <c r="J643" s="8" t="s">
        <v>5740</v>
      </c>
      <c r="K643" s="8" t="s">
        <v>5742</v>
      </c>
      <c r="L643" s="8" t="s">
        <v>19</v>
      </c>
      <c r="M643" s="8">
        <v>456</v>
      </c>
      <c r="N643" s="8" t="s">
        <v>6147</v>
      </c>
      <c r="O643" s="8">
        <v>40</v>
      </c>
      <c r="P643" s="8" t="s">
        <v>6146</v>
      </c>
      <c r="Q643" s="8" t="s">
        <v>4262</v>
      </c>
      <c r="R643" s="8">
        <v>0.32200000000000001</v>
      </c>
      <c r="S643" s="8">
        <v>58000765</v>
      </c>
      <c r="T643" s="8" t="s">
        <v>41</v>
      </c>
      <c r="U643" s="8" t="s">
        <v>46</v>
      </c>
    </row>
    <row r="644" spans="1:21">
      <c r="A644" s="8" t="s">
        <v>5890</v>
      </c>
      <c r="B644" s="8" t="s">
        <v>6148</v>
      </c>
      <c r="C644" s="8">
        <v>144193</v>
      </c>
      <c r="D644" s="8" t="s">
        <v>104</v>
      </c>
      <c r="E644" s="8">
        <v>96350643</v>
      </c>
      <c r="F644" s="8">
        <v>96350643</v>
      </c>
      <c r="G644" s="8" t="s">
        <v>24</v>
      </c>
      <c r="H644" s="8" t="s">
        <v>41</v>
      </c>
      <c r="I644" s="8" t="s">
        <v>23</v>
      </c>
      <c r="J644" s="8" t="s">
        <v>6149</v>
      </c>
      <c r="K644" s="8" t="s">
        <v>6151</v>
      </c>
      <c r="L644" s="8" t="s">
        <v>76</v>
      </c>
      <c r="M644" s="8">
        <v>596</v>
      </c>
      <c r="N644" s="8" t="s">
        <v>263</v>
      </c>
      <c r="O644" s="8">
        <v>164</v>
      </c>
      <c r="P644" s="8" t="s">
        <v>6150</v>
      </c>
      <c r="Q644" s="8" t="s">
        <v>4262</v>
      </c>
      <c r="R644" s="8">
        <v>0.29799999999999999</v>
      </c>
      <c r="S644" s="8">
        <v>96350643</v>
      </c>
      <c r="T644" s="8" t="s">
        <v>24</v>
      </c>
      <c r="U644" s="8" t="s">
        <v>41</v>
      </c>
    </row>
    <row r="645" spans="1:21">
      <c r="A645" s="8" t="s">
        <v>5890</v>
      </c>
      <c r="B645" s="8" t="s">
        <v>325</v>
      </c>
      <c r="C645" s="8">
        <v>55703</v>
      </c>
      <c r="D645" s="8" t="s">
        <v>104</v>
      </c>
      <c r="E645" s="8">
        <v>106903213</v>
      </c>
      <c r="F645" s="8">
        <v>106903213</v>
      </c>
      <c r="G645" s="8" t="s">
        <v>24</v>
      </c>
      <c r="H645" s="8" t="s">
        <v>41</v>
      </c>
      <c r="I645" s="8" t="s">
        <v>23</v>
      </c>
      <c r="J645" s="8" t="s">
        <v>6152</v>
      </c>
      <c r="K645" s="8" t="s">
        <v>6154</v>
      </c>
      <c r="L645" s="8" t="s">
        <v>19</v>
      </c>
      <c r="M645" s="8">
        <v>3510</v>
      </c>
      <c r="N645" s="8" t="s">
        <v>490</v>
      </c>
      <c r="O645" s="8">
        <v>1096</v>
      </c>
      <c r="P645" s="8" t="s">
        <v>6153</v>
      </c>
      <c r="Q645" s="8" t="s">
        <v>4262</v>
      </c>
      <c r="R645" s="8">
        <v>0.379</v>
      </c>
      <c r="S645" s="8">
        <v>106903213</v>
      </c>
      <c r="T645" s="8" t="s">
        <v>24</v>
      </c>
      <c r="U645" s="8" t="s">
        <v>41</v>
      </c>
    </row>
    <row r="646" spans="1:21">
      <c r="A646" s="8" t="s">
        <v>5890</v>
      </c>
      <c r="B646" s="8" t="s">
        <v>6155</v>
      </c>
      <c r="C646" s="8">
        <v>9735</v>
      </c>
      <c r="D646" s="8" t="s">
        <v>104</v>
      </c>
      <c r="E646" s="8">
        <v>123067261</v>
      </c>
      <c r="F646" s="8">
        <v>123067261</v>
      </c>
      <c r="G646" s="8" t="s">
        <v>24</v>
      </c>
      <c r="H646" s="8" t="s">
        <v>41</v>
      </c>
      <c r="I646" s="8" t="s">
        <v>23</v>
      </c>
      <c r="J646" s="8" t="s">
        <v>6156</v>
      </c>
      <c r="K646" s="8" t="s">
        <v>6158</v>
      </c>
      <c r="L646" s="8" t="s">
        <v>76</v>
      </c>
      <c r="M646" s="8">
        <v>3155</v>
      </c>
      <c r="N646" s="8" t="s">
        <v>263</v>
      </c>
      <c r="O646" s="8">
        <v>998</v>
      </c>
      <c r="P646" s="8" t="s">
        <v>6157</v>
      </c>
      <c r="Q646" s="8" t="s">
        <v>4262</v>
      </c>
      <c r="R646" s="8">
        <v>0.317</v>
      </c>
      <c r="S646" s="8">
        <v>123067261</v>
      </c>
      <c r="T646" s="8" t="s">
        <v>24</v>
      </c>
      <c r="U646" s="8" t="s">
        <v>41</v>
      </c>
    </row>
    <row r="647" spans="1:21">
      <c r="A647" s="8" t="s">
        <v>5890</v>
      </c>
      <c r="B647" s="8" t="s">
        <v>3467</v>
      </c>
      <c r="C647" s="8">
        <v>54477</v>
      </c>
      <c r="D647" s="8" t="s">
        <v>104</v>
      </c>
      <c r="E647" s="8">
        <v>19512414</v>
      </c>
      <c r="F647" s="8">
        <v>19512414</v>
      </c>
      <c r="G647" s="8" t="s">
        <v>25</v>
      </c>
      <c r="H647" s="8" t="s">
        <v>46</v>
      </c>
      <c r="I647" s="8" t="s">
        <v>23</v>
      </c>
      <c r="J647" s="8" t="s">
        <v>6159</v>
      </c>
      <c r="K647" s="8" t="s">
        <v>6161</v>
      </c>
      <c r="L647" s="8" t="s">
        <v>19</v>
      </c>
      <c r="M647" s="8">
        <v>3201</v>
      </c>
      <c r="N647" s="8" t="s">
        <v>1568</v>
      </c>
      <c r="O647" s="8">
        <v>1031</v>
      </c>
      <c r="P647" s="8" t="s">
        <v>6160</v>
      </c>
      <c r="Q647" s="8" t="s">
        <v>4262</v>
      </c>
      <c r="R647" s="8">
        <v>0.47099999999999997</v>
      </c>
      <c r="S647" s="8">
        <v>19512414</v>
      </c>
      <c r="T647" s="8" t="s">
        <v>25</v>
      </c>
      <c r="U647" s="8" t="s">
        <v>46</v>
      </c>
    </row>
    <row r="648" spans="1:21">
      <c r="A648" s="8" t="s">
        <v>5890</v>
      </c>
      <c r="B648" s="8" t="s">
        <v>6162</v>
      </c>
      <c r="C648" s="8">
        <v>196528</v>
      </c>
      <c r="D648" s="8" t="s">
        <v>104</v>
      </c>
      <c r="E648" s="8">
        <v>46230776</v>
      </c>
      <c r="F648" s="8">
        <v>46230776</v>
      </c>
      <c r="G648" s="8" t="s">
        <v>41</v>
      </c>
      <c r="H648" s="8" t="s">
        <v>24</v>
      </c>
      <c r="I648" s="8" t="s">
        <v>23</v>
      </c>
      <c r="J648" s="8" t="s">
        <v>6163</v>
      </c>
      <c r="K648" s="8" t="s">
        <v>6164</v>
      </c>
      <c r="L648" s="8" t="s">
        <v>68</v>
      </c>
      <c r="M648" s="8">
        <v>0</v>
      </c>
      <c r="N648" s="8" t="s">
        <v>35</v>
      </c>
      <c r="O648" s="8">
        <v>0</v>
      </c>
      <c r="P648" s="8" t="s">
        <v>35</v>
      </c>
      <c r="Q648" s="8" t="s">
        <v>4262</v>
      </c>
      <c r="R648" s="8">
        <v>0.30499999999999999</v>
      </c>
      <c r="S648" s="8">
        <v>46230776</v>
      </c>
      <c r="T648" s="8" t="s">
        <v>41</v>
      </c>
      <c r="U648" s="8" t="s">
        <v>24</v>
      </c>
    </row>
    <row r="649" spans="1:21">
      <c r="A649" s="8" t="s">
        <v>5890</v>
      </c>
      <c r="B649" s="8" t="s">
        <v>3468</v>
      </c>
      <c r="C649" s="8">
        <v>84945</v>
      </c>
      <c r="D649" s="8" t="s">
        <v>339</v>
      </c>
      <c r="E649" s="8">
        <v>108881567</v>
      </c>
      <c r="F649" s="8">
        <v>108881567</v>
      </c>
      <c r="G649" s="8" t="s">
        <v>25</v>
      </c>
      <c r="H649" s="8" t="s">
        <v>24</v>
      </c>
      <c r="I649" s="8" t="s">
        <v>23</v>
      </c>
      <c r="J649" s="8" t="s">
        <v>3469</v>
      </c>
      <c r="K649" s="8" t="s">
        <v>6166</v>
      </c>
      <c r="L649" s="8" t="s">
        <v>19</v>
      </c>
      <c r="M649" s="8">
        <v>266</v>
      </c>
      <c r="N649" s="8" t="s">
        <v>974</v>
      </c>
      <c r="O649" s="8">
        <v>1</v>
      </c>
      <c r="P649" s="8" t="s">
        <v>6165</v>
      </c>
      <c r="Q649" s="8" t="s">
        <v>4262</v>
      </c>
      <c r="R649" s="8">
        <v>0.57799999999999996</v>
      </c>
      <c r="S649" s="8">
        <v>108881567</v>
      </c>
      <c r="T649" s="8" t="s">
        <v>25</v>
      </c>
      <c r="U649" s="8" t="s">
        <v>24</v>
      </c>
    </row>
    <row r="650" spans="1:21">
      <c r="A650" s="8" t="s">
        <v>5890</v>
      </c>
      <c r="B650" s="8" t="s">
        <v>3369</v>
      </c>
      <c r="C650" s="8">
        <v>27133</v>
      </c>
      <c r="D650" s="8" t="s">
        <v>118</v>
      </c>
      <c r="E650" s="8">
        <v>63447907</v>
      </c>
      <c r="F650" s="8">
        <v>63447907</v>
      </c>
      <c r="G650" s="8" t="s">
        <v>24</v>
      </c>
      <c r="H650" s="8" t="s">
        <v>41</v>
      </c>
      <c r="I650" s="8" t="s">
        <v>23</v>
      </c>
      <c r="J650" s="8" t="s">
        <v>6167</v>
      </c>
      <c r="K650" s="8" t="s">
        <v>6169</v>
      </c>
      <c r="L650" s="8" t="s">
        <v>19</v>
      </c>
      <c r="M650" s="8">
        <v>676</v>
      </c>
      <c r="N650" s="8" t="s">
        <v>2999</v>
      </c>
      <c r="O650" s="8">
        <v>209</v>
      </c>
      <c r="P650" s="8" t="s">
        <v>6168</v>
      </c>
      <c r="Q650" s="8" t="s">
        <v>4262</v>
      </c>
      <c r="R650" s="8">
        <v>0.32600000000000001</v>
      </c>
      <c r="S650" s="8">
        <v>63447907</v>
      </c>
      <c r="T650" s="8" t="s">
        <v>24</v>
      </c>
      <c r="U650" s="8" t="s">
        <v>41</v>
      </c>
    </row>
    <row r="651" spans="1:21">
      <c r="A651" s="8" t="s">
        <v>5890</v>
      </c>
      <c r="B651" s="8" t="s">
        <v>6170</v>
      </c>
      <c r="C651" s="8">
        <v>81537</v>
      </c>
      <c r="D651" s="8" t="s">
        <v>118</v>
      </c>
      <c r="E651" s="8">
        <v>64194191</v>
      </c>
      <c r="F651" s="8">
        <v>64194191</v>
      </c>
      <c r="G651" s="8" t="s">
        <v>24</v>
      </c>
      <c r="H651" s="8" t="s">
        <v>46</v>
      </c>
      <c r="I651" s="8" t="s">
        <v>23</v>
      </c>
      <c r="J651" s="8" t="s">
        <v>6171</v>
      </c>
      <c r="K651" s="8" t="s">
        <v>6173</v>
      </c>
      <c r="L651" s="8" t="s">
        <v>19</v>
      </c>
      <c r="M651" s="8">
        <v>566</v>
      </c>
      <c r="N651" s="8" t="s">
        <v>3075</v>
      </c>
      <c r="O651" s="8">
        <v>158</v>
      </c>
      <c r="P651" s="8" t="s">
        <v>6172</v>
      </c>
      <c r="Q651" s="8" t="s">
        <v>4262</v>
      </c>
      <c r="R651" s="8">
        <v>0.38600000000000001</v>
      </c>
      <c r="S651" s="8">
        <v>64194191</v>
      </c>
      <c r="T651" s="8" t="s">
        <v>24</v>
      </c>
      <c r="U651" s="8" t="s">
        <v>46</v>
      </c>
    </row>
    <row r="652" spans="1:21">
      <c r="A652" s="8" t="s">
        <v>5890</v>
      </c>
      <c r="B652" s="8" t="s">
        <v>2257</v>
      </c>
      <c r="C652" s="8">
        <v>23224</v>
      </c>
      <c r="D652" s="8" t="s">
        <v>118</v>
      </c>
      <c r="E652" s="8">
        <v>64496748</v>
      </c>
      <c r="F652" s="8">
        <v>64496748</v>
      </c>
      <c r="G652" s="8" t="s">
        <v>24</v>
      </c>
      <c r="H652" s="8" t="s">
        <v>25</v>
      </c>
      <c r="I652" s="8" t="s">
        <v>23</v>
      </c>
      <c r="J652" s="8" t="s">
        <v>6174</v>
      </c>
      <c r="K652" s="8" t="s">
        <v>6176</v>
      </c>
      <c r="L652" s="8" t="s">
        <v>19</v>
      </c>
      <c r="M652" s="8">
        <v>7080</v>
      </c>
      <c r="N652" s="8" t="s">
        <v>941</v>
      </c>
      <c r="O652" s="8">
        <v>2284</v>
      </c>
      <c r="P652" s="8" t="s">
        <v>6175</v>
      </c>
      <c r="Q652" s="8" t="s">
        <v>4262</v>
      </c>
      <c r="R652" s="8">
        <v>0.33300000000000002</v>
      </c>
      <c r="S652" s="8">
        <v>64496748</v>
      </c>
      <c r="T652" s="8" t="s">
        <v>24</v>
      </c>
      <c r="U652" s="8" t="s">
        <v>25</v>
      </c>
    </row>
    <row r="653" spans="1:21">
      <c r="A653" s="8" t="s">
        <v>5890</v>
      </c>
      <c r="B653" s="8" t="s">
        <v>3471</v>
      </c>
      <c r="C653" s="8">
        <v>23503</v>
      </c>
      <c r="D653" s="8" t="s">
        <v>118</v>
      </c>
      <c r="E653" s="8">
        <v>68264956</v>
      </c>
      <c r="F653" s="8">
        <v>68264956</v>
      </c>
      <c r="G653" s="8" t="s">
        <v>41</v>
      </c>
      <c r="H653" s="8" t="s">
        <v>46</v>
      </c>
      <c r="I653" s="8" t="s">
        <v>23</v>
      </c>
      <c r="J653" s="8" t="s">
        <v>3472</v>
      </c>
      <c r="K653" s="8" t="s">
        <v>5766</v>
      </c>
      <c r="L653" s="8" t="s">
        <v>19</v>
      </c>
      <c r="M653" s="8">
        <v>2162</v>
      </c>
      <c r="N653" s="8" t="s">
        <v>673</v>
      </c>
      <c r="O653" s="8">
        <v>675</v>
      </c>
      <c r="P653" s="8" t="s">
        <v>6177</v>
      </c>
      <c r="Q653" s="8" t="s">
        <v>4262</v>
      </c>
      <c r="R653" s="8">
        <v>0.372</v>
      </c>
      <c r="S653" s="8">
        <v>68264956</v>
      </c>
      <c r="T653" s="8" t="s">
        <v>41</v>
      </c>
      <c r="U653" s="8" t="s">
        <v>46</v>
      </c>
    </row>
    <row r="654" spans="1:21">
      <c r="A654" s="8" t="s">
        <v>5890</v>
      </c>
      <c r="B654" s="8" t="s">
        <v>3094</v>
      </c>
      <c r="C654" s="8">
        <v>9870</v>
      </c>
      <c r="D654" s="8" t="s">
        <v>118</v>
      </c>
      <c r="E654" s="8">
        <v>75138120</v>
      </c>
      <c r="F654" s="8">
        <v>75138120</v>
      </c>
      <c r="G654" s="8" t="s">
        <v>46</v>
      </c>
      <c r="H654" s="8" t="s">
        <v>25</v>
      </c>
      <c r="I654" s="8" t="s">
        <v>23</v>
      </c>
      <c r="J654" s="8" t="s">
        <v>3095</v>
      </c>
      <c r="K654" s="8" t="s">
        <v>6179</v>
      </c>
      <c r="L654" s="8" t="s">
        <v>19</v>
      </c>
      <c r="M654" s="8">
        <v>1994</v>
      </c>
      <c r="N654" s="8" t="s">
        <v>883</v>
      </c>
      <c r="O654" s="8">
        <v>497</v>
      </c>
      <c r="P654" s="8" t="s">
        <v>6178</v>
      </c>
      <c r="Q654" s="8" t="s">
        <v>4262</v>
      </c>
      <c r="R654" s="8">
        <v>0.33300000000000002</v>
      </c>
      <c r="S654" s="8">
        <v>75138120</v>
      </c>
      <c r="T654" s="8" t="s">
        <v>46</v>
      </c>
      <c r="U654" s="8" t="s">
        <v>25</v>
      </c>
    </row>
    <row r="655" spans="1:21">
      <c r="A655" s="8" t="s">
        <v>5890</v>
      </c>
      <c r="B655" s="8" t="s">
        <v>1922</v>
      </c>
      <c r="C655" s="8">
        <v>2954</v>
      </c>
      <c r="D655" s="8" t="s">
        <v>118</v>
      </c>
      <c r="E655" s="8">
        <v>77793854</v>
      </c>
      <c r="F655" s="8">
        <v>77793854</v>
      </c>
      <c r="G655" s="8" t="s">
        <v>24</v>
      </c>
      <c r="H655" s="8" t="s">
        <v>41</v>
      </c>
      <c r="I655" s="8" t="s">
        <v>23</v>
      </c>
      <c r="J655" s="8" t="s">
        <v>6180</v>
      </c>
      <c r="K655" s="8" t="s">
        <v>6182</v>
      </c>
      <c r="L655" s="8" t="s">
        <v>19</v>
      </c>
      <c r="M655" s="8">
        <v>457</v>
      </c>
      <c r="N655" s="8" t="s">
        <v>1248</v>
      </c>
      <c r="O655" s="8">
        <v>59</v>
      </c>
      <c r="P655" s="8" t="s">
        <v>6181</v>
      </c>
      <c r="Q655" s="8" t="s">
        <v>4262</v>
      </c>
      <c r="R655" s="8">
        <v>0.42099999999999999</v>
      </c>
      <c r="S655" s="8">
        <v>77793854</v>
      </c>
      <c r="T655" s="8" t="s">
        <v>24</v>
      </c>
      <c r="U655" s="8" t="s">
        <v>41</v>
      </c>
    </row>
    <row r="656" spans="1:21">
      <c r="A656" s="8" t="s">
        <v>5890</v>
      </c>
      <c r="B656" s="8" t="s">
        <v>3470</v>
      </c>
      <c r="C656" s="8">
        <v>9895</v>
      </c>
      <c r="D656" s="8" t="s">
        <v>118</v>
      </c>
      <c r="E656" s="8">
        <v>102904438</v>
      </c>
      <c r="F656" s="8">
        <v>102904438</v>
      </c>
      <c r="G656" s="8" t="s">
        <v>24</v>
      </c>
      <c r="H656" s="8" t="s">
        <v>41</v>
      </c>
      <c r="I656" s="8" t="s">
        <v>23</v>
      </c>
      <c r="J656" s="8" t="s">
        <v>6183</v>
      </c>
      <c r="K656" s="8" t="s">
        <v>6185</v>
      </c>
      <c r="L656" s="8" t="s">
        <v>19</v>
      </c>
      <c r="M656" s="8">
        <v>2700</v>
      </c>
      <c r="N656" s="8" t="s">
        <v>2922</v>
      </c>
      <c r="O656" s="8">
        <v>825</v>
      </c>
      <c r="P656" s="8" t="s">
        <v>6184</v>
      </c>
      <c r="Q656" s="8" t="s">
        <v>4262</v>
      </c>
      <c r="R656" s="8">
        <v>0.38200000000000001</v>
      </c>
      <c r="S656" s="8">
        <v>102904438</v>
      </c>
      <c r="T656" s="8" t="s">
        <v>24</v>
      </c>
      <c r="U656" s="8" t="s">
        <v>41</v>
      </c>
    </row>
    <row r="657" spans="1:21">
      <c r="A657" s="8" t="s">
        <v>5890</v>
      </c>
      <c r="B657" s="8" t="s">
        <v>3475</v>
      </c>
      <c r="C657" s="8">
        <v>5597</v>
      </c>
      <c r="D657" s="8" t="s">
        <v>120</v>
      </c>
      <c r="E657" s="8">
        <v>52338778</v>
      </c>
      <c r="F657" s="8">
        <v>52338778</v>
      </c>
      <c r="G657" s="8" t="s">
        <v>24</v>
      </c>
      <c r="H657" s="8" t="s">
        <v>41</v>
      </c>
      <c r="I657" s="8" t="s">
        <v>23</v>
      </c>
      <c r="J657" s="8" t="s">
        <v>3476</v>
      </c>
      <c r="K657" s="8" t="s">
        <v>6187</v>
      </c>
      <c r="L657" s="8" t="s">
        <v>19</v>
      </c>
      <c r="M657" s="8">
        <v>915</v>
      </c>
      <c r="N657" s="8" t="s">
        <v>463</v>
      </c>
      <c r="O657" s="8">
        <v>41</v>
      </c>
      <c r="P657" s="8" t="s">
        <v>6186</v>
      </c>
      <c r="Q657" s="8" t="s">
        <v>4262</v>
      </c>
      <c r="R657" s="8">
        <v>0.41</v>
      </c>
      <c r="S657" s="8">
        <v>52338778</v>
      </c>
      <c r="T657" s="8" t="s">
        <v>24</v>
      </c>
      <c r="U657" s="8" t="s">
        <v>41</v>
      </c>
    </row>
    <row r="658" spans="1:21">
      <c r="A658" s="8" t="s">
        <v>5890</v>
      </c>
      <c r="B658" s="8" t="s">
        <v>2020</v>
      </c>
      <c r="C658" s="8">
        <v>440279</v>
      </c>
      <c r="D658" s="8" t="s">
        <v>120</v>
      </c>
      <c r="E658" s="8">
        <v>54542453</v>
      </c>
      <c r="F658" s="8">
        <v>54542453</v>
      </c>
      <c r="G658" s="8" t="s">
        <v>24</v>
      </c>
      <c r="H658" s="8" t="s">
        <v>41</v>
      </c>
      <c r="I658" s="8" t="s">
        <v>23</v>
      </c>
      <c r="J658" s="8" t="s">
        <v>3254</v>
      </c>
      <c r="K658" s="8" t="s">
        <v>6189</v>
      </c>
      <c r="L658" s="8" t="s">
        <v>19</v>
      </c>
      <c r="M658" s="8">
        <v>3259</v>
      </c>
      <c r="N658" s="8" t="s">
        <v>124</v>
      </c>
      <c r="O658" s="8">
        <v>1087</v>
      </c>
      <c r="P658" s="8" t="s">
        <v>6188</v>
      </c>
      <c r="Q658" s="8" t="s">
        <v>4262</v>
      </c>
      <c r="R658" s="8">
        <v>0.30199999999999999</v>
      </c>
      <c r="S658" s="8">
        <v>54542453</v>
      </c>
      <c r="T658" s="8" t="s">
        <v>24</v>
      </c>
      <c r="U658" s="8" t="s">
        <v>41</v>
      </c>
    </row>
    <row r="659" spans="1:21">
      <c r="A659" s="8" t="s">
        <v>5890</v>
      </c>
      <c r="B659" s="8"/>
      <c r="C659" s="8">
        <v>79834</v>
      </c>
      <c r="D659" s="8" t="s">
        <v>120</v>
      </c>
      <c r="E659" s="8">
        <v>77471648</v>
      </c>
      <c r="F659" s="8">
        <v>77471648</v>
      </c>
      <c r="G659" s="8" t="s">
        <v>46</v>
      </c>
      <c r="H659" s="8" t="s">
        <v>25</v>
      </c>
      <c r="I659" s="8" t="s">
        <v>23</v>
      </c>
      <c r="J659" s="8" t="s">
        <v>6190</v>
      </c>
      <c r="K659" s="8" t="s">
        <v>6192</v>
      </c>
      <c r="L659" s="8" t="s">
        <v>19</v>
      </c>
      <c r="M659" s="8">
        <v>3197</v>
      </c>
      <c r="N659" s="8" t="s">
        <v>1288</v>
      </c>
      <c r="O659" s="8">
        <v>874</v>
      </c>
      <c r="P659" s="8" t="s">
        <v>6191</v>
      </c>
      <c r="Q659" s="8" t="s">
        <v>4262</v>
      </c>
      <c r="R659" s="8">
        <v>0.25</v>
      </c>
      <c r="S659" s="8">
        <v>77471648</v>
      </c>
      <c r="T659" s="8" t="s">
        <v>46</v>
      </c>
      <c r="U659" s="8" t="s">
        <v>25</v>
      </c>
    </row>
    <row r="660" spans="1:21">
      <c r="A660" s="8" t="s">
        <v>5890</v>
      </c>
      <c r="B660" s="8" t="s">
        <v>6193</v>
      </c>
      <c r="C660" s="8">
        <v>1138</v>
      </c>
      <c r="D660" s="8" t="s">
        <v>120</v>
      </c>
      <c r="E660" s="8">
        <v>78882835</v>
      </c>
      <c r="F660" s="8">
        <v>78882835</v>
      </c>
      <c r="G660" s="8" t="s">
        <v>25</v>
      </c>
      <c r="H660" s="8" t="s">
        <v>24</v>
      </c>
      <c r="I660" s="8" t="s">
        <v>23</v>
      </c>
      <c r="J660" s="8" t="s">
        <v>6194</v>
      </c>
      <c r="K660" s="8" t="s">
        <v>6196</v>
      </c>
      <c r="L660" s="8" t="s">
        <v>19</v>
      </c>
      <c r="M660" s="8">
        <v>1302</v>
      </c>
      <c r="N660" s="8" t="s">
        <v>1209</v>
      </c>
      <c r="O660" s="8">
        <v>368</v>
      </c>
      <c r="P660" s="8" t="s">
        <v>6195</v>
      </c>
      <c r="Q660" s="8" t="s">
        <v>4262</v>
      </c>
      <c r="R660" s="8">
        <v>0.36799999999999999</v>
      </c>
      <c r="S660" s="8">
        <v>78882835</v>
      </c>
      <c r="T660" s="8" t="s">
        <v>25</v>
      </c>
      <c r="U660" s="8" t="s">
        <v>24</v>
      </c>
    </row>
    <row r="661" spans="1:21">
      <c r="A661" s="8" t="s">
        <v>5890</v>
      </c>
      <c r="B661" s="8" t="s">
        <v>3473</v>
      </c>
      <c r="C661" s="8">
        <v>204219</v>
      </c>
      <c r="D661" s="8" t="s">
        <v>120</v>
      </c>
      <c r="E661" s="8">
        <v>100996159</v>
      </c>
      <c r="F661" s="8">
        <v>100996159</v>
      </c>
      <c r="G661" s="8" t="s">
        <v>25</v>
      </c>
      <c r="H661" s="8" t="s">
        <v>24</v>
      </c>
      <c r="I661" s="8" t="s">
        <v>23</v>
      </c>
      <c r="J661" s="8" t="s">
        <v>3474</v>
      </c>
      <c r="K661" s="8" t="s">
        <v>6198</v>
      </c>
      <c r="L661" s="8" t="s">
        <v>19</v>
      </c>
      <c r="M661" s="8">
        <v>1362</v>
      </c>
      <c r="N661" s="8" t="s">
        <v>766</v>
      </c>
      <c r="O661" s="8">
        <v>313</v>
      </c>
      <c r="P661" s="8" t="s">
        <v>6197</v>
      </c>
      <c r="Q661" s="8" t="s">
        <v>4262</v>
      </c>
      <c r="R661" s="8">
        <v>0.26800000000000002</v>
      </c>
      <c r="S661" s="8">
        <v>100996159</v>
      </c>
      <c r="T661" s="8" t="s">
        <v>25</v>
      </c>
      <c r="U661" s="8" t="s">
        <v>24</v>
      </c>
    </row>
    <row r="662" spans="1:21">
      <c r="A662" s="8" t="s">
        <v>5890</v>
      </c>
      <c r="B662" s="8" t="s">
        <v>3473</v>
      </c>
      <c r="C662" s="8">
        <v>204219</v>
      </c>
      <c r="D662" s="8" t="s">
        <v>120</v>
      </c>
      <c r="E662" s="8">
        <v>101013172</v>
      </c>
      <c r="F662" s="8">
        <v>101013172</v>
      </c>
      <c r="G662" s="8" t="s">
        <v>24</v>
      </c>
      <c r="H662" s="8" t="s">
        <v>41</v>
      </c>
      <c r="I662" s="8" t="s">
        <v>23</v>
      </c>
      <c r="J662" s="8" t="s">
        <v>3474</v>
      </c>
      <c r="K662" s="8" t="s">
        <v>6198</v>
      </c>
      <c r="L662" s="8" t="s">
        <v>19</v>
      </c>
      <c r="M662" s="8">
        <v>1119</v>
      </c>
      <c r="N662" s="8" t="s">
        <v>65</v>
      </c>
      <c r="O662" s="8">
        <v>232</v>
      </c>
      <c r="P662" s="8" t="s">
        <v>6199</v>
      </c>
      <c r="Q662" s="8" t="s">
        <v>4262</v>
      </c>
      <c r="R662" s="8">
        <v>0.4</v>
      </c>
      <c r="S662" s="8">
        <v>101013172</v>
      </c>
      <c r="T662" s="8" t="s">
        <v>24</v>
      </c>
      <c r="U662" s="8" t="s">
        <v>41</v>
      </c>
    </row>
    <row r="663" spans="1:21">
      <c r="A663" s="8" t="s">
        <v>5890</v>
      </c>
      <c r="B663" s="8" t="s">
        <v>2511</v>
      </c>
      <c r="C663" s="8">
        <v>6263</v>
      </c>
      <c r="D663" s="8" t="s">
        <v>120</v>
      </c>
      <c r="E663" s="8">
        <v>33878217</v>
      </c>
      <c r="F663" s="8">
        <v>33878217</v>
      </c>
      <c r="G663" s="8" t="s">
        <v>25</v>
      </c>
      <c r="H663" s="8" t="s">
        <v>24</v>
      </c>
      <c r="I663" s="8" t="s">
        <v>23</v>
      </c>
      <c r="J663" s="8" t="s">
        <v>6200</v>
      </c>
      <c r="K663" s="8" t="s">
        <v>6202</v>
      </c>
      <c r="L663" s="8" t="s">
        <v>19</v>
      </c>
      <c r="M663" s="8">
        <v>1758</v>
      </c>
      <c r="N663" s="8" t="s">
        <v>1080</v>
      </c>
      <c r="O663" s="8">
        <v>563</v>
      </c>
      <c r="P663" s="8" t="s">
        <v>6201</v>
      </c>
      <c r="Q663" s="8" t="s">
        <v>4262</v>
      </c>
      <c r="R663" s="8">
        <v>0.30399999999999999</v>
      </c>
      <c r="S663" s="8">
        <v>33878217</v>
      </c>
      <c r="T663" s="8" t="s">
        <v>25</v>
      </c>
      <c r="U663" s="8" t="s">
        <v>24</v>
      </c>
    </row>
    <row r="664" spans="1:21">
      <c r="A664" s="8" t="s">
        <v>5890</v>
      </c>
      <c r="B664" s="8" t="s">
        <v>6203</v>
      </c>
      <c r="C664" s="8">
        <v>9716</v>
      </c>
      <c r="D664" s="8" t="s">
        <v>120</v>
      </c>
      <c r="E664" s="8">
        <v>35178780</v>
      </c>
      <c r="F664" s="8">
        <v>35178780</v>
      </c>
      <c r="G664" s="8" t="s">
        <v>24</v>
      </c>
      <c r="H664" s="8" t="s">
        <v>25</v>
      </c>
      <c r="I664" s="8" t="s">
        <v>23</v>
      </c>
      <c r="J664" s="8" t="s">
        <v>6204</v>
      </c>
      <c r="K664" s="8" t="s">
        <v>6206</v>
      </c>
      <c r="L664" s="8" t="s">
        <v>19</v>
      </c>
      <c r="M664" s="8">
        <v>2945</v>
      </c>
      <c r="N664" s="8" t="s">
        <v>423</v>
      </c>
      <c r="O664" s="8">
        <v>922</v>
      </c>
      <c r="P664" s="8" t="s">
        <v>6205</v>
      </c>
      <c r="Q664" s="8" t="s">
        <v>4262</v>
      </c>
      <c r="R664" s="8">
        <v>0.28799999999999998</v>
      </c>
      <c r="S664" s="8">
        <v>35178780</v>
      </c>
      <c r="T664" s="8" t="s">
        <v>24</v>
      </c>
      <c r="U664" s="8" t="s">
        <v>25</v>
      </c>
    </row>
    <row r="665" spans="1:21">
      <c r="A665" s="8" t="s">
        <v>5890</v>
      </c>
      <c r="B665" s="8" t="s">
        <v>693</v>
      </c>
      <c r="C665" s="8">
        <v>5330</v>
      </c>
      <c r="D665" s="8" t="s">
        <v>120</v>
      </c>
      <c r="E665" s="8">
        <v>40584348</v>
      </c>
      <c r="F665" s="8">
        <v>40584348</v>
      </c>
      <c r="G665" s="8" t="s">
        <v>46</v>
      </c>
      <c r="H665" s="8" t="s">
        <v>25</v>
      </c>
      <c r="I665" s="8" t="s">
        <v>23</v>
      </c>
      <c r="J665" s="8" t="s">
        <v>694</v>
      </c>
      <c r="K665" s="8" t="s">
        <v>6208</v>
      </c>
      <c r="L665" s="8" t="s">
        <v>19</v>
      </c>
      <c r="M665" s="8">
        <v>2744</v>
      </c>
      <c r="N665" s="8" t="s">
        <v>256</v>
      </c>
      <c r="O665" s="8">
        <v>815</v>
      </c>
      <c r="P665" s="8" t="s">
        <v>6207</v>
      </c>
      <c r="Q665" s="8" t="s">
        <v>4262</v>
      </c>
      <c r="R665" s="8">
        <v>0.43099999999999999</v>
      </c>
      <c r="S665" s="8">
        <v>40584348</v>
      </c>
      <c r="T665" s="8" t="s">
        <v>46</v>
      </c>
      <c r="U665" s="8" t="s">
        <v>25</v>
      </c>
    </row>
    <row r="666" spans="1:21">
      <c r="A666" s="8" t="s">
        <v>5890</v>
      </c>
      <c r="B666" s="8" t="s">
        <v>6209</v>
      </c>
      <c r="C666" s="8">
        <v>2038</v>
      </c>
      <c r="D666" s="8" t="s">
        <v>120</v>
      </c>
      <c r="E666" s="8">
        <v>43494108</v>
      </c>
      <c r="F666" s="8">
        <v>43494108</v>
      </c>
      <c r="G666" s="8" t="s">
        <v>24</v>
      </c>
      <c r="H666" s="8" t="s">
        <v>41</v>
      </c>
      <c r="I666" s="8" t="s">
        <v>23</v>
      </c>
      <c r="J666" s="8" t="s">
        <v>6210</v>
      </c>
      <c r="K666" s="8" t="s">
        <v>6212</v>
      </c>
      <c r="L666" s="8" t="s">
        <v>19</v>
      </c>
      <c r="M666" s="8">
        <v>2147</v>
      </c>
      <c r="N666" s="8" t="s">
        <v>3048</v>
      </c>
      <c r="O666" s="8">
        <v>616</v>
      </c>
      <c r="P666" s="8" t="s">
        <v>6211</v>
      </c>
      <c r="Q666" s="8" t="s">
        <v>4262</v>
      </c>
      <c r="R666" s="8">
        <v>0.308</v>
      </c>
      <c r="S666" s="8">
        <v>43494108</v>
      </c>
      <c r="T666" s="8" t="s">
        <v>24</v>
      </c>
      <c r="U666" s="8" t="s">
        <v>41</v>
      </c>
    </row>
    <row r="667" spans="1:21">
      <c r="A667" s="8" t="s">
        <v>5890</v>
      </c>
      <c r="B667" s="8" t="s">
        <v>6213</v>
      </c>
      <c r="C667" s="8">
        <v>27324</v>
      </c>
      <c r="D667" s="8" t="s">
        <v>129</v>
      </c>
      <c r="E667" s="8">
        <v>52480078</v>
      </c>
      <c r="F667" s="8">
        <v>52480078</v>
      </c>
      <c r="G667" s="8" t="s">
        <v>41</v>
      </c>
      <c r="H667" s="8" t="s">
        <v>46</v>
      </c>
      <c r="I667" s="8" t="s">
        <v>23</v>
      </c>
      <c r="J667" s="8" t="s">
        <v>6214</v>
      </c>
      <c r="K667" s="8" t="s">
        <v>6216</v>
      </c>
      <c r="L667" s="8" t="s">
        <v>19</v>
      </c>
      <c r="M667" s="8">
        <v>905</v>
      </c>
      <c r="N667" s="8" t="s">
        <v>908</v>
      </c>
      <c r="O667" s="8">
        <v>245</v>
      </c>
      <c r="P667" s="8" t="s">
        <v>6215</v>
      </c>
      <c r="Q667" s="8" t="s">
        <v>4262</v>
      </c>
      <c r="R667" s="8">
        <v>0.29699999999999999</v>
      </c>
      <c r="S667" s="8">
        <v>52480078</v>
      </c>
      <c r="T667" s="8" t="s">
        <v>41</v>
      </c>
      <c r="U667" s="8" t="s">
        <v>46</v>
      </c>
    </row>
    <row r="668" spans="1:21">
      <c r="A668" s="8" t="s">
        <v>5890</v>
      </c>
      <c r="B668" s="8" t="s">
        <v>3477</v>
      </c>
      <c r="C668" s="8">
        <v>2775</v>
      </c>
      <c r="D668" s="8" t="s">
        <v>129</v>
      </c>
      <c r="E668" s="8">
        <v>56226492</v>
      </c>
      <c r="F668" s="8">
        <v>56226492</v>
      </c>
      <c r="G668" s="8" t="s">
        <v>24</v>
      </c>
      <c r="H668" s="8" t="s">
        <v>41</v>
      </c>
      <c r="I668" s="8" t="s">
        <v>23</v>
      </c>
      <c r="J668" s="8" t="s">
        <v>6217</v>
      </c>
      <c r="K668" s="8" t="s">
        <v>6219</v>
      </c>
      <c r="L668" s="8" t="s">
        <v>19</v>
      </c>
      <c r="M668" s="8">
        <v>1022</v>
      </c>
      <c r="N668" s="8" t="s">
        <v>780</v>
      </c>
      <c r="O668" s="8">
        <v>42</v>
      </c>
      <c r="P668" s="8" t="s">
        <v>6218</v>
      </c>
      <c r="Q668" s="8" t="s">
        <v>4262</v>
      </c>
      <c r="R668" s="8">
        <v>0.39500000000000002</v>
      </c>
      <c r="S668" s="8">
        <v>56226492</v>
      </c>
      <c r="T668" s="8" t="s">
        <v>24</v>
      </c>
      <c r="U668" s="8" t="s">
        <v>41</v>
      </c>
    </row>
    <row r="669" spans="1:21">
      <c r="A669" s="8" t="s">
        <v>5890</v>
      </c>
      <c r="B669" s="8" t="s">
        <v>6220</v>
      </c>
      <c r="C669" s="8">
        <v>80011</v>
      </c>
      <c r="D669" s="8" t="s">
        <v>129</v>
      </c>
      <c r="E669" s="8">
        <v>57206240</v>
      </c>
      <c r="F669" s="8">
        <v>57206240</v>
      </c>
      <c r="G669" s="8" t="s">
        <v>46</v>
      </c>
      <c r="H669" s="8" t="s">
        <v>25</v>
      </c>
      <c r="I669" s="8" t="s">
        <v>23</v>
      </c>
      <c r="J669" s="8" t="s">
        <v>6221</v>
      </c>
      <c r="K669" s="8" t="s">
        <v>6223</v>
      </c>
      <c r="L669" s="8" t="s">
        <v>19</v>
      </c>
      <c r="M669" s="8">
        <v>530</v>
      </c>
      <c r="N669" s="8" t="s">
        <v>883</v>
      </c>
      <c r="O669" s="8">
        <v>91</v>
      </c>
      <c r="P669" s="8" t="s">
        <v>6222</v>
      </c>
      <c r="Q669" s="8" t="s">
        <v>4262</v>
      </c>
      <c r="R669" s="8">
        <v>0.35899999999999999</v>
      </c>
      <c r="S669" s="8">
        <v>57206240</v>
      </c>
      <c r="T669" s="8" t="s">
        <v>46</v>
      </c>
      <c r="U669" s="8" t="s">
        <v>25</v>
      </c>
    </row>
    <row r="670" spans="1:21">
      <c r="A670" s="8" t="s">
        <v>5890</v>
      </c>
      <c r="B670" s="8" t="s">
        <v>6224</v>
      </c>
      <c r="C670" s="8">
        <v>283849</v>
      </c>
      <c r="D670" s="8" t="s">
        <v>129</v>
      </c>
      <c r="E670" s="8">
        <v>67220709</v>
      </c>
      <c r="F670" s="8">
        <v>67220709</v>
      </c>
      <c r="G670" s="8" t="s">
        <v>46</v>
      </c>
      <c r="H670" s="8" t="s">
        <v>41</v>
      </c>
      <c r="I670" s="8" t="s">
        <v>23</v>
      </c>
      <c r="J670" s="8" t="s">
        <v>6225</v>
      </c>
      <c r="K670" s="8" t="s">
        <v>6227</v>
      </c>
      <c r="L670" s="8" t="s">
        <v>19</v>
      </c>
      <c r="M670" s="8">
        <v>1478</v>
      </c>
      <c r="N670" s="8" t="s">
        <v>485</v>
      </c>
      <c r="O670" s="8">
        <v>413</v>
      </c>
      <c r="P670" s="8" t="s">
        <v>6226</v>
      </c>
      <c r="Q670" s="8" t="s">
        <v>4262</v>
      </c>
      <c r="R670" s="8">
        <v>0.28199999999999997</v>
      </c>
      <c r="S670" s="8">
        <v>67220709</v>
      </c>
      <c r="T670" s="8" t="s">
        <v>46</v>
      </c>
      <c r="U670" s="8" t="s">
        <v>41</v>
      </c>
    </row>
    <row r="671" spans="1:21">
      <c r="A671" s="8" t="s">
        <v>5890</v>
      </c>
      <c r="B671" s="8" t="s">
        <v>3478</v>
      </c>
      <c r="C671" s="8">
        <v>9605</v>
      </c>
      <c r="D671" s="8" t="s">
        <v>129</v>
      </c>
      <c r="E671" s="8">
        <v>89776251</v>
      </c>
      <c r="F671" s="8">
        <v>89776251</v>
      </c>
      <c r="G671" s="8" t="s">
        <v>46</v>
      </c>
      <c r="H671" s="8" t="s">
        <v>25</v>
      </c>
      <c r="I671" s="8" t="s">
        <v>23</v>
      </c>
      <c r="J671" s="8" t="s">
        <v>3479</v>
      </c>
      <c r="K671" s="8" t="s">
        <v>6229</v>
      </c>
      <c r="L671" s="8" t="s">
        <v>19</v>
      </c>
      <c r="M671" s="8">
        <v>1447</v>
      </c>
      <c r="N671" s="8" t="s">
        <v>1288</v>
      </c>
      <c r="O671" s="8">
        <v>441</v>
      </c>
      <c r="P671" s="8" t="s">
        <v>6228</v>
      </c>
      <c r="Q671" s="8" t="s">
        <v>4262</v>
      </c>
      <c r="R671" s="8">
        <v>0.46500000000000002</v>
      </c>
      <c r="S671" s="8">
        <v>89776251</v>
      </c>
      <c r="T671" s="8" t="s">
        <v>46</v>
      </c>
      <c r="U671" s="8" t="s">
        <v>25</v>
      </c>
    </row>
    <row r="672" spans="1:21">
      <c r="A672" s="8" t="s">
        <v>5890</v>
      </c>
      <c r="B672" s="8" t="s">
        <v>6230</v>
      </c>
      <c r="C672" s="8">
        <v>5930</v>
      </c>
      <c r="D672" s="8" t="s">
        <v>129</v>
      </c>
      <c r="E672" s="8">
        <v>24552005</v>
      </c>
      <c r="F672" s="8">
        <v>24552005</v>
      </c>
      <c r="G672" s="8" t="s">
        <v>24</v>
      </c>
      <c r="H672" s="8" t="s">
        <v>25</v>
      </c>
      <c r="I672" s="8" t="s">
        <v>23</v>
      </c>
      <c r="J672" s="8" t="s">
        <v>6231</v>
      </c>
      <c r="K672" s="8" t="s">
        <v>6233</v>
      </c>
      <c r="L672" s="8" t="s">
        <v>19</v>
      </c>
      <c r="M672" s="8">
        <v>1098</v>
      </c>
      <c r="N672" s="8" t="s">
        <v>557</v>
      </c>
      <c r="O672" s="8">
        <v>20</v>
      </c>
      <c r="P672" s="8" t="s">
        <v>6232</v>
      </c>
      <c r="Q672" s="8" t="s">
        <v>4262</v>
      </c>
      <c r="R672" s="8">
        <v>0.31900000000000001</v>
      </c>
      <c r="S672" s="8">
        <v>24552005</v>
      </c>
      <c r="T672" s="8" t="s">
        <v>24</v>
      </c>
      <c r="U672" s="8" t="s">
        <v>25</v>
      </c>
    </row>
    <row r="673" spans="1:21">
      <c r="A673" s="8" t="s">
        <v>5890</v>
      </c>
      <c r="B673" s="8" t="s">
        <v>2174</v>
      </c>
      <c r="C673" s="8">
        <v>83985</v>
      </c>
      <c r="D673" s="8" t="s">
        <v>129</v>
      </c>
      <c r="E673" s="8">
        <v>28995583</v>
      </c>
      <c r="F673" s="8">
        <v>28995583</v>
      </c>
      <c r="G673" s="8" t="s">
        <v>24</v>
      </c>
      <c r="H673" s="8" t="s">
        <v>41</v>
      </c>
      <c r="I673" s="8" t="s">
        <v>23</v>
      </c>
      <c r="J673" s="8" t="s">
        <v>4913</v>
      </c>
      <c r="K673" s="8" t="s">
        <v>4914</v>
      </c>
      <c r="L673" s="8" t="s">
        <v>19</v>
      </c>
      <c r="M673" s="8">
        <v>1690</v>
      </c>
      <c r="N673" s="8" t="s">
        <v>1288</v>
      </c>
      <c r="O673" s="8">
        <v>517</v>
      </c>
      <c r="P673" s="8" t="s">
        <v>6234</v>
      </c>
      <c r="Q673" s="8" t="s">
        <v>6235</v>
      </c>
      <c r="R673" s="8">
        <v>0.46400000000000002</v>
      </c>
      <c r="S673" s="8">
        <v>28995583</v>
      </c>
      <c r="T673" s="8" t="s">
        <v>24</v>
      </c>
      <c r="U673" s="8" t="s">
        <v>41</v>
      </c>
    </row>
    <row r="674" spans="1:21">
      <c r="A674" s="8" t="s">
        <v>5890</v>
      </c>
      <c r="B674" s="8" t="s">
        <v>2529</v>
      </c>
      <c r="C674" s="8">
        <v>79585</v>
      </c>
      <c r="D674" s="8" t="s">
        <v>129</v>
      </c>
      <c r="E674" s="8">
        <v>4410303</v>
      </c>
      <c r="F674" s="8">
        <v>4410303</v>
      </c>
      <c r="G674" s="8" t="s">
        <v>46</v>
      </c>
      <c r="H674" s="8" t="s">
        <v>24</v>
      </c>
      <c r="I674" s="8" t="s">
        <v>23</v>
      </c>
      <c r="J674" s="8" t="s">
        <v>6236</v>
      </c>
      <c r="K674" s="8" t="s">
        <v>6238</v>
      </c>
      <c r="L674" s="8" t="s">
        <v>19</v>
      </c>
      <c r="M674" s="8">
        <v>2527</v>
      </c>
      <c r="N674" s="8" t="s">
        <v>6239</v>
      </c>
      <c r="O674" s="8">
        <v>695</v>
      </c>
      <c r="P674" s="8" t="s">
        <v>6237</v>
      </c>
      <c r="Q674" s="8" t="s">
        <v>4262</v>
      </c>
      <c r="R674" s="8">
        <v>0.29199999999999998</v>
      </c>
      <c r="S674" s="8">
        <v>4410303</v>
      </c>
      <c r="T674" s="8" t="s">
        <v>46</v>
      </c>
      <c r="U674" s="8" t="s">
        <v>24</v>
      </c>
    </row>
    <row r="675" spans="1:21">
      <c r="A675" s="8" t="s">
        <v>5890</v>
      </c>
      <c r="B675" s="8" t="s">
        <v>3481</v>
      </c>
      <c r="C675" s="8">
        <v>55275</v>
      </c>
      <c r="D675" s="8" t="s">
        <v>133</v>
      </c>
      <c r="E675" s="8">
        <v>531438</v>
      </c>
      <c r="F675" s="8">
        <v>531438</v>
      </c>
      <c r="G675" s="8" t="s">
        <v>46</v>
      </c>
      <c r="H675" s="8" t="s">
        <v>25</v>
      </c>
      <c r="I675" s="8" t="s">
        <v>23</v>
      </c>
      <c r="J675" s="8" t="s">
        <v>6240</v>
      </c>
      <c r="K675" s="8" t="s">
        <v>6242</v>
      </c>
      <c r="L675" s="8" t="s">
        <v>19</v>
      </c>
      <c r="M675" s="8">
        <v>868</v>
      </c>
      <c r="N675" s="8" t="s">
        <v>124</v>
      </c>
      <c r="O675" s="8">
        <v>241</v>
      </c>
      <c r="P675" s="8" t="s">
        <v>6241</v>
      </c>
      <c r="Q675" s="8" t="s">
        <v>4262</v>
      </c>
      <c r="R675" s="8">
        <v>0.5</v>
      </c>
      <c r="S675" s="8">
        <v>531438</v>
      </c>
      <c r="T675" s="8" t="s">
        <v>46</v>
      </c>
      <c r="U675" s="8" t="s">
        <v>25</v>
      </c>
    </row>
    <row r="676" spans="1:21">
      <c r="A676" s="8" t="s">
        <v>5890</v>
      </c>
      <c r="B676" s="8" t="s">
        <v>3482</v>
      </c>
      <c r="C676" s="8">
        <v>22861</v>
      </c>
      <c r="D676" s="8" t="s">
        <v>133</v>
      </c>
      <c r="E676" s="8">
        <v>5436179</v>
      </c>
      <c r="F676" s="8">
        <v>5436179</v>
      </c>
      <c r="G676" s="8" t="s">
        <v>46</v>
      </c>
      <c r="H676" s="8" t="s">
        <v>41</v>
      </c>
      <c r="I676" s="8" t="s">
        <v>23</v>
      </c>
      <c r="J676" s="8" t="s">
        <v>6243</v>
      </c>
      <c r="K676" s="8" t="s">
        <v>6245</v>
      </c>
      <c r="L676" s="8" t="s">
        <v>19</v>
      </c>
      <c r="M676" s="8">
        <v>3814</v>
      </c>
      <c r="N676" s="8" t="s">
        <v>768</v>
      </c>
      <c r="O676" s="8">
        <v>1087</v>
      </c>
      <c r="P676" s="8" t="s">
        <v>6244</v>
      </c>
      <c r="Q676" s="8" t="s">
        <v>4262</v>
      </c>
      <c r="R676" s="8">
        <v>0.63200000000000001</v>
      </c>
      <c r="S676" s="8">
        <v>5436179</v>
      </c>
      <c r="T676" s="8" t="s">
        <v>46</v>
      </c>
      <c r="U676" s="8" t="s">
        <v>41</v>
      </c>
    </row>
    <row r="677" spans="1:21">
      <c r="A677" s="8" t="s">
        <v>5890</v>
      </c>
      <c r="B677" s="8" t="s">
        <v>3483</v>
      </c>
      <c r="C677" s="8">
        <v>9256</v>
      </c>
      <c r="D677" s="8" t="s">
        <v>133</v>
      </c>
      <c r="E677" s="8">
        <v>56383227</v>
      </c>
      <c r="F677" s="8">
        <v>56383227</v>
      </c>
      <c r="G677" s="8" t="s">
        <v>46</v>
      </c>
      <c r="H677" s="8" t="s">
        <v>41</v>
      </c>
      <c r="I677" s="8" t="s">
        <v>23</v>
      </c>
      <c r="J677" s="8" t="s">
        <v>6246</v>
      </c>
      <c r="K677" s="8" t="s">
        <v>6247</v>
      </c>
      <c r="L677" s="8" t="s">
        <v>68</v>
      </c>
      <c r="M677" s="8">
        <v>0</v>
      </c>
      <c r="N677" s="8" t="s">
        <v>35</v>
      </c>
      <c r="O677" s="8">
        <v>0</v>
      </c>
      <c r="P677" s="8" t="s">
        <v>35</v>
      </c>
      <c r="Q677" s="8" t="s">
        <v>4262</v>
      </c>
      <c r="R677" s="8">
        <v>0.36</v>
      </c>
      <c r="S677" s="8">
        <v>56383227</v>
      </c>
      <c r="T677" s="8" t="s">
        <v>46</v>
      </c>
      <c r="U677" s="8" t="s">
        <v>41</v>
      </c>
    </row>
    <row r="678" spans="1:21">
      <c r="A678" s="8" t="s">
        <v>5890</v>
      </c>
      <c r="B678" s="8" t="s">
        <v>3484</v>
      </c>
      <c r="C678" s="8">
        <v>57508</v>
      </c>
      <c r="D678" s="8" t="s">
        <v>133</v>
      </c>
      <c r="E678" s="8">
        <v>59947215</v>
      </c>
      <c r="F678" s="8">
        <v>59947215</v>
      </c>
      <c r="G678" s="8" t="s">
        <v>46</v>
      </c>
      <c r="H678" s="8" t="s">
        <v>25</v>
      </c>
      <c r="I678" s="8" t="s">
        <v>23</v>
      </c>
      <c r="J678" s="8" t="s">
        <v>3485</v>
      </c>
      <c r="K678" s="8" t="s">
        <v>6249</v>
      </c>
      <c r="L678" s="8" t="s">
        <v>19</v>
      </c>
      <c r="M678" s="8">
        <v>3013</v>
      </c>
      <c r="N678" s="8" t="s">
        <v>2948</v>
      </c>
      <c r="O678" s="8">
        <v>979</v>
      </c>
      <c r="P678" s="8" t="s">
        <v>6248</v>
      </c>
      <c r="Q678" s="8" t="s">
        <v>4262</v>
      </c>
      <c r="R678" s="8">
        <v>0.38300000000000001</v>
      </c>
      <c r="S678" s="8">
        <v>59947215</v>
      </c>
      <c r="T678" s="8" t="s">
        <v>46</v>
      </c>
      <c r="U678" s="8" t="s">
        <v>25</v>
      </c>
    </row>
    <row r="679" spans="1:21">
      <c r="A679" s="8" t="s">
        <v>5890</v>
      </c>
      <c r="B679" s="8" t="s">
        <v>6250</v>
      </c>
      <c r="C679" s="8">
        <v>51204</v>
      </c>
      <c r="D679" s="8" t="s">
        <v>133</v>
      </c>
      <c r="E679" s="8">
        <v>61684797</v>
      </c>
      <c r="F679" s="8">
        <v>61684797</v>
      </c>
      <c r="G679" s="8" t="s">
        <v>25</v>
      </c>
      <c r="H679" s="8" t="s">
        <v>41</v>
      </c>
      <c r="I679" s="8" t="s">
        <v>23</v>
      </c>
      <c r="J679" s="8" t="s">
        <v>6251</v>
      </c>
      <c r="K679" s="8" t="s">
        <v>6253</v>
      </c>
      <c r="L679" s="8" t="s">
        <v>19</v>
      </c>
      <c r="M679" s="8">
        <v>878</v>
      </c>
      <c r="N679" s="8" t="s">
        <v>801</v>
      </c>
      <c r="O679" s="8">
        <v>222</v>
      </c>
      <c r="P679" s="8" t="s">
        <v>6252</v>
      </c>
      <c r="Q679" s="8" t="s">
        <v>4262</v>
      </c>
      <c r="R679" s="8">
        <v>0.317</v>
      </c>
      <c r="S679" s="8">
        <v>61684797</v>
      </c>
      <c r="T679" s="8" t="s">
        <v>25</v>
      </c>
      <c r="U679" s="8" t="s">
        <v>41</v>
      </c>
    </row>
    <row r="680" spans="1:21">
      <c r="A680" s="8" t="s">
        <v>5890</v>
      </c>
      <c r="B680" s="8" t="s">
        <v>3486</v>
      </c>
      <c r="C680" s="8">
        <v>10462</v>
      </c>
      <c r="D680" s="8" t="s">
        <v>133</v>
      </c>
      <c r="E680" s="8">
        <v>6979181</v>
      </c>
      <c r="F680" s="8">
        <v>6979181</v>
      </c>
      <c r="G680" s="8" t="s">
        <v>24</v>
      </c>
      <c r="H680" s="8" t="s">
        <v>25</v>
      </c>
      <c r="I680" s="8" t="s">
        <v>23</v>
      </c>
      <c r="J680" s="8" t="s">
        <v>6254</v>
      </c>
      <c r="K680" s="8" t="s">
        <v>6256</v>
      </c>
      <c r="L680" s="8" t="s">
        <v>19</v>
      </c>
      <c r="M680" s="8">
        <v>775</v>
      </c>
      <c r="N680" s="8" t="s">
        <v>415</v>
      </c>
      <c r="O680" s="8">
        <v>158</v>
      </c>
      <c r="P680" s="8" t="s">
        <v>6255</v>
      </c>
      <c r="Q680" s="8" t="s">
        <v>4262</v>
      </c>
      <c r="R680" s="8">
        <v>0.5</v>
      </c>
      <c r="S680" s="8">
        <v>6979181</v>
      </c>
      <c r="T680" s="8" t="s">
        <v>24</v>
      </c>
      <c r="U680" s="8" t="s">
        <v>25</v>
      </c>
    </row>
    <row r="681" spans="1:21">
      <c r="A681" s="8" t="s">
        <v>5890</v>
      </c>
      <c r="B681" s="8" t="s">
        <v>6257</v>
      </c>
      <c r="C681" s="8">
        <v>2125</v>
      </c>
      <c r="D681" s="8" t="s">
        <v>133</v>
      </c>
      <c r="E681" s="8">
        <v>74003334</v>
      </c>
      <c r="F681" s="8">
        <v>74003334</v>
      </c>
      <c r="G681" s="8" t="s">
        <v>24</v>
      </c>
      <c r="H681" s="8" t="s">
        <v>41</v>
      </c>
      <c r="I681" s="8" t="s">
        <v>23</v>
      </c>
      <c r="J681" s="8" t="s">
        <v>6258</v>
      </c>
      <c r="K681" s="8" t="s">
        <v>6260</v>
      </c>
      <c r="L681" s="8" t="s">
        <v>19</v>
      </c>
      <c r="M681" s="8">
        <v>6180</v>
      </c>
      <c r="N681" s="8" t="s">
        <v>247</v>
      </c>
      <c r="O681" s="8">
        <v>1984</v>
      </c>
      <c r="P681" s="8" t="s">
        <v>6259</v>
      </c>
      <c r="Q681" s="8" t="s">
        <v>4262</v>
      </c>
      <c r="R681" s="8">
        <v>0.26900000000000002</v>
      </c>
      <c r="S681" s="8">
        <v>74003334</v>
      </c>
      <c r="T681" s="8" t="s">
        <v>24</v>
      </c>
      <c r="U681" s="8" t="s">
        <v>41</v>
      </c>
    </row>
    <row r="682" spans="1:21">
      <c r="A682" s="8" t="s">
        <v>5890</v>
      </c>
      <c r="B682" s="8" t="s">
        <v>130</v>
      </c>
      <c r="C682" s="8">
        <v>7157</v>
      </c>
      <c r="D682" s="8" t="s">
        <v>133</v>
      </c>
      <c r="E682" s="8">
        <v>7577120</v>
      </c>
      <c r="F682" s="8">
        <v>7577120</v>
      </c>
      <c r="G682" s="8" t="s">
        <v>46</v>
      </c>
      <c r="H682" s="8" t="s">
        <v>25</v>
      </c>
      <c r="I682" s="8" t="s">
        <v>23</v>
      </c>
      <c r="J682" s="8" t="s">
        <v>5804</v>
      </c>
      <c r="K682" s="8" t="s">
        <v>5807</v>
      </c>
      <c r="L682" s="8" t="s">
        <v>19</v>
      </c>
      <c r="M682" s="8">
        <v>1015</v>
      </c>
      <c r="N682" s="8" t="s">
        <v>138</v>
      </c>
      <c r="O682" s="8">
        <v>273</v>
      </c>
      <c r="P682" s="8" t="s">
        <v>6261</v>
      </c>
      <c r="Q682" s="8" t="s">
        <v>6262</v>
      </c>
      <c r="R682" s="8">
        <v>0.55600000000000005</v>
      </c>
      <c r="S682" s="8">
        <v>7577120</v>
      </c>
      <c r="T682" s="8" t="s">
        <v>46</v>
      </c>
      <c r="U682" s="8" t="s">
        <v>25</v>
      </c>
    </row>
    <row r="683" spans="1:21">
      <c r="A683" s="8" t="s">
        <v>5890</v>
      </c>
      <c r="B683" s="8" t="s">
        <v>6263</v>
      </c>
      <c r="C683" s="8">
        <v>6448</v>
      </c>
      <c r="D683" s="8" t="s">
        <v>133</v>
      </c>
      <c r="E683" s="8">
        <v>78184363</v>
      </c>
      <c r="F683" s="8">
        <v>78184363</v>
      </c>
      <c r="G683" s="8" t="s">
        <v>41</v>
      </c>
      <c r="H683" s="8" t="s">
        <v>46</v>
      </c>
      <c r="I683" s="8" t="s">
        <v>23</v>
      </c>
      <c r="J683" s="8" t="s">
        <v>6264</v>
      </c>
      <c r="K683" s="8" t="s">
        <v>6266</v>
      </c>
      <c r="L683" s="8" t="s">
        <v>19</v>
      </c>
      <c r="M683" s="8">
        <v>1484</v>
      </c>
      <c r="N683" s="8" t="s">
        <v>551</v>
      </c>
      <c r="O683" s="8">
        <v>466</v>
      </c>
      <c r="P683" s="8" t="s">
        <v>6265</v>
      </c>
      <c r="Q683" s="8" t="s">
        <v>4262</v>
      </c>
      <c r="R683" s="8">
        <v>0.26700000000000002</v>
      </c>
      <c r="S683" s="8">
        <v>78184363</v>
      </c>
      <c r="T683" s="8" t="s">
        <v>41</v>
      </c>
      <c r="U683" s="8" t="s">
        <v>46</v>
      </c>
    </row>
    <row r="684" spans="1:21">
      <c r="A684" s="8" t="s">
        <v>5890</v>
      </c>
      <c r="B684" s="8" t="s">
        <v>6267</v>
      </c>
      <c r="C684" s="8">
        <v>79415</v>
      </c>
      <c r="D684" s="8" t="s">
        <v>133</v>
      </c>
      <c r="E684" s="8">
        <v>80403809</v>
      </c>
      <c r="F684" s="8">
        <v>80403809</v>
      </c>
      <c r="G684" s="8" t="s">
        <v>41</v>
      </c>
      <c r="H684" s="8" t="s">
        <v>25</v>
      </c>
      <c r="I684" s="8" t="s">
        <v>23</v>
      </c>
      <c r="J684" s="8" t="s">
        <v>6268</v>
      </c>
      <c r="K684" s="8" t="s">
        <v>6270</v>
      </c>
      <c r="L684" s="8" t="s">
        <v>76</v>
      </c>
      <c r="M684" s="8">
        <v>563</v>
      </c>
      <c r="N684" s="8" t="s">
        <v>1103</v>
      </c>
      <c r="O684" s="8">
        <v>77</v>
      </c>
      <c r="P684" s="8" t="s">
        <v>6269</v>
      </c>
      <c r="Q684" s="8" t="s">
        <v>4262</v>
      </c>
      <c r="R684" s="8">
        <v>0.5</v>
      </c>
      <c r="S684" s="8">
        <v>80403809</v>
      </c>
      <c r="T684" s="8" t="s">
        <v>41</v>
      </c>
      <c r="U684" s="8" t="s">
        <v>25</v>
      </c>
    </row>
    <row r="685" spans="1:21">
      <c r="A685" s="8" t="s">
        <v>5890</v>
      </c>
      <c r="B685" s="8" t="s">
        <v>848</v>
      </c>
      <c r="C685" s="8">
        <v>26502</v>
      </c>
      <c r="D685" s="8" t="s">
        <v>133</v>
      </c>
      <c r="E685" s="8">
        <v>80436720</v>
      </c>
      <c r="F685" s="8">
        <v>80436720</v>
      </c>
      <c r="G685" s="8" t="s">
        <v>24</v>
      </c>
      <c r="H685" s="8" t="s">
        <v>41</v>
      </c>
      <c r="I685" s="8" t="s">
        <v>23</v>
      </c>
      <c r="J685" s="8" t="s">
        <v>6271</v>
      </c>
      <c r="K685" s="8" t="s">
        <v>6273</v>
      </c>
      <c r="L685" s="8" t="s">
        <v>19</v>
      </c>
      <c r="M685" s="8">
        <v>705</v>
      </c>
      <c r="N685" s="8" t="s">
        <v>256</v>
      </c>
      <c r="O685" s="8">
        <v>189</v>
      </c>
      <c r="P685" s="8" t="s">
        <v>6272</v>
      </c>
      <c r="Q685" s="8" t="s">
        <v>4262</v>
      </c>
      <c r="R685" s="8">
        <v>0.316</v>
      </c>
      <c r="S685" s="8">
        <v>80436720</v>
      </c>
      <c r="T685" s="8" t="s">
        <v>24</v>
      </c>
      <c r="U685" s="8" t="s">
        <v>41</v>
      </c>
    </row>
    <row r="686" spans="1:21">
      <c r="A686" s="8" t="s">
        <v>5890</v>
      </c>
      <c r="B686" s="8" t="s">
        <v>3480</v>
      </c>
      <c r="C686" s="8">
        <v>84081</v>
      </c>
      <c r="D686" s="8" t="s">
        <v>133</v>
      </c>
      <c r="E686" s="8">
        <v>28511704</v>
      </c>
      <c r="F686" s="8">
        <v>28511704</v>
      </c>
      <c r="G686" s="8" t="s">
        <v>25</v>
      </c>
      <c r="H686" s="8" t="s">
        <v>24</v>
      </c>
      <c r="I686" s="8" t="s">
        <v>23</v>
      </c>
      <c r="J686" s="8" t="s">
        <v>6274</v>
      </c>
      <c r="K686" s="8" t="s">
        <v>6276</v>
      </c>
      <c r="L686" s="8" t="s">
        <v>19</v>
      </c>
      <c r="M686" s="8">
        <v>717</v>
      </c>
      <c r="N686" s="8" t="s">
        <v>574</v>
      </c>
      <c r="O686" s="8">
        <v>230</v>
      </c>
      <c r="P686" s="8" t="s">
        <v>6275</v>
      </c>
      <c r="Q686" s="8" t="s">
        <v>4262</v>
      </c>
      <c r="R686" s="8">
        <v>0.44800000000000001</v>
      </c>
      <c r="S686" s="8">
        <v>28511704</v>
      </c>
      <c r="T686" s="8" t="s">
        <v>25</v>
      </c>
      <c r="U686" s="8" t="s">
        <v>24</v>
      </c>
    </row>
    <row r="687" spans="1:21">
      <c r="A687" s="8" t="s">
        <v>5890</v>
      </c>
      <c r="B687" s="8" t="s">
        <v>6277</v>
      </c>
      <c r="C687" s="8">
        <v>80179</v>
      </c>
      <c r="D687" s="8" t="s">
        <v>133</v>
      </c>
      <c r="E687" s="8">
        <v>34866591</v>
      </c>
      <c r="F687" s="8">
        <v>34866591</v>
      </c>
      <c r="G687" s="8" t="s">
        <v>41</v>
      </c>
      <c r="H687" s="8" t="s">
        <v>46</v>
      </c>
      <c r="I687" s="8" t="s">
        <v>23</v>
      </c>
      <c r="J687" s="8" t="s">
        <v>6278</v>
      </c>
      <c r="K687" s="8" t="s">
        <v>6280</v>
      </c>
      <c r="L687" s="8" t="s">
        <v>19</v>
      </c>
      <c r="M687" s="8">
        <v>2164</v>
      </c>
      <c r="N687" s="8" t="s">
        <v>1055</v>
      </c>
      <c r="O687" s="8">
        <v>384</v>
      </c>
      <c r="P687" s="8" t="s">
        <v>6279</v>
      </c>
      <c r="Q687" s="8" t="s">
        <v>4262</v>
      </c>
      <c r="R687" s="8">
        <v>0.46200000000000002</v>
      </c>
      <c r="S687" s="8">
        <v>34866591</v>
      </c>
      <c r="T687" s="8" t="s">
        <v>41</v>
      </c>
      <c r="U687" s="8" t="s">
        <v>46</v>
      </c>
    </row>
    <row r="688" spans="1:21">
      <c r="A688" s="8" t="s">
        <v>5890</v>
      </c>
      <c r="B688" s="8" t="s">
        <v>6281</v>
      </c>
      <c r="C688" s="8">
        <v>10197</v>
      </c>
      <c r="D688" s="8" t="s">
        <v>133</v>
      </c>
      <c r="E688" s="8">
        <v>40991321</v>
      </c>
      <c r="F688" s="8">
        <v>40991321</v>
      </c>
      <c r="G688" s="8" t="s">
        <v>24</v>
      </c>
      <c r="H688" s="8" t="s">
        <v>41</v>
      </c>
      <c r="I688" s="8" t="s">
        <v>23</v>
      </c>
      <c r="J688" s="8" t="s">
        <v>6282</v>
      </c>
      <c r="K688" s="8" t="s">
        <v>6284</v>
      </c>
      <c r="L688" s="8" t="s">
        <v>19</v>
      </c>
      <c r="M688" s="8">
        <v>834</v>
      </c>
      <c r="N688" s="8" t="s">
        <v>1288</v>
      </c>
      <c r="O688" s="8">
        <v>203</v>
      </c>
      <c r="P688" s="8" t="s">
        <v>6283</v>
      </c>
      <c r="Q688" s="8" t="s">
        <v>4262</v>
      </c>
      <c r="R688" s="8">
        <v>0.188</v>
      </c>
      <c r="S688" s="8">
        <v>40991321</v>
      </c>
      <c r="T688" s="8" t="s">
        <v>24</v>
      </c>
      <c r="U688" s="8" t="s">
        <v>41</v>
      </c>
    </row>
    <row r="689" spans="1:21">
      <c r="A689" s="8" t="s">
        <v>5890</v>
      </c>
      <c r="B689" s="8" t="s">
        <v>3275</v>
      </c>
      <c r="C689" s="8">
        <v>81035</v>
      </c>
      <c r="D689" s="8" t="s">
        <v>135</v>
      </c>
      <c r="E689" s="8">
        <v>346445</v>
      </c>
      <c r="F689" s="8">
        <v>346445</v>
      </c>
      <c r="G689" s="8" t="s">
        <v>24</v>
      </c>
      <c r="H689" s="8" t="s">
        <v>41</v>
      </c>
      <c r="I689" s="8" t="s">
        <v>23</v>
      </c>
      <c r="J689" s="8" t="s">
        <v>3276</v>
      </c>
      <c r="K689" s="8" t="s">
        <v>6287</v>
      </c>
      <c r="L689" s="8" t="s">
        <v>19</v>
      </c>
      <c r="M689" s="8">
        <v>1392</v>
      </c>
      <c r="N689" s="8" t="s">
        <v>1290</v>
      </c>
      <c r="O689" s="8">
        <v>393</v>
      </c>
      <c r="P689" s="8" t="s">
        <v>6285</v>
      </c>
      <c r="Q689" s="8" t="s">
        <v>6286</v>
      </c>
      <c r="R689" s="8">
        <v>0.33800000000000002</v>
      </c>
      <c r="S689" s="8">
        <v>346445</v>
      </c>
      <c r="T689" s="8" t="s">
        <v>24</v>
      </c>
      <c r="U689" s="8" t="s">
        <v>41</v>
      </c>
    </row>
    <row r="690" spans="1:21">
      <c r="A690" s="8" t="s">
        <v>5890</v>
      </c>
      <c r="B690" s="8" t="s">
        <v>6288</v>
      </c>
      <c r="C690" s="8">
        <v>84258</v>
      </c>
      <c r="D690" s="8" t="s">
        <v>139</v>
      </c>
      <c r="E690" s="8">
        <v>51135778</v>
      </c>
      <c r="F690" s="8">
        <v>51135778</v>
      </c>
      <c r="G690" s="8" t="s">
        <v>46</v>
      </c>
      <c r="H690" s="8" t="s">
        <v>24</v>
      </c>
      <c r="I690" s="8" t="s">
        <v>23</v>
      </c>
      <c r="J690" s="8" t="s">
        <v>6289</v>
      </c>
      <c r="K690" s="8" t="s">
        <v>6291</v>
      </c>
      <c r="L690" s="8" t="s">
        <v>19</v>
      </c>
      <c r="M690" s="8">
        <v>638</v>
      </c>
      <c r="N690" s="8" t="s">
        <v>588</v>
      </c>
      <c r="O690" s="8">
        <v>147</v>
      </c>
      <c r="P690" s="8" t="s">
        <v>6290</v>
      </c>
      <c r="Q690" s="8" t="s">
        <v>4262</v>
      </c>
      <c r="R690" s="8">
        <v>0.56200000000000006</v>
      </c>
      <c r="S690" s="8">
        <v>51135778</v>
      </c>
      <c r="T690" s="8" t="s">
        <v>46</v>
      </c>
      <c r="U690" s="8" t="s">
        <v>24</v>
      </c>
    </row>
    <row r="691" spans="1:21">
      <c r="A691" s="8" t="s">
        <v>5890</v>
      </c>
      <c r="B691" s="8" t="s">
        <v>6292</v>
      </c>
      <c r="C691" s="8">
        <v>126204</v>
      </c>
      <c r="D691" s="8" t="s">
        <v>139</v>
      </c>
      <c r="E691" s="8">
        <v>56413525</v>
      </c>
      <c r="F691" s="8">
        <v>56413525</v>
      </c>
      <c r="G691" s="8" t="s">
        <v>46</v>
      </c>
      <c r="H691" s="8" t="s">
        <v>41</v>
      </c>
      <c r="I691" s="8" t="s">
        <v>23</v>
      </c>
      <c r="J691" s="8" t="s">
        <v>6293</v>
      </c>
      <c r="K691" s="8" t="s">
        <v>6295</v>
      </c>
      <c r="L691" s="8" t="s">
        <v>19</v>
      </c>
      <c r="M691" s="8">
        <v>2690</v>
      </c>
      <c r="N691" s="8" t="s">
        <v>557</v>
      </c>
      <c r="O691" s="8">
        <v>889</v>
      </c>
      <c r="P691" s="8" t="s">
        <v>6294</v>
      </c>
      <c r="Q691" s="8" t="s">
        <v>4262</v>
      </c>
      <c r="R691" s="8">
        <v>0.30499999999999999</v>
      </c>
      <c r="S691" s="8">
        <v>56413525</v>
      </c>
      <c r="T691" s="8" t="s">
        <v>46</v>
      </c>
      <c r="U691" s="8" t="s">
        <v>41</v>
      </c>
    </row>
    <row r="692" spans="1:21">
      <c r="A692" s="8" t="s">
        <v>5890</v>
      </c>
      <c r="B692" s="8" t="s">
        <v>3487</v>
      </c>
      <c r="C692" s="8">
        <v>84444</v>
      </c>
      <c r="D692" s="8" t="s">
        <v>139</v>
      </c>
      <c r="E692" s="8">
        <v>2185864</v>
      </c>
      <c r="F692" s="8">
        <v>2185864</v>
      </c>
      <c r="G692" s="8" t="s">
        <v>24</v>
      </c>
      <c r="H692" s="8" t="s">
        <v>41</v>
      </c>
      <c r="I692" s="8" t="s">
        <v>23</v>
      </c>
      <c r="J692" s="8" t="s">
        <v>3488</v>
      </c>
      <c r="K692" s="8" t="s">
        <v>6297</v>
      </c>
      <c r="L692" s="8" t="s">
        <v>76</v>
      </c>
      <c r="M692" s="8">
        <v>172</v>
      </c>
      <c r="N692" s="8" t="s">
        <v>625</v>
      </c>
      <c r="O692" s="8">
        <v>46</v>
      </c>
      <c r="P692" s="8" t="s">
        <v>6296</v>
      </c>
      <c r="Q692" s="8" t="s">
        <v>4262</v>
      </c>
      <c r="R692" s="8">
        <v>0.48899999999999999</v>
      </c>
      <c r="S692" s="8">
        <v>2185864</v>
      </c>
      <c r="T692" s="8" t="s">
        <v>24</v>
      </c>
      <c r="U692" s="8" t="s">
        <v>41</v>
      </c>
    </row>
    <row r="693" spans="1:21">
      <c r="A693" s="8" t="s">
        <v>5890</v>
      </c>
      <c r="B693" s="8" t="s">
        <v>6298</v>
      </c>
      <c r="C693" s="8">
        <v>163115</v>
      </c>
      <c r="D693" s="8" t="s">
        <v>139</v>
      </c>
      <c r="E693" s="8">
        <v>38160868</v>
      </c>
      <c r="F693" s="8">
        <v>38160868</v>
      </c>
      <c r="G693" s="8" t="s">
        <v>41</v>
      </c>
      <c r="H693" s="8" t="s">
        <v>46</v>
      </c>
      <c r="I693" s="8" t="s">
        <v>23</v>
      </c>
      <c r="J693" s="8" t="s">
        <v>6299</v>
      </c>
      <c r="K693" s="8" t="s">
        <v>6301</v>
      </c>
      <c r="L693" s="8" t="s">
        <v>19</v>
      </c>
      <c r="M693" s="8">
        <v>924</v>
      </c>
      <c r="N693" s="8" t="s">
        <v>1055</v>
      </c>
      <c r="O693" s="8">
        <v>61</v>
      </c>
      <c r="P693" s="8" t="s">
        <v>6300</v>
      </c>
      <c r="Q693" s="8" t="s">
        <v>4262</v>
      </c>
      <c r="R693" s="8">
        <v>0.307</v>
      </c>
      <c r="S693" s="8">
        <v>38160868</v>
      </c>
      <c r="T693" s="8" t="s">
        <v>41</v>
      </c>
      <c r="U693" s="8" t="s">
        <v>46</v>
      </c>
    </row>
    <row r="694" spans="1:21">
      <c r="A694" s="8" t="s">
        <v>5890</v>
      </c>
      <c r="B694" s="8" t="s">
        <v>6302</v>
      </c>
      <c r="C694" s="8">
        <v>1572</v>
      </c>
      <c r="D694" s="8" t="s">
        <v>139</v>
      </c>
      <c r="E694" s="8">
        <v>41622480</v>
      </c>
      <c r="F694" s="8">
        <v>41622480</v>
      </c>
      <c r="G694" s="8" t="s">
        <v>46</v>
      </c>
      <c r="H694" s="8" t="s">
        <v>25</v>
      </c>
      <c r="I694" s="8" t="s">
        <v>23</v>
      </c>
      <c r="J694" s="8" t="s">
        <v>6303</v>
      </c>
      <c r="K694" s="8" t="s">
        <v>6305</v>
      </c>
      <c r="L694" s="8" t="s">
        <v>19</v>
      </c>
      <c r="M694" s="8">
        <v>348</v>
      </c>
      <c r="N694" s="8" t="s">
        <v>405</v>
      </c>
      <c r="O694" s="8">
        <v>98</v>
      </c>
      <c r="P694" s="8" t="s">
        <v>6304</v>
      </c>
      <c r="Q694" s="8" t="s">
        <v>4262</v>
      </c>
      <c r="R694" s="8">
        <v>0.29399999999999998</v>
      </c>
      <c r="S694" s="8">
        <v>41622480</v>
      </c>
      <c r="T694" s="8" t="s">
        <v>46</v>
      </c>
      <c r="U694" s="8" t="s">
        <v>25</v>
      </c>
    </row>
    <row r="695" spans="1:21">
      <c r="A695" s="8" t="s">
        <v>5890</v>
      </c>
      <c r="B695" s="8" t="s">
        <v>3489</v>
      </c>
      <c r="C695" s="8">
        <v>2909</v>
      </c>
      <c r="D695" s="8" t="s">
        <v>139</v>
      </c>
      <c r="E695" s="8">
        <v>47492845</v>
      </c>
      <c r="F695" s="8">
        <v>47492845</v>
      </c>
      <c r="G695" s="8" t="s">
        <v>24</v>
      </c>
      <c r="H695" s="8" t="s">
        <v>41</v>
      </c>
      <c r="I695" s="8" t="s">
        <v>23</v>
      </c>
      <c r="J695" s="8" t="s">
        <v>3490</v>
      </c>
      <c r="K695" s="8" t="s">
        <v>6307</v>
      </c>
      <c r="L695" s="8" t="s">
        <v>19</v>
      </c>
      <c r="M695" s="8">
        <v>3949</v>
      </c>
      <c r="N695" s="8" t="s">
        <v>1248</v>
      </c>
      <c r="O695" s="8">
        <v>1317</v>
      </c>
      <c r="P695" s="8" t="s">
        <v>6306</v>
      </c>
      <c r="Q695" s="8" t="s">
        <v>4262</v>
      </c>
      <c r="R695" s="8">
        <v>0.46800000000000003</v>
      </c>
      <c r="S695" s="8">
        <v>47492845</v>
      </c>
      <c r="T695" s="8" t="s">
        <v>24</v>
      </c>
      <c r="U695" s="8" t="s">
        <v>41</v>
      </c>
    </row>
    <row r="696" spans="1:21">
      <c r="A696" s="8" t="s">
        <v>5890</v>
      </c>
      <c r="B696" s="8" t="s">
        <v>6308</v>
      </c>
      <c r="C696" s="8">
        <v>84215</v>
      </c>
      <c r="D696" s="8" t="s">
        <v>139</v>
      </c>
      <c r="E696" s="8">
        <v>48059100</v>
      </c>
      <c r="F696" s="8">
        <v>48059100</v>
      </c>
      <c r="G696" s="8" t="s">
        <v>46</v>
      </c>
      <c r="H696" s="8" t="s">
        <v>25</v>
      </c>
      <c r="I696" s="8" t="s">
        <v>23</v>
      </c>
      <c r="J696" s="8" t="s">
        <v>6309</v>
      </c>
      <c r="K696" s="8" t="s">
        <v>6311</v>
      </c>
      <c r="L696" s="8" t="s">
        <v>19</v>
      </c>
      <c r="M696" s="8">
        <v>14</v>
      </c>
      <c r="N696" s="8" t="s">
        <v>2954</v>
      </c>
      <c r="O696" s="8">
        <v>5</v>
      </c>
      <c r="P696" s="8" t="s">
        <v>6310</v>
      </c>
      <c r="Q696" s="8" t="s">
        <v>4262</v>
      </c>
      <c r="R696" s="8">
        <v>0.151</v>
      </c>
      <c r="S696" s="8">
        <v>48059100</v>
      </c>
      <c r="T696" s="8" t="s">
        <v>46</v>
      </c>
      <c r="U696" s="8" t="s">
        <v>25</v>
      </c>
    </row>
    <row r="697" spans="1:21">
      <c r="A697" s="8" t="s">
        <v>5890</v>
      </c>
      <c r="B697" s="8" t="s">
        <v>6312</v>
      </c>
      <c r="C697" s="8">
        <v>128434</v>
      </c>
      <c r="D697" s="8" t="s">
        <v>188</v>
      </c>
      <c r="E697" s="8">
        <v>36572422</v>
      </c>
      <c r="F697" s="8">
        <v>36572422</v>
      </c>
      <c r="G697" s="8" t="s">
        <v>46</v>
      </c>
      <c r="H697" s="8" t="s">
        <v>41</v>
      </c>
      <c r="I697" s="8" t="s">
        <v>23</v>
      </c>
      <c r="J697" s="8" t="s">
        <v>6313</v>
      </c>
      <c r="K697" s="8" t="s">
        <v>6315</v>
      </c>
      <c r="L697" s="8" t="s">
        <v>19</v>
      </c>
      <c r="M697" s="8">
        <v>636</v>
      </c>
      <c r="N697" s="8" t="s">
        <v>560</v>
      </c>
      <c r="O697" s="8">
        <v>128</v>
      </c>
      <c r="P697" s="8" t="s">
        <v>6314</v>
      </c>
      <c r="Q697" s="8" t="s">
        <v>4262</v>
      </c>
      <c r="R697" s="8">
        <v>0.27800000000000002</v>
      </c>
      <c r="S697" s="8">
        <v>36572422</v>
      </c>
      <c r="T697" s="8" t="s">
        <v>46</v>
      </c>
      <c r="U697" s="8" t="s">
        <v>41</v>
      </c>
    </row>
    <row r="698" spans="1:21">
      <c r="A698" s="8" t="s">
        <v>5890</v>
      </c>
      <c r="B698" s="8" t="s">
        <v>923</v>
      </c>
      <c r="C698" s="8">
        <v>55959</v>
      </c>
      <c r="D698" s="8" t="s">
        <v>188</v>
      </c>
      <c r="E698" s="8">
        <v>46288174</v>
      </c>
      <c r="F698" s="8">
        <v>46288174</v>
      </c>
      <c r="G698" s="8" t="s">
        <v>24</v>
      </c>
      <c r="H698" s="8" t="s">
        <v>41</v>
      </c>
      <c r="I698" s="8" t="s">
        <v>23</v>
      </c>
      <c r="J698" s="8" t="s">
        <v>6316</v>
      </c>
      <c r="K698" s="8" t="s">
        <v>6318</v>
      </c>
      <c r="L698" s="8" t="s">
        <v>19</v>
      </c>
      <c r="M698" s="8">
        <v>2881</v>
      </c>
      <c r="N698" s="8" t="s">
        <v>379</v>
      </c>
      <c r="O698" s="8">
        <v>851</v>
      </c>
      <c r="P698" s="8" t="s">
        <v>6317</v>
      </c>
      <c r="Q698" s="8" t="s">
        <v>4262</v>
      </c>
      <c r="R698" s="8">
        <v>0.308</v>
      </c>
      <c r="S698" s="8">
        <v>46288174</v>
      </c>
      <c r="T698" s="8" t="s">
        <v>24</v>
      </c>
      <c r="U698" s="8" t="s">
        <v>41</v>
      </c>
    </row>
    <row r="699" spans="1:21">
      <c r="A699" s="8" t="s">
        <v>5890</v>
      </c>
      <c r="B699" s="8" t="s">
        <v>1820</v>
      </c>
      <c r="C699" s="8">
        <v>875</v>
      </c>
      <c r="D699" s="8" t="s">
        <v>193</v>
      </c>
      <c r="E699" s="8">
        <v>44483066</v>
      </c>
      <c r="F699" s="8">
        <v>44483066</v>
      </c>
      <c r="G699" s="8" t="s">
        <v>46</v>
      </c>
      <c r="H699" s="8" t="s">
        <v>24</v>
      </c>
      <c r="I699" s="8" t="s">
        <v>23</v>
      </c>
      <c r="J699" s="8" t="s">
        <v>6319</v>
      </c>
      <c r="K699" s="8" t="s">
        <v>6321</v>
      </c>
      <c r="L699" s="8" t="s">
        <v>19</v>
      </c>
      <c r="M699" s="8">
        <v>1173</v>
      </c>
      <c r="N699" s="8" t="s">
        <v>5833</v>
      </c>
      <c r="O699" s="8">
        <v>317</v>
      </c>
      <c r="P699" s="8" t="s">
        <v>6320</v>
      </c>
      <c r="Q699" s="8" t="s">
        <v>4262</v>
      </c>
      <c r="R699" s="8">
        <v>0.16</v>
      </c>
      <c r="S699" s="8">
        <v>44483066</v>
      </c>
      <c r="T699" s="8" t="s">
        <v>46</v>
      </c>
      <c r="U699" s="8" t="s">
        <v>24</v>
      </c>
    </row>
    <row r="700" spans="1:21">
      <c r="A700" s="8" t="s">
        <v>5890</v>
      </c>
      <c r="B700" s="8" t="s">
        <v>6322</v>
      </c>
      <c r="C700" s="8">
        <v>23275</v>
      </c>
      <c r="D700" s="8" t="s">
        <v>193</v>
      </c>
      <c r="E700" s="8">
        <v>46687599</v>
      </c>
      <c r="F700" s="8">
        <v>46687599</v>
      </c>
      <c r="G700" s="8" t="s">
        <v>46</v>
      </c>
      <c r="H700" s="8" t="s">
        <v>25</v>
      </c>
      <c r="I700" s="8" t="s">
        <v>23</v>
      </c>
      <c r="J700" s="8" t="s">
        <v>6323</v>
      </c>
      <c r="K700" s="8" t="s">
        <v>6325</v>
      </c>
      <c r="L700" s="8" t="s">
        <v>76</v>
      </c>
      <c r="M700" s="8">
        <v>1067</v>
      </c>
      <c r="N700" s="8" t="s">
        <v>263</v>
      </c>
      <c r="O700" s="8">
        <v>348</v>
      </c>
      <c r="P700" s="8" t="s">
        <v>6324</v>
      </c>
      <c r="Q700" s="8" t="s">
        <v>4262</v>
      </c>
      <c r="R700" s="8">
        <v>0.31</v>
      </c>
      <c r="S700" s="8">
        <v>46687599</v>
      </c>
      <c r="T700" s="8" t="s">
        <v>46</v>
      </c>
      <c r="U700" s="8" t="s">
        <v>25</v>
      </c>
    </row>
    <row r="701" spans="1:21">
      <c r="A701" s="8" t="s">
        <v>5890</v>
      </c>
      <c r="B701" s="8" t="s">
        <v>2186</v>
      </c>
      <c r="C701" s="8">
        <v>4627</v>
      </c>
      <c r="D701" s="8" t="s">
        <v>197</v>
      </c>
      <c r="E701" s="8">
        <v>36712684</v>
      </c>
      <c r="F701" s="8">
        <v>36712684</v>
      </c>
      <c r="G701" s="8" t="s">
        <v>46</v>
      </c>
      <c r="H701" s="8" t="s">
        <v>41</v>
      </c>
      <c r="I701" s="8" t="s">
        <v>23</v>
      </c>
      <c r="J701" s="8" t="s">
        <v>2657</v>
      </c>
      <c r="K701" s="8" t="s">
        <v>6327</v>
      </c>
      <c r="L701" s="8" t="s">
        <v>19</v>
      </c>
      <c r="M701" s="8">
        <v>1489</v>
      </c>
      <c r="N701" s="8" t="s">
        <v>941</v>
      </c>
      <c r="O701" s="8">
        <v>420</v>
      </c>
      <c r="P701" s="8" t="s">
        <v>6326</v>
      </c>
      <c r="Q701" s="8" t="s">
        <v>4262</v>
      </c>
      <c r="R701" s="8">
        <v>0.38100000000000001</v>
      </c>
      <c r="S701" s="8">
        <v>36712684</v>
      </c>
      <c r="T701" s="8" t="s">
        <v>46</v>
      </c>
      <c r="U701" s="8" t="s">
        <v>41</v>
      </c>
    </row>
    <row r="702" spans="1:21">
      <c r="A702" s="8" t="s">
        <v>5890</v>
      </c>
      <c r="B702" s="8" t="s">
        <v>3498</v>
      </c>
      <c r="C702" s="8">
        <v>1439</v>
      </c>
      <c r="D702" s="8" t="s">
        <v>197</v>
      </c>
      <c r="E702" s="8">
        <v>37334455</v>
      </c>
      <c r="F702" s="8">
        <v>37334455</v>
      </c>
      <c r="G702" s="8" t="s">
        <v>46</v>
      </c>
      <c r="H702" s="8" t="s">
        <v>25</v>
      </c>
      <c r="I702" s="8" t="s">
        <v>23</v>
      </c>
      <c r="J702" s="8" t="s">
        <v>3499</v>
      </c>
      <c r="K702" s="8" t="s">
        <v>6329</v>
      </c>
      <c r="L702" s="8" t="s">
        <v>19</v>
      </c>
      <c r="M702" s="8">
        <v>2822</v>
      </c>
      <c r="N702" s="8" t="s">
        <v>3150</v>
      </c>
      <c r="O702" s="8">
        <v>869</v>
      </c>
      <c r="P702" s="8" t="s">
        <v>6328</v>
      </c>
      <c r="Q702" s="8" t="s">
        <v>4262</v>
      </c>
      <c r="R702" s="8">
        <v>0.43</v>
      </c>
      <c r="S702" s="8">
        <v>37334455</v>
      </c>
      <c r="T702" s="8" t="s">
        <v>46</v>
      </c>
      <c r="U702" s="8" t="s">
        <v>25</v>
      </c>
    </row>
    <row r="703" spans="1:21">
      <c r="A703" s="8" t="s">
        <v>5890</v>
      </c>
      <c r="B703" s="8"/>
      <c r="C703" s="8">
        <v>646851</v>
      </c>
      <c r="D703" s="8" t="s">
        <v>197</v>
      </c>
      <c r="E703" s="8">
        <v>39024941</v>
      </c>
      <c r="F703" s="8">
        <v>39024941</v>
      </c>
      <c r="G703" s="8" t="s">
        <v>46</v>
      </c>
      <c r="H703" s="8" t="s">
        <v>25</v>
      </c>
      <c r="I703" s="8" t="s">
        <v>23</v>
      </c>
      <c r="J703" s="8" t="s">
        <v>6330</v>
      </c>
      <c r="K703" s="8" t="s">
        <v>6331</v>
      </c>
      <c r="L703" s="8" t="s">
        <v>68</v>
      </c>
      <c r="M703" s="8">
        <v>0</v>
      </c>
      <c r="N703" s="8" t="s">
        <v>35</v>
      </c>
      <c r="O703" s="8">
        <v>0</v>
      </c>
      <c r="P703" s="8" t="s">
        <v>35</v>
      </c>
      <c r="Q703" s="8" t="s">
        <v>4262</v>
      </c>
      <c r="R703" s="8">
        <v>0.31900000000000001</v>
      </c>
      <c r="S703" s="8">
        <v>39024941</v>
      </c>
      <c r="T703" s="8" t="s">
        <v>46</v>
      </c>
      <c r="U703" s="8" t="s">
        <v>25</v>
      </c>
    </row>
    <row r="704" spans="1:21">
      <c r="A704" s="8" t="s">
        <v>5890</v>
      </c>
      <c r="B704" s="8" t="s">
        <v>6332</v>
      </c>
      <c r="C704" s="8">
        <v>53947</v>
      </c>
      <c r="D704" s="8" t="s">
        <v>197</v>
      </c>
      <c r="E704" s="8">
        <v>43089807</v>
      </c>
      <c r="F704" s="8">
        <v>43089807</v>
      </c>
      <c r="G704" s="8" t="s">
        <v>24</v>
      </c>
      <c r="H704" s="8" t="s">
        <v>41</v>
      </c>
      <c r="I704" s="8" t="s">
        <v>23</v>
      </c>
      <c r="J704" s="8" t="s">
        <v>6333</v>
      </c>
      <c r="K704" s="8" t="s">
        <v>6335</v>
      </c>
      <c r="L704" s="8" t="s">
        <v>19</v>
      </c>
      <c r="M704" s="8">
        <v>412</v>
      </c>
      <c r="N704" s="8" t="s">
        <v>54</v>
      </c>
      <c r="O704" s="8">
        <v>51</v>
      </c>
      <c r="P704" s="8" t="s">
        <v>6334</v>
      </c>
      <c r="Q704" s="8" t="s">
        <v>4262</v>
      </c>
      <c r="R704" s="8">
        <v>0.25</v>
      </c>
      <c r="S704" s="8">
        <v>43089807</v>
      </c>
      <c r="T704" s="8" t="s">
        <v>24</v>
      </c>
      <c r="U704" s="8" t="s">
        <v>41</v>
      </c>
    </row>
    <row r="705" spans="1:21">
      <c r="A705" s="8" t="s">
        <v>5890</v>
      </c>
      <c r="B705" s="8" t="s">
        <v>2846</v>
      </c>
      <c r="C705" s="8">
        <v>29978</v>
      </c>
      <c r="D705" s="8" t="s">
        <v>418</v>
      </c>
      <c r="E705" s="8">
        <v>56591520</v>
      </c>
      <c r="F705" s="8">
        <v>56591520</v>
      </c>
      <c r="G705" s="8" t="s">
        <v>41</v>
      </c>
      <c r="H705" s="8" t="s">
        <v>46</v>
      </c>
      <c r="I705" s="8" t="s">
        <v>23</v>
      </c>
      <c r="J705" s="8" t="s">
        <v>2847</v>
      </c>
      <c r="K705" s="8" t="s">
        <v>6337</v>
      </c>
      <c r="L705" s="8" t="s">
        <v>19</v>
      </c>
      <c r="M705" s="8">
        <v>1495</v>
      </c>
      <c r="N705" s="8" t="s">
        <v>329</v>
      </c>
      <c r="O705" s="8">
        <v>405</v>
      </c>
      <c r="P705" s="8" t="s">
        <v>6336</v>
      </c>
      <c r="Q705" s="8" t="s">
        <v>4262</v>
      </c>
      <c r="R705" s="8">
        <v>0.41499999999999998</v>
      </c>
      <c r="S705" s="8">
        <v>56591520</v>
      </c>
      <c r="T705" s="8" t="s">
        <v>41</v>
      </c>
      <c r="U705" s="8" t="s">
        <v>46</v>
      </c>
    </row>
    <row r="706" spans="1:21">
      <c r="A706" s="8" t="s">
        <v>5890</v>
      </c>
      <c r="B706" s="8" t="s">
        <v>6338</v>
      </c>
      <c r="C706" s="8">
        <v>441509</v>
      </c>
      <c r="D706" s="8" t="s">
        <v>418</v>
      </c>
      <c r="E706" s="8">
        <v>102978783</v>
      </c>
      <c r="F706" s="8">
        <v>102978783</v>
      </c>
      <c r="G706" s="8" t="s">
        <v>46</v>
      </c>
      <c r="H706" s="8" t="s">
        <v>24</v>
      </c>
      <c r="I706" s="8" t="s">
        <v>23</v>
      </c>
      <c r="J706" s="8" t="s">
        <v>6339</v>
      </c>
      <c r="K706" s="8" t="s">
        <v>6340</v>
      </c>
      <c r="L706" s="8" t="s">
        <v>68</v>
      </c>
      <c r="M706" s="8">
        <v>0</v>
      </c>
      <c r="N706" s="8" t="s">
        <v>35</v>
      </c>
      <c r="O706" s="8">
        <v>0</v>
      </c>
      <c r="P706" s="8" t="s">
        <v>35</v>
      </c>
      <c r="Q706" s="8" t="s">
        <v>4262</v>
      </c>
      <c r="R706" s="8">
        <v>0.25</v>
      </c>
      <c r="S706" s="8">
        <v>102978783</v>
      </c>
      <c r="T706" s="8" t="s">
        <v>46</v>
      </c>
      <c r="U706" s="8" t="s">
        <v>24</v>
      </c>
    </row>
    <row r="707" spans="1:21">
      <c r="A707" s="8" t="s">
        <v>5890</v>
      </c>
      <c r="B707" s="8" t="s">
        <v>3521</v>
      </c>
      <c r="C707" s="8">
        <v>79710</v>
      </c>
      <c r="D707" s="8" t="s">
        <v>418</v>
      </c>
      <c r="E707" s="8">
        <v>106186280</v>
      </c>
      <c r="F707" s="8">
        <v>106186280</v>
      </c>
      <c r="G707" s="8" t="s">
        <v>41</v>
      </c>
      <c r="H707" s="8" t="s">
        <v>25</v>
      </c>
      <c r="I707" s="8" t="s">
        <v>23</v>
      </c>
      <c r="J707" s="8" t="s">
        <v>6341</v>
      </c>
      <c r="K707" s="8" t="s">
        <v>6343</v>
      </c>
      <c r="L707" s="8" t="s">
        <v>19</v>
      </c>
      <c r="M707" s="8">
        <v>2116</v>
      </c>
      <c r="N707" s="8" t="s">
        <v>3078</v>
      </c>
      <c r="O707" s="8">
        <v>614</v>
      </c>
      <c r="P707" s="8" t="s">
        <v>6342</v>
      </c>
      <c r="Q707" s="8" t="s">
        <v>4262</v>
      </c>
      <c r="R707" s="8">
        <v>0.40200000000000002</v>
      </c>
      <c r="S707" s="8">
        <v>106186280</v>
      </c>
      <c r="T707" s="8" t="s">
        <v>41</v>
      </c>
      <c r="U707" s="8" t="s">
        <v>25</v>
      </c>
    </row>
    <row r="708" spans="1:21">
      <c r="A708" s="8" t="s">
        <v>5890</v>
      </c>
      <c r="B708" s="8" t="s">
        <v>3905</v>
      </c>
      <c r="C708" s="8">
        <v>5358</v>
      </c>
      <c r="D708" s="8" t="s">
        <v>418</v>
      </c>
      <c r="E708" s="8">
        <v>114864228</v>
      </c>
      <c r="F708" s="8">
        <v>114864228</v>
      </c>
      <c r="G708" s="8" t="s">
        <v>25</v>
      </c>
      <c r="H708" s="8" t="s">
        <v>24</v>
      </c>
      <c r="I708" s="8" t="s">
        <v>23</v>
      </c>
      <c r="J708" s="8" t="s">
        <v>5031</v>
      </c>
      <c r="K708" s="8" t="s">
        <v>5033</v>
      </c>
      <c r="L708" s="8" t="s">
        <v>19</v>
      </c>
      <c r="M708" s="8">
        <v>583</v>
      </c>
      <c r="N708" s="8" t="s">
        <v>394</v>
      </c>
      <c r="O708" s="8">
        <v>150</v>
      </c>
      <c r="P708" s="8" t="s">
        <v>5336</v>
      </c>
      <c r="Q708" s="8" t="s">
        <v>4262</v>
      </c>
      <c r="R708" s="8">
        <v>0.28399999999999997</v>
      </c>
      <c r="S708" s="8">
        <v>114864228</v>
      </c>
      <c r="T708" s="8" t="s">
        <v>25</v>
      </c>
      <c r="U708" s="8" t="s">
        <v>24</v>
      </c>
    </row>
    <row r="709" spans="1:21">
      <c r="A709" s="8" t="s">
        <v>5890</v>
      </c>
      <c r="B709" s="8"/>
      <c r="C709" s="8">
        <v>644717</v>
      </c>
      <c r="D709" s="8" t="s">
        <v>418</v>
      </c>
      <c r="E709" s="8">
        <v>134808275</v>
      </c>
      <c r="F709" s="8">
        <v>134808275</v>
      </c>
      <c r="G709" s="8" t="s">
        <v>46</v>
      </c>
      <c r="H709" s="8" t="s">
        <v>25</v>
      </c>
      <c r="I709" s="8" t="s">
        <v>23</v>
      </c>
      <c r="J709" s="8" t="s">
        <v>6344</v>
      </c>
      <c r="K709" s="8" t="s">
        <v>6346</v>
      </c>
      <c r="L709" s="8" t="s">
        <v>19</v>
      </c>
      <c r="M709" s="8">
        <v>1623</v>
      </c>
      <c r="N709" s="8" t="s">
        <v>2948</v>
      </c>
      <c r="O709" s="8">
        <v>541</v>
      </c>
      <c r="P709" s="8" t="s">
        <v>6345</v>
      </c>
      <c r="Q709" s="8" t="s">
        <v>4262</v>
      </c>
      <c r="R709" s="8">
        <v>0.34200000000000003</v>
      </c>
      <c r="S709" s="8">
        <v>134808275</v>
      </c>
      <c r="T709" s="8" t="s">
        <v>46</v>
      </c>
      <c r="U709" s="8" t="s">
        <v>25</v>
      </c>
    </row>
    <row r="710" spans="1:21">
      <c r="A710" s="8" t="s">
        <v>6350</v>
      </c>
      <c r="B710" s="8" t="s">
        <v>2072</v>
      </c>
      <c r="C710" s="8">
        <v>1491</v>
      </c>
      <c r="D710" s="8" t="s">
        <v>22</v>
      </c>
      <c r="E710" s="8">
        <v>70904415</v>
      </c>
      <c r="F710" s="8">
        <v>70904415</v>
      </c>
      <c r="G710" s="8" t="s">
        <v>41</v>
      </c>
      <c r="H710" s="8" t="s">
        <v>46</v>
      </c>
      <c r="I710" s="8" t="s">
        <v>23</v>
      </c>
      <c r="J710" s="8" t="s">
        <v>6347</v>
      </c>
      <c r="K710" s="8" t="s">
        <v>6349</v>
      </c>
      <c r="L710" s="8" t="s">
        <v>19</v>
      </c>
      <c r="M710" s="8">
        <v>1295</v>
      </c>
      <c r="N710" s="8" t="s">
        <v>766</v>
      </c>
      <c r="O710" s="8">
        <v>366</v>
      </c>
      <c r="P710" s="8" t="s">
        <v>6348</v>
      </c>
      <c r="Q710" s="8" t="s">
        <v>4262</v>
      </c>
      <c r="R710" s="8">
        <v>0.17899999999999999</v>
      </c>
      <c r="S710" s="8">
        <v>70904415</v>
      </c>
      <c r="T710" s="8" t="s">
        <v>41</v>
      </c>
      <c r="U710" s="8" t="s">
        <v>46</v>
      </c>
    </row>
    <row r="711" spans="1:21">
      <c r="A711" s="8" t="s">
        <v>6350</v>
      </c>
      <c r="B711" s="8" t="s">
        <v>3522</v>
      </c>
      <c r="C711" s="8">
        <v>2312</v>
      </c>
      <c r="D711" s="8" t="s">
        <v>22</v>
      </c>
      <c r="E711" s="8">
        <v>152284262</v>
      </c>
      <c r="F711" s="8">
        <v>152284262</v>
      </c>
      <c r="G711" s="8" t="s">
        <v>46</v>
      </c>
      <c r="H711" s="8" t="s">
        <v>25</v>
      </c>
      <c r="I711" s="8" t="s">
        <v>23</v>
      </c>
      <c r="J711" s="8" t="s">
        <v>3523</v>
      </c>
      <c r="K711" s="8" t="s">
        <v>4266</v>
      </c>
      <c r="L711" s="8" t="s">
        <v>76</v>
      </c>
      <c r="M711" s="8">
        <v>3136</v>
      </c>
      <c r="N711" s="8" t="s">
        <v>1244</v>
      </c>
      <c r="O711" s="8">
        <v>1034</v>
      </c>
      <c r="P711" s="8" t="s">
        <v>6351</v>
      </c>
      <c r="Q711" s="8" t="s">
        <v>4262</v>
      </c>
      <c r="R711" s="8">
        <v>0.28000000000000003</v>
      </c>
      <c r="S711" s="8">
        <v>152284262</v>
      </c>
      <c r="T711" s="8" t="s">
        <v>46</v>
      </c>
      <c r="U711" s="8" t="s">
        <v>25</v>
      </c>
    </row>
    <row r="712" spans="1:21">
      <c r="A712" s="8" t="s">
        <v>6350</v>
      </c>
      <c r="B712" s="8" t="s">
        <v>6352</v>
      </c>
      <c r="C712" s="8">
        <v>480</v>
      </c>
      <c r="D712" s="8" t="s">
        <v>22</v>
      </c>
      <c r="E712" s="8">
        <v>160151550</v>
      </c>
      <c r="F712" s="8">
        <v>160151550</v>
      </c>
      <c r="G712" s="8" t="s">
        <v>46</v>
      </c>
      <c r="H712" s="8" t="s">
        <v>41</v>
      </c>
      <c r="I712" s="8" t="s">
        <v>23</v>
      </c>
      <c r="J712" s="8" t="s">
        <v>6353</v>
      </c>
      <c r="K712" s="8" t="s">
        <v>6355</v>
      </c>
      <c r="L712" s="8" t="s">
        <v>19</v>
      </c>
      <c r="M712" s="8">
        <v>3292</v>
      </c>
      <c r="N712" s="8" t="s">
        <v>230</v>
      </c>
      <c r="O712" s="8">
        <v>938</v>
      </c>
      <c r="P712" s="8" t="s">
        <v>6354</v>
      </c>
      <c r="Q712" s="8" t="s">
        <v>4262</v>
      </c>
      <c r="R712" s="8">
        <v>6.5000000000000002E-2</v>
      </c>
      <c r="S712" s="8">
        <v>160151550</v>
      </c>
      <c r="T712" s="8" t="s">
        <v>46</v>
      </c>
      <c r="U712" s="8" t="s">
        <v>41</v>
      </c>
    </row>
    <row r="713" spans="1:21">
      <c r="A713" s="8" t="s">
        <v>6350</v>
      </c>
      <c r="B713" s="8" t="s">
        <v>3524</v>
      </c>
      <c r="C713" s="8">
        <v>149041</v>
      </c>
      <c r="D713" s="8" t="s">
        <v>22</v>
      </c>
      <c r="E713" s="8">
        <v>173931227</v>
      </c>
      <c r="F713" s="8">
        <v>173931227</v>
      </c>
      <c r="G713" s="8" t="s">
        <v>41</v>
      </c>
      <c r="H713" s="8" t="s">
        <v>46</v>
      </c>
      <c r="I713" s="8" t="s">
        <v>23</v>
      </c>
      <c r="J713" s="8" t="s">
        <v>3525</v>
      </c>
      <c r="K713" s="8" t="s">
        <v>6357</v>
      </c>
      <c r="L713" s="8" t="s">
        <v>19</v>
      </c>
      <c r="M713" s="8">
        <v>1925</v>
      </c>
      <c r="N713" s="8" t="s">
        <v>1055</v>
      </c>
      <c r="O713" s="8">
        <v>613</v>
      </c>
      <c r="P713" s="8" t="s">
        <v>6356</v>
      </c>
      <c r="Q713" s="8" t="s">
        <v>4262</v>
      </c>
      <c r="R713" s="8">
        <v>0.33100000000000002</v>
      </c>
      <c r="S713" s="8">
        <v>173931227</v>
      </c>
      <c r="T713" s="8" t="s">
        <v>41</v>
      </c>
      <c r="U713" s="8" t="s">
        <v>46</v>
      </c>
    </row>
    <row r="714" spans="1:21">
      <c r="A714" s="8" t="s">
        <v>6350</v>
      </c>
      <c r="B714" s="8" t="s">
        <v>3526</v>
      </c>
      <c r="C714" s="8">
        <v>23569</v>
      </c>
      <c r="D714" s="8" t="s">
        <v>22</v>
      </c>
      <c r="E714" s="8">
        <v>17682580</v>
      </c>
      <c r="F714" s="8">
        <v>17682580</v>
      </c>
      <c r="G714" s="8" t="s">
        <v>46</v>
      </c>
      <c r="H714" s="8" t="s">
        <v>24</v>
      </c>
      <c r="I714" s="8" t="s">
        <v>23</v>
      </c>
      <c r="J714" s="8" t="s">
        <v>3527</v>
      </c>
      <c r="K714" s="8" t="s">
        <v>6359</v>
      </c>
      <c r="L714" s="8" t="s">
        <v>19</v>
      </c>
      <c r="M714" s="8">
        <v>1441</v>
      </c>
      <c r="N714" s="8" t="s">
        <v>345</v>
      </c>
      <c r="O714" s="8">
        <v>471</v>
      </c>
      <c r="P714" s="8" t="s">
        <v>6358</v>
      </c>
      <c r="Q714" s="8" t="s">
        <v>4262</v>
      </c>
      <c r="R714" s="8">
        <v>0.182</v>
      </c>
      <c r="S714" s="8">
        <v>17682580</v>
      </c>
      <c r="T714" s="8" t="s">
        <v>46</v>
      </c>
      <c r="U714" s="8" t="s">
        <v>24</v>
      </c>
    </row>
    <row r="715" spans="1:21">
      <c r="A715" s="8" t="s">
        <v>6350</v>
      </c>
      <c r="B715" s="8" t="s">
        <v>3526</v>
      </c>
      <c r="C715" s="8">
        <v>23569</v>
      </c>
      <c r="D715" s="8" t="s">
        <v>22</v>
      </c>
      <c r="E715" s="8">
        <v>17682581</v>
      </c>
      <c r="F715" s="8">
        <v>17682581</v>
      </c>
      <c r="G715" s="8" t="s">
        <v>24</v>
      </c>
      <c r="H715" s="8" t="s">
        <v>25</v>
      </c>
      <c r="I715" s="8" t="s">
        <v>23</v>
      </c>
      <c r="J715" s="8" t="s">
        <v>3527</v>
      </c>
      <c r="K715" s="8" t="s">
        <v>6359</v>
      </c>
      <c r="L715" s="8" t="s">
        <v>19</v>
      </c>
      <c r="M715" s="8">
        <v>1442</v>
      </c>
      <c r="N715" s="8" t="s">
        <v>171</v>
      </c>
      <c r="O715" s="8">
        <v>472</v>
      </c>
      <c r="P715" s="8" t="s">
        <v>6360</v>
      </c>
      <c r="Q715" s="8" t="s">
        <v>4262</v>
      </c>
      <c r="R715" s="8">
        <v>0.182</v>
      </c>
      <c r="S715" s="8">
        <v>17682581</v>
      </c>
      <c r="T715" s="8" t="s">
        <v>24</v>
      </c>
      <c r="U715" s="8" t="s">
        <v>25</v>
      </c>
    </row>
    <row r="716" spans="1:21">
      <c r="A716" s="8" t="s">
        <v>6350</v>
      </c>
      <c r="B716" s="8" t="s">
        <v>3225</v>
      </c>
      <c r="C716" s="8">
        <v>255104</v>
      </c>
      <c r="D716" s="8" t="s">
        <v>22</v>
      </c>
      <c r="E716" s="8">
        <v>20009776</v>
      </c>
      <c r="F716" s="8">
        <v>20009776</v>
      </c>
      <c r="G716" s="8" t="s">
        <v>46</v>
      </c>
      <c r="H716" s="8" t="s">
        <v>24</v>
      </c>
      <c r="I716" s="8" t="s">
        <v>23</v>
      </c>
      <c r="J716" s="8" t="s">
        <v>3226</v>
      </c>
      <c r="K716" s="8" t="s">
        <v>6362</v>
      </c>
      <c r="L716" s="8" t="s">
        <v>19</v>
      </c>
      <c r="M716" s="8">
        <v>1904</v>
      </c>
      <c r="N716" s="8" t="s">
        <v>1380</v>
      </c>
      <c r="O716" s="8">
        <v>554</v>
      </c>
      <c r="P716" s="8" t="s">
        <v>6361</v>
      </c>
      <c r="Q716" s="8" t="s">
        <v>4262</v>
      </c>
      <c r="R716" s="8">
        <v>0.435</v>
      </c>
      <c r="S716" s="8">
        <v>20009776</v>
      </c>
      <c r="T716" s="8" t="s">
        <v>46</v>
      </c>
      <c r="U716" s="8" t="s">
        <v>24</v>
      </c>
    </row>
    <row r="717" spans="1:21">
      <c r="A717" s="8" t="s">
        <v>6350</v>
      </c>
      <c r="B717" s="8" t="s">
        <v>989</v>
      </c>
      <c r="C717" s="8">
        <v>89796</v>
      </c>
      <c r="D717" s="8" t="s">
        <v>22</v>
      </c>
      <c r="E717" s="8">
        <v>201759872</v>
      </c>
      <c r="F717" s="8">
        <v>201759872</v>
      </c>
      <c r="G717" s="8" t="s">
        <v>41</v>
      </c>
      <c r="H717" s="8" t="s">
        <v>25</v>
      </c>
      <c r="I717" s="8" t="s">
        <v>23</v>
      </c>
      <c r="J717" s="8" t="s">
        <v>990</v>
      </c>
      <c r="K717" s="8" t="s">
        <v>5129</v>
      </c>
      <c r="L717" s="8" t="s">
        <v>76</v>
      </c>
      <c r="M717" s="8">
        <v>3646</v>
      </c>
      <c r="N717" s="8" t="s">
        <v>3668</v>
      </c>
      <c r="O717" s="8">
        <v>1100</v>
      </c>
      <c r="P717" s="8" t="s">
        <v>6363</v>
      </c>
      <c r="Q717" s="8" t="s">
        <v>4262</v>
      </c>
      <c r="R717" s="8">
        <v>0.17100000000000001</v>
      </c>
      <c r="S717" s="8">
        <v>201759872</v>
      </c>
      <c r="T717" s="8" t="s">
        <v>41</v>
      </c>
      <c r="U717" s="8" t="s">
        <v>25</v>
      </c>
    </row>
    <row r="718" spans="1:21">
      <c r="A718" s="8" t="s">
        <v>6350</v>
      </c>
      <c r="B718" s="8" t="s">
        <v>3528</v>
      </c>
      <c r="C718" s="8">
        <v>7042</v>
      </c>
      <c r="D718" s="8" t="s">
        <v>22</v>
      </c>
      <c r="E718" s="8">
        <v>218520134</v>
      </c>
      <c r="F718" s="8">
        <v>218520134</v>
      </c>
      <c r="G718" s="8" t="s">
        <v>46</v>
      </c>
      <c r="H718" s="8" t="s">
        <v>41</v>
      </c>
      <c r="I718" s="8" t="s">
        <v>23</v>
      </c>
      <c r="J718" s="8" t="s">
        <v>6364</v>
      </c>
      <c r="K718" s="8" t="s">
        <v>6366</v>
      </c>
      <c r="L718" s="8" t="s">
        <v>76</v>
      </c>
      <c r="M718" s="8">
        <v>1459</v>
      </c>
      <c r="N718" s="8" t="s">
        <v>371</v>
      </c>
      <c r="O718" s="8">
        <v>31</v>
      </c>
      <c r="P718" s="8" t="s">
        <v>6365</v>
      </c>
      <c r="Q718" s="8" t="s">
        <v>4262</v>
      </c>
      <c r="R718" s="8">
        <v>0.60199999999999998</v>
      </c>
      <c r="S718" s="8">
        <v>218520134</v>
      </c>
      <c r="T718" s="8" t="s">
        <v>46</v>
      </c>
      <c r="U718" s="8" t="s">
        <v>41</v>
      </c>
    </row>
    <row r="719" spans="1:21">
      <c r="A719" s="8" t="s">
        <v>6350</v>
      </c>
      <c r="B719" s="8" t="s">
        <v>3085</v>
      </c>
      <c r="C719" s="8">
        <v>127602</v>
      </c>
      <c r="D719" s="8" t="s">
        <v>22</v>
      </c>
      <c r="E719" s="8">
        <v>225511976</v>
      </c>
      <c r="F719" s="8">
        <v>225511976</v>
      </c>
      <c r="G719" s="8" t="s">
        <v>25</v>
      </c>
      <c r="H719" s="8" t="s">
        <v>46</v>
      </c>
      <c r="I719" s="8" t="s">
        <v>23</v>
      </c>
      <c r="J719" s="8" t="s">
        <v>3086</v>
      </c>
      <c r="K719" s="8" t="s">
        <v>6368</v>
      </c>
      <c r="L719" s="8" t="s">
        <v>19</v>
      </c>
      <c r="M719" s="8">
        <v>9484</v>
      </c>
      <c r="N719" s="8" t="s">
        <v>2989</v>
      </c>
      <c r="O719" s="8">
        <v>3090</v>
      </c>
      <c r="P719" s="8" t="s">
        <v>6367</v>
      </c>
      <c r="Q719" s="8" t="s">
        <v>4262</v>
      </c>
      <c r="R719" s="8">
        <v>0.11899999999999999</v>
      </c>
      <c r="S719" s="8">
        <v>225511976</v>
      </c>
      <c r="T719" s="8" t="s">
        <v>25</v>
      </c>
      <c r="U719" s="8" t="s">
        <v>46</v>
      </c>
    </row>
    <row r="720" spans="1:21">
      <c r="A720" s="8" t="s">
        <v>6350</v>
      </c>
      <c r="B720" s="8" t="s">
        <v>1931</v>
      </c>
      <c r="C720" s="8">
        <v>183</v>
      </c>
      <c r="D720" s="8" t="s">
        <v>22</v>
      </c>
      <c r="E720" s="8">
        <v>230846484</v>
      </c>
      <c r="F720" s="8">
        <v>230846484</v>
      </c>
      <c r="G720" s="8" t="s">
        <v>25</v>
      </c>
      <c r="H720" s="8" t="s">
        <v>41</v>
      </c>
      <c r="I720" s="8" t="s">
        <v>23</v>
      </c>
      <c r="J720" s="8" t="s">
        <v>5270</v>
      </c>
      <c r="K720" s="8" t="s">
        <v>5272</v>
      </c>
      <c r="L720" s="8" t="s">
        <v>19</v>
      </c>
      <c r="M720" s="8">
        <v>621</v>
      </c>
      <c r="N720" s="8" t="s">
        <v>1639</v>
      </c>
      <c r="O720" s="8">
        <v>38</v>
      </c>
      <c r="P720" s="8" t="s">
        <v>6369</v>
      </c>
      <c r="Q720" s="8" t="s">
        <v>4262</v>
      </c>
      <c r="R720" s="8">
        <v>8.4000000000000005E-2</v>
      </c>
      <c r="S720" s="8">
        <v>230846484</v>
      </c>
      <c r="T720" s="8" t="s">
        <v>25</v>
      </c>
      <c r="U720" s="8" t="s">
        <v>41</v>
      </c>
    </row>
    <row r="721" spans="1:21">
      <c r="A721" s="8" t="s">
        <v>6350</v>
      </c>
      <c r="B721" s="8" t="s">
        <v>51</v>
      </c>
      <c r="C721" s="8">
        <v>391189</v>
      </c>
      <c r="D721" s="8" t="s">
        <v>22</v>
      </c>
      <c r="E721" s="8">
        <v>248005014</v>
      </c>
      <c r="F721" s="8">
        <v>248005014</v>
      </c>
      <c r="G721" s="8" t="s">
        <v>25</v>
      </c>
      <c r="H721" s="8" t="s">
        <v>46</v>
      </c>
      <c r="I721" s="8" t="s">
        <v>23</v>
      </c>
      <c r="J721" s="8" t="s">
        <v>52</v>
      </c>
      <c r="K721" s="8" t="s">
        <v>6371</v>
      </c>
      <c r="L721" s="8" t="s">
        <v>19</v>
      </c>
      <c r="M721" s="8">
        <v>185</v>
      </c>
      <c r="N721" s="8" t="s">
        <v>1281</v>
      </c>
      <c r="O721" s="8">
        <v>62</v>
      </c>
      <c r="P721" s="8" t="s">
        <v>6370</v>
      </c>
      <c r="Q721" s="8" t="s">
        <v>4262</v>
      </c>
      <c r="R721" s="8">
        <v>0.25900000000000001</v>
      </c>
      <c r="S721" s="8">
        <v>248005014</v>
      </c>
      <c r="T721" s="8" t="s">
        <v>25</v>
      </c>
      <c r="U721" s="8" t="s">
        <v>46</v>
      </c>
    </row>
    <row r="722" spans="1:21">
      <c r="A722" s="8" t="s">
        <v>6350</v>
      </c>
      <c r="B722" s="8" t="s">
        <v>737</v>
      </c>
      <c r="C722" s="8">
        <v>7273</v>
      </c>
      <c r="D722" s="8" t="s">
        <v>172</v>
      </c>
      <c r="E722" s="8">
        <v>179559345</v>
      </c>
      <c r="F722" s="8">
        <v>179559345</v>
      </c>
      <c r="G722" s="8" t="s">
        <v>41</v>
      </c>
      <c r="H722" s="8" t="s">
        <v>25</v>
      </c>
      <c r="I722" s="8" t="s">
        <v>23</v>
      </c>
      <c r="J722" s="8" t="s">
        <v>4530</v>
      </c>
      <c r="K722" s="8" t="s">
        <v>4532</v>
      </c>
      <c r="L722" s="8" t="s">
        <v>19</v>
      </c>
      <c r="M722" s="8">
        <v>27900</v>
      </c>
      <c r="N722" s="8" t="s">
        <v>801</v>
      </c>
      <c r="O722" s="8">
        <v>9225</v>
      </c>
      <c r="P722" s="8" t="s">
        <v>6372</v>
      </c>
      <c r="Q722" s="8" t="s">
        <v>4262</v>
      </c>
      <c r="R722" s="8">
        <v>0.36799999999999999</v>
      </c>
      <c r="S722" s="8">
        <v>179559345</v>
      </c>
      <c r="T722" s="8" t="s">
        <v>41</v>
      </c>
      <c r="U722" s="8" t="s">
        <v>25</v>
      </c>
    </row>
    <row r="723" spans="1:21">
      <c r="A723" s="8" t="s">
        <v>6350</v>
      </c>
      <c r="B723" s="8" t="s">
        <v>3071</v>
      </c>
      <c r="C723" s="8">
        <v>401024</v>
      </c>
      <c r="D723" s="8" t="s">
        <v>172</v>
      </c>
      <c r="E723" s="8">
        <v>186661248</v>
      </c>
      <c r="F723" s="8">
        <v>186661248</v>
      </c>
      <c r="G723" s="8" t="s">
        <v>41</v>
      </c>
      <c r="H723" s="8" t="s">
        <v>46</v>
      </c>
      <c r="I723" s="8" t="s">
        <v>23</v>
      </c>
      <c r="J723" s="8" t="s">
        <v>3072</v>
      </c>
      <c r="K723" s="8" t="s">
        <v>6374</v>
      </c>
      <c r="L723" s="8" t="s">
        <v>19</v>
      </c>
      <c r="M723" s="8">
        <v>9652</v>
      </c>
      <c r="N723" s="8" t="s">
        <v>1168</v>
      </c>
      <c r="O723" s="8">
        <v>3218</v>
      </c>
      <c r="P723" s="8" t="s">
        <v>6373</v>
      </c>
      <c r="Q723" s="8" t="s">
        <v>4262</v>
      </c>
      <c r="R723" s="8">
        <v>0.33500000000000002</v>
      </c>
      <c r="S723" s="8">
        <v>186661248</v>
      </c>
      <c r="T723" s="8" t="s">
        <v>41</v>
      </c>
      <c r="U723" s="8" t="s">
        <v>46</v>
      </c>
    </row>
    <row r="724" spans="1:21">
      <c r="A724" s="8" t="s">
        <v>6350</v>
      </c>
      <c r="B724" s="8" t="s">
        <v>3553</v>
      </c>
      <c r="C724" s="8">
        <v>56171</v>
      </c>
      <c r="D724" s="8" t="s">
        <v>172</v>
      </c>
      <c r="E724" s="8">
        <v>196825083</v>
      </c>
      <c r="F724" s="8">
        <v>196825083</v>
      </c>
      <c r="G724" s="8" t="s">
        <v>24</v>
      </c>
      <c r="H724" s="8" t="s">
        <v>25</v>
      </c>
      <c r="I724" s="8" t="s">
        <v>23</v>
      </c>
      <c r="J724" s="8" t="s">
        <v>3554</v>
      </c>
      <c r="K724" s="8" t="s">
        <v>6376</v>
      </c>
      <c r="L724" s="8" t="s">
        <v>19</v>
      </c>
      <c r="M724" s="8">
        <v>2893</v>
      </c>
      <c r="N724" s="8" t="s">
        <v>417</v>
      </c>
      <c r="O724" s="8">
        <v>931</v>
      </c>
      <c r="P724" s="8" t="s">
        <v>6375</v>
      </c>
      <c r="Q724" s="8" t="s">
        <v>4262</v>
      </c>
      <c r="R724" s="8">
        <v>0.51100000000000001</v>
      </c>
      <c r="S724" s="8">
        <v>196825083</v>
      </c>
      <c r="T724" s="8" t="s">
        <v>24</v>
      </c>
      <c r="U724" s="8" t="s">
        <v>25</v>
      </c>
    </row>
    <row r="725" spans="1:21">
      <c r="A725" s="8" t="s">
        <v>6350</v>
      </c>
      <c r="B725" s="8" t="s">
        <v>3555</v>
      </c>
      <c r="C725" s="8">
        <v>375307</v>
      </c>
      <c r="D725" s="8" t="s">
        <v>172</v>
      </c>
      <c r="E725" s="8">
        <v>219227547</v>
      </c>
      <c r="F725" s="8">
        <v>219227547</v>
      </c>
      <c r="G725" s="8" t="s">
        <v>24</v>
      </c>
      <c r="H725" s="8" t="s">
        <v>25</v>
      </c>
      <c r="I725" s="8" t="s">
        <v>23</v>
      </c>
      <c r="J725" s="8" t="s">
        <v>3556</v>
      </c>
      <c r="K725" s="8" t="s">
        <v>6378</v>
      </c>
      <c r="L725" s="8" t="s">
        <v>19</v>
      </c>
      <c r="M725" s="8">
        <v>581</v>
      </c>
      <c r="N725" s="8" t="s">
        <v>2439</v>
      </c>
      <c r="O725" s="8">
        <v>184</v>
      </c>
      <c r="P725" s="8" t="s">
        <v>6377</v>
      </c>
      <c r="Q725" s="8" t="s">
        <v>4262</v>
      </c>
      <c r="R725" s="8">
        <v>0.34</v>
      </c>
      <c r="S725" s="8">
        <v>219227547</v>
      </c>
      <c r="T725" s="8" t="s">
        <v>24</v>
      </c>
      <c r="U725" s="8" t="s">
        <v>25</v>
      </c>
    </row>
    <row r="726" spans="1:21">
      <c r="A726" s="8" t="s">
        <v>6350</v>
      </c>
      <c r="B726" s="8" t="s">
        <v>1502</v>
      </c>
      <c r="C726" s="8">
        <v>1286</v>
      </c>
      <c r="D726" s="8" t="s">
        <v>172</v>
      </c>
      <c r="E726" s="8">
        <v>227912215</v>
      </c>
      <c r="F726" s="8">
        <v>227912215</v>
      </c>
      <c r="G726" s="8" t="s">
        <v>46</v>
      </c>
      <c r="H726" s="8" t="s">
        <v>25</v>
      </c>
      <c r="I726" s="8" t="s">
        <v>23</v>
      </c>
      <c r="J726" s="8" t="s">
        <v>1503</v>
      </c>
      <c r="K726" s="8" t="s">
        <v>6380</v>
      </c>
      <c r="L726" s="8" t="s">
        <v>76</v>
      </c>
      <c r="M726" s="8">
        <v>3919</v>
      </c>
      <c r="N726" s="8" t="s">
        <v>263</v>
      </c>
      <c r="O726" s="8">
        <v>1089</v>
      </c>
      <c r="P726" s="8" t="s">
        <v>6379</v>
      </c>
      <c r="Q726" s="8" t="s">
        <v>4262</v>
      </c>
      <c r="R726" s="8">
        <v>0.39300000000000002</v>
      </c>
      <c r="S726" s="8">
        <v>227912215</v>
      </c>
      <c r="T726" s="8" t="s">
        <v>46</v>
      </c>
      <c r="U726" s="8" t="s">
        <v>25</v>
      </c>
    </row>
    <row r="727" spans="1:21">
      <c r="A727" s="8" t="s">
        <v>6350</v>
      </c>
      <c r="B727" s="8" t="s">
        <v>6381</v>
      </c>
      <c r="C727" s="8">
        <v>64080</v>
      </c>
      <c r="D727" s="8" t="s">
        <v>172</v>
      </c>
      <c r="E727" s="8">
        <v>28113199</v>
      </c>
      <c r="F727" s="8">
        <v>28113199</v>
      </c>
      <c r="G727" s="8" t="s">
        <v>46</v>
      </c>
      <c r="H727" s="8" t="s">
        <v>41</v>
      </c>
      <c r="I727" s="8" t="s">
        <v>23</v>
      </c>
      <c r="J727" s="8" t="s">
        <v>6382</v>
      </c>
      <c r="K727" s="8" t="s">
        <v>6384</v>
      </c>
      <c r="L727" s="8" t="s">
        <v>19</v>
      </c>
      <c r="M727" s="8">
        <v>25</v>
      </c>
      <c r="N727" s="8" t="s">
        <v>1399</v>
      </c>
      <c r="O727" s="8">
        <v>5</v>
      </c>
      <c r="P727" s="8" t="s">
        <v>6383</v>
      </c>
      <c r="Q727" s="8" t="s">
        <v>4262</v>
      </c>
      <c r="R727" s="8">
        <v>0.68799999999999994</v>
      </c>
      <c r="S727" s="8">
        <v>28113199</v>
      </c>
      <c r="T727" s="8" t="s">
        <v>46</v>
      </c>
      <c r="U727" s="8" t="s">
        <v>41</v>
      </c>
    </row>
    <row r="728" spans="1:21">
      <c r="A728" s="8" t="s">
        <v>6350</v>
      </c>
      <c r="B728" s="8" t="s">
        <v>3557</v>
      </c>
      <c r="C728" s="8">
        <v>5610</v>
      </c>
      <c r="D728" s="8" t="s">
        <v>172</v>
      </c>
      <c r="E728" s="8">
        <v>37365722</v>
      </c>
      <c r="F728" s="8">
        <v>37365722</v>
      </c>
      <c r="G728" s="8" t="s">
        <v>46</v>
      </c>
      <c r="H728" s="8" t="s">
        <v>25</v>
      </c>
      <c r="I728" s="8" t="s">
        <v>23</v>
      </c>
      <c r="J728" s="8" t="s">
        <v>6385</v>
      </c>
      <c r="K728" s="8" t="s">
        <v>6387</v>
      </c>
      <c r="L728" s="8" t="s">
        <v>19</v>
      </c>
      <c r="M728" s="8">
        <v>846</v>
      </c>
      <c r="N728" s="8" t="s">
        <v>463</v>
      </c>
      <c r="O728" s="8">
        <v>175</v>
      </c>
      <c r="P728" s="8" t="s">
        <v>6386</v>
      </c>
      <c r="Q728" s="8" t="s">
        <v>4262</v>
      </c>
      <c r="R728" s="8">
        <v>0.49199999999999999</v>
      </c>
      <c r="S728" s="8">
        <v>37365722</v>
      </c>
      <c r="T728" s="8" t="s">
        <v>46</v>
      </c>
      <c r="U728" s="8" t="s">
        <v>25</v>
      </c>
    </row>
    <row r="729" spans="1:21">
      <c r="A729" s="8" t="s">
        <v>6350</v>
      </c>
      <c r="B729" s="8" t="s">
        <v>2081</v>
      </c>
      <c r="C729" s="8">
        <v>25890</v>
      </c>
      <c r="D729" s="8" t="s">
        <v>201</v>
      </c>
      <c r="E729" s="8">
        <v>100617667</v>
      </c>
      <c r="F729" s="8">
        <v>100617667</v>
      </c>
      <c r="G729" s="8" t="s">
        <v>25</v>
      </c>
      <c r="H729" s="8" t="s">
        <v>41</v>
      </c>
      <c r="I729" s="8" t="s">
        <v>23</v>
      </c>
      <c r="J729" s="8" t="s">
        <v>3566</v>
      </c>
      <c r="K729" s="8" t="s">
        <v>6389</v>
      </c>
      <c r="L729" s="8" t="s">
        <v>19</v>
      </c>
      <c r="M729" s="8">
        <v>506</v>
      </c>
      <c r="N729" s="8" t="s">
        <v>40</v>
      </c>
      <c r="O729" s="8">
        <v>141</v>
      </c>
      <c r="P729" s="8" t="s">
        <v>6388</v>
      </c>
      <c r="Q729" s="8" t="s">
        <v>4262</v>
      </c>
      <c r="R729" s="8">
        <v>0.33100000000000002</v>
      </c>
      <c r="S729" s="8">
        <v>100617667</v>
      </c>
      <c r="T729" s="8" t="s">
        <v>25</v>
      </c>
      <c r="U729" s="8" t="s">
        <v>41</v>
      </c>
    </row>
    <row r="730" spans="1:21">
      <c r="A730" s="8" t="s">
        <v>6350</v>
      </c>
      <c r="B730" s="8" t="s">
        <v>6390</v>
      </c>
      <c r="C730" s="8">
        <v>2047</v>
      </c>
      <c r="D730" s="8" t="s">
        <v>201</v>
      </c>
      <c r="E730" s="8">
        <v>134977876</v>
      </c>
      <c r="F730" s="8">
        <v>134977876</v>
      </c>
      <c r="G730" s="8" t="s">
        <v>25</v>
      </c>
      <c r="H730" s="8" t="s">
        <v>24</v>
      </c>
      <c r="I730" s="8" t="s">
        <v>23</v>
      </c>
      <c r="J730" s="8" t="s">
        <v>6391</v>
      </c>
      <c r="K730" s="8" t="s">
        <v>6393</v>
      </c>
      <c r="L730" s="8" t="s">
        <v>19</v>
      </c>
      <c r="M730" s="8">
        <v>3244</v>
      </c>
      <c r="N730" s="8" t="s">
        <v>283</v>
      </c>
      <c r="O730" s="8">
        <v>957</v>
      </c>
      <c r="P730" s="8" t="s">
        <v>6392</v>
      </c>
      <c r="Q730" s="8" t="s">
        <v>4262</v>
      </c>
      <c r="R730" s="8">
        <v>0.16700000000000001</v>
      </c>
      <c r="S730" s="8">
        <v>134977876</v>
      </c>
      <c r="T730" s="8" t="s">
        <v>25</v>
      </c>
      <c r="U730" s="8" t="s">
        <v>24</v>
      </c>
    </row>
    <row r="731" spans="1:21">
      <c r="A731" s="8" t="s">
        <v>6350</v>
      </c>
      <c r="B731" s="8" t="s">
        <v>759</v>
      </c>
      <c r="C731" s="8">
        <v>285242</v>
      </c>
      <c r="D731" s="8" t="s">
        <v>201</v>
      </c>
      <c r="E731" s="8">
        <v>183818299</v>
      </c>
      <c r="F731" s="8">
        <v>183818299</v>
      </c>
      <c r="G731" s="8" t="s">
        <v>41</v>
      </c>
      <c r="H731" s="8" t="s">
        <v>46</v>
      </c>
      <c r="I731" s="8" t="s">
        <v>23</v>
      </c>
      <c r="J731" s="8" t="s">
        <v>760</v>
      </c>
      <c r="K731" s="8" t="s">
        <v>6395</v>
      </c>
      <c r="L731" s="8" t="s">
        <v>19</v>
      </c>
      <c r="M731" s="8">
        <v>333</v>
      </c>
      <c r="N731" s="8" t="s">
        <v>449</v>
      </c>
      <c r="O731" s="8">
        <v>47</v>
      </c>
      <c r="P731" s="8" t="s">
        <v>6394</v>
      </c>
      <c r="Q731" s="8" t="s">
        <v>4262</v>
      </c>
      <c r="R731" s="8">
        <v>0.27200000000000002</v>
      </c>
      <c r="S731" s="8">
        <v>183818299</v>
      </c>
      <c r="T731" s="8" t="s">
        <v>41</v>
      </c>
      <c r="U731" s="8" t="s">
        <v>46</v>
      </c>
    </row>
    <row r="732" spans="1:21">
      <c r="A732" s="8" t="s">
        <v>6350</v>
      </c>
      <c r="B732" s="8" t="s">
        <v>5979</v>
      </c>
      <c r="C732" s="8">
        <v>2803</v>
      </c>
      <c r="D732" s="8" t="s">
        <v>201</v>
      </c>
      <c r="E732" s="8">
        <v>37337602</v>
      </c>
      <c r="F732" s="8">
        <v>37337602</v>
      </c>
      <c r="G732" s="8" t="s">
        <v>46</v>
      </c>
      <c r="H732" s="8" t="s">
        <v>41</v>
      </c>
      <c r="I732" s="8" t="s">
        <v>23</v>
      </c>
      <c r="J732" s="8" t="s">
        <v>5980</v>
      </c>
      <c r="K732" s="8" t="s">
        <v>5982</v>
      </c>
      <c r="L732" s="8" t="s">
        <v>76</v>
      </c>
      <c r="M732" s="8">
        <v>1132</v>
      </c>
      <c r="N732" s="8" t="s">
        <v>103</v>
      </c>
      <c r="O732" s="8">
        <v>258</v>
      </c>
      <c r="P732" s="8" t="s">
        <v>6396</v>
      </c>
      <c r="Q732" s="8" t="s">
        <v>4262</v>
      </c>
      <c r="R732" s="8">
        <v>0.19600000000000001</v>
      </c>
      <c r="S732" s="8">
        <v>37337602</v>
      </c>
      <c r="T732" s="8" t="s">
        <v>46</v>
      </c>
      <c r="U732" s="8" t="s">
        <v>41</v>
      </c>
    </row>
    <row r="733" spans="1:21">
      <c r="A733" s="8" t="s">
        <v>6350</v>
      </c>
      <c r="B733" s="8" t="s">
        <v>3570</v>
      </c>
      <c r="C733" s="8">
        <v>56916</v>
      </c>
      <c r="D733" s="8" t="s">
        <v>220</v>
      </c>
      <c r="E733" s="8">
        <v>95170854</v>
      </c>
      <c r="F733" s="8">
        <v>95170854</v>
      </c>
      <c r="G733" s="8" t="s">
        <v>25</v>
      </c>
      <c r="H733" s="8" t="s">
        <v>46</v>
      </c>
      <c r="I733" s="8" t="s">
        <v>23</v>
      </c>
      <c r="J733" s="8" t="s">
        <v>6397</v>
      </c>
      <c r="K733" s="8" t="s">
        <v>6399</v>
      </c>
      <c r="L733" s="8" t="s">
        <v>19</v>
      </c>
      <c r="M733" s="8">
        <v>932</v>
      </c>
      <c r="N733" s="8" t="s">
        <v>944</v>
      </c>
      <c r="O733" s="8">
        <v>252</v>
      </c>
      <c r="P733" s="8" t="s">
        <v>6398</v>
      </c>
      <c r="Q733" s="8" t="s">
        <v>4262</v>
      </c>
      <c r="R733" s="8">
        <v>0.79100000000000004</v>
      </c>
      <c r="S733" s="8">
        <v>95170854</v>
      </c>
      <c r="T733" s="8" t="s">
        <v>25</v>
      </c>
      <c r="U733" s="8" t="s">
        <v>46</v>
      </c>
    </row>
    <row r="734" spans="1:21">
      <c r="A734" s="8" t="s">
        <v>6350</v>
      </c>
      <c r="B734" s="8" t="s">
        <v>1848</v>
      </c>
      <c r="C734" s="8">
        <v>9693</v>
      </c>
      <c r="D734" s="8" t="s">
        <v>220</v>
      </c>
      <c r="E734" s="8">
        <v>160264526</v>
      </c>
      <c r="F734" s="8">
        <v>160264526</v>
      </c>
      <c r="G734" s="8" t="s">
        <v>25</v>
      </c>
      <c r="H734" s="8" t="s">
        <v>24</v>
      </c>
      <c r="I734" s="8" t="s">
        <v>23</v>
      </c>
      <c r="J734" s="8" t="s">
        <v>3567</v>
      </c>
      <c r="K734" s="8" t="s">
        <v>6401</v>
      </c>
      <c r="L734" s="8" t="s">
        <v>19</v>
      </c>
      <c r="M734" s="8">
        <v>3051</v>
      </c>
      <c r="N734" s="8" t="s">
        <v>394</v>
      </c>
      <c r="O734" s="8">
        <v>914</v>
      </c>
      <c r="P734" s="8" t="s">
        <v>6400</v>
      </c>
      <c r="Q734" s="8" t="s">
        <v>4262</v>
      </c>
      <c r="R734" s="8">
        <v>0.79100000000000004</v>
      </c>
      <c r="S734" s="8">
        <v>160264526</v>
      </c>
      <c r="T734" s="8" t="s">
        <v>25</v>
      </c>
      <c r="U734" s="8" t="s">
        <v>24</v>
      </c>
    </row>
    <row r="735" spans="1:21">
      <c r="A735" s="8" t="s">
        <v>6350</v>
      </c>
      <c r="B735" s="8" t="s">
        <v>3568</v>
      </c>
      <c r="C735" s="8">
        <v>442117</v>
      </c>
      <c r="D735" s="8" t="s">
        <v>220</v>
      </c>
      <c r="E735" s="8">
        <v>173961091</v>
      </c>
      <c r="F735" s="8">
        <v>173961091</v>
      </c>
      <c r="G735" s="8" t="s">
        <v>46</v>
      </c>
      <c r="H735" s="8" t="s">
        <v>41</v>
      </c>
      <c r="I735" s="8" t="s">
        <v>23</v>
      </c>
      <c r="J735" s="8" t="s">
        <v>3569</v>
      </c>
      <c r="K735" s="8" t="s">
        <v>6403</v>
      </c>
      <c r="L735" s="8" t="s">
        <v>19</v>
      </c>
      <c r="M735" s="8">
        <v>2382</v>
      </c>
      <c r="N735" s="8" t="s">
        <v>364</v>
      </c>
      <c r="O735" s="8">
        <v>549</v>
      </c>
      <c r="P735" s="8" t="s">
        <v>6402</v>
      </c>
      <c r="Q735" s="8" t="s">
        <v>4262</v>
      </c>
      <c r="R735" s="8">
        <v>0.65900000000000003</v>
      </c>
      <c r="S735" s="8">
        <v>173961091</v>
      </c>
      <c r="T735" s="8" t="s">
        <v>46</v>
      </c>
      <c r="U735" s="8" t="s">
        <v>41</v>
      </c>
    </row>
    <row r="736" spans="1:21">
      <c r="A736" s="8" t="s">
        <v>6350</v>
      </c>
      <c r="B736" s="8" t="s">
        <v>3573</v>
      </c>
      <c r="C736" s="8">
        <v>112574</v>
      </c>
      <c r="D736" s="8" t="s">
        <v>226</v>
      </c>
      <c r="E736" s="8">
        <v>53815191</v>
      </c>
      <c r="F736" s="8">
        <v>53815191</v>
      </c>
      <c r="G736" s="8" t="s">
        <v>46</v>
      </c>
      <c r="H736" s="8" t="s">
        <v>25</v>
      </c>
      <c r="I736" s="8" t="s">
        <v>23</v>
      </c>
      <c r="J736" s="8" t="s">
        <v>6404</v>
      </c>
      <c r="K736" s="8" t="s">
        <v>6407</v>
      </c>
      <c r="L736" s="8" t="s">
        <v>19</v>
      </c>
      <c r="M736" s="8">
        <v>1599</v>
      </c>
      <c r="N736" s="8" t="s">
        <v>637</v>
      </c>
      <c r="O736" s="8">
        <v>470</v>
      </c>
      <c r="P736" s="8" t="s">
        <v>6405</v>
      </c>
      <c r="Q736" s="8" t="s">
        <v>6406</v>
      </c>
      <c r="R736" s="8">
        <v>0.72299999999999998</v>
      </c>
      <c r="S736" s="8">
        <v>53815191</v>
      </c>
      <c r="T736" s="8" t="s">
        <v>46</v>
      </c>
      <c r="U736" s="8" t="s">
        <v>25</v>
      </c>
    </row>
    <row r="737" spans="1:21">
      <c r="A737" s="8" t="s">
        <v>6350</v>
      </c>
      <c r="B737" s="8" t="s">
        <v>6408</v>
      </c>
      <c r="C737" s="8">
        <v>7025</v>
      </c>
      <c r="D737" s="8" t="s">
        <v>226</v>
      </c>
      <c r="E737" s="8">
        <v>92924033</v>
      </c>
      <c r="F737" s="8">
        <v>92924033</v>
      </c>
      <c r="G737" s="8" t="s">
        <v>24</v>
      </c>
      <c r="H737" s="8" t="s">
        <v>25</v>
      </c>
      <c r="I737" s="8" t="s">
        <v>23</v>
      </c>
      <c r="J737" s="8" t="s">
        <v>6409</v>
      </c>
      <c r="K737" s="8" t="s">
        <v>6411</v>
      </c>
      <c r="L737" s="8" t="s">
        <v>19</v>
      </c>
      <c r="M737" s="8">
        <v>2561</v>
      </c>
      <c r="N737" s="8" t="s">
        <v>21</v>
      </c>
      <c r="O737" s="8">
        <v>292</v>
      </c>
      <c r="P737" s="8" t="s">
        <v>6410</v>
      </c>
      <c r="Q737" s="8" t="s">
        <v>4262</v>
      </c>
      <c r="R737" s="8">
        <v>0.16700000000000001</v>
      </c>
      <c r="S737" s="8">
        <v>92924033</v>
      </c>
      <c r="T737" s="8" t="s">
        <v>24</v>
      </c>
      <c r="U737" s="8" t="s">
        <v>25</v>
      </c>
    </row>
    <row r="738" spans="1:21">
      <c r="A738" s="8" t="s">
        <v>6350</v>
      </c>
      <c r="B738" s="8" t="s">
        <v>6412</v>
      </c>
      <c r="C738" s="8">
        <v>9627</v>
      </c>
      <c r="D738" s="8" t="s">
        <v>226</v>
      </c>
      <c r="E738" s="8">
        <v>121780301</v>
      </c>
      <c r="F738" s="8">
        <v>121780301</v>
      </c>
      <c r="G738" s="8" t="s">
        <v>46</v>
      </c>
      <c r="H738" s="8" t="s">
        <v>41</v>
      </c>
      <c r="I738" s="8" t="s">
        <v>23</v>
      </c>
      <c r="J738" s="8" t="s">
        <v>6413</v>
      </c>
      <c r="K738" s="8" t="s">
        <v>6415</v>
      </c>
      <c r="L738" s="8" t="s">
        <v>19</v>
      </c>
      <c r="M738" s="8">
        <v>1672</v>
      </c>
      <c r="N738" s="8" t="s">
        <v>389</v>
      </c>
      <c r="O738" s="8">
        <v>489</v>
      </c>
      <c r="P738" s="8" t="s">
        <v>6414</v>
      </c>
      <c r="Q738" s="8" t="s">
        <v>4262</v>
      </c>
      <c r="R738" s="8">
        <v>0.17299999999999999</v>
      </c>
      <c r="S738" s="8">
        <v>121780301</v>
      </c>
      <c r="T738" s="8" t="s">
        <v>46</v>
      </c>
      <c r="U738" s="8" t="s">
        <v>41</v>
      </c>
    </row>
    <row r="739" spans="1:21">
      <c r="A739" s="8" t="s">
        <v>6350</v>
      </c>
      <c r="B739" s="8" t="s">
        <v>3571</v>
      </c>
      <c r="C739" s="8">
        <v>51780</v>
      </c>
      <c r="D739" s="8" t="s">
        <v>226</v>
      </c>
      <c r="E739" s="8">
        <v>137727927</v>
      </c>
      <c r="F739" s="8">
        <v>137727927</v>
      </c>
      <c r="G739" s="8" t="s">
        <v>24</v>
      </c>
      <c r="H739" s="8" t="s">
        <v>41</v>
      </c>
      <c r="I739" s="8" t="s">
        <v>23</v>
      </c>
      <c r="J739" s="8" t="s">
        <v>3572</v>
      </c>
      <c r="K739" s="8" t="s">
        <v>6417</v>
      </c>
      <c r="L739" s="8" t="s">
        <v>19</v>
      </c>
      <c r="M739" s="8">
        <v>2806</v>
      </c>
      <c r="N739" s="8" t="s">
        <v>196</v>
      </c>
      <c r="O739" s="8">
        <v>869</v>
      </c>
      <c r="P739" s="8" t="s">
        <v>6416</v>
      </c>
      <c r="Q739" s="8" t="s">
        <v>4262</v>
      </c>
      <c r="R739" s="8">
        <v>0.26200000000000001</v>
      </c>
      <c r="S739" s="8">
        <v>137727927</v>
      </c>
      <c r="T739" s="8" t="s">
        <v>24</v>
      </c>
      <c r="U739" s="8" t="s">
        <v>41</v>
      </c>
    </row>
    <row r="740" spans="1:21">
      <c r="A740" s="8" t="s">
        <v>6350</v>
      </c>
      <c r="B740" s="8" t="s">
        <v>6418</v>
      </c>
      <c r="C740" s="8">
        <v>56137</v>
      </c>
      <c r="D740" s="8" t="s">
        <v>226</v>
      </c>
      <c r="E740" s="8">
        <v>140255164</v>
      </c>
      <c r="F740" s="8">
        <v>140255164</v>
      </c>
      <c r="G740" s="8" t="s">
        <v>25</v>
      </c>
      <c r="H740" s="8" t="s">
        <v>24</v>
      </c>
      <c r="I740" s="8" t="s">
        <v>23</v>
      </c>
      <c r="J740" s="8" t="s">
        <v>6419</v>
      </c>
      <c r="K740" s="8" t="s">
        <v>6421</v>
      </c>
      <c r="L740" s="8" t="s">
        <v>19</v>
      </c>
      <c r="M740" s="8">
        <v>234</v>
      </c>
      <c r="N740" s="8" t="s">
        <v>176</v>
      </c>
      <c r="O740" s="8">
        <v>36</v>
      </c>
      <c r="P740" s="8" t="s">
        <v>6420</v>
      </c>
      <c r="Q740" s="8" t="s">
        <v>4262</v>
      </c>
      <c r="R740" s="8">
        <v>0.23400000000000001</v>
      </c>
      <c r="S740" s="8">
        <v>140255164</v>
      </c>
      <c r="T740" s="8" t="s">
        <v>25</v>
      </c>
      <c r="U740" s="8" t="s">
        <v>24</v>
      </c>
    </row>
    <row r="741" spans="1:21">
      <c r="A741" s="8" t="s">
        <v>6350</v>
      </c>
      <c r="B741" s="8" t="s">
        <v>3574</v>
      </c>
      <c r="C741" s="8">
        <v>59336</v>
      </c>
      <c r="D741" s="8" t="s">
        <v>237</v>
      </c>
      <c r="E741" s="8">
        <v>100062106</v>
      </c>
      <c r="F741" s="8">
        <v>100062106</v>
      </c>
      <c r="G741" s="8" t="s">
        <v>41</v>
      </c>
      <c r="H741" s="8" t="s">
        <v>46</v>
      </c>
      <c r="I741" s="8" t="s">
        <v>23</v>
      </c>
      <c r="J741" s="8" t="s">
        <v>3575</v>
      </c>
      <c r="K741" s="8" t="s">
        <v>6423</v>
      </c>
      <c r="L741" s="8" t="s">
        <v>19</v>
      </c>
      <c r="M741" s="8">
        <v>1856</v>
      </c>
      <c r="N741" s="8" t="s">
        <v>3156</v>
      </c>
      <c r="O741" s="8">
        <v>532</v>
      </c>
      <c r="P741" s="8" t="s">
        <v>6422</v>
      </c>
      <c r="Q741" s="8" t="s">
        <v>4262</v>
      </c>
      <c r="R741" s="8">
        <v>0.25600000000000001</v>
      </c>
      <c r="S741" s="8">
        <v>100062106</v>
      </c>
      <c r="T741" s="8" t="s">
        <v>41</v>
      </c>
      <c r="U741" s="8" t="s">
        <v>46</v>
      </c>
    </row>
    <row r="742" spans="1:21">
      <c r="A742" s="8" t="s">
        <v>6350</v>
      </c>
      <c r="B742" s="8" t="s">
        <v>3815</v>
      </c>
      <c r="C742" s="8">
        <v>10345</v>
      </c>
      <c r="D742" s="8" t="s">
        <v>237</v>
      </c>
      <c r="E742" s="8">
        <v>123588898</v>
      </c>
      <c r="F742" s="8">
        <v>123588898</v>
      </c>
      <c r="G742" s="8" t="s">
        <v>41</v>
      </c>
      <c r="H742" s="8" t="s">
        <v>25</v>
      </c>
      <c r="I742" s="8" t="s">
        <v>23</v>
      </c>
      <c r="J742" s="8" t="s">
        <v>3816</v>
      </c>
      <c r="K742" s="8" t="s">
        <v>5168</v>
      </c>
      <c r="L742" s="8" t="s">
        <v>68</v>
      </c>
      <c r="M742" s="8">
        <v>0</v>
      </c>
      <c r="N742" s="8" t="s">
        <v>35</v>
      </c>
      <c r="O742" s="8">
        <v>0</v>
      </c>
      <c r="P742" s="8" t="s">
        <v>35</v>
      </c>
      <c r="Q742" s="8" t="s">
        <v>4262</v>
      </c>
      <c r="R742" s="8">
        <v>0.44</v>
      </c>
      <c r="S742" s="8">
        <v>123588898</v>
      </c>
      <c r="T742" s="8" t="s">
        <v>41</v>
      </c>
      <c r="U742" s="8" t="s">
        <v>25</v>
      </c>
    </row>
    <row r="743" spans="1:21">
      <c r="A743" s="8" t="s">
        <v>6350</v>
      </c>
      <c r="B743" s="8" t="s">
        <v>1172</v>
      </c>
      <c r="C743" s="8">
        <v>4602</v>
      </c>
      <c r="D743" s="8" t="s">
        <v>237</v>
      </c>
      <c r="E743" s="8">
        <v>135515007</v>
      </c>
      <c r="F743" s="8">
        <v>135515007</v>
      </c>
      <c r="G743" s="8" t="s">
        <v>41</v>
      </c>
      <c r="H743" s="8" t="s">
        <v>24</v>
      </c>
      <c r="I743" s="8" t="s">
        <v>23</v>
      </c>
      <c r="J743" s="8" t="s">
        <v>6424</v>
      </c>
      <c r="K743" s="8" t="s">
        <v>6426</v>
      </c>
      <c r="L743" s="8" t="s">
        <v>76</v>
      </c>
      <c r="M743" s="8">
        <v>993</v>
      </c>
      <c r="N743" s="8" t="s">
        <v>3111</v>
      </c>
      <c r="O743" s="8">
        <v>265</v>
      </c>
      <c r="P743" s="8" t="s">
        <v>6425</v>
      </c>
      <c r="Q743" s="8" t="s">
        <v>4262</v>
      </c>
      <c r="R743" s="8">
        <v>0.13500000000000001</v>
      </c>
      <c r="S743" s="8">
        <v>135515007</v>
      </c>
      <c r="T743" s="8" t="s">
        <v>41</v>
      </c>
      <c r="U743" s="8" t="s">
        <v>24</v>
      </c>
    </row>
    <row r="744" spans="1:21">
      <c r="A744" s="8" t="s">
        <v>6350</v>
      </c>
      <c r="B744" s="8" t="s">
        <v>1531</v>
      </c>
      <c r="C744" s="8">
        <v>23345</v>
      </c>
      <c r="D744" s="8" t="s">
        <v>237</v>
      </c>
      <c r="E744" s="8">
        <v>152720817</v>
      </c>
      <c r="F744" s="8">
        <v>152720817</v>
      </c>
      <c r="G744" s="8" t="s">
        <v>46</v>
      </c>
      <c r="H744" s="8" t="s">
        <v>41</v>
      </c>
      <c r="I744" s="8" t="s">
        <v>23</v>
      </c>
      <c r="J744" s="8" t="s">
        <v>4324</v>
      </c>
      <c r="K744" s="8" t="s">
        <v>4326</v>
      </c>
      <c r="L744" s="8" t="s">
        <v>19</v>
      </c>
      <c r="M744" s="8">
        <v>7773</v>
      </c>
      <c r="N744" s="8" t="s">
        <v>155</v>
      </c>
      <c r="O744" s="8">
        <v>2391</v>
      </c>
      <c r="P744" s="8" t="s">
        <v>6427</v>
      </c>
      <c r="Q744" s="8" t="s">
        <v>4262</v>
      </c>
      <c r="R744" s="8">
        <v>0.14899999999999999</v>
      </c>
      <c r="S744" s="8">
        <v>152720817</v>
      </c>
      <c r="T744" s="8" t="s">
        <v>46</v>
      </c>
      <c r="U744" s="8" t="s">
        <v>41</v>
      </c>
    </row>
    <row r="745" spans="1:21">
      <c r="A745" s="8" t="s">
        <v>6350</v>
      </c>
      <c r="B745" s="8" t="s">
        <v>6428</v>
      </c>
      <c r="C745" s="8">
        <v>8353</v>
      </c>
      <c r="D745" s="8" t="s">
        <v>237</v>
      </c>
      <c r="E745" s="8">
        <v>26225480</v>
      </c>
      <c r="F745" s="8">
        <v>26225480</v>
      </c>
      <c r="G745" s="8" t="s">
        <v>46</v>
      </c>
      <c r="H745" s="8" t="s">
        <v>41</v>
      </c>
      <c r="I745" s="8" t="s">
        <v>23</v>
      </c>
      <c r="J745" s="8" t="s">
        <v>6429</v>
      </c>
      <c r="K745" s="8" t="s">
        <v>6431</v>
      </c>
      <c r="L745" s="8" t="s">
        <v>19</v>
      </c>
      <c r="M745" s="8">
        <v>98</v>
      </c>
      <c r="N745" s="8" t="s">
        <v>741</v>
      </c>
      <c r="O745" s="8">
        <v>33</v>
      </c>
      <c r="P745" s="8" t="s">
        <v>6430</v>
      </c>
      <c r="Q745" s="8" t="s">
        <v>4262</v>
      </c>
      <c r="R745" s="8">
        <v>0.123</v>
      </c>
      <c r="S745" s="8">
        <v>26225480</v>
      </c>
      <c r="T745" s="8" t="s">
        <v>46</v>
      </c>
      <c r="U745" s="8" t="s">
        <v>41</v>
      </c>
    </row>
    <row r="746" spans="1:21">
      <c r="A746" s="8" t="s">
        <v>6350</v>
      </c>
      <c r="B746" s="8" t="s">
        <v>3576</v>
      </c>
      <c r="C746" s="8">
        <v>23113</v>
      </c>
      <c r="D746" s="8" t="s">
        <v>237</v>
      </c>
      <c r="E746" s="8">
        <v>43182881</v>
      </c>
      <c r="F746" s="8">
        <v>43182881</v>
      </c>
      <c r="G746" s="8" t="s">
        <v>24</v>
      </c>
      <c r="H746" s="8" t="s">
        <v>46</v>
      </c>
      <c r="I746" s="8" t="s">
        <v>23</v>
      </c>
      <c r="J746" s="8" t="s">
        <v>3577</v>
      </c>
      <c r="K746" s="8" t="s">
        <v>6433</v>
      </c>
      <c r="L746" s="8" t="s">
        <v>19</v>
      </c>
      <c r="M746" s="8">
        <v>5828</v>
      </c>
      <c r="N746" s="8" t="s">
        <v>531</v>
      </c>
      <c r="O746" s="8">
        <v>1918</v>
      </c>
      <c r="P746" s="8" t="s">
        <v>6432</v>
      </c>
      <c r="Q746" s="8" t="s">
        <v>4262</v>
      </c>
      <c r="R746" s="8">
        <v>0.39900000000000002</v>
      </c>
      <c r="S746" s="8">
        <v>43182881</v>
      </c>
      <c r="T746" s="8" t="s">
        <v>24</v>
      </c>
      <c r="U746" s="8" t="s">
        <v>46</v>
      </c>
    </row>
    <row r="747" spans="1:21">
      <c r="A747" s="8" t="s">
        <v>6350</v>
      </c>
      <c r="B747" s="8" t="s">
        <v>1972</v>
      </c>
      <c r="C747" s="8">
        <v>1956</v>
      </c>
      <c r="D747" s="8" t="s">
        <v>257</v>
      </c>
      <c r="E747" s="8">
        <v>55211142</v>
      </c>
      <c r="F747" s="8">
        <v>55211142</v>
      </c>
      <c r="G747" s="8" t="s">
        <v>25</v>
      </c>
      <c r="H747" s="8" t="s">
        <v>24</v>
      </c>
      <c r="I747" s="8" t="s">
        <v>23</v>
      </c>
      <c r="J747" s="8" t="s">
        <v>6434</v>
      </c>
      <c r="K747" s="8" t="s">
        <v>6436</v>
      </c>
      <c r="L747" s="8" t="s">
        <v>19</v>
      </c>
      <c r="M747" s="8">
        <v>631</v>
      </c>
      <c r="N747" s="8" t="s">
        <v>3138</v>
      </c>
      <c r="O747" s="8">
        <v>129</v>
      </c>
      <c r="P747" s="8" t="s">
        <v>6435</v>
      </c>
      <c r="Q747" s="8" t="s">
        <v>4262</v>
      </c>
      <c r="R747" s="8">
        <v>0.51200000000000001</v>
      </c>
      <c r="S747" s="8">
        <v>55211142</v>
      </c>
      <c r="T747" s="8" t="s">
        <v>25</v>
      </c>
      <c r="U747" s="8" t="s">
        <v>24</v>
      </c>
    </row>
    <row r="748" spans="1:21">
      <c r="A748" s="8" t="s">
        <v>6350</v>
      </c>
      <c r="B748" s="8" t="s">
        <v>6437</v>
      </c>
      <c r="C748" s="8">
        <v>84060</v>
      </c>
      <c r="D748" s="8" t="s">
        <v>257</v>
      </c>
      <c r="E748" s="8">
        <v>92164195</v>
      </c>
      <c r="F748" s="8">
        <v>92164195</v>
      </c>
      <c r="G748" s="8" t="s">
        <v>24</v>
      </c>
      <c r="H748" s="8" t="s">
        <v>46</v>
      </c>
      <c r="I748" s="8" t="s">
        <v>23</v>
      </c>
      <c r="J748" s="8" t="s">
        <v>6438</v>
      </c>
      <c r="K748" s="8" t="s">
        <v>6441</v>
      </c>
      <c r="L748" s="8" t="s">
        <v>19</v>
      </c>
      <c r="M748" s="8">
        <v>969</v>
      </c>
      <c r="N748" s="8" t="s">
        <v>3091</v>
      </c>
      <c r="O748" s="8">
        <v>310</v>
      </c>
      <c r="P748" s="8" t="s">
        <v>6439</v>
      </c>
      <c r="Q748" s="8" t="s">
        <v>6440</v>
      </c>
      <c r="R748" s="8">
        <v>0.55400000000000005</v>
      </c>
      <c r="S748" s="8">
        <v>92164195</v>
      </c>
      <c r="T748" s="8" t="s">
        <v>24</v>
      </c>
      <c r="U748" s="8" t="s">
        <v>46</v>
      </c>
    </row>
    <row r="749" spans="1:21">
      <c r="A749" s="8" t="s">
        <v>6350</v>
      </c>
      <c r="B749" s="8" t="s">
        <v>3578</v>
      </c>
      <c r="C749" s="8">
        <v>29969</v>
      </c>
      <c r="D749" s="8" t="s">
        <v>257</v>
      </c>
      <c r="E749" s="8">
        <v>114619707</v>
      </c>
      <c r="F749" s="8">
        <v>114619707</v>
      </c>
      <c r="G749" s="8" t="s">
        <v>25</v>
      </c>
      <c r="H749" s="8" t="s">
        <v>41</v>
      </c>
      <c r="I749" s="8" t="s">
        <v>23</v>
      </c>
      <c r="J749" s="8" t="s">
        <v>6442</v>
      </c>
      <c r="K749" s="8" t="s">
        <v>6444</v>
      </c>
      <c r="L749" s="8" t="s">
        <v>76</v>
      </c>
      <c r="M749" s="8">
        <v>954</v>
      </c>
      <c r="N749" s="8" t="s">
        <v>2961</v>
      </c>
      <c r="O749" s="8">
        <v>122</v>
      </c>
      <c r="P749" s="8" t="s">
        <v>6443</v>
      </c>
      <c r="Q749" s="8" t="s">
        <v>4262</v>
      </c>
      <c r="R749" s="8">
        <v>0.55300000000000005</v>
      </c>
      <c r="S749" s="8">
        <v>114619707</v>
      </c>
      <c r="T749" s="8" t="s">
        <v>25</v>
      </c>
      <c r="U749" s="8" t="s">
        <v>41</v>
      </c>
    </row>
    <row r="750" spans="1:21">
      <c r="A750" s="8" t="s">
        <v>6350</v>
      </c>
      <c r="B750" s="8" t="s">
        <v>4031</v>
      </c>
      <c r="C750" s="8">
        <v>57670</v>
      </c>
      <c r="D750" s="8" t="s">
        <v>257</v>
      </c>
      <c r="E750" s="8">
        <v>138603936</v>
      </c>
      <c r="F750" s="8">
        <v>138603936</v>
      </c>
      <c r="G750" s="8" t="s">
        <v>41</v>
      </c>
      <c r="H750" s="8" t="s">
        <v>46</v>
      </c>
      <c r="I750" s="8" t="s">
        <v>23</v>
      </c>
      <c r="J750" s="8" t="s">
        <v>6445</v>
      </c>
      <c r="K750" s="8" t="s">
        <v>6447</v>
      </c>
      <c r="L750" s="8" t="s">
        <v>19</v>
      </c>
      <c r="M750" s="8">
        <v>485</v>
      </c>
      <c r="N750" s="8" t="s">
        <v>938</v>
      </c>
      <c r="O750" s="8">
        <v>146</v>
      </c>
      <c r="P750" s="8" t="s">
        <v>6446</v>
      </c>
      <c r="Q750" s="8" t="s">
        <v>4262</v>
      </c>
      <c r="R750" s="8">
        <v>0.222</v>
      </c>
      <c r="S750" s="8">
        <v>138603936</v>
      </c>
      <c r="T750" s="8" t="s">
        <v>41</v>
      </c>
      <c r="U750" s="8" t="s">
        <v>46</v>
      </c>
    </row>
    <row r="751" spans="1:21">
      <c r="A751" s="8" t="s">
        <v>6350</v>
      </c>
      <c r="B751" s="8" t="s">
        <v>3579</v>
      </c>
      <c r="C751" s="8">
        <v>1395</v>
      </c>
      <c r="D751" s="8" t="s">
        <v>257</v>
      </c>
      <c r="E751" s="8">
        <v>30702448</v>
      </c>
      <c r="F751" s="8">
        <v>30702448</v>
      </c>
      <c r="G751" s="8" t="s">
        <v>41</v>
      </c>
      <c r="H751" s="8" t="s">
        <v>46</v>
      </c>
      <c r="I751" s="8" t="s">
        <v>23</v>
      </c>
      <c r="J751" s="8" t="s">
        <v>6448</v>
      </c>
      <c r="K751" s="8" t="s">
        <v>6450</v>
      </c>
      <c r="L751" s="8" t="s">
        <v>19</v>
      </c>
      <c r="M751" s="8">
        <v>710</v>
      </c>
      <c r="N751" s="8" t="s">
        <v>673</v>
      </c>
      <c r="O751" s="8">
        <v>214</v>
      </c>
      <c r="P751" s="8" t="s">
        <v>6449</v>
      </c>
      <c r="Q751" s="8" t="s">
        <v>4262</v>
      </c>
      <c r="R751" s="8">
        <v>0.42599999999999999</v>
      </c>
      <c r="S751" s="8">
        <v>30702448</v>
      </c>
      <c r="T751" s="8" t="s">
        <v>41</v>
      </c>
      <c r="U751" s="8" t="s">
        <v>46</v>
      </c>
    </row>
    <row r="752" spans="1:21">
      <c r="A752" s="8" t="s">
        <v>6350</v>
      </c>
      <c r="B752" s="8" t="s">
        <v>3740</v>
      </c>
      <c r="C752" s="8">
        <v>168507</v>
      </c>
      <c r="D752" s="8" t="s">
        <v>257</v>
      </c>
      <c r="E752" s="8">
        <v>47955095</v>
      </c>
      <c r="F752" s="8">
        <v>47955095</v>
      </c>
      <c r="G752" s="8" t="s">
        <v>41</v>
      </c>
      <c r="H752" s="8" t="s">
        <v>24</v>
      </c>
      <c r="I752" s="8" t="s">
        <v>23</v>
      </c>
      <c r="J752" s="8" t="s">
        <v>3741</v>
      </c>
      <c r="K752" s="8" t="s">
        <v>6452</v>
      </c>
      <c r="L752" s="8" t="s">
        <v>19</v>
      </c>
      <c r="M752" s="8">
        <v>1196</v>
      </c>
      <c r="N752" s="8" t="s">
        <v>1040</v>
      </c>
      <c r="O752" s="8">
        <v>388</v>
      </c>
      <c r="P752" s="8" t="s">
        <v>6451</v>
      </c>
      <c r="Q752" s="8" t="s">
        <v>4262</v>
      </c>
      <c r="R752" s="8">
        <v>0.158</v>
      </c>
      <c r="S752" s="8">
        <v>47955095</v>
      </c>
      <c r="T752" s="8" t="s">
        <v>41</v>
      </c>
      <c r="U752" s="8" t="s">
        <v>24</v>
      </c>
    </row>
    <row r="753" spans="1:21">
      <c r="A753" s="8" t="s">
        <v>6350</v>
      </c>
      <c r="B753" s="8" t="s">
        <v>3580</v>
      </c>
      <c r="C753" s="8">
        <v>157869</v>
      </c>
      <c r="D753" s="8" t="s">
        <v>279</v>
      </c>
      <c r="E753" s="8">
        <v>73993350</v>
      </c>
      <c r="F753" s="8">
        <v>73993350</v>
      </c>
      <c r="G753" s="8" t="s">
        <v>24</v>
      </c>
      <c r="H753" s="8" t="s">
        <v>41</v>
      </c>
      <c r="I753" s="8" t="s">
        <v>23</v>
      </c>
      <c r="J753" s="8" t="s">
        <v>3581</v>
      </c>
      <c r="K753" s="8" t="s">
        <v>6454</v>
      </c>
      <c r="L753" s="8" t="s">
        <v>19</v>
      </c>
      <c r="M753" s="8">
        <v>518</v>
      </c>
      <c r="N753" s="8" t="s">
        <v>1005</v>
      </c>
      <c r="O753" s="8">
        <v>105</v>
      </c>
      <c r="P753" s="8" t="s">
        <v>6453</v>
      </c>
      <c r="Q753" s="8" t="s">
        <v>4262</v>
      </c>
      <c r="R753" s="8">
        <v>0.47699999999999998</v>
      </c>
      <c r="S753" s="8">
        <v>73993350</v>
      </c>
      <c r="T753" s="8" t="s">
        <v>24</v>
      </c>
      <c r="U753" s="8" t="s">
        <v>41</v>
      </c>
    </row>
    <row r="754" spans="1:21">
      <c r="A754" s="8" t="s">
        <v>6350</v>
      </c>
      <c r="B754" s="8" t="s">
        <v>6455</v>
      </c>
      <c r="C754" s="8">
        <v>646480</v>
      </c>
      <c r="D754" s="8" t="s">
        <v>279</v>
      </c>
      <c r="E754" s="8">
        <v>82370670</v>
      </c>
      <c r="F754" s="8">
        <v>82370670</v>
      </c>
      <c r="G754" s="8" t="s">
        <v>41</v>
      </c>
      <c r="H754" s="8" t="s">
        <v>46</v>
      </c>
      <c r="I754" s="8" t="s">
        <v>23</v>
      </c>
      <c r="J754" s="8" t="s">
        <v>6456</v>
      </c>
      <c r="K754" s="8" t="s">
        <v>6457</v>
      </c>
      <c r="L754" s="8" t="s">
        <v>68</v>
      </c>
      <c r="M754" s="8">
        <v>0</v>
      </c>
      <c r="N754" s="8" t="s">
        <v>35</v>
      </c>
      <c r="O754" s="8">
        <v>0</v>
      </c>
      <c r="P754" s="8" t="s">
        <v>35</v>
      </c>
      <c r="Q754" s="8" t="s">
        <v>4262</v>
      </c>
      <c r="R754" s="8">
        <v>0.27300000000000002</v>
      </c>
      <c r="S754" s="8">
        <v>82370670</v>
      </c>
      <c r="T754" s="8" t="s">
        <v>41</v>
      </c>
      <c r="U754" s="8" t="s">
        <v>46</v>
      </c>
    </row>
    <row r="755" spans="1:21">
      <c r="A755" s="8" t="s">
        <v>6350</v>
      </c>
      <c r="B755" s="8" t="s">
        <v>1401</v>
      </c>
      <c r="C755" s="8">
        <v>23414</v>
      </c>
      <c r="D755" s="8" t="s">
        <v>279</v>
      </c>
      <c r="E755" s="8">
        <v>106813548</v>
      </c>
      <c r="F755" s="8">
        <v>106813548</v>
      </c>
      <c r="G755" s="8" t="s">
        <v>25</v>
      </c>
      <c r="H755" s="8" t="s">
        <v>24</v>
      </c>
      <c r="I755" s="8" t="s">
        <v>23</v>
      </c>
      <c r="J755" s="8" t="s">
        <v>1402</v>
      </c>
      <c r="K755" s="8" t="s">
        <v>6065</v>
      </c>
      <c r="L755" s="8" t="s">
        <v>19</v>
      </c>
      <c r="M755" s="8">
        <v>1261</v>
      </c>
      <c r="N755" s="8" t="s">
        <v>551</v>
      </c>
      <c r="O755" s="8">
        <v>413</v>
      </c>
      <c r="P755" s="8" t="s">
        <v>6458</v>
      </c>
      <c r="Q755" s="8" t="s">
        <v>4262</v>
      </c>
      <c r="R755" s="8">
        <v>0.52</v>
      </c>
      <c r="S755" s="8">
        <v>106813548</v>
      </c>
      <c r="T755" s="8" t="s">
        <v>25</v>
      </c>
      <c r="U755" s="8" t="s">
        <v>24</v>
      </c>
    </row>
    <row r="756" spans="1:21">
      <c r="A756" s="8" t="s">
        <v>6350</v>
      </c>
      <c r="B756" s="8" t="s">
        <v>2787</v>
      </c>
      <c r="C756" s="8">
        <v>7991</v>
      </c>
      <c r="D756" s="8" t="s">
        <v>279</v>
      </c>
      <c r="E756" s="8">
        <v>15531299</v>
      </c>
      <c r="F756" s="8">
        <v>15531299</v>
      </c>
      <c r="G756" s="8" t="s">
        <v>41</v>
      </c>
      <c r="H756" s="8" t="s">
        <v>25</v>
      </c>
      <c r="I756" s="8" t="s">
        <v>23</v>
      </c>
      <c r="J756" s="8" t="s">
        <v>4334</v>
      </c>
      <c r="K756" s="8" t="s">
        <v>4336</v>
      </c>
      <c r="L756" s="8" t="s">
        <v>19</v>
      </c>
      <c r="M756" s="8">
        <v>1096</v>
      </c>
      <c r="N756" s="8" t="s">
        <v>2867</v>
      </c>
      <c r="O756" s="8">
        <v>251</v>
      </c>
      <c r="P756" s="8" t="s">
        <v>6459</v>
      </c>
      <c r="Q756" s="8" t="s">
        <v>4262</v>
      </c>
      <c r="R756" s="8">
        <v>0.61499999999999999</v>
      </c>
      <c r="S756" s="8">
        <v>15531299</v>
      </c>
      <c r="T756" s="8" t="s">
        <v>41</v>
      </c>
      <c r="U756" s="8" t="s">
        <v>25</v>
      </c>
    </row>
    <row r="757" spans="1:21">
      <c r="A757" s="8" t="s">
        <v>6350</v>
      </c>
      <c r="B757" s="8" t="s">
        <v>3584</v>
      </c>
      <c r="C757" s="8">
        <v>5789</v>
      </c>
      <c r="D757" s="8" t="s">
        <v>292</v>
      </c>
      <c r="E757" s="8">
        <v>8521543</v>
      </c>
      <c r="F757" s="8">
        <v>8521543</v>
      </c>
      <c r="G757" s="8" t="s">
        <v>46</v>
      </c>
      <c r="H757" s="8" t="s">
        <v>25</v>
      </c>
      <c r="I757" s="8" t="s">
        <v>23</v>
      </c>
      <c r="J757" s="8" t="s">
        <v>6460</v>
      </c>
      <c r="K757" s="8" t="s">
        <v>6462</v>
      </c>
      <c r="L757" s="8" t="s">
        <v>19</v>
      </c>
      <c r="M757" s="8">
        <v>1438</v>
      </c>
      <c r="N757" s="8" t="s">
        <v>1288</v>
      </c>
      <c r="O757" s="8">
        <v>232</v>
      </c>
      <c r="P757" s="8" t="s">
        <v>6461</v>
      </c>
      <c r="Q757" s="8" t="s">
        <v>4262</v>
      </c>
      <c r="R757" s="8">
        <v>0.56799999999999995</v>
      </c>
      <c r="S757" s="8">
        <v>8521543</v>
      </c>
      <c r="T757" s="8" t="s">
        <v>46</v>
      </c>
      <c r="U757" s="8" t="s">
        <v>25</v>
      </c>
    </row>
    <row r="758" spans="1:21">
      <c r="A758" s="8" t="s">
        <v>6350</v>
      </c>
      <c r="B758" s="8" t="s">
        <v>6463</v>
      </c>
      <c r="C758" s="8">
        <v>55582</v>
      </c>
      <c r="D758" s="8" t="s">
        <v>292</v>
      </c>
      <c r="E758" s="8">
        <v>86503409</v>
      </c>
      <c r="F758" s="8">
        <v>86503409</v>
      </c>
      <c r="G758" s="8" t="s">
        <v>41</v>
      </c>
      <c r="H758" s="8" t="s">
        <v>24</v>
      </c>
      <c r="I758" s="8" t="s">
        <v>23</v>
      </c>
      <c r="J758" s="8" t="s">
        <v>6464</v>
      </c>
      <c r="K758" s="8" t="s">
        <v>6466</v>
      </c>
      <c r="L758" s="8" t="s">
        <v>19</v>
      </c>
      <c r="M758" s="8">
        <v>2222</v>
      </c>
      <c r="N758" s="8" t="s">
        <v>994</v>
      </c>
      <c r="O758" s="8">
        <v>693</v>
      </c>
      <c r="P758" s="8" t="s">
        <v>6465</v>
      </c>
      <c r="Q758" s="8" t="s">
        <v>4262</v>
      </c>
      <c r="R758" s="8">
        <v>0.66</v>
      </c>
      <c r="S758" s="8">
        <v>86503409</v>
      </c>
      <c r="T758" s="8" t="s">
        <v>41</v>
      </c>
      <c r="U758" s="8" t="s">
        <v>24</v>
      </c>
    </row>
    <row r="759" spans="1:21">
      <c r="A759" s="8" t="s">
        <v>6350</v>
      </c>
      <c r="B759" s="8" t="s">
        <v>865</v>
      </c>
      <c r="C759" s="8">
        <v>286204</v>
      </c>
      <c r="D759" s="8" t="s">
        <v>292</v>
      </c>
      <c r="E759" s="8">
        <v>126132866</v>
      </c>
      <c r="F759" s="8">
        <v>126132866</v>
      </c>
      <c r="G759" s="8" t="s">
        <v>46</v>
      </c>
      <c r="H759" s="8" t="s">
        <v>25</v>
      </c>
      <c r="I759" s="8" t="s">
        <v>23</v>
      </c>
      <c r="J759" s="8" t="s">
        <v>866</v>
      </c>
      <c r="K759" s="8" t="s">
        <v>6468</v>
      </c>
      <c r="L759" s="8" t="s">
        <v>19</v>
      </c>
      <c r="M759" s="8">
        <v>1626</v>
      </c>
      <c r="N759" s="8" t="s">
        <v>598</v>
      </c>
      <c r="O759" s="8">
        <v>512</v>
      </c>
      <c r="P759" s="8" t="s">
        <v>6467</v>
      </c>
      <c r="Q759" s="8" t="s">
        <v>4262</v>
      </c>
      <c r="R759" s="8">
        <v>0.58799999999999997</v>
      </c>
      <c r="S759" s="8">
        <v>126132866</v>
      </c>
      <c r="T759" s="8" t="s">
        <v>46</v>
      </c>
      <c r="U759" s="8" t="s">
        <v>25</v>
      </c>
    </row>
    <row r="760" spans="1:21">
      <c r="A760" s="8" t="s">
        <v>6350</v>
      </c>
      <c r="B760" s="8" t="s">
        <v>3582</v>
      </c>
      <c r="C760" s="8">
        <v>9350</v>
      </c>
      <c r="D760" s="8" t="s">
        <v>292</v>
      </c>
      <c r="E760" s="8">
        <v>14722300</v>
      </c>
      <c r="F760" s="8">
        <v>14722300</v>
      </c>
      <c r="G760" s="8" t="s">
        <v>24</v>
      </c>
      <c r="H760" s="8" t="s">
        <v>41</v>
      </c>
      <c r="I760" s="8" t="s">
        <v>23</v>
      </c>
      <c r="J760" s="8" t="s">
        <v>3583</v>
      </c>
      <c r="K760" s="8" t="s">
        <v>6470</v>
      </c>
      <c r="L760" s="8" t="s">
        <v>19</v>
      </c>
      <c r="M760" s="8">
        <v>416</v>
      </c>
      <c r="N760" s="8" t="s">
        <v>642</v>
      </c>
      <c r="O760" s="8">
        <v>124</v>
      </c>
      <c r="P760" s="8" t="s">
        <v>6469</v>
      </c>
      <c r="Q760" s="8" t="s">
        <v>4262</v>
      </c>
      <c r="R760" s="8">
        <v>0.57099999999999995</v>
      </c>
      <c r="S760" s="8">
        <v>14722300</v>
      </c>
      <c r="T760" s="8" t="s">
        <v>24</v>
      </c>
      <c r="U760" s="8" t="s">
        <v>41</v>
      </c>
    </row>
    <row r="761" spans="1:21">
      <c r="A761" s="8" t="s">
        <v>6350</v>
      </c>
      <c r="B761" s="8" t="s">
        <v>6471</v>
      </c>
      <c r="C761" s="8">
        <v>6595</v>
      </c>
      <c r="D761" s="8" t="s">
        <v>292</v>
      </c>
      <c r="E761" s="8">
        <v>2086863</v>
      </c>
      <c r="F761" s="8">
        <v>2086863</v>
      </c>
      <c r="G761" s="8" t="s">
        <v>25</v>
      </c>
      <c r="H761" s="8" t="s">
        <v>24</v>
      </c>
      <c r="I761" s="8" t="s">
        <v>23</v>
      </c>
      <c r="J761" s="8" t="s">
        <v>6472</v>
      </c>
      <c r="K761" s="8" t="s">
        <v>6474</v>
      </c>
      <c r="L761" s="8" t="s">
        <v>19</v>
      </c>
      <c r="M761" s="8">
        <v>2660</v>
      </c>
      <c r="N761" s="8" t="s">
        <v>1080</v>
      </c>
      <c r="O761" s="8">
        <v>854</v>
      </c>
      <c r="P761" s="8" t="s">
        <v>6473</v>
      </c>
      <c r="Q761" s="8" t="s">
        <v>4262</v>
      </c>
      <c r="R761" s="8">
        <v>0.27600000000000002</v>
      </c>
      <c r="S761" s="8">
        <v>2086863</v>
      </c>
      <c r="T761" s="8" t="s">
        <v>25</v>
      </c>
      <c r="U761" s="8" t="s">
        <v>24</v>
      </c>
    </row>
    <row r="762" spans="1:21">
      <c r="A762" s="8" t="s">
        <v>6350</v>
      </c>
      <c r="B762" s="8" t="s">
        <v>6475</v>
      </c>
      <c r="C762" s="8">
        <v>58504</v>
      </c>
      <c r="D762" s="8" t="s">
        <v>69</v>
      </c>
      <c r="E762" s="8">
        <v>49658886</v>
      </c>
      <c r="F762" s="8">
        <v>49658886</v>
      </c>
      <c r="G762" s="8" t="s">
        <v>41</v>
      </c>
      <c r="H762" s="8" t="s">
        <v>25</v>
      </c>
      <c r="I762" s="8" t="s">
        <v>23</v>
      </c>
      <c r="J762" s="8" t="s">
        <v>6476</v>
      </c>
      <c r="K762" s="8" t="s">
        <v>6478</v>
      </c>
      <c r="L762" s="8" t="s">
        <v>19</v>
      </c>
      <c r="M762" s="8">
        <v>1583</v>
      </c>
      <c r="N762" s="8" t="s">
        <v>457</v>
      </c>
      <c r="O762" s="8">
        <v>429</v>
      </c>
      <c r="P762" s="8" t="s">
        <v>6477</v>
      </c>
      <c r="Q762" s="8" t="s">
        <v>4262</v>
      </c>
      <c r="R762" s="8">
        <v>0.7</v>
      </c>
      <c r="S762" s="8">
        <v>49658886</v>
      </c>
      <c r="T762" s="8" t="s">
        <v>41</v>
      </c>
      <c r="U762" s="8" t="s">
        <v>25</v>
      </c>
    </row>
    <row r="763" spans="1:21">
      <c r="A763" s="8" t="s">
        <v>6350</v>
      </c>
      <c r="B763" s="8" t="s">
        <v>6479</v>
      </c>
      <c r="C763" s="8">
        <v>7748</v>
      </c>
      <c r="D763" s="8" t="s">
        <v>83</v>
      </c>
      <c r="E763" s="8">
        <v>3381711</v>
      </c>
      <c r="F763" s="8">
        <v>3381711</v>
      </c>
      <c r="G763" s="8" t="s">
        <v>46</v>
      </c>
      <c r="H763" s="8" t="s">
        <v>41</v>
      </c>
      <c r="I763" s="8" t="s">
        <v>23</v>
      </c>
      <c r="J763" s="8" t="s">
        <v>6480</v>
      </c>
      <c r="K763" s="8" t="s">
        <v>6482</v>
      </c>
      <c r="L763" s="8" t="s">
        <v>19</v>
      </c>
      <c r="M763" s="8">
        <v>709</v>
      </c>
      <c r="N763" s="8" t="s">
        <v>494</v>
      </c>
      <c r="O763" s="8">
        <v>176</v>
      </c>
      <c r="P763" s="8" t="s">
        <v>6481</v>
      </c>
      <c r="Q763" s="8" t="s">
        <v>4262</v>
      </c>
      <c r="R763" s="8">
        <v>0.33</v>
      </c>
      <c r="S763" s="8">
        <v>3381711</v>
      </c>
      <c r="T763" s="8" t="s">
        <v>46</v>
      </c>
      <c r="U763" s="8" t="s">
        <v>41</v>
      </c>
    </row>
    <row r="764" spans="1:21">
      <c r="A764" s="8" t="s">
        <v>6350</v>
      </c>
      <c r="B764" s="8" t="s">
        <v>6483</v>
      </c>
      <c r="C764" s="8">
        <v>120824</v>
      </c>
      <c r="D764" s="8" t="s">
        <v>83</v>
      </c>
      <c r="E764" s="8">
        <v>48999696</v>
      </c>
      <c r="F764" s="8">
        <v>48999696</v>
      </c>
      <c r="G764" s="8" t="s">
        <v>25</v>
      </c>
      <c r="H764" s="8" t="s">
        <v>24</v>
      </c>
      <c r="I764" s="8" t="s">
        <v>23</v>
      </c>
      <c r="J764" s="8" t="s">
        <v>6484</v>
      </c>
      <c r="K764" s="8" t="s">
        <v>6486</v>
      </c>
      <c r="L764" s="8" t="s">
        <v>19</v>
      </c>
      <c r="M764" s="8">
        <v>755</v>
      </c>
      <c r="N764" s="8" t="s">
        <v>50</v>
      </c>
      <c r="O764" s="8">
        <v>252</v>
      </c>
      <c r="P764" s="8" t="s">
        <v>6485</v>
      </c>
      <c r="Q764" s="8" t="s">
        <v>4262</v>
      </c>
      <c r="R764" s="8">
        <v>0.29399999999999998</v>
      </c>
      <c r="S764" s="8">
        <v>48999696</v>
      </c>
      <c r="T764" s="8" t="s">
        <v>25</v>
      </c>
      <c r="U764" s="8" t="s">
        <v>24</v>
      </c>
    </row>
    <row r="765" spans="1:21">
      <c r="A765" s="8" t="s">
        <v>6350</v>
      </c>
      <c r="B765" s="8" t="s">
        <v>3529</v>
      </c>
      <c r="C765" s="8">
        <v>121053</v>
      </c>
      <c r="D765" s="8" t="s">
        <v>104</v>
      </c>
      <c r="E765" s="8">
        <v>105381966</v>
      </c>
      <c r="F765" s="8">
        <v>105381966</v>
      </c>
      <c r="G765" s="8" t="s">
        <v>41</v>
      </c>
      <c r="H765" s="8" t="s">
        <v>25</v>
      </c>
      <c r="I765" s="8" t="s">
        <v>23</v>
      </c>
      <c r="J765" s="8" t="s">
        <v>3530</v>
      </c>
      <c r="K765" s="8" t="s">
        <v>6488</v>
      </c>
      <c r="L765" s="8" t="s">
        <v>19</v>
      </c>
      <c r="M765" s="8">
        <v>170</v>
      </c>
      <c r="N765" s="8" t="s">
        <v>2867</v>
      </c>
      <c r="O765" s="8">
        <v>46</v>
      </c>
      <c r="P765" s="8" t="s">
        <v>6487</v>
      </c>
      <c r="Q765" s="8" t="s">
        <v>4262</v>
      </c>
      <c r="R765" s="8">
        <v>0.54800000000000004</v>
      </c>
      <c r="S765" s="8">
        <v>105381966</v>
      </c>
      <c r="T765" s="8" t="s">
        <v>41</v>
      </c>
      <c r="U765" s="8" t="s">
        <v>25</v>
      </c>
    </row>
    <row r="766" spans="1:21">
      <c r="A766" s="8" t="s">
        <v>6350</v>
      </c>
      <c r="B766" s="8" t="s">
        <v>3531</v>
      </c>
      <c r="C766" s="8">
        <v>65985</v>
      </c>
      <c r="D766" s="8" t="s">
        <v>104</v>
      </c>
      <c r="E766" s="8">
        <v>125621294</v>
      </c>
      <c r="F766" s="8">
        <v>125621294</v>
      </c>
      <c r="G766" s="8" t="s">
        <v>25</v>
      </c>
      <c r="H766" s="8" t="s">
        <v>41</v>
      </c>
      <c r="I766" s="8" t="s">
        <v>23</v>
      </c>
      <c r="J766" s="8" t="s">
        <v>3532</v>
      </c>
      <c r="K766" s="8" t="s">
        <v>6490</v>
      </c>
      <c r="L766" s="8" t="s">
        <v>19</v>
      </c>
      <c r="M766" s="8">
        <v>1971</v>
      </c>
      <c r="N766" s="8" t="s">
        <v>792</v>
      </c>
      <c r="O766" s="8">
        <v>589</v>
      </c>
      <c r="P766" s="8" t="s">
        <v>6489</v>
      </c>
      <c r="Q766" s="8" t="s">
        <v>4262</v>
      </c>
      <c r="R766" s="8">
        <v>0.36799999999999999</v>
      </c>
      <c r="S766" s="8">
        <v>125621294</v>
      </c>
      <c r="T766" s="8" t="s">
        <v>25</v>
      </c>
      <c r="U766" s="8" t="s">
        <v>41</v>
      </c>
    </row>
    <row r="767" spans="1:21">
      <c r="A767" s="8" t="s">
        <v>6350</v>
      </c>
      <c r="B767" s="8" t="s">
        <v>3533</v>
      </c>
      <c r="C767" s="8">
        <v>121512</v>
      </c>
      <c r="D767" s="8" t="s">
        <v>104</v>
      </c>
      <c r="E767" s="8">
        <v>32772696</v>
      </c>
      <c r="F767" s="8">
        <v>32772696</v>
      </c>
      <c r="G767" s="8" t="s">
        <v>24</v>
      </c>
      <c r="H767" s="8" t="s">
        <v>25</v>
      </c>
      <c r="I767" s="8" t="s">
        <v>23</v>
      </c>
      <c r="J767" s="8" t="s">
        <v>3534</v>
      </c>
      <c r="K767" s="8" t="s">
        <v>6493</v>
      </c>
      <c r="L767" s="8" t="s">
        <v>19</v>
      </c>
      <c r="M767" s="8">
        <v>1880</v>
      </c>
      <c r="N767" s="8" t="s">
        <v>577</v>
      </c>
      <c r="O767" s="8">
        <v>468</v>
      </c>
      <c r="P767" s="8" t="s">
        <v>6491</v>
      </c>
      <c r="Q767" s="8" t="s">
        <v>6492</v>
      </c>
      <c r="R767" s="8">
        <v>0.57099999999999995</v>
      </c>
      <c r="S767" s="8">
        <v>32772696</v>
      </c>
      <c r="T767" s="8" t="s">
        <v>24</v>
      </c>
      <c r="U767" s="8" t="s">
        <v>25</v>
      </c>
    </row>
    <row r="768" spans="1:21">
      <c r="A768" s="8" t="s">
        <v>6350</v>
      </c>
      <c r="B768" s="8" t="s">
        <v>3535</v>
      </c>
      <c r="C768" s="8">
        <v>57102</v>
      </c>
      <c r="D768" s="8" t="s">
        <v>104</v>
      </c>
      <c r="E768" s="8">
        <v>4614489</v>
      </c>
      <c r="F768" s="8">
        <v>4614489</v>
      </c>
      <c r="G768" s="8" t="s">
        <v>41</v>
      </c>
      <c r="H768" s="8" t="s">
        <v>46</v>
      </c>
      <c r="I768" s="8" t="s">
        <v>23</v>
      </c>
      <c r="J768" s="8" t="s">
        <v>3536</v>
      </c>
      <c r="K768" s="8" t="s">
        <v>6495</v>
      </c>
      <c r="L768" s="8" t="s">
        <v>19</v>
      </c>
      <c r="M768" s="8">
        <v>1308</v>
      </c>
      <c r="N768" s="8" t="s">
        <v>1055</v>
      </c>
      <c r="O768" s="8">
        <v>407</v>
      </c>
      <c r="P768" s="8" t="s">
        <v>6494</v>
      </c>
      <c r="Q768" s="8" t="s">
        <v>4262</v>
      </c>
      <c r="R768" s="8">
        <v>0.55200000000000005</v>
      </c>
      <c r="S768" s="8">
        <v>4614489</v>
      </c>
      <c r="T768" s="8" t="s">
        <v>41</v>
      </c>
      <c r="U768" s="8" t="s">
        <v>46</v>
      </c>
    </row>
    <row r="769" spans="1:21">
      <c r="A769" s="8" t="s">
        <v>6350</v>
      </c>
      <c r="B769" s="8" t="s">
        <v>686</v>
      </c>
      <c r="C769" s="8">
        <v>79758</v>
      </c>
      <c r="D769" s="8" t="s">
        <v>339</v>
      </c>
      <c r="E769" s="8">
        <v>52348163</v>
      </c>
      <c r="F769" s="8">
        <v>52348163</v>
      </c>
      <c r="G769" s="8" t="s">
        <v>25</v>
      </c>
      <c r="H769" s="8" t="s">
        <v>24</v>
      </c>
      <c r="I769" s="8" t="s">
        <v>23</v>
      </c>
      <c r="J769" s="8" t="s">
        <v>6496</v>
      </c>
      <c r="K769" s="8" t="s">
        <v>6498</v>
      </c>
      <c r="L769" s="8" t="s">
        <v>19</v>
      </c>
      <c r="M769" s="8">
        <v>424</v>
      </c>
      <c r="N769" s="8" t="s">
        <v>766</v>
      </c>
      <c r="O769" s="8">
        <v>124</v>
      </c>
      <c r="P769" s="8" t="s">
        <v>6497</v>
      </c>
      <c r="Q769" s="8" t="s">
        <v>4262</v>
      </c>
      <c r="R769" s="8">
        <v>0.28999999999999998</v>
      </c>
      <c r="S769" s="8">
        <v>52348163</v>
      </c>
      <c r="T769" s="8" t="s">
        <v>25</v>
      </c>
      <c r="U769" s="8" t="s">
        <v>24</v>
      </c>
    </row>
    <row r="770" spans="1:21">
      <c r="A770" s="8" t="s">
        <v>6350</v>
      </c>
      <c r="B770" s="8" t="s">
        <v>6499</v>
      </c>
      <c r="C770" s="8">
        <v>79895</v>
      </c>
      <c r="D770" s="8" t="s">
        <v>120</v>
      </c>
      <c r="E770" s="8">
        <v>50189714</v>
      </c>
      <c r="F770" s="8">
        <v>50189714</v>
      </c>
      <c r="G770" s="8" t="s">
        <v>41</v>
      </c>
      <c r="H770" s="8" t="s">
        <v>25</v>
      </c>
      <c r="I770" s="8" t="s">
        <v>23</v>
      </c>
      <c r="J770" s="8" t="s">
        <v>6500</v>
      </c>
      <c r="K770" s="8" t="s">
        <v>6501</v>
      </c>
      <c r="L770" s="8" t="s">
        <v>68</v>
      </c>
      <c r="M770" s="8">
        <v>0</v>
      </c>
      <c r="N770" s="8" t="s">
        <v>35</v>
      </c>
      <c r="O770" s="8">
        <v>0</v>
      </c>
      <c r="P770" s="8" t="s">
        <v>35</v>
      </c>
      <c r="Q770" s="8" t="s">
        <v>4262</v>
      </c>
      <c r="R770" s="8">
        <v>0.23</v>
      </c>
      <c r="S770" s="8">
        <v>50189714</v>
      </c>
      <c r="T770" s="8" t="s">
        <v>41</v>
      </c>
      <c r="U770" s="8" t="s">
        <v>25</v>
      </c>
    </row>
    <row r="771" spans="1:21">
      <c r="A771" s="8" t="s">
        <v>6350</v>
      </c>
      <c r="B771" s="8" t="s">
        <v>2936</v>
      </c>
      <c r="C771" s="8">
        <v>8925</v>
      </c>
      <c r="D771" s="8" t="s">
        <v>120</v>
      </c>
      <c r="E771" s="8">
        <v>63948481</v>
      </c>
      <c r="F771" s="8">
        <v>63948481</v>
      </c>
      <c r="G771" s="8" t="s">
        <v>25</v>
      </c>
      <c r="H771" s="8" t="s">
        <v>46</v>
      </c>
      <c r="I771" s="8" t="s">
        <v>23</v>
      </c>
      <c r="J771" s="8" t="s">
        <v>2937</v>
      </c>
      <c r="K771" s="8" t="s">
        <v>6503</v>
      </c>
      <c r="L771" s="8" t="s">
        <v>19</v>
      </c>
      <c r="M771" s="8">
        <v>9824</v>
      </c>
      <c r="N771" s="8" t="s">
        <v>3538</v>
      </c>
      <c r="O771" s="8">
        <v>3226</v>
      </c>
      <c r="P771" s="8" t="s">
        <v>6502</v>
      </c>
      <c r="Q771" s="8" t="s">
        <v>4262</v>
      </c>
      <c r="R771" s="8">
        <v>0.42799999999999999</v>
      </c>
      <c r="S771" s="8">
        <v>63948481</v>
      </c>
      <c r="T771" s="8" t="s">
        <v>25</v>
      </c>
      <c r="U771" s="8" t="s">
        <v>46</v>
      </c>
    </row>
    <row r="772" spans="1:21">
      <c r="A772" s="8" t="s">
        <v>6350</v>
      </c>
      <c r="B772" s="8" t="s">
        <v>6504</v>
      </c>
      <c r="C772" s="8">
        <v>54956</v>
      </c>
      <c r="D772" s="8" t="s">
        <v>120</v>
      </c>
      <c r="E772" s="8">
        <v>65559003</v>
      </c>
      <c r="F772" s="8">
        <v>65559003</v>
      </c>
      <c r="G772" s="8" t="s">
        <v>41</v>
      </c>
      <c r="H772" s="8" t="s">
        <v>46</v>
      </c>
      <c r="I772" s="8" t="s">
        <v>23</v>
      </c>
      <c r="J772" s="8" t="s">
        <v>6505</v>
      </c>
      <c r="K772" s="8" t="s">
        <v>6507</v>
      </c>
      <c r="L772" s="8" t="s">
        <v>19</v>
      </c>
      <c r="M772" s="8">
        <v>670</v>
      </c>
      <c r="N772" s="8" t="s">
        <v>1055</v>
      </c>
      <c r="O772" s="8">
        <v>139</v>
      </c>
      <c r="P772" s="8" t="s">
        <v>6506</v>
      </c>
      <c r="Q772" s="8" t="s">
        <v>4262</v>
      </c>
      <c r="R772" s="8">
        <v>0.246</v>
      </c>
      <c r="S772" s="8">
        <v>65559003</v>
      </c>
      <c r="T772" s="8" t="s">
        <v>41</v>
      </c>
      <c r="U772" s="8" t="s">
        <v>46</v>
      </c>
    </row>
    <row r="773" spans="1:21">
      <c r="A773" s="8" t="s">
        <v>6350</v>
      </c>
      <c r="B773" s="8" t="s">
        <v>3541</v>
      </c>
      <c r="C773" s="8">
        <v>55784</v>
      </c>
      <c r="D773" s="8" t="s">
        <v>120</v>
      </c>
      <c r="E773" s="8">
        <v>94841763</v>
      </c>
      <c r="F773" s="8">
        <v>94841763</v>
      </c>
      <c r="G773" s="8" t="s">
        <v>25</v>
      </c>
      <c r="H773" s="8" t="s">
        <v>41</v>
      </c>
      <c r="I773" s="8" t="s">
        <v>23</v>
      </c>
      <c r="J773" s="8" t="s">
        <v>6508</v>
      </c>
      <c r="K773" s="8" t="s">
        <v>6510</v>
      </c>
      <c r="L773" s="8" t="s">
        <v>19</v>
      </c>
      <c r="M773" s="8">
        <v>334</v>
      </c>
      <c r="N773" s="8" t="s">
        <v>457</v>
      </c>
      <c r="O773" s="8">
        <v>90</v>
      </c>
      <c r="P773" s="8" t="s">
        <v>6509</v>
      </c>
      <c r="Q773" s="8" t="s">
        <v>4262</v>
      </c>
      <c r="R773" s="8">
        <v>0.376</v>
      </c>
      <c r="S773" s="8">
        <v>94841763</v>
      </c>
      <c r="T773" s="8" t="s">
        <v>25</v>
      </c>
      <c r="U773" s="8" t="s">
        <v>41</v>
      </c>
    </row>
    <row r="774" spans="1:21">
      <c r="A774" s="8" t="s">
        <v>6350</v>
      </c>
      <c r="B774" s="8" t="s">
        <v>2512</v>
      </c>
      <c r="C774" s="8">
        <v>4130</v>
      </c>
      <c r="D774" s="8" t="s">
        <v>120</v>
      </c>
      <c r="E774" s="8">
        <v>43817418</v>
      </c>
      <c r="F774" s="8">
        <v>43817418</v>
      </c>
      <c r="G774" s="8" t="s">
        <v>46</v>
      </c>
      <c r="H774" s="8" t="s">
        <v>25</v>
      </c>
      <c r="I774" s="8" t="s">
        <v>23</v>
      </c>
      <c r="J774" s="8" t="s">
        <v>2513</v>
      </c>
      <c r="K774" s="8" t="s">
        <v>6512</v>
      </c>
      <c r="L774" s="8" t="s">
        <v>19</v>
      </c>
      <c r="M774" s="8">
        <v>4214</v>
      </c>
      <c r="N774" s="8" t="s">
        <v>1591</v>
      </c>
      <c r="O774" s="8">
        <v>1249</v>
      </c>
      <c r="P774" s="8" t="s">
        <v>6511</v>
      </c>
      <c r="Q774" s="8" t="s">
        <v>4262</v>
      </c>
      <c r="R774" s="8">
        <v>0.47699999999999998</v>
      </c>
      <c r="S774" s="8">
        <v>43817418</v>
      </c>
      <c r="T774" s="8" t="s">
        <v>46</v>
      </c>
      <c r="U774" s="8" t="s">
        <v>25</v>
      </c>
    </row>
    <row r="775" spans="1:21">
      <c r="A775" s="8" t="s">
        <v>6350</v>
      </c>
      <c r="B775" s="8" t="s">
        <v>3537</v>
      </c>
      <c r="C775" s="8">
        <v>80031</v>
      </c>
      <c r="D775" s="8" t="s">
        <v>120</v>
      </c>
      <c r="E775" s="8">
        <v>48056140</v>
      </c>
      <c r="F775" s="8">
        <v>48056140</v>
      </c>
      <c r="G775" s="8" t="s">
        <v>46</v>
      </c>
      <c r="H775" s="8" t="s">
        <v>41</v>
      </c>
      <c r="I775" s="8" t="s">
        <v>23</v>
      </c>
      <c r="J775" s="8" t="s">
        <v>6513</v>
      </c>
      <c r="K775" s="8" t="s">
        <v>6515</v>
      </c>
      <c r="L775" s="8" t="s">
        <v>19</v>
      </c>
      <c r="M775" s="8">
        <v>1280</v>
      </c>
      <c r="N775" s="8" t="s">
        <v>92</v>
      </c>
      <c r="O775" s="8">
        <v>281</v>
      </c>
      <c r="P775" s="8" t="s">
        <v>6514</v>
      </c>
      <c r="Q775" s="8" t="s">
        <v>4262</v>
      </c>
      <c r="R775" s="8">
        <v>0.45500000000000002</v>
      </c>
      <c r="S775" s="8">
        <v>48056140</v>
      </c>
      <c r="T775" s="8" t="s">
        <v>46</v>
      </c>
      <c r="U775" s="8" t="s">
        <v>41</v>
      </c>
    </row>
    <row r="776" spans="1:21">
      <c r="A776" s="8" t="s">
        <v>6350</v>
      </c>
      <c r="B776" s="8" t="s">
        <v>6516</v>
      </c>
      <c r="C776" s="8">
        <v>4025</v>
      </c>
      <c r="D776" s="8" t="s">
        <v>133</v>
      </c>
      <c r="E776" s="8">
        <v>56345162</v>
      </c>
      <c r="F776" s="8">
        <v>56345162</v>
      </c>
      <c r="G776" s="8" t="s">
        <v>25</v>
      </c>
      <c r="H776" s="8" t="s">
        <v>24</v>
      </c>
      <c r="I776" s="8" t="s">
        <v>23</v>
      </c>
      <c r="J776" s="8" t="s">
        <v>6517</v>
      </c>
      <c r="K776" s="8" t="s">
        <v>6519</v>
      </c>
      <c r="L776" s="8" t="s">
        <v>19</v>
      </c>
      <c r="M776" s="8">
        <v>2262</v>
      </c>
      <c r="N776" s="8" t="s">
        <v>394</v>
      </c>
      <c r="O776" s="8">
        <v>649</v>
      </c>
      <c r="P776" s="8" t="s">
        <v>6518</v>
      </c>
      <c r="Q776" s="8" t="s">
        <v>4262</v>
      </c>
      <c r="R776" s="8">
        <v>0.193</v>
      </c>
      <c r="S776" s="8">
        <v>56345162</v>
      </c>
      <c r="T776" s="8" t="s">
        <v>25</v>
      </c>
      <c r="U776" s="8" t="s">
        <v>24</v>
      </c>
    </row>
    <row r="777" spans="1:21">
      <c r="A777" s="8" t="s">
        <v>6350</v>
      </c>
      <c r="B777" s="8" t="s">
        <v>6520</v>
      </c>
      <c r="C777" s="8">
        <v>26115</v>
      </c>
      <c r="D777" s="8" t="s">
        <v>133</v>
      </c>
      <c r="E777" s="8">
        <v>61476266</v>
      </c>
      <c r="F777" s="8">
        <v>61476266</v>
      </c>
      <c r="G777" s="8" t="s">
        <v>24</v>
      </c>
      <c r="H777" s="8" t="s">
        <v>46</v>
      </c>
      <c r="I777" s="8" t="s">
        <v>23</v>
      </c>
      <c r="J777" s="8" t="s">
        <v>6521</v>
      </c>
      <c r="K777" s="8" t="s">
        <v>6523</v>
      </c>
      <c r="L777" s="8" t="s">
        <v>19</v>
      </c>
      <c r="M777" s="8">
        <v>3123</v>
      </c>
      <c r="N777" s="8" t="s">
        <v>3091</v>
      </c>
      <c r="O777" s="8">
        <v>1034</v>
      </c>
      <c r="P777" s="8" t="s">
        <v>6522</v>
      </c>
      <c r="Q777" s="8" t="s">
        <v>4262</v>
      </c>
      <c r="R777" s="8">
        <v>0.11700000000000001</v>
      </c>
      <c r="S777" s="8">
        <v>61476266</v>
      </c>
      <c r="T777" s="8" t="s">
        <v>24</v>
      </c>
      <c r="U777" s="8" t="s">
        <v>46</v>
      </c>
    </row>
    <row r="778" spans="1:21">
      <c r="A778" s="8" t="s">
        <v>6350</v>
      </c>
      <c r="B778" s="8" t="s">
        <v>6524</v>
      </c>
      <c r="C778" s="8">
        <v>54549</v>
      </c>
      <c r="D778" s="8" t="s">
        <v>133</v>
      </c>
      <c r="E778" s="8">
        <v>71410833</v>
      </c>
      <c r="F778" s="8">
        <v>71410833</v>
      </c>
      <c r="G778" s="8" t="s">
        <v>25</v>
      </c>
      <c r="H778" s="8" t="s">
        <v>41</v>
      </c>
      <c r="I778" s="8" t="s">
        <v>23</v>
      </c>
      <c r="J778" s="8" t="s">
        <v>6525</v>
      </c>
      <c r="K778" s="8" t="s">
        <v>6527</v>
      </c>
      <c r="L778" s="8" t="s">
        <v>19</v>
      </c>
      <c r="M778" s="8">
        <v>2434</v>
      </c>
      <c r="N778" s="8" t="s">
        <v>40</v>
      </c>
      <c r="O778" s="8">
        <v>812</v>
      </c>
      <c r="P778" s="8" t="s">
        <v>6526</v>
      </c>
      <c r="Q778" s="8" t="s">
        <v>4262</v>
      </c>
      <c r="R778" s="8">
        <v>0.12</v>
      </c>
      <c r="S778" s="8">
        <v>71410833</v>
      </c>
      <c r="T778" s="8" t="s">
        <v>25</v>
      </c>
      <c r="U778" s="8" t="s">
        <v>41</v>
      </c>
    </row>
    <row r="779" spans="1:21">
      <c r="A779" s="8" t="s">
        <v>6350</v>
      </c>
      <c r="B779" s="8" t="s">
        <v>130</v>
      </c>
      <c r="C779" s="8">
        <v>7157</v>
      </c>
      <c r="D779" s="8" t="s">
        <v>133</v>
      </c>
      <c r="E779" s="8">
        <v>7578461</v>
      </c>
      <c r="F779" s="8">
        <v>7578461</v>
      </c>
      <c r="G779" s="8" t="s">
        <v>46</v>
      </c>
      <c r="H779" s="8" t="s">
        <v>25</v>
      </c>
      <c r="I779" s="8" t="s">
        <v>23</v>
      </c>
      <c r="J779" s="8" t="s">
        <v>5804</v>
      </c>
      <c r="K779" s="8" t="s">
        <v>5807</v>
      </c>
      <c r="L779" s="8" t="s">
        <v>19</v>
      </c>
      <c r="M779" s="8">
        <v>666</v>
      </c>
      <c r="N779" s="8" t="s">
        <v>162</v>
      </c>
      <c r="O779" s="8">
        <v>157</v>
      </c>
      <c r="P779" s="8" t="s">
        <v>6528</v>
      </c>
      <c r="Q779" s="8" t="s">
        <v>6529</v>
      </c>
      <c r="R779" s="8">
        <v>0.88</v>
      </c>
      <c r="S779" s="8">
        <v>7578461</v>
      </c>
      <c r="T779" s="8" t="s">
        <v>46</v>
      </c>
      <c r="U779" s="8" t="s">
        <v>25</v>
      </c>
    </row>
    <row r="780" spans="1:21">
      <c r="A780" s="8" t="s">
        <v>6350</v>
      </c>
      <c r="B780" s="8" t="s">
        <v>6530</v>
      </c>
      <c r="C780" s="8">
        <v>147015</v>
      </c>
      <c r="D780" s="8" t="s">
        <v>133</v>
      </c>
      <c r="E780" s="8">
        <v>27228188</v>
      </c>
      <c r="F780" s="8">
        <v>27228188</v>
      </c>
      <c r="G780" s="8" t="s">
        <v>46</v>
      </c>
      <c r="H780" s="8" t="s">
        <v>25</v>
      </c>
      <c r="I780" s="8" t="s">
        <v>23</v>
      </c>
      <c r="J780" s="8" t="s">
        <v>6531</v>
      </c>
      <c r="K780" s="8" t="s">
        <v>6533</v>
      </c>
      <c r="L780" s="8" t="s">
        <v>19</v>
      </c>
      <c r="M780" s="8">
        <v>629</v>
      </c>
      <c r="N780" s="8" t="s">
        <v>4269</v>
      </c>
      <c r="O780" s="8">
        <v>168</v>
      </c>
      <c r="P780" s="8" t="s">
        <v>6532</v>
      </c>
      <c r="Q780" s="8" t="s">
        <v>4262</v>
      </c>
      <c r="R780" s="8">
        <v>0.22700000000000001</v>
      </c>
      <c r="S780" s="8">
        <v>27228188</v>
      </c>
      <c r="T780" s="8" t="s">
        <v>46</v>
      </c>
      <c r="U780" s="8" t="s">
        <v>25</v>
      </c>
    </row>
    <row r="781" spans="1:21">
      <c r="A781" s="8" t="s">
        <v>6350</v>
      </c>
      <c r="B781" s="8" t="s">
        <v>6534</v>
      </c>
      <c r="C781" s="8">
        <v>55106</v>
      </c>
      <c r="D781" s="8" t="s">
        <v>133</v>
      </c>
      <c r="E781" s="8">
        <v>33749426</v>
      </c>
      <c r="F781" s="8">
        <v>33749426</v>
      </c>
      <c r="G781" s="8" t="s">
        <v>41</v>
      </c>
      <c r="H781" s="8" t="s">
        <v>24</v>
      </c>
      <c r="I781" s="8" t="s">
        <v>23</v>
      </c>
      <c r="J781" s="8" t="s">
        <v>6535</v>
      </c>
      <c r="K781" s="8" t="s">
        <v>6537</v>
      </c>
      <c r="L781" s="8" t="s">
        <v>19</v>
      </c>
      <c r="M781" s="8">
        <v>999</v>
      </c>
      <c r="N781" s="8" t="s">
        <v>1040</v>
      </c>
      <c r="O781" s="8">
        <v>208</v>
      </c>
      <c r="P781" s="8" t="s">
        <v>6536</v>
      </c>
      <c r="Q781" s="8" t="s">
        <v>4262</v>
      </c>
      <c r="R781" s="8">
        <v>0.254</v>
      </c>
      <c r="S781" s="8">
        <v>33749426</v>
      </c>
      <c r="T781" s="8" t="s">
        <v>41</v>
      </c>
      <c r="U781" s="8" t="s">
        <v>24</v>
      </c>
    </row>
    <row r="782" spans="1:21">
      <c r="A782" s="8" t="s">
        <v>6350</v>
      </c>
      <c r="B782" s="8" t="s">
        <v>3542</v>
      </c>
      <c r="C782" s="8">
        <v>2064</v>
      </c>
      <c r="D782" s="8" t="s">
        <v>133</v>
      </c>
      <c r="E782" s="8">
        <v>37883770</v>
      </c>
      <c r="F782" s="8">
        <v>37883770</v>
      </c>
      <c r="G782" s="8" t="s">
        <v>24</v>
      </c>
      <c r="H782" s="8" t="s">
        <v>25</v>
      </c>
      <c r="I782" s="8" t="s">
        <v>23</v>
      </c>
      <c r="J782" s="8" t="s">
        <v>6538</v>
      </c>
      <c r="K782" s="8" t="s">
        <v>6540</v>
      </c>
      <c r="L782" s="8" t="s">
        <v>19</v>
      </c>
      <c r="M782" s="8">
        <v>3620</v>
      </c>
      <c r="N782" s="8" t="s">
        <v>1440</v>
      </c>
      <c r="O782" s="8">
        <v>1128</v>
      </c>
      <c r="P782" s="8" t="s">
        <v>6539</v>
      </c>
      <c r="Q782" s="8" t="s">
        <v>4262</v>
      </c>
      <c r="R782" s="8">
        <v>0.314</v>
      </c>
      <c r="S782" s="8">
        <v>37883770</v>
      </c>
      <c r="T782" s="8" t="s">
        <v>24</v>
      </c>
      <c r="U782" s="8" t="s">
        <v>25</v>
      </c>
    </row>
    <row r="783" spans="1:21">
      <c r="A783" s="8" t="s">
        <v>6350</v>
      </c>
      <c r="B783" s="8" t="s">
        <v>3543</v>
      </c>
      <c r="C783" s="8">
        <v>7266</v>
      </c>
      <c r="D783" s="8" t="s">
        <v>133</v>
      </c>
      <c r="E783" s="8">
        <v>40141510</v>
      </c>
      <c r="F783" s="8">
        <v>40141510</v>
      </c>
      <c r="G783" s="8" t="s">
        <v>41</v>
      </c>
      <c r="H783" s="8" t="s">
        <v>46</v>
      </c>
      <c r="I783" s="8" t="s">
        <v>23</v>
      </c>
      <c r="J783" s="8" t="s">
        <v>6541</v>
      </c>
      <c r="K783" s="8" t="s">
        <v>6543</v>
      </c>
      <c r="L783" s="8" t="s">
        <v>19</v>
      </c>
      <c r="M783" s="8">
        <v>946</v>
      </c>
      <c r="N783" s="8" t="s">
        <v>176</v>
      </c>
      <c r="O783" s="8">
        <v>222</v>
      </c>
      <c r="P783" s="8" t="s">
        <v>6542</v>
      </c>
      <c r="Q783" s="8" t="s">
        <v>4262</v>
      </c>
      <c r="R783" s="8">
        <v>0.314</v>
      </c>
      <c r="S783" s="8">
        <v>40141510</v>
      </c>
      <c r="T783" s="8" t="s">
        <v>41</v>
      </c>
      <c r="U783" s="8" t="s">
        <v>46</v>
      </c>
    </row>
    <row r="784" spans="1:21">
      <c r="A784" s="8" t="s">
        <v>6350</v>
      </c>
      <c r="B784" s="8" t="s">
        <v>3544</v>
      </c>
      <c r="C784" s="8">
        <v>64762</v>
      </c>
      <c r="D784" s="8" t="s">
        <v>135</v>
      </c>
      <c r="E784" s="8">
        <v>29868042</v>
      </c>
      <c r="F784" s="8">
        <v>29868042</v>
      </c>
      <c r="G784" s="8" t="s">
        <v>46</v>
      </c>
      <c r="H784" s="8" t="s">
        <v>25</v>
      </c>
      <c r="I784" s="8" t="s">
        <v>23</v>
      </c>
      <c r="J784" s="8" t="s">
        <v>6544</v>
      </c>
      <c r="K784" s="8" t="s">
        <v>6546</v>
      </c>
      <c r="L784" s="8" t="s">
        <v>19</v>
      </c>
      <c r="M784" s="8">
        <v>574</v>
      </c>
      <c r="N784" s="8" t="s">
        <v>437</v>
      </c>
      <c r="O784" s="8">
        <v>173</v>
      </c>
      <c r="P784" s="8" t="s">
        <v>6545</v>
      </c>
      <c r="Q784" s="8" t="s">
        <v>4262</v>
      </c>
      <c r="R784" s="8">
        <v>0.46600000000000003</v>
      </c>
      <c r="S784" s="8">
        <v>29868042</v>
      </c>
      <c r="T784" s="8" t="s">
        <v>46</v>
      </c>
      <c r="U784" s="8" t="s">
        <v>25</v>
      </c>
    </row>
    <row r="785" spans="1:21">
      <c r="A785" s="8" t="s">
        <v>6350</v>
      </c>
      <c r="B785" s="8" t="s">
        <v>2036</v>
      </c>
      <c r="C785" s="8">
        <v>26040</v>
      </c>
      <c r="D785" s="8" t="s">
        <v>135</v>
      </c>
      <c r="E785" s="8">
        <v>42532417</v>
      </c>
      <c r="F785" s="8">
        <v>42532417</v>
      </c>
      <c r="G785" s="8" t="s">
        <v>41</v>
      </c>
      <c r="H785" s="8" t="s">
        <v>25</v>
      </c>
      <c r="I785" s="8" t="s">
        <v>23</v>
      </c>
      <c r="J785" s="8" t="s">
        <v>6547</v>
      </c>
      <c r="K785" s="8" t="s">
        <v>6549</v>
      </c>
      <c r="L785" s="8" t="s">
        <v>19</v>
      </c>
      <c r="M785" s="8">
        <v>3408</v>
      </c>
      <c r="N785" s="8" t="s">
        <v>1615</v>
      </c>
      <c r="O785" s="8">
        <v>1038</v>
      </c>
      <c r="P785" s="8" t="s">
        <v>6548</v>
      </c>
      <c r="Q785" s="8" t="s">
        <v>4262</v>
      </c>
      <c r="R785" s="8">
        <v>0.50800000000000001</v>
      </c>
      <c r="S785" s="8">
        <v>42532417</v>
      </c>
      <c r="T785" s="8" t="s">
        <v>41</v>
      </c>
      <c r="U785" s="8" t="s">
        <v>25</v>
      </c>
    </row>
    <row r="786" spans="1:21">
      <c r="A786" s="8" t="s">
        <v>6350</v>
      </c>
      <c r="B786" s="8" t="s">
        <v>6550</v>
      </c>
      <c r="C786" s="8">
        <v>94030</v>
      </c>
      <c r="D786" s="8" t="s">
        <v>139</v>
      </c>
      <c r="E786" s="8">
        <v>51022408</v>
      </c>
      <c r="F786" s="8">
        <v>51022408</v>
      </c>
      <c r="G786" s="8" t="s">
        <v>46</v>
      </c>
      <c r="H786" s="8" t="s">
        <v>24</v>
      </c>
      <c r="I786" s="8" t="s">
        <v>23</v>
      </c>
      <c r="J786" s="8" t="s">
        <v>6551</v>
      </c>
      <c r="K786" s="8" t="s">
        <v>6553</v>
      </c>
      <c r="L786" s="8" t="s">
        <v>19</v>
      </c>
      <c r="M786" s="8">
        <v>699</v>
      </c>
      <c r="N786" s="8" t="s">
        <v>128</v>
      </c>
      <c r="O786" s="8">
        <v>188</v>
      </c>
      <c r="P786" s="8" t="s">
        <v>6552</v>
      </c>
      <c r="Q786" s="8" t="s">
        <v>4262</v>
      </c>
      <c r="R786" s="8">
        <v>0.114</v>
      </c>
      <c r="S786" s="8">
        <v>51022408</v>
      </c>
      <c r="T786" s="8" t="s">
        <v>46</v>
      </c>
      <c r="U786" s="8" t="s">
        <v>24</v>
      </c>
    </row>
    <row r="787" spans="1:21">
      <c r="A787" s="8" t="s">
        <v>6350</v>
      </c>
      <c r="B787" s="8" t="s">
        <v>3550</v>
      </c>
      <c r="C787" s="8">
        <v>79744</v>
      </c>
      <c r="D787" s="8" t="s">
        <v>139</v>
      </c>
      <c r="E787" s="8">
        <v>58004544</v>
      </c>
      <c r="F787" s="8">
        <v>58004544</v>
      </c>
      <c r="G787" s="8" t="s">
        <v>24</v>
      </c>
      <c r="H787" s="8" t="s">
        <v>46</v>
      </c>
      <c r="I787" s="8" t="s">
        <v>23</v>
      </c>
      <c r="J787" s="8" t="s">
        <v>6554</v>
      </c>
      <c r="K787" s="8" t="s">
        <v>6556</v>
      </c>
      <c r="L787" s="8" t="s">
        <v>19</v>
      </c>
      <c r="M787" s="8">
        <v>862</v>
      </c>
      <c r="N787" s="8" t="s">
        <v>564</v>
      </c>
      <c r="O787" s="8">
        <v>208</v>
      </c>
      <c r="P787" s="8" t="s">
        <v>6555</v>
      </c>
      <c r="Q787" s="8" t="s">
        <v>4262</v>
      </c>
      <c r="R787" s="8">
        <v>0.33300000000000002</v>
      </c>
      <c r="S787" s="8">
        <v>58004544</v>
      </c>
      <c r="T787" s="8" t="s">
        <v>24</v>
      </c>
      <c r="U787" s="8" t="s">
        <v>46</v>
      </c>
    </row>
    <row r="788" spans="1:21">
      <c r="A788" s="8" t="s">
        <v>6350</v>
      </c>
      <c r="B788" s="8" t="s">
        <v>3551</v>
      </c>
      <c r="C788" s="8">
        <v>126353</v>
      </c>
      <c r="D788" s="8" t="s">
        <v>139</v>
      </c>
      <c r="E788" s="8">
        <v>757139</v>
      </c>
      <c r="F788" s="8">
        <v>757139</v>
      </c>
      <c r="G788" s="8" t="s">
        <v>24</v>
      </c>
      <c r="H788" s="8" t="s">
        <v>25</v>
      </c>
      <c r="I788" s="8" t="s">
        <v>23</v>
      </c>
      <c r="J788" s="8" t="s">
        <v>3552</v>
      </c>
      <c r="K788" s="8" t="s">
        <v>6558</v>
      </c>
      <c r="L788" s="8" t="s">
        <v>19</v>
      </c>
      <c r="M788" s="8">
        <v>276</v>
      </c>
      <c r="N788" s="8" t="s">
        <v>28</v>
      </c>
      <c r="O788" s="8">
        <v>65</v>
      </c>
      <c r="P788" s="8" t="s">
        <v>6557</v>
      </c>
      <c r="Q788" s="8" t="s">
        <v>4262</v>
      </c>
      <c r="R788" s="8">
        <v>0.58099999999999996</v>
      </c>
      <c r="S788" s="8">
        <v>757139</v>
      </c>
      <c r="T788" s="8" t="s">
        <v>24</v>
      </c>
      <c r="U788" s="8" t="s">
        <v>25</v>
      </c>
    </row>
    <row r="789" spans="1:21">
      <c r="A789" s="8" t="s">
        <v>6350</v>
      </c>
      <c r="B789" s="8" t="s">
        <v>1093</v>
      </c>
      <c r="C789" s="8">
        <v>94025</v>
      </c>
      <c r="D789" s="8" t="s">
        <v>139</v>
      </c>
      <c r="E789" s="8">
        <v>9075105</v>
      </c>
      <c r="F789" s="8">
        <v>9075105</v>
      </c>
      <c r="G789" s="8" t="s">
        <v>24</v>
      </c>
      <c r="H789" s="8" t="s">
        <v>46</v>
      </c>
      <c r="I789" s="8" t="s">
        <v>23</v>
      </c>
      <c r="J789" s="8" t="s">
        <v>1094</v>
      </c>
      <c r="K789" s="8" t="s">
        <v>4408</v>
      </c>
      <c r="L789" s="8" t="s">
        <v>19</v>
      </c>
      <c r="M789" s="8">
        <v>12545</v>
      </c>
      <c r="N789" s="8" t="s">
        <v>478</v>
      </c>
      <c r="O789" s="8">
        <v>4114</v>
      </c>
      <c r="P789" s="8" t="s">
        <v>6559</v>
      </c>
      <c r="Q789" s="8" t="s">
        <v>4262</v>
      </c>
      <c r="R789" s="8">
        <v>0.23799999999999999</v>
      </c>
      <c r="S789" s="8">
        <v>9075105</v>
      </c>
      <c r="T789" s="8" t="s">
        <v>24</v>
      </c>
      <c r="U789" s="8" t="s">
        <v>46</v>
      </c>
    </row>
    <row r="790" spans="1:21">
      <c r="A790" s="8" t="s">
        <v>6350</v>
      </c>
      <c r="B790" s="8" t="s">
        <v>2580</v>
      </c>
      <c r="C790" s="8">
        <v>7594</v>
      </c>
      <c r="D790" s="8" t="s">
        <v>139</v>
      </c>
      <c r="E790" s="8">
        <v>21992394</v>
      </c>
      <c r="F790" s="8">
        <v>21992394</v>
      </c>
      <c r="G790" s="8" t="s">
        <v>46</v>
      </c>
      <c r="H790" s="8" t="s">
        <v>41</v>
      </c>
      <c r="I790" s="8" t="s">
        <v>23</v>
      </c>
      <c r="J790" s="8" t="s">
        <v>6560</v>
      </c>
      <c r="K790" s="8" t="s">
        <v>6562</v>
      </c>
      <c r="L790" s="8" t="s">
        <v>19</v>
      </c>
      <c r="M790" s="8">
        <v>575</v>
      </c>
      <c r="N790" s="8" t="s">
        <v>557</v>
      </c>
      <c r="O790" s="8">
        <v>149</v>
      </c>
      <c r="P790" s="8" t="s">
        <v>6561</v>
      </c>
      <c r="Q790" s="8" t="s">
        <v>4262</v>
      </c>
      <c r="R790" s="8">
        <v>0.35699999999999998</v>
      </c>
      <c r="S790" s="8">
        <v>21992394</v>
      </c>
      <c r="T790" s="8" t="s">
        <v>46</v>
      </c>
      <c r="U790" s="8" t="s">
        <v>41</v>
      </c>
    </row>
    <row r="791" spans="1:21">
      <c r="A791" s="8" t="s">
        <v>6350</v>
      </c>
      <c r="B791" s="8" t="s">
        <v>2232</v>
      </c>
      <c r="C791" s="8">
        <v>4037</v>
      </c>
      <c r="D791" s="8" t="s">
        <v>139</v>
      </c>
      <c r="E791" s="8">
        <v>33696986</v>
      </c>
      <c r="F791" s="8">
        <v>33696986</v>
      </c>
      <c r="G791" s="8" t="s">
        <v>24</v>
      </c>
      <c r="H791" s="8" t="s">
        <v>41</v>
      </c>
      <c r="I791" s="8" t="s">
        <v>23</v>
      </c>
      <c r="J791" s="8" t="s">
        <v>6563</v>
      </c>
      <c r="K791" s="8" t="s">
        <v>6565</v>
      </c>
      <c r="L791" s="8" t="s">
        <v>19</v>
      </c>
      <c r="M791" s="8">
        <v>1403</v>
      </c>
      <c r="N791" s="8" t="s">
        <v>2922</v>
      </c>
      <c r="O791" s="8">
        <v>437</v>
      </c>
      <c r="P791" s="8" t="s">
        <v>6564</v>
      </c>
      <c r="Q791" s="8" t="s">
        <v>4262</v>
      </c>
      <c r="R791" s="8">
        <v>0.5</v>
      </c>
      <c r="S791" s="8">
        <v>33696986</v>
      </c>
      <c r="T791" s="8" t="s">
        <v>24</v>
      </c>
      <c r="U791" s="8" t="s">
        <v>41</v>
      </c>
    </row>
    <row r="792" spans="1:21">
      <c r="A792" s="8" t="s">
        <v>6350</v>
      </c>
      <c r="B792" s="8" t="s">
        <v>3547</v>
      </c>
      <c r="C792" s="8">
        <v>1048</v>
      </c>
      <c r="D792" s="8" t="s">
        <v>139</v>
      </c>
      <c r="E792" s="8">
        <v>42224008</v>
      </c>
      <c r="F792" s="8">
        <v>42224008</v>
      </c>
      <c r="G792" s="8" t="s">
        <v>25</v>
      </c>
      <c r="H792" s="8" t="s">
        <v>41</v>
      </c>
      <c r="I792" s="8" t="s">
        <v>23</v>
      </c>
      <c r="J792" s="8" t="s">
        <v>3548</v>
      </c>
      <c r="K792" s="8" t="s">
        <v>6567</v>
      </c>
      <c r="L792" s="8" t="s">
        <v>19</v>
      </c>
      <c r="M792" s="8">
        <v>1773</v>
      </c>
      <c r="N792" s="8" t="s">
        <v>3549</v>
      </c>
      <c r="O792" s="8">
        <v>551</v>
      </c>
      <c r="P792" s="8" t="s">
        <v>6566</v>
      </c>
      <c r="Q792" s="8" t="s">
        <v>4262</v>
      </c>
      <c r="R792" s="8">
        <v>0.45600000000000002</v>
      </c>
      <c r="S792" s="8">
        <v>42224008</v>
      </c>
      <c r="T792" s="8" t="s">
        <v>25</v>
      </c>
      <c r="U792" s="8" t="s">
        <v>41</v>
      </c>
    </row>
    <row r="793" spans="1:21">
      <c r="A793" s="8" t="s">
        <v>6350</v>
      </c>
      <c r="B793" s="8" t="s">
        <v>2179</v>
      </c>
      <c r="C793" s="8">
        <v>2077</v>
      </c>
      <c r="D793" s="8" t="s">
        <v>139</v>
      </c>
      <c r="E793" s="8">
        <v>42754643</v>
      </c>
      <c r="F793" s="8">
        <v>42754643</v>
      </c>
      <c r="G793" s="8" t="s">
        <v>41</v>
      </c>
      <c r="H793" s="8" t="s">
        <v>25</v>
      </c>
      <c r="I793" s="8" t="s">
        <v>23</v>
      </c>
      <c r="J793" s="8" t="s">
        <v>6568</v>
      </c>
      <c r="K793" s="8" t="s">
        <v>6570</v>
      </c>
      <c r="L793" s="8" t="s">
        <v>19</v>
      </c>
      <c r="M793" s="8">
        <v>255</v>
      </c>
      <c r="N793" s="8" t="s">
        <v>1607</v>
      </c>
      <c r="O793" s="8">
        <v>33</v>
      </c>
      <c r="P793" s="8" t="s">
        <v>6569</v>
      </c>
      <c r="Q793" s="8" t="s">
        <v>4262</v>
      </c>
      <c r="R793" s="8">
        <v>0.4</v>
      </c>
      <c r="S793" s="8">
        <v>42754643</v>
      </c>
      <c r="T793" s="8" t="s">
        <v>41</v>
      </c>
      <c r="U793" s="8" t="s">
        <v>25</v>
      </c>
    </row>
    <row r="794" spans="1:21">
      <c r="A794" s="8" t="s">
        <v>6350</v>
      </c>
      <c r="B794" s="8" t="s">
        <v>6571</v>
      </c>
      <c r="C794" s="8">
        <v>55738</v>
      </c>
      <c r="D794" s="8" t="s">
        <v>188</v>
      </c>
      <c r="E794" s="8">
        <v>61910307</v>
      </c>
      <c r="F794" s="8">
        <v>61910307</v>
      </c>
      <c r="G794" s="8" t="s">
        <v>25</v>
      </c>
      <c r="H794" s="8" t="s">
        <v>24</v>
      </c>
      <c r="I794" s="8" t="s">
        <v>23</v>
      </c>
      <c r="J794" s="8" t="s">
        <v>6572</v>
      </c>
      <c r="K794" s="8" t="s">
        <v>6574</v>
      </c>
      <c r="L794" s="8" t="s">
        <v>19</v>
      </c>
      <c r="M794" s="8">
        <v>699</v>
      </c>
      <c r="N794" s="8" t="s">
        <v>454</v>
      </c>
      <c r="O794" s="8">
        <v>196</v>
      </c>
      <c r="P794" s="8" t="s">
        <v>6573</v>
      </c>
      <c r="Q794" s="8" t="s">
        <v>4262</v>
      </c>
      <c r="R794" s="8">
        <v>0.14000000000000001</v>
      </c>
      <c r="S794" s="8">
        <v>61910307</v>
      </c>
      <c r="T794" s="8" t="s">
        <v>25</v>
      </c>
      <c r="U794" s="8" t="s">
        <v>24</v>
      </c>
    </row>
    <row r="795" spans="1:21">
      <c r="A795" s="8" t="s">
        <v>6350</v>
      </c>
      <c r="B795" s="8" t="s">
        <v>3558</v>
      </c>
      <c r="C795" s="8">
        <v>140862</v>
      </c>
      <c r="D795" s="8" t="s">
        <v>188</v>
      </c>
      <c r="E795" s="8">
        <v>13279874</v>
      </c>
      <c r="F795" s="8">
        <v>13279874</v>
      </c>
      <c r="G795" s="8" t="s">
        <v>24</v>
      </c>
      <c r="H795" s="8" t="s">
        <v>25</v>
      </c>
      <c r="I795" s="8" t="s">
        <v>23</v>
      </c>
      <c r="J795" s="8" t="s">
        <v>3559</v>
      </c>
      <c r="K795" s="8" t="s">
        <v>6576</v>
      </c>
      <c r="L795" s="8" t="s">
        <v>19</v>
      </c>
      <c r="M795" s="8">
        <v>1169</v>
      </c>
      <c r="N795" s="8" t="s">
        <v>205</v>
      </c>
      <c r="O795" s="8">
        <v>388</v>
      </c>
      <c r="P795" s="8" t="s">
        <v>6575</v>
      </c>
      <c r="Q795" s="8" t="s">
        <v>4262</v>
      </c>
      <c r="R795" s="8">
        <v>0.65600000000000003</v>
      </c>
      <c r="S795" s="8">
        <v>13279874</v>
      </c>
      <c r="T795" s="8" t="s">
        <v>24</v>
      </c>
      <c r="U795" s="8" t="s">
        <v>25</v>
      </c>
    </row>
    <row r="796" spans="1:21">
      <c r="A796" s="8" t="s">
        <v>6350</v>
      </c>
      <c r="B796" s="8" t="s">
        <v>3560</v>
      </c>
      <c r="C796" s="8">
        <v>955</v>
      </c>
      <c r="D796" s="8" t="s">
        <v>188</v>
      </c>
      <c r="E796" s="8">
        <v>25190503</v>
      </c>
      <c r="F796" s="8">
        <v>25190503</v>
      </c>
      <c r="G796" s="8" t="s">
        <v>25</v>
      </c>
      <c r="H796" s="8" t="s">
        <v>24</v>
      </c>
      <c r="I796" s="8" t="s">
        <v>23</v>
      </c>
      <c r="J796" s="8" t="s">
        <v>6577</v>
      </c>
      <c r="K796" s="8" t="s">
        <v>6579</v>
      </c>
      <c r="L796" s="8" t="s">
        <v>19</v>
      </c>
      <c r="M796" s="8">
        <v>575</v>
      </c>
      <c r="N796" s="8" t="s">
        <v>1080</v>
      </c>
      <c r="O796" s="8">
        <v>132</v>
      </c>
      <c r="P796" s="8" t="s">
        <v>6578</v>
      </c>
      <c r="Q796" s="8" t="s">
        <v>4262</v>
      </c>
      <c r="R796" s="8">
        <v>0.46400000000000002</v>
      </c>
      <c r="S796" s="8">
        <v>25190503</v>
      </c>
      <c r="T796" s="8" t="s">
        <v>25</v>
      </c>
      <c r="U796" s="8" t="s">
        <v>24</v>
      </c>
    </row>
    <row r="797" spans="1:21">
      <c r="A797" s="8" t="s">
        <v>6350</v>
      </c>
      <c r="B797" s="8"/>
      <c r="C797" s="8">
        <v>100134091</v>
      </c>
      <c r="D797" s="8" t="s">
        <v>188</v>
      </c>
      <c r="E797" s="8">
        <v>29628278</v>
      </c>
      <c r="F797" s="8">
        <v>29628278</v>
      </c>
      <c r="G797" s="8" t="s">
        <v>24</v>
      </c>
      <c r="H797" s="8" t="s">
        <v>25</v>
      </c>
      <c r="I797" s="8" t="s">
        <v>23</v>
      </c>
      <c r="J797" s="8" t="s">
        <v>6580</v>
      </c>
      <c r="K797" s="8" t="s">
        <v>6582</v>
      </c>
      <c r="L797" s="8" t="s">
        <v>19</v>
      </c>
      <c r="M797" s="8">
        <v>118</v>
      </c>
      <c r="N797" s="8" t="s">
        <v>1070</v>
      </c>
      <c r="O797" s="8">
        <v>40</v>
      </c>
      <c r="P797" s="8" t="s">
        <v>6581</v>
      </c>
      <c r="Q797" s="8" t="s">
        <v>4262</v>
      </c>
      <c r="R797" s="8">
        <v>3.9E-2</v>
      </c>
      <c r="S797" s="8">
        <v>29628278</v>
      </c>
      <c r="T797" s="8" t="s">
        <v>24</v>
      </c>
      <c r="U797" s="8" t="s">
        <v>25</v>
      </c>
    </row>
    <row r="798" spans="1:21">
      <c r="A798" s="8" t="s">
        <v>6350</v>
      </c>
      <c r="B798" s="8" t="s">
        <v>3561</v>
      </c>
      <c r="C798" s="8">
        <v>9584</v>
      </c>
      <c r="D798" s="8" t="s">
        <v>188</v>
      </c>
      <c r="E798" s="8">
        <v>34309705</v>
      </c>
      <c r="F798" s="8">
        <v>34309705</v>
      </c>
      <c r="G798" s="8" t="s">
        <v>25</v>
      </c>
      <c r="H798" s="8" t="s">
        <v>24</v>
      </c>
      <c r="I798" s="8" t="s">
        <v>23</v>
      </c>
      <c r="J798" s="8" t="s">
        <v>6583</v>
      </c>
      <c r="K798" s="8" t="s">
        <v>6585</v>
      </c>
      <c r="L798" s="8" t="s">
        <v>19</v>
      </c>
      <c r="M798" s="8">
        <v>1191</v>
      </c>
      <c r="N798" s="8" t="s">
        <v>352</v>
      </c>
      <c r="O798" s="8">
        <v>261</v>
      </c>
      <c r="P798" s="8" t="s">
        <v>6584</v>
      </c>
      <c r="Q798" s="8" t="s">
        <v>4262</v>
      </c>
      <c r="R798" s="8">
        <v>0.34799999999999998</v>
      </c>
      <c r="S798" s="8">
        <v>34309705</v>
      </c>
      <c r="T798" s="8" t="s">
        <v>25</v>
      </c>
      <c r="U798" s="8" t="s">
        <v>24</v>
      </c>
    </row>
    <row r="799" spans="1:21">
      <c r="A799" s="8" t="s">
        <v>6350</v>
      </c>
      <c r="B799" s="8" t="s">
        <v>2646</v>
      </c>
      <c r="C799" s="8">
        <v>85449</v>
      </c>
      <c r="D799" s="8" t="s">
        <v>188</v>
      </c>
      <c r="E799" s="8">
        <v>36855630</v>
      </c>
      <c r="F799" s="8">
        <v>36855630</v>
      </c>
      <c r="G799" s="8" t="s">
        <v>46</v>
      </c>
      <c r="H799" s="8" t="s">
        <v>24</v>
      </c>
      <c r="I799" s="8" t="s">
        <v>23</v>
      </c>
      <c r="J799" s="8" t="s">
        <v>2647</v>
      </c>
      <c r="K799" s="8" t="s">
        <v>6587</v>
      </c>
      <c r="L799" s="8" t="s">
        <v>19</v>
      </c>
      <c r="M799" s="8">
        <v>2250</v>
      </c>
      <c r="N799" s="8" t="s">
        <v>582</v>
      </c>
      <c r="O799" s="8">
        <v>660</v>
      </c>
      <c r="P799" s="8" t="s">
        <v>6586</v>
      </c>
      <c r="Q799" s="8" t="s">
        <v>4262</v>
      </c>
      <c r="R799" s="8">
        <v>0.29499999999999998</v>
      </c>
      <c r="S799" s="8">
        <v>36855630</v>
      </c>
      <c r="T799" s="8" t="s">
        <v>46</v>
      </c>
      <c r="U799" s="8" t="s">
        <v>24</v>
      </c>
    </row>
    <row r="800" spans="1:21">
      <c r="A800" s="8" t="s">
        <v>6350</v>
      </c>
      <c r="B800" s="8" t="s">
        <v>2646</v>
      </c>
      <c r="C800" s="8">
        <v>85449</v>
      </c>
      <c r="D800" s="8" t="s">
        <v>188</v>
      </c>
      <c r="E800" s="8">
        <v>36874423</v>
      </c>
      <c r="F800" s="8">
        <v>36874423</v>
      </c>
      <c r="G800" s="8" t="s">
        <v>46</v>
      </c>
      <c r="H800" s="8" t="s">
        <v>24</v>
      </c>
      <c r="I800" s="8" t="s">
        <v>23</v>
      </c>
      <c r="J800" s="8" t="s">
        <v>2647</v>
      </c>
      <c r="K800" s="8" t="s">
        <v>6587</v>
      </c>
      <c r="L800" s="8" t="s">
        <v>19</v>
      </c>
      <c r="M800" s="8">
        <v>381</v>
      </c>
      <c r="N800" s="8" t="s">
        <v>128</v>
      </c>
      <c r="O800" s="8">
        <v>37</v>
      </c>
      <c r="P800" s="8" t="s">
        <v>6588</v>
      </c>
      <c r="Q800" s="8" t="s">
        <v>4262</v>
      </c>
      <c r="R800" s="8">
        <v>0.11899999999999999</v>
      </c>
      <c r="S800" s="8">
        <v>36874423</v>
      </c>
      <c r="T800" s="8" t="s">
        <v>46</v>
      </c>
      <c r="U800" s="8" t="s">
        <v>24</v>
      </c>
    </row>
    <row r="801" spans="1:21">
      <c r="A801" s="8" t="s">
        <v>6350</v>
      </c>
      <c r="B801" s="8" t="s">
        <v>3562</v>
      </c>
      <c r="C801" s="8">
        <v>3755</v>
      </c>
      <c r="D801" s="8" t="s">
        <v>188</v>
      </c>
      <c r="E801" s="8">
        <v>49620684</v>
      </c>
      <c r="F801" s="8">
        <v>49620684</v>
      </c>
      <c r="G801" s="8" t="s">
        <v>46</v>
      </c>
      <c r="H801" s="8" t="s">
        <v>25</v>
      </c>
      <c r="I801" s="8" t="s">
        <v>23</v>
      </c>
      <c r="J801" s="8" t="s">
        <v>3563</v>
      </c>
      <c r="K801" s="8" t="s">
        <v>6591</v>
      </c>
      <c r="L801" s="8" t="s">
        <v>19</v>
      </c>
      <c r="M801" s="8">
        <v>1729</v>
      </c>
      <c r="N801" s="8" t="s">
        <v>2948</v>
      </c>
      <c r="O801" s="8">
        <v>478</v>
      </c>
      <c r="P801" s="8" t="s">
        <v>6589</v>
      </c>
      <c r="Q801" s="8" t="s">
        <v>6590</v>
      </c>
      <c r="R801" s="8">
        <v>0.73899999999999999</v>
      </c>
      <c r="S801" s="8">
        <v>49620684</v>
      </c>
      <c r="T801" s="8" t="s">
        <v>46</v>
      </c>
      <c r="U801" s="8" t="s">
        <v>25</v>
      </c>
    </row>
    <row r="802" spans="1:21">
      <c r="A802" s="8" t="s">
        <v>6350</v>
      </c>
      <c r="B802" s="8" t="s">
        <v>6592</v>
      </c>
      <c r="C802" s="8">
        <v>386679</v>
      </c>
      <c r="D802" s="8" t="s">
        <v>193</v>
      </c>
      <c r="E802" s="8">
        <v>45970683</v>
      </c>
      <c r="F802" s="8">
        <v>45970683</v>
      </c>
      <c r="G802" s="8" t="s">
        <v>46</v>
      </c>
      <c r="H802" s="8" t="s">
        <v>41</v>
      </c>
      <c r="I802" s="8" t="s">
        <v>23</v>
      </c>
      <c r="J802" s="8" t="s">
        <v>6593</v>
      </c>
      <c r="K802" s="8" t="s">
        <v>6595</v>
      </c>
      <c r="L802" s="8" t="s">
        <v>19</v>
      </c>
      <c r="M802" s="8">
        <v>706</v>
      </c>
      <c r="N802" s="8" t="s">
        <v>732</v>
      </c>
      <c r="O802" s="8">
        <v>220</v>
      </c>
      <c r="P802" s="8" t="s">
        <v>6594</v>
      </c>
      <c r="Q802" s="8" t="s">
        <v>4262</v>
      </c>
      <c r="R802" s="8">
        <v>0.29499999999999998</v>
      </c>
      <c r="S802" s="8">
        <v>45970683</v>
      </c>
      <c r="T802" s="8" t="s">
        <v>46</v>
      </c>
      <c r="U802" s="8" t="s">
        <v>41</v>
      </c>
    </row>
    <row r="803" spans="1:21">
      <c r="A803" s="8" t="s">
        <v>6350</v>
      </c>
      <c r="B803" s="8" t="s">
        <v>3564</v>
      </c>
      <c r="C803" s="8">
        <v>4733</v>
      </c>
      <c r="D803" s="8" t="s">
        <v>197</v>
      </c>
      <c r="E803" s="8">
        <v>31829862</v>
      </c>
      <c r="F803" s="8">
        <v>31829862</v>
      </c>
      <c r="G803" s="8" t="s">
        <v>46</v>
      </c>
      <c r="H803" s="8" t="s">
        <v>24</v>
      </c>
      <c r="I803" s="8" t="s">
        <v>23</v>
      </c>
      <c r="J803" s="8" t="s">
        <v>3565</v>
      </c>
      <c r="K803" s="8" t="s">
        <v>6597</v>
      </c>
      <c r="L803" s="8" t="s">
        <v>19</v>
      </c>
      <c r="M803" s="8">
        <v>1140</v>
      </c>
      <c r="N803" s="8" t="s">
        <v>3075</v>
      </c>
      <c r="O803" s="8">
        <v>337</v>
      </c>
      <c r="P803" s="8" t="s">
        <v>6596</v>
      </c>
      <c r="Q803" s="8" t="s">
        <v>4262</v>
      </c>
      <c r="R803" s="8">
        <v>0.40899999999999997</v>
      </c>
      <c r="S803" s="8">
        <v>31829862</v>
      </c>
      <c r="T803" s="8" t="s">
        <v>46</v>
      </c>
      <c r="U803" s="8" t="s">
        <v>24</v>
      </c>
    </row>
    <row r="804" spans="1:21">
      <c r="A804" s="8" t="s">
        <v>6350</v>
      </c>
      <c r="B804" s="8" t="s">
        <v>3585</v>
      </c>
      <c r="C804" s="8">
        <v>340547</v>
      </c>
      <c r="D804" s="8" t="s">
        <v>418</v>
      </c>
      <c r="E804" s="8">
        <v>107310263</v>
      </c>
      <c r="F804" s="8">
        <v>107310263</v>
      </c>
      <c r="G804" s="8" t="s">
        <v>46</v>
      </c>
      <c r="H804" s="8" t="s">
        <v>41</v>
      </c>
      <c r="I804" s="8" t="s">
        <v>23</v>
      </c>
      <c r="J804" s="8" t="s">
        <v>6598</v>
      </c>
      <c r="K804" s="8" t="s">
        <v>6600</v>
      </c>
      <c r="L804" s="8" t="s">
        <v>19</v>
      </c>
      <c r="M804" s="8">
        <v>580</v>
      </c>
      <c r="N804" s="8" t="s">
        <v>3540</v>
      </c>
      <c r="O804" s="8">
        <v>140</v>
      </c>
      <c r="P804" s="8" t="s">
        <v>6599</v>
      </c>
      <c r="Q804" s="8" t="s">
        <v>4262</v>
      </c>
      <c r="R804" s="8">
        <v>0.39800000000000002</v>
      </c>
      <c r="S804" s="8">
        <v>107310263</v>
      </c>
      <c r="T804" s="8" t="s">
        <v>46</v>
      </c>
      <c r="U804" s="8" t="s">
        <v>41</v>
      </c>
    </row>
    <row r="805" spans="1:21">
      <c r="A805" s="8" t="s">
        <v>6603</v>
      </c>
      <c r="B805" s="8" t="s">
        <v>2890</v>
      </c>
      <c r="C805" s="8">
        <v>57554</v>
      </c>
      <c r="D805" s="8" t="s">
        <v>22</v>
      </c>
      <c r="E805" s="8">
        <v>70505298</v>
      </c>
      <c r="F805" s="8">
        <v>70505298</v>
      </c>
      <c r="G805" s="8" t="s">
        <v>46</v>
      </c>
      <c r="H805" s="8" t="s">
        <v>24</v>
      </c>
      <c r="I805" s="8" t="s">
        <v>23</v>
      </c>
      <c r="J805" s="8" t="s">
        <v>2891</v>
      </c>
      <c r="K805" s="8" t="s">
        <v>6602</v>
      </c>
      <c r="L805" s="8" t="s">
        <v>19</v>
      </c>
      <c r="M805" s="8">
        <v>3707</v>
      </c>
      <c r="N805" s="8" t="s">
        <v>443</v>
      </c>
      <c r="O805" s="8">
        <v>1226</v>
      </c>
      <c r="P805" s="8" t="s">
        <v>6601</v>
      </c>
      <c r="Q805" s="8" t="s">
        <v>4262</v>
      </c>
      <c r="R805" s="8">
        <v>0.29499999999999998</v>
      </c>
      <c r="S805" s="8">
        <v>70505298</v>
      </c>
      <c r="T805" s="8" t="s">
        <v>46</v>
      </c>
      <c r="U805" s="8" t="s">
        <v>24</v>
      </c>
    </row>
    <row r="806" spans="1:21">
      <c r="A806" s="8" t="s">
        <v>6603</v>
      </c>
      <c r="B806" s="8" t="s">
        <v>3419</v>
      </c>
      <c r="C806" s="8">
        <v>254268</v>
      </c>
      <c r="D806" s="8" t="s">
        <v>22</v>
      </c>
      <c r="E806" s="8">
        <v>109373184</v>
      </c>
      <c r="F806" s="8">
        <v>109373184</v>
      </c>
      <c r="G806" s="8" t="s">
        <v>41</v>
      </c>
      <c r="H806" s="8" t="s">
        <v>25</v>
      </c>
      <c r="I806" s="8" t="s">
        <v>23</v>
      </c>
      <c r="J806" s="8" t="s">
        <v>3420</v>
      </c>
      <c r="K806" s="8" t="s">
        <v>6605</v>
      </c>
      <c r="L806" s="8" t="s">
        <v>19</v>
      </c>
      <c r="M806" s="8">
        <v>2104</v>
      </c>
      <c r="N806" s="8" t="s">
        <v>3268</v>
      </c>
      <c r="O806" s="8">
        <v>612</v>
      </c>
      <c r="P806" s="8" t="s">
        <v>6604</v>
      </c>
      <c r="Q806" s="8" t="s">
        <v>4262</v>
      </c>
      <c r="R806" s="8">
        <v>0.86499999999999999</v>
      </c>
      <c r="S806" s="8">
        <v>109373184</v>
      </c>
      <c r="T806" s="8" t="s">
        <v>41</v>
      </c>
      <c r="U806" s="8" t="s">
        <v>25</v>
      </c>
    </row>
    <row r="807" spans="1:21">
      <c r="A807" s="8" t="s">
        <v>6603</v>
      </c>
      <c r="B807" s="8" t="s">
        <v>6606</v>
      </c>
      <c r="C807" s="8">
        <v>80143</v>
      </c>
      <c r="D807" s="8" t="s">
        <v>22</v>
      </c>
      <c r="E807" s="8">
        <v>115321761</v>
      </c>
      <c r="F807" s="8">
        <v>115321761</v>
      </c>
      <c r="G807" s="8" t="s">
        <v>25</v>
      </c>
      <c r="H807" s="8" t="s">
        <v>41</v>
      </c>
      <c r="I807" s="8" t="s">
        <v>23</v>
      </c>
      <c r="J807" s="8" t="s">
        <v>6607</v>
      </c>
      <c r="K807" s="8" t="s">
        <v>6608</v>
      </c>
      <c r="L807" s="8" t="s">
        <v>68</v>
      </c>
      <c r="M807" s="8">
        <v>0</v>
      </c>
      <c r="N807" s="8" t="s">
        <v>35</v>
      </c>
      <c r="O807" s="8">
        <v>0</v>
      </c>
      <c r="P807" s="8" t="s">
        <v>35</v>
      </c>
      <c r="Q807" s="8" t="s">
        <v>4262</v>
      </c>
      <c r="R807" s="8">
        <v>0.19400000000000001</v>
      </c>
      <c r="S807" s="8">
        <v>115321761</v>
      </c>
      <c r="T807" s="8" t="s">
        <v>25</v>
      </c>
      <c r="U807" s="8" t="s">
        <v>41</v>
      </c>
    </row>
    <row r="808" spans="1:21">
      <c r="A808" s="8" t="s">
        <v>6603</v>
      </c>
      <c r="B808" s="8" t="s">
        <v>6609</v>
      </c>
      <c r="C808" s="8">
        <v>5565</v>
      </c>
      <c r="D808" s="8" t="s">
        <v>22</v>
      </c>
      <c r="E808" s="8">
        <v>146634085</v>
      </c>
      <c r="F808" s="8">
        <v>146634085</v>
      </c>
      <c r="G808" s="8" t="s">
        <v>24</v>
      </c>
      <c r="H808" s="8" t="s">
        <v>41</v>
      </c>
      <c r="I808" s="8" t="s">
        <v>23</v>
      </c>
      <c r="J808" s="8" t="s">
        <v>6610</v>
      </c>
      <c r="K808" s="8" t="s">
        <v>6612</v>
      </c>
      <c r="L808" s="8" t="s">
        <v>19</v>
      </c>
      <c r="M808" s="8">
        <v>751</v>
      </c>
      <c r="N808" s="8" t="s">
        <v>326</v>
      </c>
      <c r="O808" s="8">
        <v>202</v>
      </c>
      <c r="P808" s="8" t="s">
        <v>6611</v>
      </c>
      <c r="Q808" s="8" t="s">
        <v>4262</v>
      </c>
      <c r="R808" s="8">
        <v>0.104</v>
      </c>
      <c r="S808" s="8">
        <v>146634085</v>
      </c>
      <c r="T808" s="8" t="s">
        <v>24</v>
      </c>
      <c r="U808" s="8" t="s">
        <v>41</v>
      </c>
    </row>
    <row r="809" spans="1:21">
      <c r="A809" s="8" t="s">
        <v>6603</v>
      </c>
      <c r="B809" s="8" t="s">
        <v>3522</v>
      </c>
      <c r="C809" s="8">
        <v>2312</v>
      </c>
      <c r="D809" s="8" t="s">
        <v>22</v>
      </c>
      <c r="E809" s="8">
        <v>152282854</v>
      </c>
      <c r="F809" s="8">
        <v>152282854</v>
      </c>
      <c r="G809" s="8" t="s">
        <v>24</v>
      </c>
      <c r="H809" s="8" t="s">
        <v>41</v>
      </c>
      <c r="I809" s="8" t="s">
        <v>23</v>
      </c>
      <c r="J809" s="8" t="s">
        <v>3523</v>
      </c>
      <c r="K809" s="8" t="s">
        <v>4266</v>
      </c>
      <c r="L809" s="8" t="s">
        <v>19</v>
      </c>
      <c r="M809" s="8">
        <v>4544</v>
      </c>
      <c r="N809" s="8" t="s">
        <v>637</v>
      </c>
      <c r="O809" s="8">
        <v>1503</v>
      </c>
      <c r="P809" s="8" t="s">
        <v>6613</v>
      </c>
      <c r="Q809" s="8" t="s">
        <v>4262</v>
      </c>
      <c r="R809" s="8">
        <v>5.2999999999999999E-2</v>
      </c>
      <c r="S809" s="8">
        <v>152282854</v>
      </c>
      <c r="T809" s="8" t="s">
        <v>24</v>
      </c>
      <c r="U809" s="8" t="s">
        <v>41</v>
      </c>
    </row>
    <row r="810" spans="1:21">
      <c r="A810" s="8" t="s">
        <v>6603</v>
      </c>
      <c r="B810" s="8" t="s">
        <v>6614</v>
      </c>
      <c r="C810" s="8">
        <v>55870</v>
      </c>
      <c r="D810" s="8" t="s">
        <v>22</v>
      </c>
      <c r="E810" s="8">
        <v>155324287</v>
      </c>
      <c r="F810" s="8">
        <v>155324287</v>
      </c>
      <c r="G810" s="8" t="s">
        <v>46</v>
      </c>
      <c r="H810" s="8" t="s">
        <v>41</v>
      </c>
      <c r="I810" s="8" t="s">
        <v>23</v>
      </c>
      <c r="J810" s="8" t="s">
        <v>6615</v>
      </c>
      <c r="K810" s="8" t="s">
        <v>6617</v>
      </c>
      <c r="L810" s="8" t="s">
        <v>19</v>
      </c>
      <c r="M810" s="8">
        <v>7670</v>
      </c>
      <c r="N810" s="8" t="s">
        <v>577</v>
      </c>
      <c r="O810" s="8">
        <v>2397</v>
      </c>
      <c r="P810" s="8" t="s">
        <v>6616</v>
      </c>
      <c r="Q810" s="8" t="s">
        <v>4262</v>
      </c>
      <c r="R810" s="8">
        <v>0.20699999999999999</v>
      </c>
      <c r="S810" s="8">
        <v>155324287</v>
      </c>
      <c r="T810" s="8" t="s">
        <v>46</v>
      </c>
      <c r="U810" s="8" t="s">
        <v>41</v>
      </c>
    </row>
    <row r="811" spans="1:21">
      <c r="A811" s="8" t="s">
        <v>6603</v>
      </c>
      <c r="B811" s="8" t="s">
        <v>3219</v>
      </c>
      <c r="C811" s="8">
        <v>149628</v>
      </c>
      <c r="D811" s="8" t="s">
        <v>22</v>
      </c>
      <c r="E811" s="8">
        <v>158911783</v>
      </c>
      <c r="F811" s="8">
        <v>158911783</v>
      </c>
      <c r="G811" s="8" t="s">
        <v>46</v>
      </c>
      <c r="H811" s="8" t="s">
        <v>41</v>
      </c>
      <c r="I811" s="8" t="s">
        <v>23</v>
      </c>
      <c r="J811" s="8" t="s">
        <v>6618</v>
      </c>
      <c r="K811" s="8" t="s">
        <v>6620</v>
      </c>
      <c r="L811" s="8" t="s">
        <v>19</v>
      </c>
      <c r="M811" s="8">
        <v>841</v>
      </c>
      <c r="N811" s="8" t="s">
        <v>1421</v>
      </c>
      <c r="O811" s="8">
        <v>199</v>
      </c>
      <c r="P811" s="8" t="s">
        <v>6619</v>
      </c>
      <c r="Q811" s="8" t="s">
        <v>4262</v>
      </c>
      <c r="R811" s="8">
        <v>0.51200000000000001</v>
      </c>
      <c r="S811" s="8">
        <v>158911783</v>
      </c>
      <c r="T811" s="8" t="s">
        <v>46</v>
      </c>
      <c r="U811" s="8" t="s">
        <v>41</v>
      </c>
    </row>
    <row r="812" spans="1:21">
      <c r="A812" s="8" t="s">
        <v>6603</v>
      </c>
      <c r="B812" s="8" t="s">
        <v>2092</v>
      </c>
      <c r="C812" s="8">
        <v>26476</v>
      </c>
      <c r="D812" s="8" t="s">
        <v>22</v>
      </c>
      <c r="E812" s="8">
        <v>159410373</v>
      </c>
      <c r="F812" s="8">
        <v>159410373</v>
      </c>
      <c r="G812" s="8" t="s">
        <v>24</v>
      </c>
      <c r="H812" s="8" t="s">
        <v>46</v>
      </c>
      <c r="I812" s="8" t="s">
        <v>23</v>
      </c>
      <c r="J812" s="8" t="s">
        <v>6621</v>
      </c>
      <c r="K812" s="8" t="s">
        <v>6623</v>
      </c>
      <c r="L812" s="8" t="s">
        <v>19</v>
      </c>
      <c r="M812" s="8">
        <v>862</v>
      </c>
      <c r="N812" s="8" t="s">
        <v>1380</v>
      </c>
      <c r="O812" s="8">
        <v>275</v>
      </c>
      <c r="P812" s="8" t="s">
        <v>6622</v>
      </c>
      <c r="Q812" s="8" t="s">
        <v>4262</v>
      </c>
      <c r="R812" s="8">
        <v>4.2000000000000003E-2</v>
      </c>
      <c r="S812" s="8">
        <v>159410373</v>
      </c>
      <c r="T812" s="8" t="s">
        <v>24</v>
      </c>
      <c r="U812" s="8" t="s">
        <v>46</v>
      </c>
    </row>
    <row r="813" spans="1:21">
      <c r="A813" s="8" t="s">
        <v>6603</v>
      </c>
      <c r="B813" s="8" t="s">
        <v>2047</v>
      </c>
      <c r="C813" s="8">
        <v>9378</v>
      </c>
      <c r="D813" s="8" t="s">
        <v>172</v>
      </c>
      <c r="E813" s="8">
        <v>50850732</v>
      </c>
      <c r="F813" s="8">
        <v>50850732</v>
      </c>
      <c r="G813" s="8" t="s">
        <v>24</v>
      </c>
      <c r="H813" s="8" t="s">
        <v>25</v>
      </c>
      <c r="I813" s="8" t="s">
        <v>23</v>
      </c>
      <c r="J813" s="8" t="s">
        <v>6624</v>
      </c>
      <c r="K813" s="8" t="s">
        <v>6626</v>
      </c>
      <c r="L813" s="8" t="s">
        <v>19</v>
      </c>
      <c r="M813" s="8">
        <v>2331</v>
      </c>
      <c r="N813" s="8" t="s">
        <v>741</v>
      </c>
      <c r="O813" s="8">
        <v>285</v>
      </c>
      <c r="P813" s="8" t="s">
        <v>6625</v>
      </c>
      <c r="Q813" s="8" t="s">
        <v>4262</v>
      </c>
      <c r="R813" s="8">
        <v>0.115</v>
      </c>
      <c r="S813" s="8">
        <v>50850732</v>
      </c>
      <c r="T813" s="8" t="s">
        <v>24</v>
      </c>
      <c r="U813" s="8" t="s">
        <v>25</v>
      </c>
    </row>
    <row r="814" spans="1:21">
      <c r="A814" s="8" t="s">
        <v>6603</v>
      </c>
      <c r="B814" s="8" t="s">
        <v>5945</v>
      </c>
      <c r="C814" s="8">
        <v>6335</v>
      </c>
      <c r="D814" s="8" t="s">
        <v>172</v>
      </c>
      <c r="E814" s="8">
        <v>167099046</v>
      </c>
      <c r="F814" s="8">
        <v>167099046</v>
      </c>
      <c r="G814" s="8" t="s">
        <v>25</v>
      </c>
      <c r="H814" s="8" t="s">
        <v>24</v>
      </c>
      <c r="I814" s="8" t="s">
        <v>23</v>
      </c>
      <c r="J814" s="8" t="s">
        <v>5946</v>
      </c>
      <c r="K814" s="8" t="s">
        <v>5948</v>
      </c>
      <c r="L814" s="8" t="s">
        <v>19</v>
      </c>
      <c r="M814" s="8">
        <v>3901</v>
      </c>
      <c r="N814" s="8" t="s">
        <v>429</v>
      </c>
      <c r="O814" s="8">
        <v>1187</v>
      </c>
      <c r="P814" s="8" t="s">
        <v>6627</v>
      </c>
      <c r="Q814" s="8" t="s">
        <v>4262</v>
      </c>
      <c r="R814" s="8">
        <v>0.17199999999999999</v>
      </c>
      <c r="S814" s="8">
        <v>167099046</v>
      </c>
      <c r="T814" s="8" t="s">
        <v>25</v>
      </c>
      <c r="U814" s="8" t="s">
        <v>24</v>
      </c>
    </row>
    <row r="815" spans="1:21">
      <c r="A815" s="8" t="s">
        <v>6603</v>
      </c>
      <c r="B815" s="8" t="s">
        <v>169</v>
      </c>
      <c r="C815" s="8">
        <v>1123</v>
      </c>
      <c r="D815" s="8" t="s">
        <v>172</v>
      </c>
      <c r="E815" s="8">
        <v>175664963</v>
      </c>
      <c r="F815" s="8">
        <v>175664963</v>
      </c>
      <c r="G815" s="8" t="s">
        <v>46</v>
      </c>
      <c r="H815" s="8" t="s">
        <v>41</v>
      </c>
      <c r="I815" s="8" t="s">
        <v>23</v>
      </c>
      <c r="J815" s="8" t="s">
        <v>6628</v>
      </c>
      <c r="K815" s="8" t="s">
        <v>6630</v>
      </c>
      <c r="L815" s="8" t="s">
        <v>19</v>
      </c>
      <c r="M815" s="8">
        <v>1602</v>
      </c>
      <c r="N815" s="8" t="s">
        <v>21</v>
      </c>
      <c r="O815" s="8">
        <v>421</v>
      </c>
      <c r="P815" s="8" t="s">
        <v>6629</v>
      </c>
      <c r="Q815" s="8" t="s">
        <v>4262</v>
      </c>
      <c r="R815" s="8">
        <v>3.9E-2</v>
      </c>
      <c r="S815" s="8">
        <v>175664963</v>
      </c>
      <c r="T815" s="8" t="s">
        <v>46</v>
      </c>
      <c r="U815" s="8" t="s">
        <v>41</v>
      </c>
    </row>
    <row r="816" spans="1:21">
      <c r="A816" s="8" t="s">
        <v>6603</v>
      </c>
      <c r="B816" s="8" t="s">
        <v>3429</v>
      </c>
      <c r="C816" s="8">
        <v>114880</v>
      </c>
      <c r="D816" s="8" t="s">
        <v>172</v>
      </c>
      <c r="E816" s="8">
        <v>179251791</v>
      </c>
      <c r="F816" s="8">
        <v>179251791</v>
      </c>
      <c r="G816" s="8" t="s">
        <v>41</v>
      </c>
      <c r="H816" s="8" t="s">
        <v>25</v>
      </c>
      <c r="I816" s="8" t="s">
        <v>23</v>
      </c>
      <c r="J816" s="8" t="s">
        <v>6631</v>
      </c>
      <c r="K816" s="8" t="s">
        <v>6633</v>
      </c>
      <c r="L816" s="8" t="s">
        <v>19</v>
      </c>
      <c r="M816" s="8">
        <v>2700</v>
      </c>
      <c r="N816" s="8" t="s">
        <v>2867</v>
      </c>
      <c r="O816" s="8">
        <v>719</v>
      </c>
      <c r="P816" s="8" t="s">
        <v>6632</v>
      </c>
      <c r="Q816" s="8" t="s">
        <v>4262</v>
      </c>
      <c r="R816" s="8">
        <v>0.2</v>
      </c>
      <c r="S816" s="8">
        <v>179251791</v>
      </c>
      <c r="T816" s="8" t="s">
        <v>41</v>
      </c>
      <c r="U816" s="8" t="s">
        <v>25</v>
      </c>
    </row>
    <row r="817" spans="1:21">
      <c r="A817" s="8" t="s">
        <v>6603</v>
      </c>
      <c r="B817" s="8" t="s">
        <v>737</v>
      </c>
      <c r="C817" s="8">
        <v>7273</v>
      </c>
      <c r="D817" s="8" t="s">
        <v>172</v>
      </c>
      <c r="E817" s="8">
        <v>179600726</v>
      </c>
      <c r="F817" s="8">
        <v>179600726</v>
      </c>
      <c r="G817" s="8" t="s">
        <v>46</v>
      </c>
      <c r="H817" s="8" t="s">
        <v>41</v>
      </c>
      <c r="I817" s="8" t="s">
        <v>23</v>
      </c>
      <c r="J817" s="8" t="s">
        <v>4530</v>
      </c>
      <c r="K817" s="8" t="s">
        <v>4532</v>
      </c>
      <c r="L817" s="8" t="s">
        <v>19</v>
      </c>
      <c r="M817" s="8">
        <v>10940</v>
      </c>
      <c r="N817" s="8" t="s">
        <v>732</v>
      </c>
      <c r="O817" s="8">
        <v>3572</v>
      </c>
      <c r="P817" s="8" t="s">
        <v>6634</v>
      </c>
      <c r="Q817" s="8" t="s">
        <v>4262</v>
      </c>
      <c r="R817" s="8">
        <v>7.0000000000000007E-2</v>
      </c>
      <c r="S817" s="8">
        <v>179600726</v>
      </c>
      <c r="T817" s="8" t="s">
        <v>46</v>
      </c>
      <c r="U817" s="8" t="s">
        <v>41</v>
      </c>
    </row>
    <row r="818" spans="1:21">
      <c r="A818" s="8" t="s">
        <v>6603</v>
      </c>
      <c r="B818" s="8" t="s">
        <v>1811</v>
      </c>
      <c r="C818" s="8">
        <v>1373</v>
      </c>
      <c r="D818" s="8" t="s">
        <v>172</v>
      </c>
      <c r="E818" s="8">
        <v>211502478</v>
      </c>
      <c r="F818" s="8">
        <v>211502478</v>
      </c>
      <c r="G818" s="8" t="s">
        <v>24</v>
      </c>
      <c r="H818" s="8" t="s">
        <v>25</v>
      </c>
      <c r="I818" s="8" t="s">
        <v>23</v>
      </c>
      <c r="J818" s="8" t="s">
        <v>6635</v>
      </c>
      <c r="K818" s="8" t="s">
        <v>6637</v>
      </c>
      <c r="L818" s="8" t="s">
        <v>19</v>
      </c>
      <c r="M818" s="8">
        <v>2875</v>
      </c>
      <c r="N818" s="8" t="s">
        <v>557</v>
      </c>
      <c r="O818" s="8">
        <v>914</v>
      </c>
      <c r="P818" s="8" t="s">
        <v>6636</v>
      </c>
      <c r="Q818" s="8" t="s">
        <v>4262</v>
      </c>
      <c r="R818" s="8">
        <v>0.183</v>
      </c>
      <c r="S818" s="8">
        <v>211502478</v>
      </c>
      <c r="T818" s="8" t="s">
        <v>24</v>
      </c>
      <c r="U818" s="8" t="s">
        <v>25</v>
      </c>
    </row>
    <row r="819" spans="1:21">
      <c r="A819" s="8" t="s">
        <v>6603</v>
      </c>
      <c r="B819" s="8" t="s">
        <v>3430</v>
      </c>
      <c r="C819" s="8">
        <v>26154</v>
      </c>
      <c r="D819" s="8" t="s">
        <v>172</v>
      </c>
      <c r="E819" s="8">
        <v>215876346</v>
      </c>
      <c r="F819" s="8">
        <v>215876346</v>
      </c>
      <c r="G819" s="8" t="s">
        <v>41</v>
      </c>
      <c r="H819" s="8" t="s">
        <v>24</v>
      </c>
      <c r="I819" s="8" t="s">
        <v>23</v>
      </c>
      <c r="J819" s="8" t="s">
        <v>6638</v>
      </c>
      <c r="K819" s="8" t="s">
        <v>6640</v>
      </c>
      <c r="L819" s="8" t="s">
        <v>19</v>
      </c>
      <c r="M819" s="8">
        <v>2369</v>
      </c>
      <c r="N819" s="8" t="s">
        <v>3431</v>
      </c>
      <c r="O819" s="8">
        <v>717</v>
      </c>
      <c r="P819" s="8" t="s">
        <v>6639</v>
      </c>
      <c r="Q819" s="8" t="s">
        <v>4262</v>
      </c>
      <c r="R819" s="8">
        <v>0.22</v>
      </c>
      <c r="S819" s="8">
        <v>215876346</v>
      </c>
      <c r="T819" s="8" t="s">
        <v>41</v>
      </c>
      <c r="U819" s="8" t="s">
        <v>24</v>
      </c>
    </row>
    <row r="820" spans="1:21">
      <c r="A820" s="8" t="s">
        <v>6603</v>
      </c>
      <c r="B820" s="8" t="s">
        <v>6641</v>
      </c>
      <c r="C820" s="8">
        <v>84236</v>
      </c>
      <c r="D820" s="8" t="s">
        <v>172</v>
      </c>
      <c r="E820" s="8">
        <v>227729546</v>
      </c>
      <c r="F820" s="8">
        <v>227729546</v>
      </c>
      <c r="G820" s="8" t="s">
        <v>25</v>
      </c>
      <c r="H820" s="8" t="s">
        <v>41</v>
      </c>
      <c r="I820" s="8" t="s">
        <v>23</v>
      </c>
      <c r="J820" s="8" t="s">
        <v>6642</v>
      </c>
      <c r="K820" s="8" t="s">
        <v>6644</v>
      </c>
      <c r="L820" s="8" t="s">
        <v>19</v>
      </c>
      <c r="M820" s="8">
        <v>360</v>
      </c>
      <c r="N820" s="8" t="s">
        <v>3136</v>
      </c>
      <c r="O820" s="8">
        <v>46</v>
      </c>
      <c r="P820" s="8" t="s">
        <v>6643</v>
      </c>
      <c r="Q820" s="8" t="s">
        <v>4262</v>
      </c>
      <c r="R820" s="8">
        <v>0.182</v>
      </c>
      <c r="S820" s="8">
        <v>227729546</v>
      </c>
      <c r="T820" s="8" t="s">
        <v>25</v>
      </c>
      <c r="U820" s="8" t="s">
        <v>41</v>
      </c>
    </row>
    <row r="821" spans="1:21">
      <c r="A821" s="8" t="s">
        <v>6603</v>
      </c>
      <c r="B821" s="8" t="s">
        <v>2635</v>
      </c>
      <c r="C821" s="8">
        <v>151056</v>
      </c>
      <c r="D821" s="8" t="s">
        <v>172</v>
      </c>
      <c r="E821" s="8">
        <v>28815542</v>
      </c>
      <c r="F821" s="8">
        <v>28815542</v>
      </c>
      <c r="G821" s="8" t="s">
        <v>46</v>
      </c>
      <c r="H821" s="8" t="s">
        <v>41</v>
      </c>
      <c r="I821" s="8" t="s">
        <v>23</v>
      </c>
      <c r="J821" s="8" t="s">
        <v>6645</v>
      </c>
      <c r="K821" s="8" t="s">
        <v>6647</v>
      </c>
      <c r="L821" s="8" t="s">
        <v>19</v>
      </c>
      <c r="M821" s="8">
        <v>2247</v>
      </c>
      <c r="N821" s="8" t="s">
        <v>415</v>
      </c>
      <c r="O821" s="8">
        <v>735</v>
      </c>
      <c r="P821" s="8" t="s">
        <v>6646</v>
      </c>
      <c r="Q821" s="8" t="s">
        <v>4262</v>
      </c>
      <c r="R821" s="8">
        <v>0.372</v>
      </c>
      <c r="S821" s="8">
        <v>28815542</v>
      </c>
      <c r="T821" s="8" t="s">
        <v>46</v>
      </c>
      <c r="U821" s="8" t="s">
        <v>41</v>
      </c>
    </row>
    <row r="822" spans="1:21">
      <c r="A822" s="8" t="s">
        <v>6603</v>
      </c>
      <c r="B822" s="8" t="s">
        <v>3432</v>
      </c>
      <c r="C822" s="8">
        <v>2492</v>
      </c>
      <c r="D822" s="8" t="s">
        <v>172</v>
      </c>
      <c r="E822" s="8">
        <v>49190286</v>
      </c>
      <c r="F822" s="8">
        <v>49190286</v>
      </c>
      <c r="G822" s="8" t="s">
        <v>24</v>
      </c>
      <c r="H822" s="8" t="s">
        <v>41</v>
      </c>
      <c r="I822" s="8" t="s">
        <v>23</v>
      </c>
      <c r="J822" s="8" t="s">
        <v>6648</v>
      </c>
      <c r="K822" s="8" t="s">
        <v>6650</v>
      </c>
      <c r="L822" s="8" t="s">
        <v>19</v>
      </c>
      <c r="M822" s="8">
        <v>1784</v>
      </c>
      <c r="N822" s="8" t="s">
        <v>783</v>
      </c>
      <c r="O822" s="8">
        <v>558</v>
      </c>
      <c r="P822" s="8" t="s">
        <v>6649</v>
      </c>
      <c r="Q822" s="8" t="s">
        <v>4262</v>
      </c>
      <c r="R822" s="8">
        <v>0.214</v>
      </c>
      <c r="S822" s="8">
        <v>49190286</v>
      </c>
      <c r="T822" s="8" t="s">
        <v>24</v>
      </c>
      <c r="U822" s="8" t="s">
        <v>41</v>
      </c>
    </row>
    <row r="823" spans="1:21">
      <c r="A823" s="8" t="s">
        <v>6603</v>
      </c>
      <c r="B823" s="8" t="s">
        <v>6651</v>
      </c>
      <c r="C823" s="8">
        <v>80012</v>
      </c>
      <c r="D823" s="8" t="s">
        <v>201</v>
      </c>
      <c r="E823" s="8">
        <v>169840505</v>
      </c>
      <c r="F823" s="8">
        <v>169840505</v>
      </c>
      <c r="G823" s="8" t="s">
        <v>46</v>
      </c>
      <c r="H823" s="8" t="s">
        <v>41</v>
      </c>
      <c r="I823" s="8" t="s">
        <v>23</v>
      </c>
      <c r="J823" s="8" t="s">
        <v>6652</v>
      </c>
      <c r="K823" s="8" t="s">
        <v>6654</v>
      </c>
      <c r="L823" s="8" t="s">
        <v>19</v>
      </c>
      <c r="M823" s="8">
        <v>1850</v>
      </c>
      <c r="N823" s="8" t="s">
        <v>758</v>
      </c>
      <c r="O823" s="8">
        <v>606</v>
      </c>
      <c r="P823" s="8" t="s">
        <v>6653</v>
      </c>
      <c r="Q823" s="8" t="s">
        <v>4262</v>
      </c>
      <c r="R823" s="8">
        <v>0.13900000000000001</v>
      </c>
      <c r="S823" s="8">
        <v>169840505</v>
      </c>
      <c r="T823" s="8" t="s">
        <v>46</v>
      </c>
      <c r="U823" s="8" t="s">
        <v>41</v>
      </c>
    </row>
    <row r="824" spans="1:21">
      <c r="A824" s="8" t="s">
        <v>6603</v>
      </c>
      <c r="B824" s="8" t="s">
        <v>4297</v>
      </c>
      <c r="C824" s="8">
        <v>4585</v>
      </c>
      <c r="D824" s="8" t="s">
        <v>201</v>
      </c>
      <c r="E824" s="8">
        <v>195511109</v>
      </c>
      <c r="F824" s="8">
        <v>195511109</v>
      </c>
      <c r="G824" s="8" t="s">
        <v>24</v>
      </c>
      <c r="H824" s="8" t="s">
        <v>41</v>
      </c>
      <c r="I824" s="8" t="s">
        <v>23</v>
      </c>
      <c r="J824" s="8" t="s">
        <v>4298</v>
      </c>
      <c r="K824" s="8" t="s">
        <v>4300</v>
      </c>
      <c r="L824" s="8" t="s">
        <v>19</v>
      </c>
      <c r="M824" s="8">
        <v>7498</v>
      </c>
      <c r="N824" s="8" t="s">
        <v>1005</v>
      </c>
      <c r="O824" s="8">
        <v>2448</v>
      </c>
      <c r="P824" s="8" t="s">
        <v>6655</v>
      </c>
      <c r="Q824" s="8" t="s">
        <v>4262</v>
      </c>
      <c r="R824" s="8">
        <v>0.157</v>
      </c>
      <c r="S824" s="8">
        <v>195511109</v>
      </c>
      <c r="T824" s="8" t="s">
        <v>24</v>
      </c>
      <c r="U824" s="8" t="s">
        <v>41</v>
      </c>
    </row>
    <row r="825" spans="1:21">
      <c r="A825" s="8" t="s">
        <v>6603</v>
      </c>
      <c r="B825" s="8" t="s">
        <v>6656</v>
      </c>
      <c r="C825" s="8">
        <v>9662</v>
      </c>
      <c r="D825" s="8" t="s">
        <v>220</v>
      </c>
      <c r="E825" s="8">
        <v>56835227</v>
      </c>
      <c r="F825" s="8">
        <v>56835227</v>
      </c>
      <c r="G825" s="8" t="s">
        <v>25</v>
      </c>
      <c r="H825" s="8" t="s">
        <v>24</v>
      </c>
      <c r="I825" s="8" t="s">
        <v>23</v>
      </c>
      <c r="J825" s="8" t="s">
        <v>6657</v>
      </c>
      <c r="K825" s="8" t="s">
        <v>6658</v>
      </c>
      <c r="L825" s="8" t="s">
        <v>68</v>
      </c>
      <c r="M825" s="8">
        <v>0</v>
      </c>
      <c r="N825" s="8" t="s">
        <v>35</v>
      </c>
      <c r="O825" s="8">
        <v>0</v>
      </c>
      <c r="P825" s="8" t="s">
        <v>35</v>
      </c>
      <c r="Q825" s="8" t="s">
        <v>4262</v>
      </c>
      <c r="R825" s="8">
        <v>0.14699999999999999</v>
      </c>
      <c r="S825" s="8">
        <v>56835227</v>
      </c>
      <c r="T825" s="8" t="s">
        <v>25</v>
      </c>
      <c r="U825" s="8" t="s">
        <v>24</v>
      </c>
    </row>
    <row r="826" spans="1:21">
      <c r="A826" s="8" t="s">
        <v>6603</v>
      </c>
      <c r="B826" s="8" t="s">
        <v>3438</v>
      </c>
      <c r="C826" s="8">
        <v>84779</v>
      </c>
      <c r="D826" s="8" t="s">
        <v>220</v>
      </c>
      <c r="E826" s="8">
        <v>80246488</v>
      </c>
      <c r="F826" s="8">
        <v>80246488</v>
      </c>
      <c r="G826" s="8" t="s">
        <v>46</v>
      </c>
      <c r="H826" s="8" t="s">
        <v>24</v>
      </c>
      <c r="I826" s="8" t="s">
        <v>23</v>
      </c>
      <c r="J826" s="8" t="s">
        <v>3439</v>
      </c>
      <c r="K826" s="8" t="s">
        <v>6660</v>
      </c>
      <c r="L826" s="8" t="s">
        <v>19</v>
      </c>
      <c r="M826" s="8">
        <v>684</v>
      </c>
      <c r="N826" s="8" t="s">
        <v>3440</v>
      </c>
      <c r="O826" s="8">
        <v>182</v>
      </c>
      <c r="P826" s="8" t="s">
        <v>6659</v>
      </c>
      <c r="Q826" s="8" t="s">
        <v>4262</v>
      </c>
      <c r="R826" s="8">
        <v>0.26200000000000001</v>
      </c>
      <c r="S826" s="8">
        <v>80246488</v>
      </c>
      <c r="T826" s="8" t="s">
        <v>46</v>
      </c>
      <c r="U826" s="8" t="s">
        <v>24</v>
      </c>
    </row>
    <row r="827" spans="1:21">
      <c r="A827" s="8" t="s">
        <v>6603</v>
      </c>
      <c r="B827" s="8" t="s">
        <v>6661</v>
      </c>
      <c r="C827" s="8">
        <v>23657</v>
      </c>
      <c r="D827" s="8" t="s">
        <v>220</v>
      </c>
      <c r="E827" s="8">
        <v>139104398</v>
      </c>
      <c r="F827" s="8">
        <v>139104398</v>
      </c>
      <c r="G827" s="8" t="s">
        <v>24</v>
      </c>
      <c r="H827" s="8" t="s">
        <v>41</v>
      </c>
      <c r="I827" s="8" t="s">
        <v>23</v>
      </c>
      <c r="J827" s="8" t="s">
        <v>6662</v>
      </c>
      <c r="K827" s="8" t="s">
        <v>6664</v>
      </c>
      <c r="L827" s="8" t="s">
        <v>19</v>
      </c>
      <c r="M827" s="8">
        <v>1257</v>
      </c>
      <c r="N827" s="8" t="s">
        <v>637</v>
      </c>
      <c r="O827" s="8">
        <v>326</v>
      </c>
      <c r="P827" s="8" t="s">
        <v>6663</v>
      </c>
      <c r="Q827" s="8" t="s">
        <v>4262</v>
      </c>
      <c r="R827" s="8">
        <v>0.67900000000000005</v>
      </c>
      <c r="S827" s="8">
        <v>139104398</v>
      </c>
      <c r="T827" s="8" t="s">
        <v>24</v>
      </c>
      <c r="U827" s="8" t="s">
        <v>41</v>
      </c>
    </row>
    <row r="828" spans="1:21">
      <c r="A828" s="8" t="s">
        <v>6603</v>
      </c>
      <c r="B828" s="8" t="s">
        <v>3436</v>
      </c>
      <c r="C828" s="8">
        <v>285533</v>
      </c>
      <c r="D828" s="8" t="s">
        <v>220</v>
      </c>
      <c r="E828" s="8">
        <v>154636697</v>
      </c>
      <c r="F828" s="8">
        <v>154636697</v>
      </c>
      <c r="G828" s="8" t="s">
        <v>24</v>
      </c>
      <c r="H828" s="8" t="s">
        <v>46</v>
      </c>
      <c r="I828" s="8" t="s">
        <v>23</v>
      </c>
      <c r="J828" s="8" t="s">
        <v>3437</v>
      </c>
      <c r="K828" s="8" t="s">
        <v>6666</v>
      </c>
      <c r="L828" s="8" t="s">
        <v>19</v>
      </c>
      <c r="M828" s="8">
        <v>1121</v>
      </c>
      <c r="N828" s="8" t="s">
        <v>313</v>
      </c>
      <c r="O828" s="8">
        <v>250</v>
      </c>
      <c r="P828" s="8" t="s">
        <v>6665</v>
      </c>
      <c r="Q828" s="8" t="s">
        <v>4262</v>
      </c>
      <c r="R828" s="8">
        <v>0.26800000000000002</v>
      </c>
      <c r="S828" s="8">
        <v>154636697</v>
      </c>
      <c r="T828" s="8" t="s">
        <v>24</v>
      </c>
      <c r="U828" s="8" t="s">
        <v>46</v>
      </c>
    </row>
    <row r="829" spans="1:21">
      <c r="A829" s="8" t="s">
        <v>6603</v>
      </c>
      <c r="B829" s="8" t="s">
        <v>6667</v>
      </c>
      <c r="C829" s="8">
        <v>389207</v>
      </c>
      <c r="D829" s="8" t="s">
        <v>220</v>
      </c>
      <c r="E829" s="8">
        <v>43032486</v>
      </c>
      <c r="F829" s="8">
        <v>43032486</v>
      </c>
      <c r="G829" s="8" t="s">
        <v>41</v>
      </c>
      <c r="H829" s="8" t="s">
        <v>46</v>
      </c>
      <c r="I829" s="8" t="s">
        <v>23</v>
      </c>
      <c r="J829" s="8" t="s">
        <v>6668</v>
      </c>
      <c r="K829" s="8" t="s">
        <v>6670</v>
      </c>
      <c r="L829" s="8" t="s">
        <v>19</v>
      </c>
      <c r="M829" s="8">
        <v>803</v>
      </c>
      <c r="N829" s="8" t="s">
        <v>1489</v>
      </c>
      <c r="O829" s="8">
        <v>268</v>
      </c>
      <c r="P829" s="8" t="s">
        <v>6669</v>
      </c>
      <c r="Q829" s="8" t="s">
        <v>4262</v>
      </c>
      <c r="R829" s="8">
        <v>0.153</v>
      </c>
      <c r="S829" s="8">
        <v>43032486</v>
      </c>
      <c r="T829" s="8" t="s">
        <v>41</v>
      </c>
      <c r="U829" s="8" t="s">
        <v>46</v>
      </c>
    </row>
    <row r="830" spans="1:21">
      <c r="A830" s="8" t="s">
        <v>6603</v>
      </c>
      <c r="B830" s="8" t="s">
        <v>6671</v>
      </c>
      <c r="C830" s="8">
        <v>373</v>
      </c>
      <c r="D830" s="8" t="s">
        <v>226</v>
      </c>
      <c r="E830" s="8">
        <v>64892326</v>
      </c>
      <c r="F830" s="8">
        <v>64892326</v>
      </c>
      <c r="G830" s="8" t="s">
        <v>24</v>
      </c>
      <c r="H830" s="8" t="s">
        <v>41</v>
      </c>
      <c r="I830" s="8" t="s">
        <v>23</v>
      </c>
      <c r="J830" s="8" t="s">
        <v>6672</v>
      </c>
      <c r="K830" s="8" t="s">
        <v>6674</v>
      </c>
      <c r="L830" s="8" t="s">
        <v>19</v>
      </c>
      <c r="M830" s="8">
        <v>1428</v>
      </c>
      <c r="N830" s="8" t="s">
        <v>2927</v>
      </c>
      <c r="O830" s="8">
        <v>448</v>
      </c>
      <c r="P830" s="8" t="s">
        <v>6673</v>
      </c>
      <c r="Q830" s="8" t="s">
        <v>4262</v>
      </c>
      <c r="R830" s="8">
        <v>0.159</v>
      </c>
      <c r="S830" s="8">
        <v>64892326</v>
      </c>
      <c r="T830" s="8" t="s">
        <v>24</v>
      </c>
      <c r="U830" s="8" t="s">
        <v>41</v>
      </c>
    </row>
    <row r="831" spans="1:21">
      <c r="A831" s="8" t="s">
        <v>6603</v>
      </c>
      <c r="B831" s="8" t="s">
        <v>3441</v>
      </c>
      <c r="C831" s="8">
        <v>337876</v>
      </c>
      <c r="D831" s="8" t="s">
        <v>226</v>
      </c>
      <c r="E831" s="8">
        <v>129520566</v>
      </c>
      <c r="F831" s="8">
        <v>129520566</v>
      </c>
      <c r="G831" s="8" t="s">
        <v>24</v>
      </c>
      <c r="H831" s="8" t="s">
        <v>41</v>
      </c>
      <c r="I831" s="8" t="s">
        <v>23</v>
      </c>
      <c r="J831" s="8" t="s">
        <v>3442</v>
      </c>
      <c r="K831" s="8" t="s">
        <v>6676</v>
      </c>
      <c r="L831" s="8" t="s">
        <v>19</v>
      </c>
      <c r="M831" s="8">
        <v>1731</v>
      </c>
      <c r="N831" s="8" t="s">
        <v>1180</v>
      </c>
      <c r="O831" s="8">
        <v>577</v>
      </c>
      <c r="P831" s="8" t="s">
        <v>6675</v>
      </c>
      <c r="Q831" s="8" t="s">
        <v>4262</v>
      </c>
      <c r="R831" s="8">
        <v>0.26800000000000002</v>
      </c>
      <c r="S831" s="8">
        <v>129520566</v>
      </c>
      <c r="T831" s="8" t="s">
        <v>24</v>
      </c>
      <c r="U831" s="8" t="s">
        <v>41</v>
      </c>
    </row>
    <row r="832" spans="1:21">
      <c r="A832" s="8" t="s">
        <v>6603</v>
      </c>
      <c r="B832" s="8" t="s">
        <v>6677</v>
      </c>
      <c r="C832" s="8">
        <v>4651</v>
      </c>
      <c r="D832" s="8" t="s">
        <v>226</v>
      </c>
      <c r="E832" s="8">
        <v>16680099</v>
      </c>
      <c r="F832" s="8">
        <v>16680099</v>
      </c>
      <c r="G832" s="8" t="s">
        <v>24</v>
      </c>
      <c r="H832" s="8" t="s">
        <v>41</v>
      </c>
      <c r="I832" s="8" t="s">
        <v>23</v>
      </c>
      <c r="J832" s="8" t="s">
        <v>6678</v>
      </c>
      <c r="K832" s="8" t="s">
        <v>6680</v>
      </c>
      <c r="L832" s="8" t="s">
        <v>19</v>
      </c>
      <c r="M832" s="8">
        <v>4967</v>
      </c>
      <c r="N832" s="8" t="s">
        <v>3048</v>
      </c>
      <c r="O832" s="8">
        <v>1500</v>
      </c>
      <c r="P832" s="8" t="s">
        <v>6679</v>
      </c>
      <c r="Q832" s="8" t="s">
        <v>4262</v>
      </c>
      <c r="R832" s="8">
        <v>0.10199999999999999</v>
      </c>
      <c r="S832" s="8">
        <v>16680099</v>
      </c>
      <c r="T832" s="8" t="s">
        <v>24</v>
      </c>
      <c r="U832" s="8" t="s">
        <v>41</v>
      </c>
    </row>
    <row r="833" spans="1:21">
      <c r="A833" s="8" t="s">
        <v>6603</v>
      </c>
      <c r="B833" s="8" t="s">
        <v>6681</v>
      </c>
      <c r="C833" s="8">
        <v>9439</v>
      </c>
      <c r="D833" s="8" t="s">
        <v>237</v>
      </c>
      <c r="E833" s="8">
        <v>131948609</v>
      </c>
      <c r="F833" s="8">
        <v>131948609</v>
      </c>
      <c r="G833" s="8" t="s">
        <v>24</v>
      </c>
      <c r="H833" s="8" t="s">
        <v>41</v>
      </c>
      <c r="I833" s="8" t="s">
        <v>23</v>
      </c>
      <c r="J833" s="8" t="s">
        <v>6682</v>
      </c>
      <c r="K833" s="8" t="s">
        <v>6684</v>
      </c>
      <c r="L833" s="8" t="s">
        <v>19</v>
      </c>
      <c r="M833" s="8">
        <v>260</v>
      </c>
      <c r="N833" s="8" t="s">
        <v>2541</v>
      </c>
      <c r="O833" s="8">
        <v>29</v>
      </c>
      <c r="P833" s="8" t="s">
        <v>6683</v>
      </c>
      <c r="Q833" s="8" t="s">
        <v>4262</v>
      </c>
      <c r="R833" s="8">
        <v>0.192</v>
      </c>
      <c r="S833" s="8">
        <v>131948609</v>
      </c>
      <c r="T833" s="8" t="s">
        <v>24</v>
      </c>
      <c r="U833" s="8" t="s">
        <v>41</v>
      </c>
    </row>
    <row r="834" spans="1:21">
      <c r="A834" s="8" t="s">
        <v>6603</v>
      </c>
      <c r="B834" s="8" t="s">
        <v>3443</v>
      </c>
      <c r="C834" s="8">
        <v>2070</v>
      </c>
      <c r="D834" s="8" t="s">
        <v>237</v>
      </c>
      <c r="E834" s="8">
        <v>133777772</v>
      </c>
      <c r="F834" s="8">
        <v>133777772</v>
      </c>
      <c r="G834" s="8" t="s">
        <v>46</v>
      </c>
      <c r="H834" s="8" t="s">
        <v>41</v>
      </c>
      <c r="I834" s="8" t="s">
        <v>23</v>
      </c>
      <c r="J834" s="8" t="s">
        <v>6685</v>
      </c>
      <c r="K834" s="8" t="s">
        <v>6687</v>
      </c>
      <c r="L834" s="8" t="s">
        <v>19</v>
      </c>
      <c r="M834" s="8">
        <v>814</v>
      </c>
      <c r="N834" s="8" t="s">
        <v>96</v>
      </c>
      <c r="O834" s="8">
        <v>119</v>
      </c>
      <c r="P834" s="8" t="s">
        <v>6686</v>
      </c>
      <c r="Q834" s="8" t="s">
        <v>4262</v>
      </c>
      <c r="R834" s="8">
        <v>0.309</v>
      </c>
      <c r="S834" s="8">
        <v>133777772</v>
      </c>
      <c r="T834" s="8" t="s">
        <v>46</v>
      </c>
      <c r="U834" s="8" t="s">
        <v>41</v>
      </c>
    </row>
    <row r="835" spans="1:21">
      <c r="A835" s="8" t="s">
        <v>6603</v>
      </c>
      <c r="B835" s="8" t="s">
        <v>2115</v>
      </c>
      <c r="C835" s="8">
        <v>4829</v>
      </c>
      <c r="D835" s="8" t="s">
        <v>237</v>
      </c>
      <c r="E835" s="8">
        <v>142399873</v>
      </c>
      <c r="F835" s="8">
        <v>142399873</v>
      </c>
      <c r="G835" s="8" t="s">
        <v>24</v>
      </c>
      <c r="H835" s="8" t="s">
        <v>41</v>
      </c>
      <c r="I835" s="8" t="s">
        <v>23</v>
      </c>
      <c r="J835" s="8" t="s">
        <v>6688</v>
      </c>
      <c r="K835" s="8" t="s">
        <v>6691</v>
      </c>
      <c r="L835" s="8" t="s">
        <v>19</v>
      </c>
      <c r="M835" s="8">
        <v>731</v>
      </c>
      <c r="N835" s="8" t="s">
        <v>1617</v>
      </c>
      <c r="O835" s="8">
        <v>197</v>
      </c>
      <c r="P835" s="8" t="s">
        <v>6689</v>
      </c>
      <c r="Q835" s="8" t="s">
        <v>6690</v>
      </c>
      <c r="R835" s="8">
        <v>0.104</v>
      </c>
      <c r="S835" s="8">
        <v>142399873</v>
      </c>
      <c r="T835" s="8" t="s">
        <v>24</v>
      </c>
      <c r="U835" s="8" t="s">
        <v>41</v>
      </c>
    </row>
    <row r="836" spans="1:21">
      <c r="A836" s="8" t="s">
        <v>6603</v>
      </c>
      <c r="B836" s="8" t="s">
        <v>1963</v>
      </c>
      <c r="C836" s="8">
        <v>629</v>
      </c>
      <c r="D836" s="8" t="s">
        <v>237</v>
      </c>
      <c r="E836" s="8">
        <v>31917903</v>
      </c>
      <c r="F836" s="8">
        <v>31917903</v>
      </c>
      <c r="G836" s="8" t="s">
        <v>24</v>
      </c>
      <c r="H836" s="8" t="s">
        <v>41</v>
      </c>
      <c r="I836" s="8" t="s">
        <v>23</v>
      </c>
      <c r="J836" s="8" t="s">
        <v>6692</v>
      </c>
      <c r="K836" s="8" t="s">
        <v>6694</v>
      </c>
      <c r="L836" s="8" t="s">
        <v>19</v>
      </c>
      <c r="M836" s="8">
        <v>1763</v>
      </c>
      <c r="N836" s="8" t="s">
        <v>2918</v>
      </c>
      <c r="O836" s="8">
        <v>495</v>
      </c>
      <c r="P836" s="8" t="s">
        <v>6693</v>
      </c>
      <c r="Q836" s="8" t="s">
        <v>4262</v>
      </c>
      <c r="R836" s="8">
        <v>4.4999999999999998E-2</v>
      </c>
      <c r="S836" s="8">
        <v>31917903</v>
      </c>
      <c r="T836" s="8" t="s">
        <v>24</v>
      </c>
      <c r="U836" s="8" t="s">
        <v>41</v>
      </c>
    </row>
    <row r="837" spans="1:21">
      <c r="A837" s="8" t="s">
        <v>6603</v>
      </c>
      <c r="B837" s="8" t="s">
        <v>2220</v>
      </c>
      <c r="C837" s="8">
        <v>11329</v>
      </c>
      <c r="D837" s="8" t="s">
        <v>237</v>
      </c>
      <c r="E837" s="8">
        <v>36483159</v>
      </c>
      <c r="F837" s="8">
        <v>36483159</v>
      </c>
      <c r="G837" s="8" t="s">
        <v>41</v>
      </c>
      <c r="H837" s="8" t="s">
        <v>25</v>
      </c>
      <c r="I837" s="8" t="s">
        <v>23</v>
      </c>
      <c r="J837" s="8" t="s">
        <v>6695</v>
      </c>
      <c r="K837" s="8" t="s">
        <v>6697</v>
      </c>
      <c r="L837" s="8" t="s">
        <v>19</v>
      </c>
      <c r="M837" s="8">
        <v>911</v>
      </c>
      <c r="N837" s="8" t="s">
        <v>1607</v>
      </c>
      <c r="O837" s="8">
        <v>209</v>
      </c>
      <c r="P837" s="8" t="s">
        <v>6696</v>
      </c>
      <c r="Q837" s="8" t="s">
        <v>4262</v>
      </c>
      <c r="R837" s="8">
        <v>7.3999999999999996E-2</v>
      </c>
      <c r="S837" s="8">
        <v>36483159</v>
      </c>
      <c r="T837" s="8" t="s">
        <v>41</v>
      </c>
      <c r="U837" s="8" t="s">
        <v>25</v>
      </c>
    </row>
    <row r="838" spans="1:21">
      <c r="A838" s="8" t="s">
        <v>6603</v>
      </c>
      <c r="B838" s="8" t="s">
        <v>6698</v>
      </c>
      <c r="C838" s="8">
        <v>7461</v>
      </c>
      <c r="D838" s="8" t="s">
        <v>257</v>
      </c>
      <c r="E838" s="8">
        <v>73768325</v>
      </c>
      <c r="F838" s="8">
        <v>73768325</v>
      </c>
      <c r="G838" s="8" t="s">
        <v>46</v>
      </c>
      <c r="H838" s="8" t="s">
        <v>41</v>
      </c>
      <c r="I838" s="8" t="s">
        <v>23</v>
      </c>
      <c r="J838" s="8" t="s">
        <v>6699</v>
      </c>
      <c r="K838" s="8" t="s">
        <v>6701</v>
      </c>
      <c r="L838" s="8" t="s">
        <v>19</v>
      </c>
      <c r="M838" s="8">
        <v>1121</v>
      </c>
      <c r="N838" s="8" t="s">
        <v>230</v>
      </c>
      <c r="O838" s="8">
        <v>265</v>
      </c>
      <c r="P838" s="8" t="s">
        <v>6700</v>
      </c>
      <c r="Q838" s="8" t="s">
        <v>4262</v>
      </c>
      <c r="R838" s="8">
        <v>0.24099999999999999</v>
      </c>
      <c r="S838" s="8">
        <v>73768325</v>
      </c>
      <c r="T838" s="8" t="s">
        <v>46</v>
      </c>
      <c r="U838" s="8" t="s">
        <v>41</v>
      </c>
    </row>
    <row r="839" spans="1:21">
      <c r="A839" s="8" t="s">
        <v>6603</v>
      </c>
      <c r="B839" s="8" t="s">
        <v>6702</v>
      </c>
      <c r="C839" s="8">
        <v>9734</v>
      </c>
      <c r="D839" s="8" t="s">
        <v>257</v>
      </c>
      <c r="E839" s="8">
        <v>18687597</v>
      </c>
      <c r="F839" s="8">
        <v>18687597</v>
      </c>
      <c r="G839" s="8" t="s">
        <v>46</v>
      </c>
      <c r="H839" s="8" t="s">
        <v>41</v>
      </c>
      <c r="I839" s="8" t="s">
        <v>23</v>
      </c>
      <c r="J839" s="8" t="s">
        <v>6703</v>
      </c>
      <c r="K839" s="8" t="s">
        <v>6705</v>
      </c>
      <c r="L839" s="8" t="s">
        <v>76</v>
      </c>
      <c r="M839" s="8">
        <v>1266</v>
      </c>
      <c r="N839" s="8" t="s">
        <v>103</v>
      </c>
      <c r="O839" s="8">
        <v>409</v>
      </c>
      <c r="P839" s="8" t="s">
        <v>6704</v>
      </c>
      <c r="Q839" s="8" t="s">
        <v>4262</v>
      </c>
      <c r="R839" s="8">
        <v>5.5E-2</v>
      </c>
      <c r="S839" s="8">
        <v>18687597</v>
      </c>
      <c r="T839" s="8" t="s">
        <v>46</v>
      </c>
      <c r="U839" s="8" t="s">
        <v>41</v>
      </c>
    </row>
    <row r="840" spans="1:21">
      <c r="A840" s="8" t="s">
        <v>6603</v>
      </c>
      <c r="B840" s="8" t="s">
        <v>3444</v>
      </c>
      <c r="C840" s="8">
        <v>26166</v>
      </c>
      <c r="D840" s="8" t="s">
        <v>279</v>
      </c>
      <c r="E840" s="8">
        <v>101092539</v>
      </c>
      <c r="F840" s="8">
        <v>101092539</v>
      </c>
      <c r="G840" s="8" t="s">
        <v>25</v>
      </c>
      <c r="H840" s="8" t="s">
        <v>41</v>
      </c>
      <c r="I840" s="8" t="s">
        <v>23</v>
      </c>
      <c r="J840" s="8" t="s">
        <v>3445</v>
      </c>
      <c r="K840" s="8" t="s">
        <v>6707</v>
      </c>
      <c r="L840" s="8" t="s">
        <v>19</v>
      </c>
      <c r="M840" s="8">
        <v>357</v>
      </c>
      <c r="N840" s="8" t="s">
        <v>3053</v>
      </c>
      <c r="O840" s="8">
        <v>54</v>
      </c>
      <c r="P840" s="8" t="s">
        <v>6706</v>
      </c>
      <c r="Q840" s="8" t="s">
        <v>4262</v>
      </c>
      <c r="R840" s="8">
        <v>0.48799999999999999</v>
      </c>
      <c r="S840" s="8">
        <v>101092539</v>
      </c>
      <c r="T840" s="8" t="s">
        <v>25</v>
      </c>
      <c r="U840" s="8" t="s">
        <v>41</v>
      </c>
    </row>
    <row r="841" spans="1:21">
      <c r="A841" s="8" t="s">
        <v>6603</v>
      </c>
      <c r="B841" s="8" t="s">
        <v>532</v>
      </c>
      <c r="C841" s="8">
        <v>114788</v>
      </c>
      <c r="D841" s="8" t="s">
        <v>279</v>
      </c>
      <c r="E841" s="8">
        <v>113585786</v>
      </c>
      <c r="F841" s="8">
        <v>113585786</v>
      </c>
      <c r="G841" s="8" t="s">
        <v>25</v>
      </c>
      <c r="H841" s="8" t="s">
        <v>24</v>
      </c>
      <c r="I841" s="8" t="s">
        <v>23</v>
      </c>
      <c r="J841" s="8" t="s">
        <v>5627</v>
      </c>
      <c r="K841" s="8" t="s">
        <v>5629</v>
      </c>
      <c r="L841" s="8" t="s">
        <v>19</v>
      </c>
      <c r="M841" s="8">
        <v>4145</v>
      </c>
      <c r="N841" s="8" t="s">
        <v>2903</v>
      </c>
      <c r="O841" s="8">
        <v>1329</v>
      </c>
      <c r="P841" s="8" t="s">
        <v>6708</v>
      </c>
      <c r="Q841" s="8" t="s">
        <v>4262</v>
      </c>
      <c r="R841" s="8">
        <v>0.20100000000000001</v>
      </c>
      <c r="S841" s="8">
        <v>113585786</v>
      </c>
      <c r="T841" s="8" t="s">
        <v>25</v>
      </c>
      <c r="U841" s="8" t="s">
        <v>24</v>
      </c>
    </row>
    <row r="842" spans="1:21">
      <c r="A842" s="8" t="s">
        <v>6603</v>
      </c>
      <c r="B842" s="8" t="s">
        <v>3446</v>
      </c>
      <c r="C842" s="8">
        <v>169026</v>
      </c>
      <c r="D842" s="8" t="s">
        <v>279</v>
      </c>
      <c r="E842" s="8">
        <v>118170010</v>
      </c>
      <c r="F842" s="8">
        <v>118170010</v>
      </c>
      <c r="G842" s="8" t="s">
        <v>46</v>
      </c>
      <c r="H842" s="8" t="s">
        <v>25</v>
      </c>
      <c r="I842" s="8" t="s">
        <v>23</v>
      </c>
      <c r="J842" s="8" t="s">
        <v>6709</v>
      </c>
      <c r="K842" s="8" t="s">
        <v>6711</v>
      </c>
      <c r="L842" s="8" t="s">
        <v>19</v>
      </c>
      <c r="M842" s="8">
        <v>729</v>
      </c>
      <c r="N842" s="8" t="s">
        <v>598</v>
      </c>
      <c r="O842" s="8">
        <v>167</v>
      </c>
      <c r="P842" s="8" t="s">
        <v>6710</v>
      </c>
      <c r="Q842" s="8" t="s">
        <v>4262</v>
      </c>
      <c r="R842" s="8">
        <v>0.39</v>
      </c>
      <c r="S842" s="8">
        <v>118170010</v>
      </c>
      <c r="T842" s="8" t="s">
        <v>46</v>
      </c>
      <c r="U842" s="8" t="s">
        <v>25</v>
      </c>
    </row>
    <row r="843" spans="1:21">
      <c r="A843" s="8" t="s">
        <v>6603</v>
      </c>
      <c r="B843" s="8" t="s">
        <v>3447</v>
      </c>
      <c r="C843" s="8">
        <v>11093</v>
      </c>
      <c r="D843" s="8" t="s">
        <v>292</v>
      </c>
      <c r="E843" s="8">
        <v>136320476</v>
      </c>
      <c r="F843" s="8">
        <v>136320476</v>
      </c>
      <c r="G843" s="8" t="s">
        <v>46</v>
      </c>
      <c r="H843" s="8" t="s">
        <v>41</v>
      </c>
      <c r="I843" s="8" t="s">
        <v>23</v>
      </c>
      <c r="J843" s="8" t="s">
        <v>6712</v>
      </c>
      <c r="K843" s="8" t="s">
        <v>6714</v>
      </c>
      <c r="L843" s="8" t="s">
        <v>19</v>
      </c>
      <c r="M843" s="8">
        <v>3763</v>
      </c>
      <c r="N843" s="8" t="s">
        <v>415</v>
      </c>
      <c r="O843" s="8">
        <v>1107</v>
      </c>
      <c r="P843" s="8" t="s">
        <v>6713</v>
      </c>
      <c r="Q843" s="8" t="s">
        <v>4262</v>
      </c>
      <c r="R843" s="8">
        <v>0.32300000000000001</v>
      </c>
      <c r="S843" s="8">
        <v>136320476</v>
      </c>
      <c r="T843" s="8" t="s">
        <v>46</v>
      </c>
      <c r="U843" s="8" t="s">
        <v>41</v>
      </c>
    </row>
    <row r="844" spans="1:21">
      <c r="A844" s="8" t="s">
        <v>6603</v>
      </c>
      <c r="B844" s="8" t="s">
        <v>3129</v>
      </c>
      <c r="C844" s="8">
        <v>138474</v>
      </c>
      <c r="D844" s="8" t="s">
        <v>292</v>
      </c>
      <c r="E844" s="8">
        <v>32631370</v>
      </c>
      <c r="F844" s="8">
        <v>32631370</v>
      </c>
      <c r="G844" s="8" t="s">
        <v>24</v>
      </c>
      <c r="H844" s="8" t="s">
        <v>25</v>
      </c>
      <c r="I844" s="8" t="s">
        <v>23</v>
      </c>
      <c r="J844" s="8" t="s">
        <v>3130</v>
      </c>
      <c r="K844" s="8" t="s">
        <v>4761</v>
      </c>
      <c r="L844" s="8" t="s">
        <v>19</v>
      </c>
      <c r="M844" s="8">
        <v>4298</v>
      </c>
      <c r="N844" s="8" t="s">
        <v>741</v>
      </c>
      <c r="O844" s="8">
        <v>1403</v>
      </c>
      <c r="P844" s="8" t="s">
        <v>6715</v>
      </c>
      <c r="Q844" s="8" t="s">
        <v>4262</v>
      </c>
      <c r="R844" s="8">
        <v>0.36199999999999999</v>
      </c>
      <c r="S844" s="8">
        <v>32631370</v>
      </c>
      <c r="T844" s="8" t="s">
        <v>24</v>
      </c>
      <c r="U844" s="8" t="s">
        <v>25</v>
      </c>
    </row>
    <row r="845" spans="1:21">
      <c r="A845" s="8" t="s">
        <v>6603</v>
      </c>
      <c r="B845" s="8" t="s">
        <v>3421</v>
      </c>
      <c r="C845" s="8">
        <v>53904</v>
      </c>
      <c r="D845" s="8" t="s">
        <v>69</v>
      </c>
      <c r="E845" s="8">
        <v>26455034</v>
      </c>
      <c r="F845" s="8">
        <v>26455034</v>
      </c>
      <c r="G845" s="8" t="s">
        <v>24</v>
      </c>
      <c r="H845" s="8" t="s">
        <v>25</v>
      </c>
      <c r="I845" s="8" t="s">
        <v>23</v>
      </c>
      <c r="J845" s="8" t="s">
        <v>3422</v>
      </c>
      <c r="K845" s="8" t="s">
        <v>6717</v>
      </c>
      <c r="L845" s="8" t="s">
        <v>19</v>
      </c>
      <c r="M845" s="8">
        <v>3398</v>
      </c>
      <c r="N845" s="8" t="s">
        <v>73</v>
      </c>
      <c r="O845" s="8">
        <v>1013</v>
      </c>
      <c r="P845" s="8" t="s">
        <v>6716</v>
      </c>
      <c r="Q845" s="8" t="s">
        <v>4262</v>
      </c>
      <c r="R845" s="8">
        <v>0.80500000000000005</v>
      </c>
      <c r="S845" s="8">
        <v>26455034</v>
      </c>
      <c r="T845" s="8" t="s">
        <v>24</v>
      </c>
      <c r="U845" s="8" t="s">
        <v>25</v>
      </c>
    </row>
    <row r="846" spans="1:21">
      <c r="A846" s="8" t="s">
        <v>6603</v>
      </c>
      <c r="B846" s="8" t="s">
        <v>3955</v>
      </c>
      <c r="C846" s="8">
        <v>219931</v>
      </c>
      <c r="D846" s="8" t="s">
        <v>83</v>
      </c>
      <c r="E846" s="8">
        <v>68831386</v>
      </c>
      <c r="F846" s="8">
        <v>68831386</v>
      </c>
      <c r="G846" s="8" t="s">
        <v>25</v>
      </c>
      <c r="H846" s="8" t="s">
        <v>41</v>
      </c>
      <c r="I846" s="8" t="s">
        <v>23</v>
      </c>
      <c r="J846" s="8" t="s">
        <v>6718</v>
      </c>
      <c r="K846" s="8" t="s">
        <v>6720</v>
      </c>
      <c r="L846" s="8" t="s">
        <v>19</v>
      </c>
      <c r="M846" s="8">
        <v>793</v>
      </c>
      <c r="N846" s="8" t="s">
        <v>3614</v>
      </c>
      <c r="O846" s="8">
        <v>226</v>
      </c>
      <c r="P846" s="8" t="s">
        <v>6719</v>
      </c>
      <c r="Q846" s="8" t="s">
        <v>4262</v>
      </c>
      <c r="R846" s="8">
        <v>0.438</v>
      </c>
      <c r="S846" s="8">
        <v>68831386</v>
      </c>
      <c r="T846" s="8" t="s">
        <v>25</v>
      </c>
      <c r="U846" s="8" t="s">
        <v>41</v>
      </c>
    </row>
    <row r="847" spans="1:21">
      <c r="A847" s="8" t="s">
        <v>6603</v>
      </c>
      <c r="B847" s="8" t="s">
        <v>3424</v>
      </c>
      <c r="C847" s="8">
        <v>220388</v>
      </c>
      <c r="D847" s="8" t="s">
        <v>83</v>
      </c>
      <c r="E847" s="8">
        <v>85397157</v>
      </c>
      <c r="F847" s="8">
        <v>85397157</v>
      </c>
      <c r="G847" s="8" t="s">
        <v>25</v>
      </c>
      <c r="H847" s="8" t="s">
        <v>46</v>
      </c>
      <c r="I847" s="8" t="s">
        <v>23</v>
      </c>
      <c r="J847" s="8" t="s">
        <v>3425</v>
      </c>
      <c r="K847" s="8" t="s">
        <v>6722</v>
      </c>
      <c r="L847" s="8" t="s">
        <v>19</v>
      </c>
      <c r="M847" s="8">
        <v>164</v>
      </c>
      <c r="N847" s="8" t="s">
        <v>1090</v>
      </c>
      <c r="O847" s="8">
        <v>6</v>
      </c>
      <c r="P847" s="8" t="s">
        <v>6721</v>
      </c>
      <c r="Q847" s="8" t="s">
        <v>4262</v>
      </c>
      <c r="R847" s="8">
        <v>0.49</v>
      </c>
      <c r="S847" s="8">
        <v>85397157</v>
      </c>
      <c r="T847" s="8" t="s">
        <v>25</v>
      </c>
      <c r="U847" s="8" t="s">
        <v>46</v>
      </c>
    </row>
    <row r="848" spans="1:21">
      <c r="A848" s="8" t="s">
        <v>6603</v>
      </c>
      <c r="B848" s="8" t="s">
        <v>6723</v>
      </c>
      <c r="C848" s="8">
        <v>4588</v>
      </c>
      <c r="D848" s="8" t="s">
        <v>83</v>
      </c>
      <c r="E848" s="8">
        <v>1016799</v>
      </c>
      <c r="F848" s="8">
        <v>1016799</v>
      </c>
      <c r="G848" s="8" t="s">
        <v>24</v>
      </c>
      <c r="H848" s="8" t="s">
        <v>25</v>
      </c>
      <c r="I848" s="8" t="s">
        <v>23</v>
      </c>
      <c r="J848" s="8" t="s">
        <v>6724</v>
      </c>
      <c r="K848" s="8" t="s">
        <v>6726</v>
      </c>
      <c r="L848" s="8" t="s">
        <v>19</v>
      </c>
      <c r="M848" s="8">
        <v>6053</v>
      </c>
      <c r="N848" s="8" t="s">
        <v>1140</v>
      </c>
      <c r="O848" s="8">
        <v>2001</v>
      </c>
      <c r="P848" s="8" t="s">
        <v>6725</v>
      </c>
      <c r="Q848" s="8" t="s">
        <v>4262</v>
      </c>
      <c r="R848" s="8">
        <v>5.0999999999999997E-2</v>
      </c>
      <c r="S848" s="8">
        <v>1016799</v>
      </c>
      <c r="T848" s="8" t="s">
        <v>24</v>
      </c>
      <c r="U848" s="8" t="s">
        <v>25</v>
      </c>
    </row>
    <row r="849" spans="1:21">
      <c r="A849" s="8" t="s">
        <v>6603</v>
      </c>
      <c r="B849" s="8" t="s">
        <v>1889</v>
      </c>
      <c r="C849" s="8">
        <v>63982</v>
      </c>
      <c r="D849" s="8" t="s">
        <v>83</v>
      </c>
      <c r="E849" s="8">
        <v>26556110</v>
      </c>
      <c r="F849" s="8">
        <v>26556110</v>
      </c>
      <c r="G849" s="8" t="s">
        <v>24</v>
      </c>
      <c r="H849" s="8" t="s">
        <v>25</v>
      </c>
      <c r="I849" s="8" t="s">
        <v>23</v>
      </c>
      <c r="J849" s="8" t="s">
        <v>6727</v>
      </c>
      <c r="K849" s="8" t="s">
        <v>6728</v>
      </c>
      <c r="L849" s="8" t="s">
        <v>68</v>
      </c>
      <c r="M849" s="8">
        <v>0</v>
      </c>
      <c r="N849" s="8" t="s">
        <v>35</v>
      </c>
      <c r="O849" s="8">
        <v>0</v>
      </c>
      <c r="P849" s="8" t="s">
        <v>35</v>
      </c>
      <c r="Q849" s="8" t="s">
        <v>4262</v>
      </c>
      <c r="R849" s="8">
        <v>0.13900000000000001</v>
      </c>
      <c r="S849" s="8">
        <v>26556110</v>
      </c>
      <c r="T849" s="8" t="s">
        <v>24</v>
      </c>
      <c r="U849" s="8" t="s">
        <v>25</v>
      </c>
    </row>
    <row r="850" spans="1:21">
      <c r="A850" s="8" t="s">
        <v>6603</v>
      </c>
      <c r="B850" s="8" t="s">
        <v>1038</v>
      </c>
      <c r="C850" s="8">
        <v>7450</v>
      </c>
      <c r="D850" s="8" t="s">
        <v>104</v>
      </c>
      <c r="E850" s="8">
        <v>6076674</v>
      </c>
      <c r="F850" s="8">
        <v>6076674</v>
      </c>
      <c r="G850" s="8" t="s">
        <v>24</v>
      </c>
      <c r="H850" s="8" t="s">
        <v>25</v>
      </c>
      <c r="I850" s="8" t="s">
        <v>23</v>
      </c>
      <c r="J850" s="8" t="s">
        <v>1039</v>
      </c>
      <c r="K850" s="8" t="s">
        <v>6730</v>
      </c>
      <c r="L850" s="8" t="s">
        <v>19</v>
      </c>
      <c r="M850" s="8">
        <v>8115</v>
      </c>
      <c r="N850" s="8" t="s">
        <v>1325</v>
      </c>
      <c r="O850" s="8">
        <v>2622</v>
      </c>
      <c r="P850" s="8" t="s">
        <v>6729</v>
      </c>
      <c r="Q850" s="8" t="s">
        <v>4262</v>
      </c>
      <c r="R850" s="8">
        <v>0.39300000000000002</v>
      </c>
      <c r="S850" s="8">
        <v>6076674</v>
      </c>
      <c r="T850" s="8" t="s">
        <v>24</v>
      </c>
      <c r="U850" s="8" t="s">
        <v>25</v>
      </c>
    </row>
    <row r="851" spans="1:21">
      <c r="A851" s="8" t="s">
        <v>6603</v>
      </c>
      <c r="B851" s="8" t="s">
        <v>1038</v>
      </c>
      <c r="C851" s="8">
        <v>7450</v>
      </c>
      <c r="D851" s="8" t="s">
        <v>104</v>
      </c>
      <c r="E851" s="8">
        <v>6128584</v>
      </c>
      <c r="F851" s="8">
        <v>6128584</v>
      </c>
      <c r="G851" s="8" t="s">
        <v>24</v>
      </c>
      <c r="H851" s="8" t="s">
        <v>25</v>
      </c>
      <c r="I851" s="8" t="s">
        <v>23</v>
      </c>
      <c r="J851" s="8" t="s">
        <v>1039</v>
      </c>
      <c r="K851" s="8" t="s">
        <v>6730</v>
      </c>
      <c r="L851" s="8" t="s">
        <v>19</v>
      </c>
      <c r="M851" s="8">
        <v>4250</v>
      </c>
      <c r="N851" s="8" t="s">
        <v>92</v>
      </c>
      <c r="O851" s="8">
        <v>1334</v>
      </c>
      <c r="P851" s="8" t="s">
        <v>6731</v>
      </c>
      <c r="Q851" s="8" t="s">
        <v>4262</v>
      </c>
      <c r="R851" s="8">
        <v>0.22900000000000001</v>
      </c>
      <c r="S851" s="8">
        <v>6128584</v>
      </c>
      <c r="T851" s="8" t="s">
        <v>24</v>
      </c>
      <c r="U851" s="8" t="s">
        <v>25</v>
      </c>
    </row>
    <row r="852" spans="1:21">
      <c r="A852" s="8" t="s">
        <v>6603</v>
      </c>
      <c r="B852" s="8" t="s">
        <v>6732</v>
      </c>
      <c r="C852" s="8">
        <v>8874</v>
      </c>
      <c r="D852" s="8" t="s">
        <v>339</v>
      </c>
      <c r="E852" s="8">
        <v>111927991</v>
      </c>
      <c r="F852" s="8">
        <v>111927991</v>
      </c>
      <c r="G852" s="8" t="s">
        <v>41</v>
      </c>
      <c r="H852" s="8" t="s">
        <v>24</v>
      </c>
      <c r="I852" s="8" t="s">
        <v>23</v>
      </c>
      <c r="J852" s="8" t="s">
        <v>6733</v>
      </c>
      <c r="K852" s="8" t="s">
        <v>6735</v>
      </c>
      <c r="L852" s="8" t="s">
        <v>19</v>
      </c>
      <c r="M852" s="8">
        <v>1698</v>
      </c>
      <c r="N852" s="8" t="s">
        <v>6736</v>
      </c>
      <c r="O852" s="8">
        <v>483</v>
      </c>
      <c r="P852" s="8" t="s">
        <v>6734</v>
      </c>
      <c r="Q852" s="8" t="s">
        <v>4262</v>
      </c>
      <c r="R852" s="8">
        <v>5.8999999999999997E-2</v>
      </c>
      <c r="S852" s="8">
        <v>111927991</v>
      </c>
      <c r="T852" s="8" t="s">
        <v>41</v>
      </c>
      <c r="U852" s="8" t="s">
        <v>24</v>
      </c>
    </row>
    <row r="853" spans="1:21">
      <c r="A853" s="8" t="s">
        <v>6603</v>
      </c>
      <c r="B853" s="8" t="s">
        <v>3426</v>
      </c>
      <c r="C853" s="8">
        <v>4053</v>
      </c>
      <c r="D853" s="8" t="s">
        <v>118</v>
      </c>
      <c r="E853" s="8">
        <v>74968229</v>
      </c>
      <c r="F853" s="8">
        <v>74968229</v>
      </c>
      <c r="G853" s="8" t="s">
        <v>25</v>
      </c>
      <c r="H853" s="8" t="s">
        <v>46</v>
      </c>
      <c r="I853" s="8" t="s">
        <v>23</v>
      </c>
      <c r="J853" s="8" t="s">
        <v>3427</v>
      </c>
      <c r="K853" s="8" t="s">
        <v>6738</v>
      </c>
      <c r="L853" s="8" t="s">
        <v>19</v>
      </c>
      <c r="M853" s="8">
        <v>5622</v>
      </c>
      <c r="N853" s="8" t="s">
        <v>3428</v>
      </c>
      <c r="O853" s="8">
        <v>1745</v>
      </c>
      <c r="P853" s="8" t="s">
        <v>6737</v>
      </c>
      <c r="Q853" s="8" t="s">
        <v>4262</v>
      </c>
      <c r="R853" s="8">
        <v>0.29099999999999998</v>
      </c>
      <c r="S853" s="8">
        <v>74968229</v>
      </c>
      <c r="T853" s="8" t="s">
        <v>25</v>
      </c>
      <c r="U853" s="8" t="s">
        <v>46</v>
      </c>
    </row>
    <row r="854" spans="1:21">
      <c r="A854" s="8" t="s">
        <v>6603</v>
      </c>
      <c r="B854" s="8" t="s">
        <v>6739</v>
      </c>
      <c r="C854" s="8">
        <v>7253</v>
      </c>
      <c r="D854" s="8" t="s">
        <v>118</v>
      </c>
      <c r="E854" s="8">
        <v>81610294</v>
      </c>
      <c r="F854" s="8">
        <v>81610294</v>
      </c>
      <c r="G854" s="8" t="s">
        <v>41</v>
      </c>
      <c r="H854" s="8" t="s">
        <v>46</v>
      </c>
      <c r="I854" s="8" t="s">
        <v>23</v>
      </c>
      <c r="J854" s="8" t="s">
        <v>6740</v>
      </c>
      <c r="K854" s="8" t="s">
        <v>6743</v>
      </c>
      <c r="L854" s="8" t="s">
        <v>19</v>
      </c>
      <c r="M854" s="8">
        <v>2048</v>
      </c>
      <c r="N854" s="8" t="s">
        <v>3029</v>
      </c>
      <c r="O854" s="8">
        <v>631</v>
      </c>
      <c r="P854" s="8" t="s">
        <v>6741</v>
      </c>
      <c r="Q854" s="8" t="s">
        <v>6742</v>
      </c>
      <c r="R854" s="8">
        <v>0.23</v>
      </c>
      <c r="S854" s="8">
        <v>81610294</v>
      </c>
      <c r="T854" s="8" t="s">
        <v>41</v>
      </c>
      <c r="U854" s="8" t="s">
        <v>46</v>
      </c>
    </row>
    <row r="855" spans="1:21">
      <c r="A855" s="8" t="s">
        <v>6603</v>
      </c>
      <c r="B855" s="8" t="s">
        <v>6744</v>
      </c>
      <c r="C855" s="8">
        <v>55148</v>
      </c>
      <c r="D855" s="8" t="s">
        <v>118</v>
      </c>
      <c r="E855" s="8">
        <v>93685600</v>
      </c>
      <c r="F855" s="8">
        <v>93685600</v>
      </c>
      <c r="G855" s="8" t="s">
        <v>24</v>
      </c>
      <c r="H855" s="8" t="s">
        <v>41</v>
      </c>
      <c r="I855" s="8" t="s">
        <v>23</v>
      </c>
      <c r="J855" s="8" t="s">
        <v>6745</v>
      </c>
      <c r="K855" s="8" t="s">
        <v>6747</v>
      </c>
      <c r="L855" s="8" t="s">
        <v>19</v>
      </c>
      <c r="M855" s="8">
        <v>1089</v>
      </c>
      <c r="N855" s="8" t="s">
        <v>1088</v>
      </c>
      <c r="O855" s="8">
        <v>285</v>
      </c>
      <c r="P855" s="8" t="s">
        <v>6746</v>
      </c>
      <c r="Q855" s="8" t="s">
        <v>4262</v>
      </c>
      <c r="R855" s="8">
        <v>0.109</v>
      </c>
      <c r="S855" s="8">
        <v>93685600</v>
      </c>
      <c r="T855" s="8" t="s">
        <v>24</v>
      </c>
      <c r="U855" s="8" t="s">
        <v>41</v>
      </c>
    </row>
    <row r="856" spans="1:21">
      <c r="A856" s="8" t="s">
        <v>6603</v>
      </c>
      <c r="B856" s="8" t="s">
        <v>6748</v>
      </c>
      <c r="C856" s="8">
        <v>1464</v>
      </c>
      <c r="D856" s="8" t="s">
        <v>120</v>
      </c>
      <c r="E856" s="8">
        <v>75979948</v>
      </c>
      <c r="F856" s="8">
        <v>75979948</v>
      </c>
      <c r="G856" s="8" t="s">
        <v>41</v>
      </c>
      <c r="H856" s="8" t="s">
        <v>46</v>
      </c>
      <c r="I856" s="8" t="s">
        <v>23</v>
      </c>
      <c r="J856" s="8" t="s">
        <v>6749</v>
      </c>
      <c r="K856" s="8" t="s">
        <v>6751</v>
      </c>
      <c r="L856" s="8" t="s">
        <v>19</v>
      </c>
      <c r="M856" s="8">
        <v>3551</v>
      </c>
      <c r="N856" s="8" t="s">
        <v>551</v>
      </c>
      <c r="O856" s="8">
        <v>1153</v>
      </c>
      <c r="P856" s="8" t="s">
        <v>6750</v>
      </c>
      <c r="Q856" s="8" t="s">
        <v>4262</v>
      </c>
      <c r="R856" s="8">
        <v>0.16200000000000001</v>
      </c>
      <c r="S856" s="8">
        <v>75979948</v>
      </c>
      <c r="T856" s="8" t="s">
        <v>41</v>
      </c>
      <c r="U856" s="8" t="s">
        <v>46</v>
      </c>
    </row>
    <row r="857" spans="1:21">
      <c r="A857" s="8" t="s">
        <v>6603</v>
      </c>
      <c r="B857" s="8" t="s">
        <v>6752</v>
      </c>
      <c r="C857" s="8">
        <v>84643</v>
      </c>
      <c r="D857" s="8" t="s">
        <v>133</v>
      </c>
      <c r="E857" s="8">
        <v>51900511</v>
      </c>
      <c r="F857" s="8">
        <v>51900511</v>
      </c>
      <c r="G857" s="8" t="s">
        <v>24</v>
      </c>
      <c r="H857" s="8" t="s">
        <v>41</v>
      </c>
      <c r="I857" s="8" t="s">
        <v>23</v>
      </c>
      <c r="J857" s="8" t="s">
        <v>6753</v>
      </c>
      <c r="K857" s="8" t="s">
        <v>6755</v>
      </c>
      <c r="L857" s="8" t="s">
        <v>19</v>
      </c>
      <c r="M857" s="8">
        <v>273</v>
      </c>
      <c r="N857" s="8" t="s">
        <v>490</v>
      </c>
      <c r="O857" s="8">
        <v>39</v>
      </c>
      <c r="P857" s="8" t="s">
        <v>6754</v>
      </c>
      <c r="Q857" s="8" t="s">
        <v>4262</v>
      </c>
      <c r="R857" s="8">
        <v>7.9000000000000001E-2</v>
      </c>
      <c r="S857" s="8">
        <v>51900511</v>
      </c>
      <c r="T857" s="8" t="s">
        <v>24</v>
      </c>
      <c r="U857" s="8" t="s">
        <v>41</v>
      </c>
    </row>
    <row r="858" spans="1:21">
      <c r="A858" s="8" t="s">
        <v>6603</v>
      </c>
      <c r="B858" s="8" t="s">
        <v>130</v>
      </c>
      <c r="C858" s="8">
        <v>7157</v>
      </c>
      <c r="D858" s="8" t="s">
        <v>133</v>
      </c>
      <c r="E858" s="8">
        <v>7578466</v>
      </c>
      <c r="F858" s="8">
        <v>7578466</v>
      </c>
      <c r="G858" s="8" t="s">
        <v>24</v>
      </c>
      <c r="H858" s="8" t="s">
        <v>41</v>
      </c>
      <c r="I858" s="8" t="s">
        <v>23</v>
      </c>
      <c r="J858" s="8" t="s">
        <v>5804</v>
      </c>
      <c r="K858" s="8" t="s">
        <v>5807</v>
      </c>
      <c r="L858" s="8" t="s">
        <v>19</v>
      </c>
      <c r="M858" s="8">
        <v>661</v>
      </c>
      <c r="N858" s="8" t="s">
        <v>65</v>
      </c>
      <c r="O858" s="8">
        <v>155</v>
      </c>
      <c r="P858" s="8" t="s">
        <v>6756</v>
      </c>
      <c r="Q858" s="8" t="s">
        <v>6757</v>
      </c>
      <c r="R858" s="8">
        <v>0.65</v>
      </c>
      <c r="S858" s="8">
        <v>7578466</v>
      </c>
      <c r="T858" s="8" t="s">
        <v>24</v>
      </c>
      <c r="U858" s="8" t="s">
        <v>41</v>
      </c>
    </row>
    <row r="859" spans="1:21">
      <c r="A859" s="8" t="s">
        <v>6603</v>
      </c>
      <c r="B859" s="8" t="s">
        <v>2554</v>
      </c>
      <c r="C859" s="8">
        <v>9043</v>
      </c>
      <c r="D859" s="8" t="s">
        <v>133</v>
      </c>
      <c r="E859" s="8">
        <v>49048120</v>
      </c>
      <c r="F859" s="8">
        <v>49048120</v>
      </c>
      <c r="G859" s="8" t="s">
        <v>46</v>
      </c>
      <c r="H859" s="8" t="s">
        <v>25</v>
      </c>
      <c r="I859" s="8" t="s">
        <v>23</v>
      </c>
      <c r="J859" s="8" t="s">
        <v>6758</v>
      </c>
      <c r="K859" s="8" t="s">
        <v>6760</v>
      </c>
      <c r="L859" s="8" t="s">
        <v>19</v>
      </c>
      <c r="M859" s="8">
        <v>4007</v>
      </c>
      <c r="N859" s="8" t="s">
        <v>212</v>
      </c>
      <c r="O859" s="8">
        <v>1266</v>
      </c>
      <c r="P859" s="8" t="s">
        <v>6759</v>
      </c>
      <c r="Q859" s="8" t="s">
        <v>4262</v>
      </c>
      <c r="R859" s="8">
        <v>0.33</v>
      </c>
      <c r="S859" s="8">
        <v>49048120</v>
      </c>
      <c r="T859" s="8" t="s">
        <v>46</v>
      </c>
      <c r="U859" s="8" t="s">
        <v>25</v>
      </c>
    </row>
    <row r="860" spans="1:21">
      <c r="A860" s="8" t="s">
        <v>6603</v>
      </c>
      <c r="B860" s="8" t="s">
        <v>6761</v>
      </c>
      <c r="C860" s="8">
        <v>729956</v>
      </c>
      <c r="D860" s="8" t="s">
        <v>139</v>
      </c>
      <c r="E860" s="8">
        <v>55952031</v>
      </c>
      <c r="F860" s="8">
        <v>55952031</v>
      </c>
      <c r="G860" s="8" t="s">
        <v>25</v>
      </c>
      <c r="H860" s="8" t="s">
        <v>24</v>
      </c>
      <c r="I860" s="8" t="s">
        <v>23</v>
      </c>
      <c r="J860" s="8" t="s">
        <v>6762</v>
      </c>
      <c r="K860" s="8" t="s">
        <v>6764</v>
      </c>
      <c r="L860" s="8" t="s">
        <v>19</v>
      </c>
      <c r="M860" s="8">
        <v>773</v>
      </c>
      <c r="N860" s="8" t="s">
        <v>3156</v>
      </c>
      <c r="O860" s="8">
        <v>258</v>
      </c>
      <c r="P860" s="8" t="s">
        <v>6763</v>
      </c>
      <c r="Q860" s="8" t="s">
        <v>4262</v>
      </c>
      <c r="R860" s="8">
        <v>0.25800000000000001</v>
      </c>
      <c r="S860" s="8">
        <v>55952031</v>
      </c>
      <c r="T860" s="8" t="s">
        <v>25</v>
      </c>
      <c r="U860" s="8" t="s">
        <v>24</v>
      </c>
    </row>
    <row r="861" spans="1:21">
      <c r="A861" s="8" t="s">
        <v>6603</v>
      </c>
      <c r="B861" s="8" t="s">
        <v>6765</v>
      </c>
      <c r="C861" s="8">
        <v>284297</v>
      </c>
      <c r="D861" s="8" t="s">
        <v>139</v>
      </c>
      <c r="E861" s="8">
        <v>56029793</v>
      </c>
      <c r="F861" s="8">
        <v>56029793</v>
      </c>
      <c r="G861" s="8" t="s">
        <v>24</v>
      </c>
      <c r="H861" s="8" t="s">
        <v>46</v>
      </c>
      <c r="I861" s="8" t="s">
        <v>23</v>
      </c>
      <c r="J861" s="8" t="s">
        <v>6766</v>
      </c>
      <c r="K861" s="8" t="s">
        <v>6768</v>
      </c>
      <c r="L861" s="8" t="s">
        <v>19</v>
      </c>
      <c r="M861" s="8">
        <v>4237</v>
      </c>
      <c r="N861" s="8" t="s">
        <v>588</v>
      </c>
      <c r="O861" s="8">
        <v>1384</v>
      </c>
      <c r="P861" s="8" t="s">
        <v>6767</v>
      </c>
      <c r="Q861" s="8" t="s">
        <v>4262</v>
      </c>
      <c r="R861" s="8">
        <v>0.56200000000000006</v>
      </c>
      <c r="S861" s="8">
        <v>56029793</v>
      </c>
      <c r="T861" s="8" t="s">
        <v>24</v>
      </c>
      <c r="U861" s="8" t="s">
        <v>46</v>
      </c>
    </row>
    <row r="862" spans="1:21">
      <c r="A862" s="8" t="s">
        <v>6603</v>
      </c>
      <c r="B862" s="8" t="s">
        <v>2575</v>
      </c>
      <c r="C862" s="8">
        <v>773</v>
      </c>
      <c r="D862" s="8" t="s">
        <v>139</v>
      </c>
      <c r="E862" s="8">
        <v>13428054</v>
      </c>
      <c r="F862" s="8">
        <v>13428054</v>
      </c>
      <c r="G862" s="8" t="s">
        <v>46</v>
      </c>
      <c r="H862" s="8" t="s">
        <v>41</v>
      </c>
      <c r="I862" s="8" t="s">
        <v>23</v>
      </c>
      <c r="J862" s="8" t="s">
        <v>6769</v>
      </c>
      <c r="K862" s="8" t="s">
        <v>6771</v>
      </c>
      <c r="L862" s="8" t="s">
        <v>19</v>
      </c>
      <c r="M862" s="8">
        <v>1663</v>
      </c>
      <c r="N862" s="8" t="s">
        <v>297</v>
      </c>
      <c r="O862" s="8">
        <v>476</v>
      </c>
      <c r="P862" s="8" t="s">
        <v>6770</v>
      </c>
      <c r="Q862" s="8" t="s">
        <v>4262</v>
      </c>
      <c r="R862" s="8">
        <v>0.21</v>
      </c>
      <c r="S862" s="8">
        <v>13428054</v>
      </c>
      <c r="T862" s="8" t="s">
        <v>46</v>
      </c>
      <c r="U862" s="8" t="s">
        <v>41</v>
      </c>
    </row>
    <row r="863" spans="1:21">
      <c r="A863" s="8" t="s">
        <v>6603</v>
      </c>
      <c r="B863" s="8" t="s">
        <v>1350</v>
      </c>
      <c r="C863" s="8">
        <v>7652</v>
      </c>
      <c r="D863" s="8" t="s">
        <v>139</v>
      </c>
      <c r="E863" s="8">
        <v>22940724</v>
      </c>
      <c r="F863" s="8">
        <v>22940724</v>
      </c>
      <c r="G863" s="8" t="s">
        <v>24</v>
      </c>
      <c r="H863" s="8" t="s">
        <v>46</v>
      </c>
      <c r="I863" s="8" t="s">
        <v>23</v>
      </c>
      <c r="J863" s="8" t="s">
        <v>1351</v>
      </c>
      <c r="K863" s="8" t="s">
        <v>5852</v>
      </c>
      <c r="L863" s="8" t="s">
        <v>19</v>
      </c>
      <c r="M863" s="8">
        <v>2142</v>
      </c>
      <c r="N863" s="8" t="s">
        <v>5245</v>
      </c>
      <c r="O863" s="8">
        <v>663</v>
      </c>
      <c r="P863" s="8" t="s">
        <v>6772</v>
      </c>
      <c r="Q863" s="8" t="s">
        <v>4262</v>
      </c>
      <c r="R863" s="8">
        <v>0.105</v>
      </c>
      <c r="S863" s="8">
        <v>22940724</v>
      </c>
      <c r="T863" s="8" t="s">
        <v>24</v>
      </c>
      <c r="U863" s="8" t="s">
        <v>46</v>
      </c>
    </row>
    <row r="864" spans="1:21">
      <c r="A864" s="8" t="s">
        <v>6603</v>
      </c>
      <c r="B864" s="8" t="s">
        <v>6773</v>
      </c>
      <c r="C864" s="8">
        <v>4868</v>
      </c>
      <c r="D864" s="8" t="s">
        <v>139</v>
      </c>
      <c r="E864" s="8">
        <v>36336387</v>
      </c>
      <c r="F864" s="8">
        <v>36336387</v>
      </c>
      <c r="G864" s="8" t="s">
        <v>46</v>
      </c>
      <c r="H864" s="8" t="s">
        <v>24</v>
      </c>
      <c r="I864" s="8" t="s">
        <v>23</v>
      </c>
      <c r="J864" s="8" t="s">
        <v>6774</v>
      </c>
      <c r="K864" s="8" t="s">
        <v>6776</v>
      </c>
      <c r="L864" s="8" t="s">
        <v>19</v>
      </c>
      <c r="M864" s="8">
        <v>1969</v>
      </c>
      <c r="N864" s="8" t="s">
        <v>582</v>
      </c>
      <c r="O864" s="8">
        <v>605</v>
      </c>
      <c r="P864" s="8" t="s">
        <v>6775</v>
      </c>
      <c r="Q864" s="8" t="s">
        <v>4262</v>
      </c>
      <c r="R864" s="8">
        <v>0.30399999999999999</v>
      </c>
      <c r="S864" s="8">
        <v>36336387</v>
      </c>
      <c r="T864" s="8" t="s">
        <v>46</v>
      </c>
      <c r="U864" s="8" t="s">
        <v>24</v>
      </c>
    </row>
    <row r="865" spans="1:21">
      <c r="A865" s="8" t="s">
        <v>6603</v>
      </c>
      <c r="B865" s="8"/>
      <c r="C865" s="8">
        <v>100134091</v>
      </c>
      <c r="D865" s="8" t="s">
        <v>188</v>
      </c>
      <c r="E865" s="8">
        <v>29628233</v>
      </c>
      <c r="F865" s="8">
        <v>29628233</v>
      </c>
      <c r="G865" s="8" t="s">
        <v>25</v>
      </c>
      <c r="H865" s="8" t="s">
        <v>24</v>
      </c>
      <c r="I865" s="8" t="s">
        <v>23</v>
      </c>
      <c r="J865" s="8" t="s">
        <v>6580</v>
      </c>
      <c r="K865" s="8" t="s">
        <v>6582</v>
      </c>
      <c r="L865" s="8" t="s">
        <v>19</v>
      </c>
      <c r="M865" s="8">
        <v>73</v>
      </c>
      <c r="N865" s="8" t="s">
        <v>974</v>
      </c>
      <c r="O865" s="8">
        <v>25</v>
      </c>
      <c r="P865" s="8" t="s">
        <v>6777</v>
      </c>
      <c r="Q865" s="8" t="s">
        <v>4262</v>
      </c>
      <c r="R865" s="8">
        <v>0.04</v>
      </c>
      <c r="S865" s="8">
        <v>29628233</v>
      </c>
      <c r="T865" s="8" t="s">
        <v>25</v>
      </c>
      <c r="U865" s="8" t="s">
        <v>24</v>
      </c>
    </row>
    <row r="866" spans="1:21">
      <c r="A866" s="8" t="s">
        <v>6603</v>
      </c>
      <c r="B866" s="8" t="s">
        <v>3433</v>
      </c>
      <c r="C866" s="8">
        <v>337880</v>
      </c>
      <c r="D866" s="8" t="s">
        <v>193</v>
      </c>
      <c r="E866" s="8">
        <v>32253791</v>
      </c>
      <c r="F866" s="8">
        <v>32253791</v>
      </c>
      <c r="G866" s="8" t="s">
        <v>46</v>
      </c>
      <c r="H866" s="8" t="s">
        <v>41</v>
      </c>
      <c r="I866" s="8" t="s">
        <v>23</v>
      </c>
      <c r="J866" s="8" t="s">
        <v>3434</v>
      </c>
      <c r="K866" s="8" t="s">
        <v>6779</v>
      </c>
      <c r="L866" s="8" t="s">
        <v>19</v>
      </c>
      <c r="M866" s="8">
        <v>84</v>
      </c>
      <c r="N866" s="8" t="s">
        <v>73</v>
      </c>
      <c r="O866" s="8">
        <v>18</v>
      </c>
      <c r="P866" s="8" t="s">
        <v>6778</v>
      </c>
      <c r="Q866" s="8" t="s">
        <v>4262</v>
      </c>
      <c r="R866" s="8">
        <v>0.43</v>
      </c>
      <c r="S866" s="8">
        <v>32253791</v>
      </c>
      <c r="T866" s="8" t="s">
        <v>46</v>
      </c>
      <c r="U866" s="8" t="s">
        <v>41</v>
      </c>
    </row>
    <row r="867" spans="1:21">
      <c r="A867" s="8" t="s">
        <v>6603</v>
      </c>
      <c r="B867" s="8" t="s">
        <v>3435</v>
      </c>
      <c r="C867" s="8">
        <v>6523</v>
      </c>
      <c r="D867" s="8" t="s">
        <v>197</v>
      </c>
      <c r="E867" s="8">
        <v>32495178</v>
      </c>
      <c r="F867" s="8">
        <v>32495178</v>
      </c>
      <c r="G867" s="8" t="s">
        <v>41</v>
      </c>
      <c r="H867" s="8" t="s">
        <v>46</v>
      </c>
      <c r="I867" s="8" t="s">
        <v>23</v>
      </c>
      <c r="J867" s="8" t="s">
        <v>6780</v>
      </c>
      <c r="K867" s="8" t="s">
        <v>6782</v>
      </c>
      <c r="L867" s="8" t="s">
        <v>19</v>
      </c>
      <c r="M867" s="8">
        <v>1539</v>
      </c>
      <c r="N867" s="8" t="s">
        <v>1594</v>
      </c>
      <c r="O867" s="8">
        <v>430</v>
      </c>
      <c r="P867" s="8" t="s">
        <v>6781</v>
      </c>
      <c r="Q867" s="8" t="s">
        <v>4262</v>
      </c>
      <c r="R867" s="8">
        <v>0.41199999999999998</v>
      </c>
      <c r="S867" s="8">
        <v>32495178</v>
      </c>
      <c r="T867" s="8" t="s">
        <v>41</v>
      </c>
      <c r="U867" s="8" t="s">
        <v>46</v>
      </c>
    </row>
    <row r="868" spans="1:21">
      <c r="A868" s="8" t="s">
        <v>6603</v>
      </c>
      <c r="B868" s="8" t="s">
        <v>3450</v>
      </c>
      <c r="C868" s="8">
        <v>158880</v>
      </c>
      <c r="D868" s="8" t="s">
        <v>418</v>
      </c>
      <c r="E868" s="8">
        <v>55514342</v>
      </c>
      <c r="F868" s="8">
        <v>55514342</v>
      </c>
      <c r="G868" s="8" t="s">
        <v>41</v>
      </c>
      <c r="H868" s="8" t="s">
        <v>24</v>
      </c>
      <c r="I868" s="8" t="s">
        <v>23</v>
      </c>
      <c r="J868" s="8" t="s">
        <v>3451</v>
      </c>
      <c r="K868" s="8" t="s">
        <v>6784</v>
      </c>
      <c r="L868" s="8" t="s">
        <v>19</v>
      </c>
      <c r="M868" s="8">
        <v>1110</v>
      </c>
      <c r="N868" s="8" t="s">
        <v>828</v>
      </c>
      <c r="O868" s="8">
        <v>344</v>
      </c>
      <c r="P868" s="8" t="s">
        <v>6783</v>
      </c>
      <c r="Q868" s="8" t="s">
        <v>4262</v>
      </c>
      <c r="R868" s="8">
        <v>0.35499999999999998</v>
      </c>
      <c r="S868" s="8">
        <v>55514342</v>
      </c>
      <c r="T868" s="8" t="s">
        <v>41</v>
      </c>
      <c r="U868" s="8" t="s">
        <v>24</v>
      </c>
    </row>
    <row r="869" spans="1:21">
      <c r="A869" s="8" t="s">
        <v>6603</v>
      </c>
      <c r="B869" s="8" t="s">
        <v>6785</v>
      </c>
      <c r="C869" s="8">
        <v>9754</v>
      </c>
      <c r="D869" s="8" t="s">
        <v>418</v>
      </c>
      <c r="E869" s="8">
        <v>67938297</v>
      </c>
      <c r="F869" s="8">
        <v>67938297</v>
      </c>
      <c r="G869" s="8" t="s">
        <v>46</v>
      </c>
      <c r="H869" s="8" t="s">
        <v>24</v>
      </c>
      <c r="I869" s="8" t="s">
        <v>23</v>
      </c>
      <c r="J869" s="8" t="s">
        <v>6786</v>
      </c>
      <c r="K869" s="8" t="s">
        <v>6788</v>
      </c>
      <c r="L869" s="8" t="s">
        <v>19</v>
      </c>
      <c r="M869" s="8">
        <v>1755</v>
      </c>
      <c r="N869" s="8" t="s">
        <v>435</v>
      </c>
      <c r="O869" s="8">
        <v>514</v>
      </c>
      <c r="P869" s="8" t="s">
        <v>6787</v>
      </c>
      <c r="Q869" s="8" t="s">
        <v>4262</v>
      </c>
      <c r="R869" s="8">
        <v>0.29399999999999998</v>
      </c>
      <c r="S869" s="8">
        <v>67938297</v>
      </c>
      <c r="T869" s="8" t="s">
        <v>46</v>
      </c>
      <c r="U869" s="8" t="s">
        <v>24</v>
      </c>
    </row>
    <row r="870" spans="1:21">
      <c r="A870" s="8" t="s">
        <v>6603</v>
      </c>
      <c r="B870" s="8" t="s">
        <v>3964</v>
      </c>
      <c r="C870" s="8">
        <v>10178</v>
      </c>
      <c r="D870" s="8" t="s">
        <v>418</v>
      </c>
      <c r="E870" s="8">
        <v>123514529</v>
      </c>
      <c r="F870" s="8">
        <v>123514529</v>
      </c>
      <c r="G870" s="8" t="s">
        <v>46</v>
      </c>
      <c r="H870" s="8" t="s">
        <v>24</v>
      </c>
      <c r="I870" s="8" t="s">
        <v>23</v>
      </c>
      <c r="J870" s="8" t="s">
        <v>6789</v>
      </c>
      <c r="K870" s="8" t="s">
        <v>6791</v>
      </c>
      <c r="L870" s="8" t="s">
        <v>19</v>
      </c>
      <c r="M870" s="8">
        <v>8120</v>
      </c>
      <c r="N870" s="8" t="s">
        <v>1321</v>
      </c>
      <c r="O870" s="8">
        <v>2686</v>
      </c>
      <c r="P870" s="8" t="s">
        <v>6790</v>
      </c>
      <c r="Q870" s="8" t="s">
        <v>4262</v>
      </c>
      <c r="R870" s="8">
        <v>3.6999999999999998E-2</v>
      </c>
      <c r="S870" s="8">
        <v>123514529</v>
      </c>
      <c r="T870" s="8" t="s">
        <v>46</v>
      </c>
      <c r="U870" s="8" t="s">
        <v>24</v>
      </c>
    </row>
    <row r="871" spans="1:21">
      <c r="A871" s="8" t="s">
        <v>6603</v>
      </c>
      <c r="B871" s="8" t="s">
        <v>3448</v>
      </c>
      <c r="C871" s="8">
        <v>203523</v>
      </c>
      <c r="D871" s="8" t="s">
        <v>418</v>
      </c>
      <c r="E871" s="8">
        <v>134481161</v>
      </c>
      <c r="F871" s="8">
        <v>134481161</v>
      </c>
      <c r="G871" s="8" t="s">
        <v>24</v>
      </c>
      <c r="H871" s="8" t="s">
        <v>25</v>
      </c>
      <c r="I871" s="8" t="s">
        <v>23</v>
      </c>
      <c r="J871" s="8" t="s">
        <v>3449</v>
      </c>
      <c r="K871" s="8" t="s">
        <v>6793</v>
      </c>
      <c r="L871" s="8" t="s">
        <v>19</v>
      </c>
      <c r="M871" s="8">
        <v>283</v>
      </c>
      <c r="N871" s="8" t="s">
        <v>758</v>
      </c>
      <c r="O871" s="8">
        <v>40</v>
      </c>
      <c r="P871" s="8" t="s">
        <v>6792</v>
      </c>
      <c r="Q871" s="8" t="s">
        <v>4262</v>
      </c>
      <c r="R871" s="8">
        <v>0.44800000000000001</v>
      </c>
      <c r="S871" s="8">
        <v>134481161</v>
      </c>
      <c r="T871" s="8" t="s">
        <v>24</v>
      </c>
      <c r="U871" s="8" t="s">
        <v>25</v>
      </c>
    </row>
    <row r="872" spans="1:21">
      <c r="A872" s="8" t="s">
        <v>6603</v>
      </c>
      <c r="B872" s="8" t="s">
        <v>3972</v>
      </c>
      <c r="C872" s="8">
        <v>55558</v>
      </c>
      <c r="D872" s="8" t="s">
        <v>418</v>
      </c>
      <c r="E872" s="8">
        <v>153697814</v>
      </c>
      <c r="F872" s="8">
        <v>153697814</v>
      </c>
      <c r="G872" s="8" t="s">
        <v>24</v>
      </c>
      <c r="H872" s="8" t="s">
        <v>41</v>
      </c>
      <c r="I872" s="8" t="s">
        <v>23</v>
      </c>
      <c r="J872" s="8" t="s">
        <v>6794</v>
      </c>
      <c r="K872" s="8" t="s">
        <v>6797</v>
      </c>
      <c r="L872" s="8" t="s">
        <v>19</v>
      </c>
      <c r="M872" s="8">
        <v>4860</v>
      </c>
      <c r="N872" s="8" t="s">
        <v>256</v>
      </c>
      <c r="O872" s="8">
        <v>1563</v>
      </c>
      <c r="P872" s="8" t="s">
        <v>6795</v>
      </c>
      <c r="Q872" s="8" t="s">
        <v>6796</v>
      </c>
      <c r="R872" s="8">
        <v>0.11799999999999999</v>
      </c>
      <c r="S872" s="8">
        <v>153697814</v>
      </c>
      <c r="T872" s="8" t="s">
        <v>24</v>
      </c>
      <c r="U872" s="8" t="s">
        <v>41</v>
      </c>
    </row>
    <row r="873" spans="1:21">
      <c r="A873" s="8" t="s">
        <v>6801</v>
      </c>
      <c r="B873" s="8" t="s">
        <v>3157</v>
      </c>
      <c r="C873" s="8">
        <v>79971</v>
      </c>
      <c r="D873" s="8" t="s">
        <v>22</v>
      </c>
      <c r="E873" s="8">
        <v>68620901</v>
      </c>
      <c r="F873" s="8">
        <v>68620901</v>
      </c>
      <c r="G873" s="8" t="s">
        <v>24</v>
      </c>
      <c r="H873" s="8" t="s">
        <v>46</v>
      </c>
      <c r="I873" s="8" t="s">
        <v>23</v>
      </c>
      <c r="J873" s="8" t="s">
        <v>6798</v>
      </c>
      <c r="K873" s="8" t="s">
        <v>6800</v>
      </c>
      <c r="L873" s="8" t="s">
        <v>19</v>
      </c>
      <c r="M873" s="8">
        <v>849</v>
      </c>
      <c r="N873" s="8" t="s">
        <v>1549</v>
      </c>
      <c r="O873" s="8">
        <v>183</v>
      </c>
      <c r="P873" s="8" t="s">
        <v>6799</v>
      </c>
      <c r="Q873" s="8" t="s">
        <v>4262</v>
      </c>
      <c r="R873" s="8">
        <v>0.24399999999999999</v>
      </c>
      <c r="S873" s="8">
        <v>68620901</v>
      </c>
      <c r="T873" s="8" t="s">
        <v>24</v>
      </c>
      <c r="U873" s="8" t="s">
        <v>46</v>
      </c>
    </row>
    <row r="874" spans="1:21">
      <c r="A874" s="8" t="s">
        <v>6801</v>
      </c>
      <c r="B874" s="8" t="s">
        <v>2369</v>
      </c>
      <c r="C874" s="8">
        <v>6708</v>
      </c>
      <c r="D874" s="8" t="s">
        <v>22</v>
      </c>
      <c r="E874" s="8">
        <v>158639268</v>
      </c>
      <c r="F874" s="8">
        <v>158639268</v>
      </c>
      <c r="G874" s="8" t="s">
        <v>41</v>
      </c>
      <c r="H874" s="8" t="s">
        <v>46</v>
      </c>
      <c r="I874" s="8" t="s">
        <v>23</v>
      </c>
      <c r="J874" s="8" t="s">
        <v>2370</v>
      </c>
      <c r="K874" s="8" t="s">
        <v>6803</v>
      </c>
      <c r="L874" s="8" t="s">
        <v>19</v>
      </c>
      <c r="M874" s="8">
        <v>1962</v>
      </c>
      <c r="N874" s="8" t="s">
        <v>1055</v>
      </c>
      <c r="O874" s="8">
        <v>588</v>
      </c>
      <c r="P874" s="8" t="s">
        <v>6802</v>
      </c>
      <c r="Q874" s="8" t="s">
        <v>4262</v>
      </c>
      <c r="R874" s="8">
        <v>0.23899999999999999</v>
      </c>
      <c r="S874" s="8">
        <v>158639268</v>
      </c>
      <c r="T874" s="8" t="s">
        <v>41</v>
      </c>
      <c r="U874" s="8" t="s">
        <v>46</v>
      </c>
    </row>
    <row r="875" spans="1:21">
      <c r="A875" s="8" t="s">
        <v>6801</v>
      </c>
      <c r="B875" s="8" t="s">
        <v>3220</v>
      </c>
      <c r="C875" s="8">
        <v>23207</v>
      </c>
      <c r="D875" s="8" t="s">
        <v>22</v>
      </c>
      <c r="E875" s="8">
        <v>16058451</v>
      </c>
      <c r="F875" s="8">
        <v>16058451</v>
      </c>
      <c r="G875" s="8" t="s">
        <v>46</v>
      </c>
      <c r="H875" s="8" t="s">
        <v>24</v>
      </c>
      <c r="I875" s="8" t="s">
        <v>23</v>
      </c>
      <c r="J875" s="8" t="s">
        <v>3221</v>
      </c>
      <c r="K875" s="8" t="s">
        <v>6805</v>
      </c>
      <c r="L875" s="8" t="s">
        <v>19</v>
      </c>
      <c r="M875" s="8">
        <v>2760</v>
      </c>
      <c r="N875" s="8" t="s">
        <v>3056</v>
      </c>
      <c r="O875" s="8">
        <v>845</v>
      </c>
      <c r="P875" s="8" t="s">
        <v>6804</v>
      </c>
      <c r="Q875" s="8" t="s">
        <v>4262</v>
      </c>
      <c r="R875" s="8">
        <v>0.2</v>
      </c>
      <c r="S875" s="8">
        <v>16058451</v>
      </c>
      <c r="T875" s="8" t="s">
        <v>46</v>
      </c>
      <c r="U875" s="8" t="s">
        <v>24</v>
      </c>
    </row>
    <row r="876" spans="1:21">
      <c r="A876" s="8" t="s">
        <v>6801</v>
      </c>
      <c r="B876" s="8" t="s">
        <v>6806</v>
      </c>
      <c r="C876" s="8">
        <v>55616</v>
      </c>
      <c r="D876" s="8" t="s">
        <v>22</v>
      </c>
      <c r="E876" s="8">
        <v>23760123</v>
      </c>
      <c r="F876" s="8">
        <v>23760123</v>
      </c>
      <c r="G876" s="8" t="s">
        <v>41</v>
      </c>
      <c r="H876" s="8" t="s">
        <v>25</v>
      </c>
      <c r="I876" s="8" t="s">
        <v>23</v>
      </c>
      <c r="J876" s="8" t="s">
        <v>6807</v>
      </c>
      <c r="K876" s="8" t="s">
        <v>6809</v>
      </c>
      <c r="L876" s="8" t="s">
        <v>19</v>
      </c>
      <c r="M876" s="8">
        <v>2139</v>
      </c>
      <c r="N876" s="8" t="s">
        <v>1115</v>
      </c>
      <c r="O876" s="8">
        <v>672</v>
      </c>
      <c r="P876" s="8" t="s">
        <v>6808</v>
      </c>
      <c r="Q876" s="8" t="s">
        <v>4262</v>
      </c>
      <c r="R876" s="8">
        <v>0.32100000000000001</v>
      </c>
      <c r="S876" s="8">
        <v>23760123</v>
      </c>
      <c r="T876" s="8" t="s">
        <v>41</v>
      </c>
      <c r="U876" s="8" t="s">
        <v>25</v>
      </c>
    </row>
    <row r="877" spans="1:21">
      <c r="A877" s="8" t="s">
        <v>6801</v>
      </c>
      <c r="B877" s="8" t="s">
        <v>2044</v>
      </c>
      <c r="C877" s="8">
        <v>6262</v>
      </c>
      <c r="D877" s="8" t="s">
        <v>22</v>
      </c>
      <c r="E877" s="8">
        <v>237777587</v>
      </c>
      <c r="F877" s="8">
        <v>237777587</v>
      </c>
      <c r="G877" s="8" t="s">
        <v>41</v>
      </c>
      <c r="H877" s="8" t="s">
        <v>46</v>
      </c>
      <c r="I877" s="8" t="s">
        <v>23</v>
      </c>
      <c r="J877" s="8" t="s">
        <v>2419</v>
      </c>
      <c r="K877" s="8" t="s">
        <v>5917</v>
      </c>
      <c r="L877" s="8" t="s">
        <v>19</v>
      </c>
      <c r="M877" s="8">
        <v>5279</v>
      </c>
      <c r="N877" s="8" t="s">
        <v>3156</v>
      </c>
      <c r="O877" s="8">
        <v>1720</v>
      </c>
      <c r="P877" s="8" t="s">
        <v>6810</v>
      </c>
      <c r="Q877" s="8" t="s">
        <v>4262</v>
      </c>
      <c r="R877" s="8">
        <v>0.246</v>
      </c>
      <c r="S877" s="8">
        <v>237777587</v>
      </c>
      <c r="T877" s="8" t="s">
        <v>41</v>
      </c>
      <c r="U877" s="8" t="s">
        <v>46</v>
      </c>
    </row>
    <row r="878" spans="1:21">
      <c r="A878" s="8" t="s">
        <v>6801</v>
      </c>
      <c r="B878" s="8" t="s">
        <v>6811</v>
      </c>
      <c r="C878" s="8">
        <v>7579</v>
      </c>
      <c r="D878" s="8" t="s">
        <v>22</v>
      </c>
      <c r="E878" s="8">
        <v>33960600</v>
      </c>
      <c r="F878" s="8">
        <v>33960600</v>
      </c>
      <c r="G878" s="8" t="s">
        <v>25</v>
      </c>
      <c r="H878" s="8" t="s">
        <v>46</v>
      </c>
      <c r="I878" s="8" t="s">
        <v>23</v>
      </c>
      <c r="J878" s="8" t="s">
        <v>6812</v>
      </c>
      <c r="K878" s="8" t="s">
        <v>6814</v>
      </c>
      <c r="L878" s="8" t="s">
        <v>19</v>
      </c>
      <c r="M878" s="8">
        <v>2823</v>
      </c>
      <c r="N878" s="8" t="s">
        <v>2376</v>
      </c>
      <c r="O878" s="8">
        <v>886</v>
      </c>
      <c r="P878" s="8" t="s">
        <v>6813</v>
      </c>
      <c r="Q878" s="8" t="s">
        <v>4262</v>
      </c>
      <c r="R878" s="8">
        <v>8.1000000000000003E-2</v>
      </c>
      <c r="S878" s="8">
        <v>33960600</v>
      </c>
      <c r="T878" s="8" t="s">
        <v>25</v>
      </c>
      <c r="U878" s="8" t="s">
        <v>46</v>
      </c>
    </row>
    <row r="879" spans="1:21">
      <c r="A879" s="8" t="s">
        <v>6801</v>
      </c>
      <c r="B879" s="8" t="s">
        <v>3189</v>
      </c>
      <c r="C879" s="8">
        <v>9736</v>
      </c>
      <c r="D879" s="8" t="s">
        <v>172</v>
      </c>
      <c r="E879" s="8">
        <v>61456099</v>
      </c>
      <c r="F879" s="8">
        <v>61456099</v>
      </c>
      <c r="G879" s="8" t="s">
        <v>41</v>
      </c>
      <c r="H879" s="8" t="s">
        <v>46</v>
      </c>
      <c r="I879" s="8" t="s">
        <v>23</v>
      </c>
      <c r="J879" s="8" t="s">
        <v>3190</v>
      </c>
      <c r="K879" s="8" t="s">
        <v>4498</v>
      </c>
      <c r="L879" s="8" t="s">
        <v>19</v>
      </c>
      <c r="M879" s="8">
        <v>7253</v>
      </c>
      <c r="N879" s="8" t="s">
        <v>2976</v>
      </c>
      <c r="O879" s="8">
        <v>2411</v>
      </c>
      <c r="P879" s="8" t="s">
        <v>6815</v>
      </c>
      <c r="Q879" s="8" t="s">
        <v>4262</v>
      </c>
      <c r="R879" s="8">
        <v>0.28299999999999997</v>
      </c>
      <c r="S879" s="8">
        <v>61456099</v>
      </c>
      <c r="T879" s="8" t="s">
        <v>41</v>
      </c>
      <c r="U879" s="8" t="s">
        <v>46</v>
      </c>
    </row>
    <row r="880" spans="1:21">
      <c r="A880" s="8" t="s">
        <v>6801</v>
      </c>
      <c r="B880" s="8" t="s">
        <v>6816</v>
      </c>
      <c r="C880" s="8">
        <v>51255</v>
      </c>
      <c r="D880" s="8" t="s">
        <v>172</v>
      </c>
      <c r="E880" s="8">
        <v>85824278</v>
      </c>
      <c r="F880" s="8">
        <v>85824278</v>
      </c>
      <c r="G880" s="8" t="s">
        <v>41</v>
      </c>
      <c r="H880" s="8" t="s">
        <v>24</v>
      </c>
      <c r="I880" s="8" t="s">
        <v>23</v>
      </c>
      <c r="J880" s="8" t="s">
        <v>6817</v>
      </c>
      <c r="K880" s="8" t="s">
        <v>6819</v>
      </c>
      <c r="L880" s="8" t="s">
        <v>19</v>
      </c>
      <c r="M880" s="8">
        <v>429</v>
      </c>
      <c r="N880" s="8" t="s">
        <v>3013</v>
      </c>
      <c r="O880" s="8">
        <v>127</v>
      </c>
      <c r="P880" s="8" t="s">
        <v>6818</v>
      </c>
      <c r="Q880" s="8" t="s">
        <v>4262</v>
      </c>
      <c r="R880" s="8">
        <v>0.24</v>
      </c>
      <c r="S880" s="8">
        <v>85824278</v>
      </c>
      <c r="T880" s="8" t="s">
        <v>41</v>
      </c>
      <c r="U880" s="8" t="s">
        <v>24</v>
      </c>
    </row>
    <row r="881" spans="1:21">
      <c r="A881" s="8" t="s">
        <v>6801</v>
      </c>
      <c r="B881" s="8" t="s">
        <v>6820</v>
      </c>
      <c r="C881" s="8">
        <v>3760</v>
      </c>
      <c r="D881" s="8" t="s">
        <v>172</v>
      </c>
      <c r="E881" s="8">
        <v>155555381</v>
      </c>
      <c r="F881" s="8">
        <v>155555381</v>
      </c>
      <c r="G881" s="8" t="s">
        <v>24</v>
      </c>
      <c r="H881" s="8" t="s">
        <v>25</v>
      </c>
      <c r="I881" s="8" t="s">
        <v>23</v>
      </c>
      <c r="J881" s="8" t="s">
        <v>6821</v>
      </c>
      <c r="K881" s="8" t="s">
        <v>6823</v>
      </c>
      <c r="L881" s="8" t="s">
        <v>19</v>
      </c>
      <c r="M881" s="8">
        <v>289</v>
      </c>
      <c r="N881" s="8" t="s">
        <v>485</v>
      </c>
      <c r="O881" s="8">
        <v>32</v>
      </c>
      <c r="P881" s="8" t="s">
        <v>6822</v>
      </c>
      <c r="Q881" s="8" t="s">
        <v>4262</v>
      </c>
      <c r="R881" s="8">
        <v>0.16700000000000001</v>
      </c>
      <c r="S881" s="8">
        <v>155555381</v>
      </c>
      <c r="T881" s="8" t="s">
        <v>24</v>
      </c>
      <c r="U881" s="8" t="s">
        <v>25</v>
      </c>
    </row>
    <row r="882" spans="1:21">
      <c r="A882" s="8" t="s">
        <v>6801</v>
      </c>
      <c r="B882" s="8" t="s">
        <v>3184</v>
      </c>
      <c r="C882" s="8">
        <v>4065</v>
      </c>
      <c r="D882" s="8" t="s">
        <v>172</v>
      </c>
      <c r="E882" s="8">
        <v>160672011</v>
      </c>
      <c r="F882" s="8">
        <v>160672011</v>
      </c>
      <c r="G882" s="8" t="s">
        <v>24</v>
      </c>
      <c r="H882" s="8" t="s">
        <v>41</v>
      </c>
      <c r="I882" s="8" t="s">
        <v>23</v>
      </c>
      <c r="J882" s="8" t="s">
        <v>6824</v>
      </c>
      <c r="K882" s="8" t="s">
        <v>6826</v>
      </c>
      <c r="L882" s="8" t="s">
        <v>19</v>
      </c>
      <c r="M882" s="8">
        <v>4528</v>
      </c>
      <c r="N882" s="8" t="s">
        <v>622</v>
      </c>
      <c r="O882" s="8">
        <v>1485</v>
      </c>
      <c r="P882" s="8" t="s">
        <v>6825</v>
      </c>
      <c r="Q882" s="8" t="s">
        <v>4262</v>
      </c>
      <c r="R882" s="8">
        <v>0.27700000000000002</v>
      </c>
      <c r="S882" s="8">
        <v>160672011</v>
      </c>
      <c r="T882" s="8" t="s">
        <v>24</v>
      </c>
      <c r="U882" s="8" t="s">
        <v>41</v>
      </c>
    </row>
    <row r="883" spans="1:21">
      <c r="A883" s="8" t="s">
        <v>6801</v>
      </c>
      <c r="B883" s="8" t="s">
        <v>5956</v>
      </c>
      <c r="C883" s="8">
        <v>165215</v>
      </c>
      <c r="D883" s="8" t="s">
        <v>172</v>
      </c>
      <c r="E883" s="8">
        <v>187626466</v>
      </c>
      <c r="F883" s="8">
        <v>187626466</v>
      </c>
      <c r="G883" s="8" t="s">
        <v>25</v>
      </c>
      <c r="H883" s="8" t="s">
        <v>24</v>
      </c>
      <c r="I883" s="8" t="s">
        <v>23</v>
      </c>
      <c r="J883" s="8" t="s">
        <v>5957</v>
      </c>
      <c r="K883" s="8" t="s">
        <v>5959</v>
      </c>
      <c r="L883" s="8" t="s">
        <v>19</v>
      </c>
      <c r="M883" s="8">
        <v>1509</v>
      </c>
      <c r="N883" s="8" t="s">
        <v>1033</v>
      </c>
      <c r="O883" s="8">
        <v>466</v>
      </c>
      <c r="P883" s="8" t="s">
        <v>6265</v>
      </c>
      <c r="Q883" s="8" t="s">
        <v>4262</v>
      </c>
      <c r="R883" s="8">
        <v>0.26500000000000001</v>
      </c>
      <c r="S883" s="8">
        <v>187626466</v>
      </c>
      <c r="T883" s="8" t="s">
        <v>25</v>
      </c>
      <c r="U883" s="8" t="s">
        <v>24</v>
      </c>
    </row>
    <row r="884" spans="1:21">
      <c r="A884" s="8" t="s">
        <v>6801</v>
      </c>
      <c r="B884" s="8" t="s">
        <v>3185</v>
      </c>
      <c r="C884" s="8">
        <v>9654</v>
      </c>
      <c r="D884" s="8" t="s">
        <v>172</v>
      </c>
      <c r="E884" s="8">
        <v>219602572</v>
      </c>
      <c r="F884" s="8">
        <v>219602572</v>
      </c>
      <c r="G884" s="8" t="s">
        <v>25</v>
      </c>
      <c r="H884" s="8" t="s">
        <v>46</v>
      </c>
      <c r="I884" s="8" t="s">
        <v>23</v>
      </c>
      <c r="J884" s="8" t="s">
        <v>3186</v>
      </c>
      <c r="K884" s="8" t="s">
        <v>6828</v>
      </c>
      <c r="L884" s="8" t="s">
        <v>19</v>
      </c>
      <c r="M884" s="8">
        <v>543</v>
      </c>
      <c r="N884" s="8" t="s">
        <v>2989</v>
      </c>
      <c r="O884" s="8">
        <v>58</v>
      </c>
      <c r="P884" s="8" t="s">
        <v>6827</v>
      </c>
      <c r="Q884" s="8" t="s">
        <v>4262</v>
      </c>
      <c r="R884" s="8">
        <v>0.315</v>
      </c>
      <c r="S884" s="8">
        <v>219602572</v>
      </c>
      <c r="T884" s="8" t="s">
        <v>25</v>
      </c>
      <c r="U884" s="8" t="s">
        <v>46</v>
      </c>
    </row>
    <row r="885" spans="1:21">
      <c r="A885" s="8" t="s">
        <v>6801</v>
      </c>
      <c r="B885" s="8" t="s">
        <v>3187</v>
      </c>
      <c r="C885" s="8">
        <v>90957</v>
      </c>
      <c r="D885" s="8" t="s">
        <v>172</v>
      </c>
      <c r="E885" s="8">
        <v>39085855</v>
      </c>
      <c r="F885" s="8">
        <v>39085855</v>
      </c>
      <c r="G885" s="8" t="s">
        <v>41</v>
      </c>
      <c r="H885" s="8" t="s">
        <v>24</v>
      </c>
      <c r="I885" s="8" t="s">
        <v>23</v>
      </c>
      <c r="J885" s="8" t="s">
        <v>3188</v>
      </c>
      <c r="K885" s="8" t="s">
        <v>6830</v>
      </c>
      <c r="L885" s="8" t="s">
        <v>19</v>
      </c>
      <c r="M885" s="8">
        <v>1634</v>
      </c>
      <c r="N885" s="8" t="s">
        <v>2989</v>
      </c>
      <c r="O885" s="8">
        <v>512</v>
      </c>
      <c r="P885" s="8" t="s">
        <v>6829</v>
      </c>
      <c r="Q885" s="8" t="s">
        <v>4262</v>
      </c>
      <c r="R885" s="8">
        <v>0.27200000000000002</v>
      </c>
      <c r="S885" s="8">
        <v>39085855</v>
      </c>
      <c r="T885" s="8" t="s">
        <v>41</v>
      </c>
      <c r="U885" s="8" t="s">
        <v>24</v>
      </c>
    </row>
    <row r="886" spans="1:21">
      <c r="A886" s="8" t="s">
        <v>6801</v>
      </c>
      <c r="B886" s="8" t="s">
        <v>2082</v>
      </c>
      <c r="C886" s="8">
        <v>214</v>
      </c>
      <c r="D886" s="8" t="s">
        <v>201</v>
      </c>
      <c r="E886" s="8">
        <v>105252457</v>
      </c>
      <c r="F886" s="8">
        <v>105252457</v>
      </c>
      <c r="G886" s="8" t="s">
        <v>24</v>
      </c>
      <c r="H886" s="8" t="s">
        <v>25</v>
      </c>
      <c r="I886" s="8" t="s">
        <v>23</v>
      </c>
      <c r="J886" s="8" t="s">
        <v>6831</v>
      </c>
      <c r="K886" s="8" t="s">
        <v>6833</v>
      </c>
      <c r="L886" s="8" t="s">
        <v>19</v>
      </c>
      <c r="M886" s="8">
        <v>1010</v>
      </c>
      <c r="N886" s="8" t="s">
        <v>732</v>
      </c>
      <c r="O886" s="8">
        <v>157</v>
      </c>
      <c r="P886" s="8" t="s">
        <v>6832</v>
      </c>
      <c r="Q886" s="8" t="s">
        <v>4262</v>
      </c>
      <c r="R886" s="8">
        <v>0.315</v>
      </c>
      <c r="S886" s="8">
        <v>105252457</v>
      </c>
      <c r="T886" s="8" t="s">
        <v>24</v>
      </c>
      <c r="U886" s="8" t="s">
        <v>25</v>
      </c>
    </row>
    <row r="887" spans="1:21">
      <c r="A887" s="8" t="s">
        <v>6801</v>
      </c>
      <c r="B887" s="8" t="s">
        <v>3194</v>
      </c>
      <c r="C887" s="8">
        <v>54847</v>
      </c>
      <c r="D887" s="8" t="s">
        <v>201</v>
      </c>
      <c r="E887" s="8">
        <v>113338549</v>
      </c>
      <c r="F887" s="8">
        <v>113338549</v>
      </c>
      <c r="G887" s="8" t="s">
        <v>41</v>
      </c>
      <c r="H887" s="8" t="s">
        <v>24</v>
      </c>
      <c r="I887" s="8" t="s">
        <v>23</v>
      </c>
      <c r="J887" s="8" t="s">
        <v>3195</v>
      </c>
      <c r="K887" s="8" t="s">
        <v>6835</v>
      </c>
      <c r="L887" s="8" t="s">
        <v>19</v>
      </c>
      <c r="M887" s="8">
        <v>2717</v>
      </c>
      <c r="N887" s="8" t="s">
        <v>3196</v>
      </c>
      <c r="O887" s="8">
        <v>689</v>
      </c>
      <c r="P887" s="8" t="s">
        <v>6834</v>
      </c>
      <c r="Q887" s="8" t="s">
        <v>4262</v>
      </c>
      <c r="R887" s="8">
        <v>0.23300000000000001</v>
      </c>
      <c r="S887" s="8">
        <v>113338549</v>
      </c>
      <c r="T887" s="8" t="s">
        <v>41</v>
      </c>
      <c r="U887" s="8" t="s">
        <v>24</v>
      </c>
    </row>
    <row r="888" spans="1:21">
      <c r="A888" s="8" t="s">
        <v>6801</v>
      </c>
      <c r="B888" s="8" t="s">
        <v>6836</v>
      </c>
      <c r="C888" s="8">
        <v>9515</v>
      </c>
      <c r="D888" s="8" t="s">
        <v>201</v>
      </c>
      <c r="E888" s="8">
        <v>120973847</v>
      </c>
      <c r="F888" s="8">
        <v>120973847</v>
      </c>
      <c r="G888" s="8" t="s">
        <v>46</v>
      </c>
      <c r="H888" s="8" t="s">
        <v>25</v>
      </c>
      <c r="I888" s="8" t="s">
        <v>23</v>
      </c>
      <c r="J888" s="8" t="s">
        <v>6837</v>
      </c>
      <c r="K888" s="8" t="s">
        <v>6839</v>
      </c>
      <c r="L888" s="8" t="s">
        <v>19</v>
      </c>
      <c r="M888" s="8">
        <v>1687</v>
      </c>
      <c r="N888" s="8" t="s">
        <v>3048</v>
      </c>
      <c r="O888" s="8">
        <v>516</v>
      </c>
      <c r="P888" s="8" t="s">
        <v>6838</v>
      </c>
      <c r="Q888" s="8" t="s">
        <v>4262</v>
      </c>
      <c r="R888" s="8">
        <v>0.23699999999999999</v>
      </c>
      <c r="S888" s="8">
        <v>120973847</v>
      </c>
      <c r="T888" s="8" t="s">
        <v>46</v>
      </c>
      <c r="U888" s="8" t="s">
        <v>25</v>
      </c>
    </row>
    <row r="889" spans="1:21">
      <c r="A889" s="8" t="s">
        <v>6801</v>
      </c>
      <c r="B889" s="8" t="s">
        <v>3197</v>
      </c>
      <c r="C889" s="8">
        <v>54625</v>
      </c>
      <c r="D889" s="8" t="s">
        <v>201</v>
      </c>
      <c r="E889" s="8">
        <v>122437448</v>
      </c>
      <c r="F889" s="8">
        <v>122437448</v>
      </c>
      <c r="G889" s="8" t="s">
        <v>25</v>
      </c>
      <c r="H889" s="8" t="s">
        <v>24</v>
      </c>
      <c r="I889" s="8" t="s">
        <v>23</v>
      </c>
      <c r="J889" s="8" t="s">
        <v>3198</v>
      </c>
      <c r="K889" s="8" t="s">
        <v>6841</v>
      </c>
      <c r="L889" s="8" t="s">
        <v>19</v>
      </c>
      <c r="M889" s="8">
        <v>4509</v>
      </c>
      <c r="N889" s="8" t="s">
        <v>2976</v>
      </c>
      <c r="O889" s="8">
        <v>1484</v>
      </c>
      <c r="P889" s="8" t="s">
        <v>6840</v>
      </c>
      <c r="Q889" s="8" t="s">
        <v>4262</v>
      </c>
      <c r="R889" s="8">
        <v>0.25900000000000001</v>
      </c>
      <c r="S889" s="8">
        <v>122437448</v>
      </c>
      <c r="T889" s="8" t="s">
        <v>25</v>
      </c>
      <c r="U889" s="8" t="s">
        <v>24</v>
      </c>
    </row>
    <row r="890" spans="1:21">
      <c r="A890" s="8" t="s">
        <v>6801</v>
      </c>
      <c r="B890" s="8" t="s">
        <v>3199</v>
      </c>
      <c r="C890" s="8">
        <v>27031</v>
      </c>
      <c r="D890" s="8" t="s">
        <v>201</v>
      </c>
      <c r="E890" s="8">
        <v>132440868</v>
      </c>
      <c r="F890" s="8">
        <v>132440868</v>
      </c>
      <c r="G890" s="8" t="s">
        <v>24</v>
      </c>
      <c r="H890" s="8" t="s">
        <v>25</v>
      </c>
      <c r="I890" s="8" t="s">
        <v>23</v>
      </c>
      <c r="J890" s="8" t="s">
        <v>3200</v>
      </c>
      <c r="K890" s="8" t="s">
        <v>6843</v>
      </c>
      <c r="L890" s="8" t="s">
        <v>19</v>
      </c>
      <c r="M890" s="8">
        <v>436</v>
      </c>
      <c r="N890" s="8" t="s">
        <v>309</v>
      </c>
      <c r="O890" s="8">
        <v>111</v>
      </c>
      <c r="P890" s="8" t="s">
        <v>6842</v>
      </c>
      <c r="Q890" s="8" t="s">
        <v>4262</v>
      </c>
      <c r="R890" s="8">
        <v>0.28999999999999998</v>
      </c>
      <c r="S890" s="8">
        <v>132440868</v>
      </c>
      <c r="T890" s="8" t="s">
        <v>24</v>
      </c>
      <c r="U890" s="8" t="s">
        <v>25</v>
      </c>
    </row>
    <row r="891" spans="1:21">
      <c r="A891" s="8" t="s">
        <v>6801</v>
      </c>
      <c r="B891" s="8" t="s">
        <v>2669</v>
      </c>
      <c r="C891" s="8">
        <v>287015</v>
      </c>
      <c r="D891" s="8" t="s">
        <v>201</v>
      </c>
      <c r="E891" s="8">
        <v>140407301</v>
      </c>
      <c r="F891" s="8">
        <v>140407301</v>
      </c>
      <c r="G891" s="8" t="s">
        <v>41</v>
      </c>
      <c r="H891" s="8" t="s">
        <v>25</v>
      </c>
      <c r="I891" s="8" t="s">
        <v>23</v>
      </c>
      <c r="J891" s="8" t="s">
        <v>2670</v>
      </c>
      <c r="K891" s="8" t="s">
        <v>6845</v>
      </c>
      <c r="L891" s="8" t="s">
        <v>19</v>
      </c>
      <c r="M891" s="8">
        <v>1983</v>
      </c>
      <c r="N891" s="8" t="s">
        <v>40</v>
      </c>
      <c r="O891" s="8">
        <v>593</v>
      </c>
      <c r="P891" s="8" t="s">
        <v>6844</v>
      </c>
      <c r="Q891" s="8" t="s">
        <v>4262</v>
      </c>
      <c r="R891" s="8">
        <v>0.30099999999999999</v>
      </c>
      <c r="S891" s="8">
        <v>140407301</v>
      </c>
      <c r="T891" s="8" t="s">
        <v>41</v>
      </c>
      <c r="U891" s="8" t="s">
        <v>25</v>
      </c>
    </row>
    <row r="892" spans="1:21">
      <c r="A892" s="8" t="s">
        <v>6801</v>
      </c>
      <c r="B892" s="8" t="s">
        <v>3201</v>
      </c>
      <c r="C892" s="8">
        <v>285313</v>
      </c>
      <c r="D892" s="8" t="s">
        <v>201</v>
      </c>
      <c r="E892" s="8">
        <v>151155685</v>
      </c>
      <c r="F892" s="8">
        <v>151155685</v>
      </c>
      <c r="G892" s="8" t="s">
        <v>46</v>
      </c>
      <c r="H892" s="8" t="s">
        <v>41</v>
      </c>
      <c r="I892" s="8" t="s">
        <v>23</v>
      </c>
      <c r="J892" s="8" t="s">
        <v>6846</v>
      </c>
      <c r="K892" s="8" t="s">
        <v>6848</v>
      </c>
      <c r="L892" s="8" t="s">
        <v>19</v>
      </c>
      <c r="M892" s="8">
        <v>6664</v>
      </c>
      <c r="N892" s="8" t="s">
        <v>485</v>
      </c>
      <c r="O892" s="8">
        <v>2222</v>
      </c>
      <c r="P892" s="8" t="s">
        <v>6847</v>
      </c>
      <c r="Q892" s="8" t="s">
        <v>4262</v>
      </c>
      <c r="R892" s="8">
        <v>0.30599999999999999</v>
      </c>
      <c r="S892" s="8">
        <v>151155685</v>
      </c>
      <c r="T892" s="8" t="s">
        <v>46</v>
      </c>
      <c r="U892" s="8" t="s">
        <v>41</v>
      </c>
    </row>
    <row r="893" spans="1:21">
      <c r="A893" s="8" t="s">
        <v>6801</v>
      </c>
      <c r="B893" s="8" t="s">
        <v>3204</v>
      </c>
      <c r="C893" s="8">
        <v>84239</v>
      </c>
      <c r="D893" s="8" t="s">
        <v>201</v>
      </c>
      <c r="E893" s="8">
        <v>193207619</v>
      </c>
      <c r="F893" s="8">
        <v>193207619</v>
      </c>
      <c r="G893" s="8" t="s">
        <v>46</v>
      </c>
      <c r="H893" s="8" t="s">
        <v>25</v>
      </c>
      <c r="I893" s="8" t="s">
        <v>23</v>
      </c>
      <c r="J893" s="8" t="s">
        <v>3205</v>
      </c>
      <c r="K893" s="8" t="s">
        <v>6850</v>
      </c>
      <c r="L893" s="8" t="s">
        <v>19</v>
      </c>
      <c r="M893" s="8">
        <v>746</v>
      </c>
      <c r="N893" s="8" t="s">
        <v>2978</v>
      </c>
      <c r="O893" s="8">
        <v>213</v>
      </c>
      <c r="P893" s="8" t="s">
        <v>6849</v>
      </c>
      <c r="Q893" s="8" t="s">
        <v>4262</v>
      </c>
      <c r="R893" s="8">
        <v>0.28100000000000003</v>
      </c>
      <c r="S893" s="8">
        <v>193207619</v>
      </c>
      <c r="T893" s="8" t="s">
        <v>46</v>
      </c>
      <c r="U893" s="8" t="s">
        <v>25</v>
      </c>
    </row>
    <row r="894" spans="1:21">
      <c r="A894" s="8" t="s">
        <v>6801</v>
      </c>
      <c r="B894" s="8" t="s">
        <v>934</v>
      </c>
      <c r="C894" s="8">
        <v>1499</v>
      </c>
      <c r="D894" s="8" t="s">
        <v>201</v>
      </c>
      <c r="E894" s="8">
        <v>41274911</v>
      </c>
      <c r="F894" s="8">
        <v>41274911</v>
      </c>
      <c r="G894" s="8" t="s">
        <v>41</v>
      </c>
      <c r="H894" s="8" t="s">
        <v>25</v>
      </c>
      <c r="I894" s="8" t="s">
        <v>23</v>
      </c>
      <c r="J894" s="8" t="s">
        <v>4607</v>
      </c>
      <c r="K894" s="8" t="s">
        <v>4610</v>
      </c>
      <c r="L894" s="8" t="s">
        <v>19</v>
      </c>
      <c r="M894" s="8">
        <v>1429</v>
      </c>
      <c r="N894" s="8" t="s">
        <v>890</v>
      </c>
      <c r="O894" s="8">
        <v>387</v>
      </c>
      <c r="P894" s="8" t="s">
        <v>6851</v>
      </c>
      <c r="Q894" s="8" t="s">
        <v>6852</v>
      </c>
      <c r="R894" s="8">
        <v>0.309</v>
      </c>
      <c r="S894" s="8">
        <v>41274911</v>
      </c>
      <c r="T894" s="8" t="s">
        <v>41</v>
      </c>
      <c r="U894" s="8" t="s">
        <v>25</v>
      </c>
    </row>
    <row r="895" spans="1:21">
      <c r="A895" s="8" t="s">
        <v>6801</v>
      </c>
      <c r="B895" s="8" t="s">
        <v>6853</v>
      </c>
      <c r="C895" s="8">
        <v>7584</v>
      </c>
      <c r="D895" s="8" t="s">
        <v>201</v>
      </c>
      <c r="E895" s="8">
        <v>44701041</v>
      </c>
      <c r="F895" s="8">
        <v>44701041</v>
      </c>
      <c r="G895" s="8" t="s">
        <v>24</v>
      </c>
      <c r="H895" s="8" t="s">
        <v>25</v>
      </c>
      <c r="I895" s="8" t="s">
        <v>23</v>
      </c>
      <c r="J895" s="8" t="s">
        <v>6854</v>
      </c>
      <c r="K895" s="8" t="s">
        <v>6856</v>
      </c>
      <c r="L895" s="8" t="s">
        <v>19</v>
      </c>
      <c r="M895" s="8">
        <v>1407</v>
      </c>
      <c r="N895" s="8" t="s">
        <v>28</v>
      </c>
      <c r="O895" s="8">
        <v>396</v>
      </c>
      <c r="P895" s="8" t="s">
        <v>6855</v>
      </c>
      <c r="Q895" s="8" t="s">
        <v>4262</v>
      </c>
      <c r="R895" s="8">
        <v>0.127</v>
      </c>
      <c r="S895" s="8">
        <v>44701041</v>
      </c>
      <c r="T895" s="8" t="s">
        <v>24</v>
      </c>
      <c r="U895" s="8" t="s">
        <v>25</v>
      </c>
    </row>
    <row r="896" spans="1:21">
      <c r="A896" s="8" t="s">
        <v>6801</v>
      </c>
      <c r="B896" s="8" t="s">
        <v>6857</v>
      </c>
      <c r="C896" s="8">
        <v>285231</v>
      </c>
      <c r="D896" s="8" t="s">
        <v>201</v>
      </c>
      <c r="E896" s="8">
        <v>48415069</v>
      </c>
      <c r="F896" s="8">
        <v>48415069</v>
      </c>
      <c r="G896" s="8" t="s">
        <v>25</v>
      </c>
      <c r="H896" s="8" t="s">
        <v>24</v>
      </c>
      <c r="I896" s="8" t="s">
        <v>23</v>
      </c>
      <c r="J896" s="8" t="s">
        <v>6858</v>
      </c>
      <c r="K896" s="8" t="s">
        <v>6860</v>
      </c>
      <c r="L896" s="8" t="s">
        <v>19</v>
      </c>
      <c r="M896" s="8">
        <v>172</v>
      </c>
      <c r="N896" s="8" t="s">
        <v>950</v>
      </c>
      <c r="O896" s="8">
        <v>35</v>
      </c>
      <c r="P896" s="8" t="s">
        <v>6859</v>
      </c>
      <c r="Q896" s="8" t="s">
        <v>4262</v>
      </c>
      <c r="R896" s="8">
        <v>0.13800000000000001</v>
      </c>
      <c r="S896" s="8">
        <v>48415069</v>
      </c>
      <c r="T896" s="8" t="s">
        <v>25</v>
      </c>
      <c r="U896" s="8" t="s">
        <v>24</v>
      </c>
    </row>
    <row r="897" spans="1:21">
      <c r="A897" s="8" t="s">
        <v>6801</v>
      </c>
      <c r="B897" s="8" t="s">
        <v>6861</v>
      </c>
      <c r="C897" s="8">
        <v>788</v>
      </c>
      <c r="D897" s="8" t="s">
        <v>201</v>
      </c>
      <c r="E897" s="8">
        <v>48929483</v>
      </c>
      <c r="F897" s="8">
        <v>48929483</v>
      </c>
      <c r="G897" s="8" t="s">
        <v>24</v>
      </c>
      <c r="H897" s="8" t="s">
        <v>25</v>
      </c>
      <c r="I897" s="8" t="s">
        <v>23</v>
      </c>
      <c r="J897" s="8" t="s">
        <v>6862</v>
      </c>
      <c r="K897" s="8" t="s">
        <v>6864</v>
      </c>
      <c r="L897" s="8" t="s">
        <v>19</v>
      </c>
      <c r="M897" s="8">
        <v>327</v>
      </c>
      <c r="N897" s="8" t="s">
        <v>365</v>
      </c>
      <c r="O897" s="8">
        <v>43</v>
      </c>
      <c r="P897" s="8" t="s">
        <v>6863</v>
      </c>
      <c r="Q897" s="8" t="s">
        <v>4262</v>
      </c>
      <c r="R897" s="8">
        <v>0.22500000000000001</v>
      </c>
      <c r="S897" s="8">
        <v>48929483</v>
      </c>
      <c r="T897" s="8" t="s">
        <v>24</v>
      </c>
      <c r="U897" s="8" t="s">
        <v>25</v>
      </c>
    </row>
    <row r="898" spans="1:21">
      <c r="A898" s="8" t="s">
        <v>6801</v>
      </c>
      <c r="B898" s="8" t="s">
        <v>3206</v>
      </c>
      <c r="C898" s="8">
        <v>8532</v>
      </c>
      <c r="D898" s="8" t="s">
        <v>220</v>
      </c>
      <c r="E898" s="8">
        <v>8616164</v>
      </c>
      <c r="F898" s="8">
        <v>8616164</v>
      </c>
      <c r="G898" s="8" t="s">
        <v>25</v>
      </c>
      <c r="H898" s="8" t="s">
        <v>41</v>
      </c>
      <c r="I898" s="8" t="s">
        <v>23</v>
      </c>
      <c r="J898" s="8" t="s">
        <v>6865</v>
      </c>
      <c r="K898" s="8" t="s">
        <v>6867</v>
      </c>
      <c r="L898" s="8" t="s">
        <v>19</v>
      </c>
      <c r="M898" s="8">
        <v>1616</v>
      </c>
      <c r="N898" s="8" t="s">
        <v>1115</v>
      </c>
      <c r="O898" s="8">
        <v>481</v>
      </c>
      <c r="P898" s="8" t="s">
        <v>6866</v>
      </c>
      <c r="Q898" s="8" t="s">
        <v>4262</v>
      </c>
      <c r="R898" s="8">
        <v>0.312</v>
      </c>
      <c r="S898" s="8">
        <v>8616164</v>
      </c>
      <c r="T898" s="8" t="s">
        <v>25</v>
      </c>
      <c r="U898" s="8" t="s">
        <v>41</v>
      </c>
    </row>
    <row r="899" spans="1:21">
      <c r="A899" s="8" t="s">
        <v>6801</v>
      </c>
      <c r="B899" s="8" t="s">
        <v>1379</v>
      </c>
      <c r="C899" s="8">
        <v>287</v>
      </c>
      <c r="D899" s="8" t="s">
        <v>220</v>
      </c>
      <c r="E899" s="8">
        <v>114257148</v>
      </c>
      <c r="F899" s="8">
        <v>114257148</v>
      </c>
      <c r="G899" s="8" t="s">
        <v>24</v>
      </c>
      <c r="H899" s="8" t="s">
        <v>25</v>
      </c>
      <c r="I899" s="8" t="s">
        <v>23</v>
      </c>
      <c r="J899" s="8" t="s">
        <v>6868</v>
      </c>
      <c r="K899" s="8" t="s">
        <v>6870</v>
      </c>
      <c r="L899" s="8" t="s">
        <v>19</v>
      </c>
      <c r="M899" s="8">
        <v>3626</v>
      </c>
      <c r="N899" s="8" t="s">
        <v>171</v>
      </c>
      <c r="O899" s="8">
        <v>1176</v>
      </c>
      <c r="P899" s="8" t="s">
        <v>6869</v>
      </c>
      <c r="Q899" s="8" t="s">
        <v>4262</v>
      </c>
      <c r="R899" s="8">
        <v>0.19</v>
      </c>
      <c r="S899" s="8">
        <v>114257148</v>
      </c>
      <c r="T899" s="8" t="s">
        <v>24</v>
      </c>
      <c r="U899" s="8" t="s">
        <v>25</v>
      </c>
    </row>
    <row r="900" spans="1:21">
      <c r="A900" s="8" t="s">
        <v>6801</v>
      </c>
      <c r="B900" s="8" t="s">
        <v>6871</v>
      </c>
      <c r="C900" s="8">
        <v>9364</v>
      </c>
      <c r="D900" s="8" t="s">
        <v>220</v>
      </c>
      <c r="E900" s="8">
        <v>13462439</v>
      </c>
      <c r="F900" s="8">
        <v>13462439</v>
      </c>
      <c r="G900" s="8" t="s">
        <v>25</v>
      </c>
      <c r="H900" s="8" t="s">
        <v>24</v>
      </c>
      <c r="I900" s="8" t="s">
        <v>23</v>
      </c>
      <c r="J900" s="8" t="s">
        <v>6872</v>
      </c>
      <c r="K900" s="8" t="s">
        <v>6874</v>
      </c>
      <c r="L900" s="8" t="s">
        <v>19</v>
      </c>
      <c r="M900" s="8">
        <v>490</v>
      </c>
      <c r="N900" s="8" t="s">
        <v>5447</v>
      </c>
      <c r="O900" s="8">
        <v>92</v>
      </c>
      <c r="P900" s="8" t="s">
        <v>6873</v>
      </c>
      <c r="Q900" s="8" t="s">
        <v>4262</v>
      </c>
      <c r="R900" s="8">
        <v>0.24099999999999999</v>
      </c>
      <c r="S900" s="8">
        <v>13462439</v>
      </c>
      <c r="T900" s="8" t="s">
        <v>25</v>
      </c>
      <c r="U900" s="8" t="s">
        <v>24</v>
      </c>
    </row>
    <row r="901" spans="1:21">
      <c r="A901" s="8" t="s">
        <v>6801</v>
      </c>
      <c r="B901" s="8" t="s">
        <v>3953</v>
      </c>
      <c r="C901" s="8">
        <v>90355</v>
      </c>
      <c r="D901" s="8" t="s">
        <v>226</v>
      </c>
      <c r="E901" s="8">
        <v>102611766</v>
      </c>
      <c r="F901" s="8">
        <v>102611766</v>
      </c>
      <c r="G901" s="8" t="s">
        <v>46</v>
      </c>
      <c r="H901" s="8" t="s">
        <v>24</v>
      </c>
      <c r="I901" s="8" t="s">
        <v>23</v>
      </c>
      <c r="J901" s="8" t="s">
        <v>6875</v>
      </c>
      <c r="K901" s="8" t="s">
        <v>6877</v>
      </c>
      <c r="L901" s="8" t="s">
        <v>76</v>
      </c>
      <c r="M901" s="8">
        <v>415</v>
      </c>
      <c r="N901" s="8" t="s">
        <v>2361</v>
      </c>
      <c r="O901" s="8">
        <v>49</v>
      </c>
      <c r="P901" s="8" t="s">
        <v>6876</v>
      </c>
      <c r="Q901" s="8" t="s">
        <v>4262</v>
      </c>
      <c r="R901" s="8">
        <v>0.14599999999999999</v>
      </c>
      <c r="S901" s="8">
        <v>102611766</v>
      </c>
      <c r="T901" s="8" t="s">
        <v>46</v>
      </c>
      <c r="U901" s="8" t="s">
        <v>24</v>
      </c>
    </row>
    <row r="902" spans="1:21">
      <c r="A902" s="8" t="s">
        <v>6801</v>
      </c>
      <c r="B902" s="8" t="s">
        <v>3670</v>
      </c>
      <c r="C902" s="8">
        <v>2201</v>
      </c>
      <c r="D902" s="8" t="s">
        <v>226</v>
      </c>
      <c r="E902" s="8">
        <v>127654686</v>
      </c>
      <c r="F902" s="8">
        <v>127654686</v>
      </c>
      <c r="G902" s="8" t="s">
        <v>25</v>
      </c>
      <c r="H902" s="8" t="s">
        <v>41</v>
      </c>
      <c r="I902" s="8" t="s">
        <v>23</v>
      </c>
      <c r="J902" s="8" t="s">
        <v>3671</v>
      </c>
      <c r="K902" s="8" t="s">
        <v>4654</v>
      </c>
      <c r="L902" s="8" t="s">
        <v>19</v>
      </c>
      <c r="M902" s="8">
        <v>4918</v>
      </c>
      <c r="N902" s="8" t="s">
        <v>690</v>
      </c>
      <c r="O902" s="8">
        <v>1493</v>
      </c>
      <c r="P902" s="8" t="s">
        <v>6878</v>
      </c>
      <c r="Q902" s="8" t="s">
        <v>4262</v>
      </c>
      <c r="R902" s="8">
        <v>0.26300000000000001</v>
      </c>
      <c r="S902" s="8">
        <v>127654686</v>
      </c>
      <c r="T902" s="8" t="s">
        <v>25</v>
      </c>
      <c r="U902" s="8" t="s">
        <v>41</v>
      </c>
    </row>
    <row r="903" spans="1:21">
      <c r="A903" s="8" t="s">
        <v>6801</v>
      </c>
      <c r="B903" s="8" t="s">
        <v>6879</v>
      </c>
      <c r="C903" s="8">
        <v>134083</v>
      </c>
      <c r="D903" s="8" t="s">
        <v>226</v>
      </c>
      <c r="E903" s="8">
        <v>180166779</v>
      </c>
      <c r="F903" s="8">
        <v>180166779</v>
      </c>
      <c r="G903" s="8" t="s">
        <v>24</v>
      </c>
      <c r="H903" s="8" t="s">
        <v>25</v>
      </c>
      <c r="I903" s="8" t="s">
        <v>23</v>
      </c>
      <c r="J903" s="8" t="s">
        <v>6880</v>
      </c>
      <c r="K903" s="8" t="s">
        <v>6882</v>
      </c>
      <c r="L903" s="8" t="s">
        <v>19</v>
      </c>
      <c r="M903" s="8">
        <v>280</v>
      </c>
      <c r="N903" s="8" t="s">
        <v>614</v>
      </c>
      <c r="O903" s="8">
        <v>94</v>
      </c>
      <c r="P903" s="8" t="s">
        <v>6881</v>
      </c>
      <c r="Q903" s="8" t="s">
        <v>4262</v>
      </c>
      <c r="R903" s="8">
        <v>0.2</v>
      </c>
      <c r="S903" s="8">
        <v>180166779</v>
      </c>
      <c r="T903" s="8" t="s">
        <v>24</v>
      </c>
      <c r="U903" s="8" t="s">
        <v>25</v>
      </c>
    </row>
    <row r="904" spans="1:21">
      <c r="A904" s="8" t="s">
        <v>6801</v>
      </c>
      <c r="B904" s="8" t="s">
        <v>6883</v>
      </c>
      <c r="C904" s="8">
        <v>133584</v>
      </c>
      <c r="D904" s="8" t="s">
        <v>226</v>
      </c>
      <c r="E904" s="8">
        <v>38427142</v>
      </c>
      <c r="F904" s="8">
        <v>38427142</v>
      </c>
      <c r="G904" s="8" t="s">
        <v>24</v>
      </c>
      <c r="H904" s="8" t="s">
        <v>41</v>
      </c>
      <c r="I904" s="8" t="s">
        <v>23</v>
      </c>
      <c r="J904" s="8" t="s">
        <v>6884</v>
      </c>
      <c r="K904" s="8" t="s">
        <v>6886</v>
      </c>
      <c r="L904" s="8" t="s">
        <v>19</v>
      </c>
      <c r="M904" s="8">
        <v>2188</v>
      </c>
      <c r="N904" s="8" t="s">
        <v>1180</v>
      </c>
      <c r="O904" s="8">
        <v>614</v>
      </c>
      <c r="P904" s="8" t="s">
        <v>6885</v>
      </c>
      <c r="Q904" s="8" t="s">
        <v>4262</v>
      </c>
      <c r="R904" s="8">
        <v>0.22</v>
      </c>
      <c r="S904" s="8">
        <v>38427142</v>
      </c>
      <c r="T904" s="8" t="s">
        <v>24</v>
      </c>
      <c r="U904" s="8" t="s">
        <v>41</v>
      </c>
    </row>
    <row r="905" spans="1:21">
      <c r="A905" s="8" t="s">
        <v>6801</v>
      </c>
      <c r="B905" s="8" t="s">
        <v>1187</v>
      </c>
      <c r="C905" s="8">
        <v>10690</v>
      </c>
      <c r="D905" s="8" t="s">
        <v>237</v>
      </c>
      <c r="E905" s="8">
        <v>96651173</v>
      </c>
      <c r="F905" s="8">
        <v>96651173</v>
      </c>
      <c r="G905" s="8" t="s">
        <v>46</v>
      </c>
      <c r="H905" s="8" t="s">
        <v>24</v>
      </c>
      <c r="I905" s="8" t="s">
        <v>23</v>
      </c>
      <c r="J905" s="8" t="s">
        <v>1188</v>
      </c>
      <c r="K905" s="8" t="s">
        <v>6888</v>
      </c>
      <c r="L905" s="8" t="s">
        <v>19</v>
      </c>
      <c r="M905" s="8">
        <v>483</v>
      </c>
      <c r="N905" s="8" t="s">
        <v>3075</v>
      </c>
      <c r="O905" s="8">
        <v>48</v>
      </c>
      <c r="P905" s="8" t="s">
        <v>6887</v>
      </c>
      <c r="Q905" s="8" t="s">
        <v>4262</v>
      </c>
      <c r="R905" s="8">
        <v>0.315</v>
      </c>
      <c r="S905" s="8">
        <v>96651173</v>
      </c>
      <c r="T905" s="8" t="s">
        <v>46</v>
      </c>
      <c r="U905" s="8" t="s">
        <v>24</v>
      </c>
    </row>
    <row r="906" spans="1:21">
      <c r="A906" s="8" t="s">
        <v>6801</v>
      </c>
      <c r="B906" s="8" t="s">
        <v>3054</v>
      </c>
      <c r="C906" s="8">
        <v>6492</v>
      </c>
      <c r="D906" s="8" t="s">
        <v>237</v>
      </c>
      <c r="E906" s="8">
        <v>100838731</v>
      </c>
      <c r="F906" s="8">
        <v>100838731</v>
      </c>
      <c r="G906" s="8" t="s">
        <v>25</v>
      </c>
      <c r="H906" s="8" t="s">
        <v>46</v>
      </c>
      <c r="I906" s="8" t="s">
        <v>23</v>
      </c>
      <c r="J906" s="8" t="s">
        <v>3055</v>
      </c>
      <c r="K906" s="8" t="s">
        <v>6890</v>
      </c>
      <c r="L906" s="8" t="s">
        <v>19</v>
      </c>
      <c r="M906" s="8">
        <v>2014</v>
      </c>
      <c r="N906" s="8" t="s">
        <v>3207</v>
      </c>
      <c r="O906" s="8">
        <v>603</v>
      </c>
      <c r="P906" s="8" t="s">
        <v>6889</v>
      </c>
      <c r="Q906" s="8" t="s">
        <v>4262</v>
      </c>
      <c r="R906" s="8">
        <v>0.39100000000000001</v>
      </c>
      <c r="S906" s="8">
        <v>100838731</v>
      </c>
      <c r="T906" s="8" t="s">
        <v>25</v>
      </c>
      <c r="U906" s="8" t="s">
        <v>46</v>
      </c>
    </row>
    <row r="907" spans="1:21">
      <c r="A907" s="8" t="s">
        <v>6801</v>
      </c>
      <c r="B907" s="8" t="s">
        <v>6891</v>
      </c>
      <c r="C907" s="8">
        <v>4216</v>
      </c>
      <c r="D907" s="8" t="s">
        <v>237</v>
      </c>
      <c r="E907" s="8">
        <v>161501965</v>
      </c>
      <c r="F907" s="8">
        <v>161501965</v>
      </c>
      <c r="G907" s="8" t="s">
        <v>25</v>
      </c>
      <c r="H907" s="8" t="s">
        <v>41</v>
      </c>
      <c r="I907" s="8" t="s">
        <v>23</v>
      </c>
      <c r="J907" s="8" t="s">
        <v>6892</v>
      </c>
      <c r="K907" s="8" t="s">
        <v>6894</v>
      </c>
      <c r="L907" s="8" t="s">
        <v>19</v>
      </c>
      <c r="M907" s="8">
        <v>2292</v>
      </c>
      <c r="N907" s="8" t="s">
        <v>216</v>
      </c>
      <c r="O907" s="8">
        <v>717</v>
      </c>
      <c r="P907" s="8" t="s">
        <v>6893</v>
      </c>
      <c r="Q907" s="8" t="s">
        <v>4262</v>
      </c>
      <c r="R907" s="8">
        <v>0.161</v>
      </c>
      <c r="S907" s="8">
        <v>161501965</v>
      </c>
      <c r="T907" s="8" t="s">
        <v>25</v>
      </c>
      <c r="U907" s="8" t="s">
        <v>41</v>
      </c>
    </row>
    <row r="908" spans="1:21">
      <c r="A908" s="8" t="s">
        <v>6801</v>
      </c>
      <c r="B908" s="8" t="s">
        <v>6895</v>
      </c>
      <c r="C908" s="8">
        <v>6991</v>
      </c>
      <c r="D908" s="8" t="s">
        <v>237</v>
      </c>
      <c r="E908" s="8">
        <v>170151500</v>
      </c>
      <c r="F908" s="8">
        <v>170151500</v>
      </c>
      <c r="G908" s="8" t="s">
        <v>41</v>
      </c>
      <c r="H908" s="8" t="s">
        <v>25</v>
      </c>
      <c r="I908" s="8" t="s">
        <v>23</v>
      </c>
      <c r="J908" s="8" t="s">
        <v>6896</v>
      </c>
      <c r="K908" s="8" t="s">
        <v>6898</v>
      </c>
      <c r="L908" s="8" t="s">
        <v>19</v>
      </c>
      <c r="M908" s="8">
        <v>139</v>
      </c>
      <c r="N908" s="8" t="s">
        <v>1242</v>
      </c>
      <c r="O908" s="8">
        <v>19</v>
      </c>
      <c r="P908" s="8" t="s">
        <v>6897</v>
      </c>
      <c r="Q908" s="8" t="s">
        <v>4262</v>
      </c>
      <c r="R908" s="8">
        <v>0.20300000000000001</v>
      </c>
      <c r="S908" s="8">
        <v>170151500</v>
      </c>
      <c r="T908" s="8" t="s">
        <v>41</v>
      </c>
      <c r="U908" s="8" t="s">
        <v>25</v>
      </c>
    </row>
    <row r="909" spans="1:21">
      <c r="A909" s="8" t="s">
        <v>6801</v>
      </c>
      <c r="B909" s="8" t="s">
        <v>6899</v>
      </c>
      <c r="C909" s="8">
        <v>114821</v>
      </c>
      <c r="D909" s="8" t="s">
        <v>237</v>
      </c>
      <c r="E909" s="8">
        <v>28540639</v>
      </c>
      <c r="F909" s="8">
        <v>28540639</v>
      </c>
      <c r="G909" s="8" t="s">
        <v>41</v>
      </c>
      <c r="H909" s="8" t="s">
        <v>25</v>
      </c>
      <c r="I909" s="8" t="s">
        <v>23</v>
      </c>
      <c r="J909" s="8" t="s">
        <v>6900</v>
      </c>
      <c r="K909" s="8" t="s">
        <v>6902</v>
      </c>
      <c r="L909" s="8" t="s">
        <v>19</v>
      </c>
      <c r="M909" s="8">
        <v>3645</v>
      </c>
      <c r="N909" s="8" t="s">
        <v>3165</v>
      </c>
      <c r="O909" s="8">
        <v>1009</v>
      </c>
      <c r="P909" s="8" t="s">
        <v>6901</v>
      </c>
      <c r="Q909" s="8" t="s">
        <v>4262</v>
      </c>
      <c r="R909" s="8">
        <v>0.25700000000000001</v>
      </c>
      <c r="S909" s="8">
        <v>28540639</v>
      </c>
      <c r="T909" s="8" t="s">
        <v>41</v>
      </c>
      <c r="U909" s="8" t="s">
        <v>25</v>
      </c>
    </row>
    <row r="910" spans="1:21">
      <c r="A910" s="8" t="s">
        <v>6801</v>
      </c>
      <c r="B910" s="8" t="s">
        <v>3208</v>
      </c>
      <c r="C910" s="8">
        <v>63943</v>
      </c>
      <c r="D910" s="8" t="s">
        <v>237</v>
      </c>
      <c r="E910" s="8">
        <v>32096524</v>
      </c>
      <c r="F910" s="8">
        <v>32096524</v>
      </c>
      <c r="G910" s="8" t="s">
        <v>46</v>
      </c>
      <c r="H910" s="8" t="s">
        <v>41</v>
      </c>
      <c r="I910" s="8" t="s">
        <v>23</v>
      </c>
      <c r="J910" s="8" t="s">
        <v>3209</v>
      </c>
      <c r="K910" s="8" t="s">
        <v>6904</v>
      </c>
      <c r="L910" s="8" t="s">
        <v>19</v>
      </c>
      <c r="M910" s="8">
        <v>1304</v>
      </c>
      <c r="N910" s="8" t="s">
        <v>73</v>
      </c>
      <c r="O910" s="8">
        <v>345</v>
      </c>
      <c r="P910" s="8" t="s">
        <v>6903</v>
      </c>
      <c r="Q910" s="8" t="s">
        <v>4262</v>
      </c>
      <c r="R910" s="8">
        <v>0.246</v>
      </c>
      <c r="S910" s="8">
        <v>32096524</v>
      </c>
      <c r="T910" s="8" t="s">
        <v>46</v>
      </c>
      <c r="U910" s="8" t="s">
        <v>41</v>
      </c>
    </row>
    <row r="911" spans="1:21">
      <c r="A911" s="8" t="s">
        <v>6801</v>
      </c>
      <c r="B911" s="8" t="s">
        <v>5067</v>
      </c>
      <c r="C911" s="8">
        <v>140453</v>
      </c>
      <c r="D911" s="8" t="s">
        <v>257</v>
      </c>
      <c r="E911" s="8">
        <v>100682775</v>
      </c>
      <c r="F911" s="8">
        <v>100682775</v>
      </c>
      <c r="G911" s="8" t="s">
        <v>46</v>
      </c>
      <c r="H911" s="8" t="s">
        <v>41</v>
      </c>
      <c r="I911" s="8" t="s">
        <v>23</v>
      </c>
      <c r="J911" s="8" t="s">
        <v>5068</v>
      </c>
      <c r="K911" s="8" t="s">
        <v>5070</v>
      </c>
      <c r="L911" s="8" t="s">
        <v>19</v>
      </c>
      <c r="M911" s="8">
        <v>8131</v>
      </c>
      <c r="N911" s="8" t="s">
        <v>522</v>
      </c>
      <c r="O911" s="8">
        <v>2693</v>
      </c>
      <c r="P911" s="8" t="s">
        <v>6905</v>
      </c>
      <c r="Q911" s="8" t="s">
        <v>4262</v>
      </c>
      <c r="R911" s="8">
        <v>0.24</v>
      </c>
      <c r="S911" s="8">
        <v>100682775</v>
      </c>
      <c r="T911" s="8" t="s">
        <v>46</v>
      </c>
      <c r="U911" s="8" t="s">
        <v>41</v>
      </c>
    </row>
    <row r="912" spans="1:21">
      <c r="A912" s="8" t="s">
        <v>6801</v>
      </c>
      <c r="B912" s="8" t="s">
        <v>2765</v>
      </c>
      <c r="C912" s="8">
        <v>2737</v>
      </c>
      <c r="D912" s="8" t="s">
        <v>257</v>
      </c>
      <c r="E912" s="8">
        <v>42004328</v>
      </c>
      <c r="F912" s="8">
        <v>42004328</v>
      </c>
      <c r="G912" s="8" t="s">
        <v>25</v>
      </c>
      <c r="H912" s="8" t="s">
        <v>41</v>
      </c>
      <c r="I912" s="8" t="s">
        <v>23</v>
      </c>
      <c r="J912" s="8" t="s">
        <v>2766</v>
      </c>
      <c r="K912" s="8" t="s">
        <v>6907</v>
      </c>
      <c r="L912" s="8" t="s">
        <v>19</v>
      </c>
      <c r="M912" s="8">
        <v>4434</v>
      </c>
      <c r="N912" s="8" t="s">
        <v>1046</v>
      </c>
      <c r="O912" s="8">
        <v>1448</v>
      </c>
      <c r="P912" s="8" t="s">
        <v>6906</v>
      </c>
      <c r="Q912" s="8" t="s">
        <v>4262</v>
      </c>
      <c r="R912" s="8">
        <v>0.186</v>
      </c>
      <c r="S912" s="8">
        <v>42004328</v>
      </c>
      <c r="T912" s="8" t="s">
        <v>25</v>
      </c>
      <c r="U912" s="8" t="s">
        <v>41</v>
      </c>
    </row>
    <row r="913" spans="1:21">
      <c r="A913" s="8" t="s">
        <v>6801</v>
      </c>
      <c r="B913" s="8" t="s">
        <v>6908</v>
      </c>
      <c r="C913" s="8">
        <v>649</v>
      </c>
      <c r="D913" s="8" t="s">
        <v>279</v>
      </c>
      <c r="E913" s="8">
        <v>22051606</v>
      </c>
      <c r="F913" s="8">
        <v>22051606</v>
      </c>
      <c r="G913" s="8" t="s">
        <v>24</v>
      </c>
      <c r="H913" s="8" t="s">
        <v>41</v>
      </c>
      <c r="I913" s="8" t="s">
        <v>23</v>
      </c>
      <c r="J913" s="8" t="s">
        <v>6909</v>
      </c>
      <c r="K913" s="8" t="s">
        <v>6912</v>
      </c>
      <c r="L913" s="8" t="s">
        <v>19</v>
      </c>
      <c r="M913" s="8">
        <v>1482</v>
      </c>
      <c r="N913" s="8" t="s">
        <v>162</v>
      </c>
      <c r="O913" s="8">
        <v>406</v>
      </c>
      <c r="P913" s="8" t="s">
        <v>6910</v>
      </c>
      <c r="Q913" s="8" t="s">
        <v>6911</v>
      </c>
      <c r="R913" s="8">
        <v>0.24099999999999999</v>
      </c>
      <c r="S913" s="8">
        <v>22051606</v>
      </c>
      <c r="T913" s="8" t="s">
        <v>24</v>
      </c>
      <c r="U913" s="8" t="s">
        <v>41</v>
      </c>
    </row>
    <row r="914" spans="1:21">
      <c r="A914" s="8" t="s">
        <v>6801</v>
      </c>
      <c r="B914" s="8" t="s">
        <v>6913</v>
      </c>
      <c r="C914" s="8">
        <v>84267</v>
      </c>
      <c r="D914" s="8" t="s">
        <v>292</v>
      </c>
      <c r="E914" s="8">
        <v>86559796</v>
      </c>
      <c r="F914" s="8">
        <v>86559796</v>
      </c>
      <c r="G914" s="8" t="s">
        <v>41</v>
      </c>
      <c r="H914" s="8" t="s">
        <v>46</v>
      </c>
      <c r="I914" s="8" t="s">
        <v>23</v>
      </c>
      <c r="J914" s="8" t="s">
        <v>6914</v>
      </c>
      <c r="K914" s="8" t="s">
        <v>6916</v>
      </c>
      <c r="L914" s="8" t="s">
        <v>19</v>
      </c>
      <c r="M914" s="8">
        <v>954</v>
      </c>
      <c r="N914" s="8" t="s">
        <v>974</v>
      </c>
      <c r="O914" s="8">
        <v>236</v>
      </c>
      <c r="P914" s="8" t="s">
        <v>6915</v>
      </c>
      <c r="Q914" s="8" t="s">
        <v>4262</v>
      </c>
      <c r="R914" s="8">
        <v>0.2</v>
      </c>
      <c r="S914" s="8">
        <v>86559796</v>
      </c>
      <c r="T914" s="8" t="s">
        <v>41</v>
      </c>
      <c r="U914" s="8" t="s">
        <v>46</v>
      </c>
    </row>
    <row r="915" spans="1:21">
      <c r="A915" s="8" t="s">
        <v>6801</v>
      </c>
      <c r="B915" s="8" t="s">
        <v>1880</v>
      </c>
      <c r="C915" s="8">
        <v>79109</v>
      </c>
      <c r="D915" s="8" t="s">
        <v>292</v>
      </c>
      <c r="E915" s="8">
        <v>128434720</v>
      </c>
      <c r="F915" s="8">
        <v>128434720</v>
      </c>
      <c r="G915" s="8" t="s">
        <v>24</v>
      </c>
      <c r="H915" s="8" t="s">
        <v>41</v>
      </c>
      <c r="I915" s="8" t="s">
        <v>23</v>
      </c>
      <c r="J915" s="8" t="s">
        <v>6917</v>
      </c>
      <c r="K915" s="8" t="s">
        <v>6919</v>
      </c>
      <c r="L915" s="8" t="s">
        <v>76</v>
      </c>
      <c r="M915" s="8">
        <v>467</v>
      </c>
      <c r="N915" s="8" t="s">
        <v>609</v>
      </c>
      <c r="O915" s="8">
        <v>45</v>
      </c>
      <c r="P915" s="8" t="s">
        <v>6918</v>
      </c>
      <c r="Q915" s="8" t="s">
        <v>4262</v>
      </c>
      <c r="R915" s="8">
        <v>0.14899999999999999</v>
      </c>
      <c r="S915" s="8">
        <v>128434720</v>
      </c>
      <c r="T915" s="8" t="s">
        <v>24</v>
      </c>
      <c r="U915" s="8" t="s">
        <v>41</v>
      </c>
    </row>
    <row r="916" spans="1:21">
      <c r="A916" s="8" t="s">
        <v>6801</v>
      </c>
      <c r="B916" s="8" t="s">
        <v>3328</v>
      </c>
      <c r="C916" s="8">
        <v>23064</v>
      </c>
      <c r="D916" s="8" t="s">
        <v>292</v>
      </c>
      <c r="E916" s="8">
        <v>135139984</v>
      </c>
      <c r="F916" s="8">
        <v>135139984</v>
      </c>
      <c r="G916" s="8" t="s">
        <v>41</v>
      </c>
      <c r="H916" s="8" t="s">
        <v>25</v>
      </c>
      <c r="I916" s="8" t="s">
        <v>23</v>
      </c>
      <c r="J916" s="8" t="s">
        <v>3329</v>
      </c>
      <c r="K916" s="8" t="s">
        <v>6921</v>
      </c>
      <c r="L916" s="8" t="s">
        <v>19</v>
      </c>
      <c r="M916" s="8">
        <v>7859</v>
      </c>
      <c r="N916" s="8" t="s">
        <v>216</v>
      </c>
      <c r="O916" s="8">
        <v>2559</v>
      </c>
      <c r="P916" s="8" t="s">
        <v>6920</v>
      </c>
      <c r="Q916" s="8" t="s">
        <v>4262</v>
      </c>
      <c r="R916" s="8">
        <v>0.161</v>
      </c>
      <c r="S916" s="8">
        <v>135139984</v>
      </c>
      <c r="T916" s="8" t="s">
        <v>41</v>
      </c>
      <c r="U916" s="8" t="s">
        <v>25</v>
      </c>
    </row>
    <row r="917" spans="1:21">
      <c r="A917" s="8" t="s">
        <v>6801</v>
      </c>
      <c r="B917" s="8" t="s">
        <v>6922</v>
      </c>
      <c r="C917" s="8">
        <v>7270</v>
      </c>
      <c r="D917" s="8" t="s">
        <v>292</v>
      </c>
      <c r="E917" s="8">
        <v>135277010</v>
      </c>
      <c r="F917" s="8">
        <v>135277010</v>
      </c>
      <c r="G917" s="8" t="s">
        <v>24</v>
      </c>
      <c r="H917" s="8" t="s">
        <v>46</v>
      </c>
      <c r="I917" s="8" t="s">
        <v>23</v>
      </c>
      <c r="J917" s="8" t="s">
        <v>6923</v>
      </c>
      <c r="K917" s="8" t="s">
        <v>6925</v>
      </c>
      <c r="L917" s="8" t="s">
        <v>19</v>
      </c>
      <c r="M917" s="8">
        <v>1268</v>
      </c>
      <c r="N917" s="8" t="s">
        <v>6926</v>
      </c>
      <c r="O917" s="8">
        <v>400</v>
      </c>
      <c r="P917" s="8" t="s">
        <v>6924</v>
      </c>
      <c r="Q917" s="8" t="s">
        <v>4262</v>
      </c>
      <c r="R917" s="8">
        <v>0.16300000000000001</v>
      </c>
      <c r="S917" s="8">
        <v>135277010</v>
      </c>
      <c r="T917" s="8" t="s">
        <v>24</v>
      </c>
      <c r="U917" s="8" t="s">
        <v>46</v>
      </c>
    </row>
    <row r="918" spans="1:21">
      <c r="A918" s="8" t="s">
        <v>6801</v>
      </c>
      <c r="B918" s="8" t="s">
        <v>1883</v>
      </c>
      <c r="C918" s="8">
        <v>9328</v>
      </c>
      <c r="D918" s="8" t="s">
        <v>292</v>
      </c>
      <c r="E918" s="8">
        <v>135917630</v>
      </c>
      <c r="F918" s="8">
        <v>135917630</v>
      </c>
      <c r="G918" s="8" t="s">
        <v>46</v>
      </c>
      <c r="H918" s="8" t="s">
        <v>25</v>
      </c>
      <c r="I918" s="8" t="s">
        <v>23</v>
      </c>
      <c r="J918" s="8" t="s">
        <v>6927</v>
      </c>
      <c r="K918" s="8" t="s">
        <v>6929</v>
      </c>
      <c r="L918" s="8" t="s">
        <v>19</v>
      </c>
      <c r="M918" s="8">
        <v>647</v>
      </c>
      <c r="N918" s="8" t="s">
        <v>2925</v>
      </c>
      <c r="O918" s="8">
        <v>104</v>
      </c>
      <c r="P918" s="8" t="s">
        <v>6928</v>
      </c>
      <c r="Q918" s="8" t="s">
        <v>4262</v>
      </c>
      <c r="R918" s="8">
        <v>0.22900000000000001</v>
      </c>
      <c r="S918" s="8">
        <v>135917630</v>
      </c>
      <c r="T918" s="8" t="s">
        <v>46</v>
      </c>
      <c r="U918" s="8" t="s">
        <v>25</v>
      </c>
    </row>
    <row r="919" spans="1:21">
      <c r="A919" s="8" t="s">
        <v>6801</v>
      </c>
      <c r="B919" s="8" t="s">
        <v>3129</v>
      </c>
      <c r="C919" s="8">
        <v>138474</v>
      </c>
      <c r="D919" s="8" t="s">
        <v>292</v>
      </c>
      <c r="E919" s="8">
        <v>32634833</v>
      </c>
      <c r="F919" s="8">
        <v>32634833</v>
      </c>
      <c r="G919" s="8" t="s">
        <v>24</v>
      </c>
      <c r="H919" s="8" t="s">
        <v>41</v>
      </c>
      <c r="I919" s="8" t="s">
        <v>23</v>
      </c>
      <c r="J919" s="8" t="s">
        <v>3130</v>
      </c>
      <c r="K919" s="8" t="s">
        <v>4761</v>
      </c>
      <c r="L919" s="8" t="s">
        <v>19</v>
      </c>
      <c r="M919" s="8">
        <v>835</v>
      </c>
      <c r="N919" s="8" t="s">
        <v>983</v>
      </c>
      <c r="O919" s="8">
        <v>249</v>
      </c>
      <c r="P919" s="8" t="s">
        <v>6930</v>
      </c>
      <c r="Q919" s="8" t="s">
        <v>4262</v>
      </c>
      <c r="R919" s="8">
        <v>0.19400000000000001</v>
      </c>
      <c r="S919" s="8">
        <v>32634833</v>
      </c>
      <c r="T919" s="8" t="s">
        <v>24</v>
      </c>
      <c r="U919" s="8" t="s">
        <v>41</v>
      </c>
    </row>
    <row r="920" spans="1:21">
      <c r="A920" s="8" t="s">
        <v>6801</v>
      </c>
      <c r="B920" s="8" t="s">
        <v>6931</v>
      </c>
      <c r="C920" s="8">
        <v>22844</v>
      </c>
      <c r="D920" s="8" t="s">
        <v>292</v>
      </c>
      <c r="E920" s="8">
        <v>37729765</v>
      </c>
      <c r="F920" s="8">
        <v>37729765</v>
      </c>
      <c r="G920" s="8" t="s">
        <v>24</v>
      </c>
      <c r="H920" s="8" t="s">
        <v>25</v>
      </c>
      <c r="I920" s="8" t="s">
        <v>23</v>
      </c>
      <c r="J920" s="8" t="s">
        <v>6932</v>
      </c>
      <c r="K920" s="8" t="s">
        <v>6934</v>
      </c>
      <c r="L920" s="8" t="s">
        <v>19</v>
      </c>
      <c r="M920" s="8">
        <v>697</v>
      </c>
      <c r="N920" s="8" t="s">
        <v>2664</v>
      </c>
      <c r="O920" s="8">
        <v>218</v>
      </c>
      <c r="P920" s="8" t="s">
        <v>6933</v>
      </c>
      <c r="Q920" s="8" t="s">
        <v>4262</v>
      </c>
      <c r="R920" s="8">
        <v>0.222</v>
      </c>
      <c r="S920" s="8">
        <v>37729765</v>
      </c>
      <c r="T920" s="8" t="s">
        <v>24</v>
      </c>
      <c r="U920" s="8" t="s">
        <v>25</v>
      </c>
    </row>
    <row r="921" spans="1:21">
      <c r="A921" s="8" t="s">
        <v>6801</v>
      </c>
      <c r="B921" s="8" t="s">
        <v>6935</v>
      </c>
      <c r="C921" s="8">
        <v>4892</v>
      </c>
      <c r="D921" s="8" t="s">
        <v>69</v>
      </c>
      <c r="E921" s="8">
        <v>115423598</v>
      </c>
      <c r="F921" s="8">
        <v>115423598</v>
      </c>
      <c r="G921" s="8" t="s">
        <v>24</v>
      </c>
      <c r="H921" s="8" t="s">
        <v>25</v>
      </c>
      <c r="I921" s="8" t="s">
        <v>23</v>
      </c>
      <c r="J921" s="8" t="s">
        <v>6936</v>
      </c>
      <c r="K921" s="8" t="s">
        <v>6938</v>
      </c>
      <c r="L921" s="8" t="s">
        <v>19</v>
      </c>
      <c r="M921" s="8">
        <v>208</v>
      </c>
      <c r="N921" s="8" t="s">
        <v>1140</v>
      </c>
      <c r="O921" s="8">
        <v>15</v>
      </c>
      <c r="P921" s="8" t="s">
        <v>6937</v>
      </c>
      <c r="Q921" s="8" t="s">
        <v>4262</v>
      </c>
      <c r="R921" s="8">
        <v>0.19</v>
      </c>
      <c r="S921" s="8">
        <v>115423598</v>
      </c>
      <c r="T921" s="8" t="s">
        <v>24</v>
      </c>
      <c r="U921" s="8" t="s">
        <v>25</v>
      </c>
    </row>
    <row r="922" spans="1:21">
      <c r="A922" s="8" t="s">
        <v>6801</v>
      </c>
      <c r="B922" s="8" t="s">
        <v>6939</v>
      </c>
      <c r="C922" s="8">
        <v>1755</v>
      </c>
      <c r="D922" s="8" t="s">
        <v>69</v>
      </c>
      <c r="E922" s="8">
        <v>124330433</v>
      </c>
      <c r="F922" s="8">
        <v>124330433</v>
      </c>
      <c r="G922" s="8" t="s">
        <v>41</v>
      </c>
      <c r="H922" s="8" t="s">
        <v>25</v>
      </c>
      <c r="I922" s="8" t="s">
        <v>23</v>
      </c>
      <c r="J922" s="8" t="s">
        <v>6940</v>
      </c>
      <c r="K922" s="8" t="s">
        <v>6942</v>
      </c>
      <c r="L922" s="8" t="s">
        <v>19</v>
      </c>
      <c r="M922" s="8">
        <v>273</v>
      </c>
      <c r="N922" s="8" t="s">
        <v>1096</v>
      </c>
      <c r="O922" s="8">
        <v>56</v>
      </c>
      <c r="P922" s="8" t="s">
        <v>6941</v>
      </c>
      <c r="Q922" s="8" t="s">
        <v>4262</v>
      </c>
      <c r="R922" s="8">
        <v>0.22700000000000001</v>
      </c>
      <c r="S922" s="8">
        <v>124330433</v>
      </c>
      <c r="T922" s="8" t="s">
        <v>41</v>
      </c>
      <c r="U922" s="8" t="s">
        <v>25</v>
      </c>
    </row>
    <row r="923" spans="1:21">
      <c r="A923" s="8" t="s">
        <v>6801</v>
      </c>
      <c r="B923" s="8" t="s">
        <v>6943</v>
      </c>
      <c r="C923" s="8">
        <v>83643</v>
      </c>
      <c r="D923" s="8" t="s">
        <v>69</v>
      </c>
      <c r="E923" s="8">
        <v>12940577</v>
      </c>
      <c r="F923" s="8">
        <v>12940577</v>
      </c>
      <c r="G923" s="8" t="s">
        <v>24</v>
      </c>
      <c r="H923" s="8" t="s">
        <v>25</v>
      </c>
      <c r="I923" s="8" t="s">
        <v>23</v>
      </c>
      <c r="J923" s="8" t="s">
        <v>6944</v>
      </c>
      <c r="K923" s="8" t="s">
        <v>6946</v>
      </c>
      <c r="L923" s="8" t="s">
        <v>19</v>
      </c>
      <c r="M923" s="8">
        <v>786</v>
      </c>
      <c r="N923" s="8" t="s">
        <v>92</v>
      </c>
      <c r="O923" s="8">
        <v>218</v>
      </c>
      <c r="P923" s="8" t="s">
        <v>6945</v>
      </c>
      <c r="Q923" s="8" t="s">
        <v>4262</v>
      </c>
      <c r="R923" s="8">
        <v>0.25</v>
      </c>
      <c r="S923" s="8">
        <v>12940577</v>
      </c>
      <c r="T923" s="8" t="s">
        <v>24</v>
      </c>
      <c r="U923" s="8" t="s">
        <v>25</v>
      </c>
    </row>
    <row r="924" spans="1:21">
      <c r="A924" s="8" t="s">
        <v>6801</v>
      </c>
      <c r="B924" s="8" t="s">
        <v>3161</v>
      </c>
      <c r="C924" s="8">
        <v>84689</v>
      </c>
      <c r="D924" s="8" t="s">
        <v>83</v>
      </c>
      <c r="E924" s="8">
        <v>60184258</v>
      </c>
      <c r="F924" s="8">
        <v>60184258</v>
      </c>
      <c r="G924" s="8" t="s">
        <v>46</v>
      </c>
      <c r="H924" s="8" t="s">
        <v>25</v>
      </c>
      <c r="I924" s="8" t="s">
        <v>23</v>
      </c>
      <c r="J924" s="8" t="s">
        <v>6947</v>
      </c>
      <c r="K924" s="8" t="s">
        <v>6949</v>
      </c>
      <c r="L924" s="8" t="s">
        <v>19</v>
      </c>
      <c r="M924" s="8">
        <v>2382</v>
      </c>
      <c r="N924" s="8" t="s">
        <v>2541</v>
      </c>
      <c r="O924" s="8">
        <v>606</v>
      </c>
      <c r="P924" s="8" t="s">
        <v>6948</v>
      </c>
      <c r="Q924" s="8" t="s">
        <v>4262</v>
      </c>
      <c r="R924" s="8">
        <v>0.253</v>
      </c>
      <c r="S924" s="8">
        <v>60184258</v>
      </c>
      <c r="T924" s="8" t="s">
        <v>46</v>
      </c>
      <c r="U924" s="8" t="s">
        <v>25</v>
      </c>
    </row>
    <row r="925" spans="1:21">
      <c r="A925" s="8" t="s">
        <v>6801</v>
      </c>
      <c r="B925" s="8" t="s">
        <v>2474</v>
      </c>
      <c r="C925" s="8">
        <v>57010</v>
      </c>
      <c r="D925" s="8" t="s">
        <v>83</v>
      </c>
      <c r="E925" s="8">
        <v>67223871</v>
      </c>
      <c r="F925" s="8">
        <v>67223871</v>
      </c>
      <c r="G925" s="8" t="s">
        <v>24</v>
      </c>
      <c r="H925" s="8" t="s">
        <v>46</v>
      </c>
      <c r="I925" s="8" t="s">
        <v>23</v>
      </c>
      <c r="J925" s="8" t="s">
        <v>2475</v>
      </c>
      <c r="K925" s="8" t="s">
        <v>6951</v>
      </c>
      <c r="L925" s="8" t="s">
        <v>19</v>
      </c>
      <c r="M925" s="8">
        <v>576</v>
      </c>
      <c r="N925" s="8" t="s">
        <v>588</v>
      </c>
      <c r="O925" s="8">
        <v>167</v>
      </c>
      <c r="P925" s="8" t="s">
        <v>6950</v>
      </c>
      <c r="Q925" s="8" t="s">
        <v>4262</v>
      </c>
      <c r="R925" s="8">
        <v>0.19500000000000001</v>
      </c>
      <c r="S925" s="8">
        <v>67223871</v>
      </c>
      <c r="T925" s="8" t="s">
        <v>24</v>
      </c>
      <c r="U925" s="8" t="s">
        <v>46</v>
      </c>
    </row>
    <row r="926" spans="1:21">
      <c r="A926" s="8" t="s">
        <v>6801</v>
      </c>
      <c r="B926" s="8" t="s">
        <v>4078</v>
      </c>
      <c r="C926" s="8">
        <v>79659</v>
      </c>
      <c r="D926" s="8" t="s">
        <v>83</v>
      </c>
      <c r="E926" s="8">
        <v>103326007</v>
      </c>
      <c r="F926" s="8">
        <v>103326007</v>
      </c>
      <c r="G926" s="8" t="s">
        <v>46</v>
      </c>
      <c r="H926" s="8" t="s">
        <v>41</v>
      </c>
      <c r="I926" s="8" t="s">
        <v>23</v>
      </c>
      <c r="J926" s="8" t="s">
        <v>6952</v>
      </c>
      <c r="K926" s="8" t="s">
        <v>6954</v>
      </c>
      <c r="L926" s="8" t="s">
        <v>19</v>
      </c>
      <c r="M926" s="8">
        <v>12715</v>
      </c>
      <c r="N926" s="8" t="s">
        <v>560</v>
      </c>
      <c r="O926" s="8">
        <v>4191</v>
      </c>
      <c r="P926" s="8" t="s">
        <v>6953</v>
      </c>
      <c r="Q926" s="8" t="s">
        <v>4262</v>
      </c>
      <c r="R926" s="8">
        <v>0.23100000000000001</v>
      </c>
      <c r="S926" s="8">
        <v>103326007</v>
      </c>
      <c r="T926" s="8" t="s">
        <v>46</v>
      </c>
      <c r="U926" s="8" t="s">
        <v>41</v>
      </c>
    </row>
    <row r="927" spans="1:21">
      <c r="A927" s="8" t="s">
        <v>6801</v>
      </c>
      <c r="B927" s="8" t="s">
        <v>2215</v>
      </c>
      <c r="C927" s="8">
        <v>22897</v>
      </c>
      <c r="D927" s="8" t="s">
        <v>83</v>
      </c>
      <c r="E927" s="8">
        <v>117232681</v>
      </c>
      <c r="F927" s="8">
        <v>117232681</v>
      </c>
      <c r="G927" s="8" t="s">
        <v>46</v>
      </c>
      <c r="H927" s="8" t="s">
        <v>24</v>
      </c>
      <c r="I927" s="8" t="s">
        <v>23</v>
      </c>
      <c r="J927" s="8" t="s">
        <v>3158</v>
      </c>
      <c r="K927" s="8" t="s">
        <v>6955</v>
      </c>
      <c r="L927" s="8" t="s">
        <v>19</v>
      </c>
      <c r="M927" s="8">
        <v>671</v>
      </c>
      <c r="N927" s="8" t="s">
        <v>435</v>
      </c>
      <c r="O927" s="8">
        <v>175</v>
      </c>
      <c r="P927" s="8" t="s">
        <v>5419</v>
      </c>
      <c r="Q927" s="8" t="s">
        <v>4262</v>
      </c>
      <c r="R927" s="8">
        <v>0.247</v>
      </c>
      <c r="S927" s="8">
        <v>117232681</v>
      </c>
      <c r="T927" s="8" t="s">
        <v>46</v>
      </c>
      <c r="U927" s="8" t="s">
        <v>24</v>
      </c>
    </row>
    <row r="928" spans="1:21">
      <c r="A928" s="8" t="s">
        <v>6801</v>
      </c>
      <c r="B928" s="8" t="s">
        <v>3159</v>
      </c>
      <c r="C928" s="8">
        <v>219869</v>
      </c>
      <c r="D928" s="8" t="s">
        <v>83</v>
      </c>
      <c r="E928" s="8">
        <v>123901065</v>
      </c>
      <c r="F928" s="8">
        <v>123901065</v>
      </c>
      <c r="G928" s="8" t="s">
        <v>24</v>
      </c>
      <c r="H928" s="8" t="s">
        <v>25</v>
      </c>
      <c r="I928" s="8" t="s">
        <v>23</v>
      </c>
      <c r="J928" s="8" t="s">
        <v>3160</v>
      </c>
      <c r="K928" s="8" t="s">
        <v>6957</v>
      </c>
      <c r="L928" s="8" t="s">
        <v>19</v>
      </c>
      <c r="M928" s="8">
        <v>736</v>
      </c>
      <c r="N928" s="8" t="s">
        <v>171</v>
      </c>
      <c r="O928" s="8">
        <v>246</v>
      </c>
      <c r="P928" s="8" t="s">
        <v>6956</v>
      </c>
      <c r="Q928" s="8" t="s">
        <v>4262</v>
      </c>
      <c r="R928" s="8">
        <v>0.28599999999999998</v>
      </c>
      <c r="S928" s="8">
        <v>123901065</v>
      </c>
      <c r="T928" s="8" t="s">
        <v>24</v>
      </c>
      <c r="U928" s="8" t="s">
        <v>25</v>
      </c>
    </row>
    <row r="929" spans="1:21">
      <c r="A929" s="8" t="s">
        <v>6801</v>
      </c>
      <c r="B929" s="8" t="s">
        <v>3162</v>
      </c>
      <c r="C929" s="8">
        <v>11176</v>
      </c>
      <c r="D929" s="8" t="s">
        <v>104</v>
      </c>
      <c r="E929" s="8">
        <v>56997401</v>
      </c>
      <c r="F929" s="8">
        <v>56997401</v>
      </c>
      <c r="G929" s="8" t="s">
        <v>46</v>
      </c>
      <c r="H929" s="8" t="s">
        <v>41</v>
      </c>
      <c r="I929" s="8" t="s">
        <v>23</v>
      </c>
      <c r="J929" s="8" t="s">
        <v>3163</v>
      </c>
      <c r="K929" s="8" t="s">
        <v>6959</v>
      </c>
      <c r="L929" s="8" t="s">
        <v>19</v>
      </c>
      <c r="M929" s="8">
        <v>3322</v>
      </c>
      <c r="N929" s="8" t="s">
        <v>2664</v>
      </c>
      <c r="O929" s="8">
        <v>1043</v>
      </c>
      <c r="P929" s="8" t="s">
        <v>6958</v>
      </c>
      <c r="Q929" s="8" t="s">
        <v>4262</v>
      </c>
      <c r="R929" s="8">
        <v>0.30099999999999999</v>
      </c>
      <c r="S929" s="8">
        <v>56997401</v>
      </c>
      <c r="T929" s="8" t="s">
        <v>46</v>
      </c>
      <c r="U929" s="8" t="s">
        <v>41</v>
      </c>
    </row>
    <row r="930" spans="1:21">
      <c r="A930" s="8" t="s">
        <v>6801</v>
      </c>
      <c r="B930" s="8" t="s">
        <v>6960</v>
      </c>
      <c r="C930" s="8">
        <v>29953</v>
      </c>
      <c r="D930" s="8" t="s">
        <v>104</v>
      </c>
      <c r="E930" s="8">
        <v>72893348</v>
      </c>
      <c r="F930" s="8">
        <v>72893348</v>
      </c>
      <c r="G930" s="8" t="s">
        <v>46</v>
      </c>
      <c r="H930" s="8" t="s">
        <v>25</v>
      </c>
      <c r="I930" s="8" t="s">
        <v>23</v>
      </c>
      <c r="J930" s="8" t="s">
        <v>6961</v>
      </c>
      <c r="K930" s="8" t="s">
        <v>6963</v>
      </c>
      <c r="L930" s="8" t="s">
        <v>19</v>
      </c>
      <c r="M930" s="8">
        <v>1550</v>
      </c>
      <c r="N930" s="8" t="s">
        <v>900</v>
      </c>
      <c r="O930" s="8">
        <v>507</v>
      </c>
      <c r="P930" s="8" t="s">
        <v>6962</v>
      </c>
      <c r="Q930" s="8" t="s">
        <v>4262</v>
      </c>
      <c r="R930" s="8">
        <v>0.16200000000000001</v>
      </c>
      <c r="S930" s="8">
        <v>72893348</v>
      </c>
      <c r="T930" s="8" t="s">
        <v>46</v>
      </c>
      <c r="U930" s="8" t="s">
        <v>25</v>
      </c>
    </row>
    <row r="931" spans="1:21">
      <c r="A931" s="8" t="s">
        <v>6801</v>
      </c>
      <c r="B931" s="8" t="s">
        <v>6964</v>
      </c>
      <c r="C931" s="8">
        <v>80184</v>
      </c>
      <c r="D931" s="8" t="s">
        <v>104</v>
      </c>
      <c r="E931" s="8">
        <v>88500560</v>
      </c>
      <c r="F931" s="8">
        <v>88500560</v>
      </c>
      <c r="G931" s="8" t="s">
        <v>41</v>
      </c>
      <c r="H931" s="8" t="s">
        <v>24</v>
      </c>
      <c r="I931" s="8" t="s">
        <v>23</v>
      </c>
      <c r="J931" s="8" t="s">
        <v>6965</v>
      </c>
      <c r="K931" s="8" t="s">
        <v>6967</v>
      </c>
      <c r="L931" s="8" t="s">
        <v>19</v>
      </c>
      <c r="M931" s="8">
        <v>3053</v>
      </c>
      <c r="N931" s="8" t="s">
        <v>3813</v>
      </c>
      <c r="O931" s="8">
        <v>903</v>
      </c>
      <c r="P931" s="8" t="s">
        <v>6966</v>
      </c>
      <c r="Q931" s="8" t="s">
        <v>4262</v>
      </c>
      <c r="R931" s="8">
        <v>0.22900000000000001</v>
      </c>
      <c r="S931" s="8">
        <v>88500560</v>
      </c>
      <c r="T931" s="8" t="s">
        <v>41</v>
      </c>
      <c r="U931" s="8" t="s">
        <v>24</v>
      </c>
    </row>
    <row r="932" spans="1:21">
      <c r="A932" s="8" t="s">
        <v>6801</v>
      </c>
      <c r="B932" s="8" t="s">
        <v>3166</v>
      </c>
      <c r="C932" s="8">
        <v>84101</v>
      </c>
      <c r="D932" s="8" t="s">
        <v>104</v>
      </c>
      <c r="E932" s="8">
        <v>95927932</v>
      </c>
      <c r="F932" s="8">
        <v>95927932</v>
      </c>
      <c r="G932" s="8" t="s">
        <v>24</v>
      </c>
      <c r="H932" s="8" t="s">
        <v>25</v>
      </c>
      <c r="I932" s="8" t="s">
        <v>23</v>
      </c>
      <c r="J932" s="8" t="s">
        <v>6968</v>
      </c>
      <c r="K932" s="8" t="s">
        <v>6970</v>
      </c>
      <c r="L932" s="8" t="s">
        <v>19</v>
      </c>
      <c r="M932" s="8">
        <v>245</v>
      </c>
      <c r="N932" s="8" t="s">
        <v>741</v>
      </c>
      <c r="O932" s="8">
        <v>34</v>
      </c>
      <c r="P932" s="8" t="s">
        <v>6969</v>
      </c>
      <c r="Q932" s="8" t="s">
        <v>4262</v>
      </c>
      <c r="R932" s="8">
        <v>0.23</v>
      </c>
      <c r="S932" s="8">
        <v>95927932</v>
      </c>
      <c r="T932" s="8" t="s">
        <v>24</v>
      </c>
      <c r="U932" s="8" t="s">
        <v>25</v>
      </c>
    </row>
    <row r="933" spans="1:21">
      <c r="A933" s="8" t="s">
        <v>6801</v>
      </c>
      <c r="B933" s="8" t="s">
        <v>6971</v>
      </c>
      <c r="C933" s="8">
        <v>10082</v>
      </c>
      <c r="D933" s="8" t="s">
        <v>339</v>
      </c>
      <c r="E933" s="8">
        <v>94197536</v>
      </c>
      <c r="F933" s="8">
        <v>94197536</v>
      </c>
      <c r="G933" s="8" t="s">
        <v>46</v>
      </c>
      <c r="H933" s="8" t="s">
        <v>41</v>
      </c>
      <c r="I933" s="8" t="s">
        <v>23</v>
      </c>
      <c r="J933" s="8" t="s">
        <v>6972</v>
      </c>
      <c r="K933" s="8" t="s">
        <v>6974</v>
      </c>
      <c r="L933" s="8" t="s">
        <v>19</v>
      </c>
      <c r="M933" s="8">
        <v>813</v>
      </c>
      <c r="N933" s="8" t="s">
        <v>415</v>
      </c>
      <c r="O933" s="8">
        <v>61</v>
      </c>
      <c r="P933" s="8" t="s">
        <v>6973</v>
      </c>
      <c r="Q933" s="8" t="s">
        <v>4262</v>
      </c>
      <c r="R933" s="8">
        <v>0.14000000000000001</v>
      </c>
      <c r="S933" s="8">
        <v>94197536</v>
      </c>
      <c r="T933" s="8" t="s">
        <v>46</v>
      </c>
      <c r="U933" s="8" t="s">
        <v>41</v>
      </c>
    </row>
    <row r="934" spans="1:21">
      <c r="A934" s="8" t="s">
        <v>6801</v>
      </c>
      <c r="B934" s="8" t="s">
        <v>3167</v>
      </c>
      <c r="C934" s="8">
        <v>6049</v>
      </c>
      <c r="D934" s="8" t="s">
        <v>339</v>
      </c>
      <c r="E934" s="8">
        <v>26788721</v>
      </c>
      <c r="F934" s="8">
        <v>26788721</v>
      </c>
      <c r="G934" s="8" t="s">
        <v>24</v>
      </c>
      <c r="H934" s="8" t="s">
        <v>25</v>
      </c>
      <c r="I934" s="8" t="s">
        <v>23</v>
      </c>
      <c r="J934" s="8" t="s">
        <v>6975</v>
      </c>
      <c r="K934" s="8" t="s">
        <v>6977</v>
      </c>
      <c r="L934" s="8" t="s">
        <v>19</v>
      </c>
      <c r="M934" s="8">
        <v>1768</v>
      </c>
      <c r="N934" s="8" t="s">
        <v>96</v>
      </c>
      <c r="O934" s="8">
        <v>433</v>
      </c>
      <c r="P934" s="8" t="s">
        <v>6976</v>
      </c>
      <c r="Q934" s="8" t="s">
        <v>4262</v>
      </c>
      <c r="R934" s="8">
        <v>0.21099999999999999</v>
      </c>
      <c r="S934" s="8">
        <v>26788721</v>
      </c>
      <c r="T934" s="8" t="s">
        <v>24</v>
      </c>
      <c r="U934" s="8" t="s">
        <v>25</v>
      </c>
    </row>
    <row r="935" spans="1:21">
      <c r="A935" s="8" t="s">
        <v>6801</v>
      </c>
      <c r="B935" s="8" t="s">
        <v>6978</v>
      </c>
      <c r="C935" s="8">
        <v>2963</v>
      </c>
      <c r="D935" s="8" t="s">
        <v>339</v>
      </c>
      <c r="E935" s="8">
        <v>45725864</v>
      </c>
      <c r="F935" s="8">
        <v>45725864</v>
      </c>
      <c r="G935" s="8" t="s">
        <v>25</v>
      </c>
      <c r="H935" s="8" t="s">
        <v>24</v>
      </c>
      <c r="I935" s="8" t="s">
        <v>23</v>
      </c>
      <c r="J935" s="8" t="s">
        <v>6979</v>
      </c>
      <c r="K935" s="8" t="s">
        <v>6981</v>
      </c>
      <c r="L935" s="8" t="s">
        <v>19</v>
      </c>
      <c r="M935" s="8">
        <v>362</v>
      </c>
      <c r="N935" s="8" t="s">
        <v>2976</v>
      </c>
      <c r="O935" s="8">
        <v>68</v>
      </c>
      <c r="P935" s="8" t="s">
        <v>6980</v>
      </c>
      <c r="Q935" s="8" t="s">
        <v>4262</v>
      </c>
      <c r="R935" s="8">
        <v>6.8000000000000005E-2</v>
      </c>
      <c r="S935" s="8">
        <v>45725864</v>
      </c>
      <c r="T935" s="8" t="s">
        <v>25</v>
      </c>
      <c r="U935" s="8" t="s">
        <v>24</v>
      </c>
    </row>
    <row r="936" spans="1:21">
      <c r="A936" s="8" t="s">
        <v>6801</v>
      </c>
      <c r="B936" s="8" t="s">
        <v>3171</v>
      </c>
      <c r="C936" s="8">
        <v>55745</v>
      </c>
      <c r="D936" s="8" t="s">
        <v>118</v>
      </c>
      <c r="E936" s="8">
        <v>57741194</v>
      </c>
      <c r="F936" s="8">
        <v>57741194</v>
      </c>
      <c r="G936" s="8" t="s">
        <v>24</v>
      </c>
      <c r="H936" s="8" t="s">
        <v>25</v>
      </c>
      <c r="I936" s="8" t="s">
        <v>23</v>
      </c>
      <c r="J936" s="8" t="s">
        <v>3172</v>
      </c>
      <c r="K936" s="8" t="s">
        <v>6983</v>
      </c>
      <c r="L936" s="8" t="s">
        <v>19</v>
      </c>
      <c r="M936" s="8">
        <v>734</v>
      </c>
      <c r="N936" s="8" t="s">
        <v>485</v>
      </c>
      <c r="O936" s="8">
        <v>103</v>
      </c>
      <c r="P936" s="8" t="s">
        <v>6982</v>
      </c>
      <c r="Q936" s="8" t="s">
        <v>4262</v>
      </c>
      <c r="R936" s="8">
        <v>0.26100000000000001</v>
      </c>
      <c r="S936" s="8">
        <v>57741194</v>
      </c>
      <c r="T936" s="8" t="s">
        <v>24</v>
      </c>
      <c r="U936" s="8" t="s">
        <v>25</v>
      </c>
    </row>
    <row r="937" spans="1:21">
      <c r="A937" s="8" t="s">
        <v>6801</v>
      </c>
      <c r="B937" s="8" t="s">
        <v>3471</v>
      </c>
      <c r="C937" s="8">
        <v>23503</v>
      </c>
      <c r="D937" s="8" t="s">
        <v>118</v>
      </c>
      <c r="E937" s="8">
        <v>68270830</v>
      </c>
      <c r="F937" s="8">
        <v>68270830</v>
      </c>
      <c r="G937" s="8" t="s">
        <v>24</v>
      </c>
      <c r="H937" s="8" t="s">
        <v>25</v>
      </c>
      <c r="I937" s="8" t="s">
        <v>23</v>
      </c>
      <c r="J937" s="8" t="s">
        <v>3472</v>
      </c>
      <c r="K937" s="8" t="s">
        <v>5766</v>
      </c>
      <c r="L937" s="8" t="s">
        <v>76</v>
      </c>
      <c r="M937" s="8">
        <v>1562</v>
      </c>
      <c r="N937" s="8" t="s">
        <v>371</v>
      </c>
      <c r="O937" s="8">
        <v>475</v>
      </c>
      <c r="P937" s="8" t="s">
        <v>6984</v>
      </c>
      <c r="Q937" s="8" t="s">
        <v>4262</v>
      </c>
      <c r="R937" s="8">
        <v>0.30299999999999999</v>
      </c>
      <c r="S937" s="8">
        <v>68270830</v>
      </c>
      <c r="T937" s="8" t="s">
        <v>24</v>
      </c>
      <c r="U937" s="8" t="s">
        <v>25</v>
      </c>
    </row>
    <row r="938" spans="1:21">
      <c r="A938" s="8" t="s">
        <v>6801</v>
      </c>
      <c r="B938" s="8" t="s">
        <v>3247</v>
      </c>
      <c r="C938" s="8">
        <v>55237</v>
      </c>
      <c r="D938" s="8" t="s">
        <v>118</v>
      </c>
      <c r="E938" s="8">
        <v>74824801</v>
      </c>
      <c r="F938" s="8">
        <v>74824801</v>
      </c>
      <c r="G938" s="8" t="s">
        <v>41</v>
      </c>
      <c r="H938" s="8" t="s">
        <v>46</v>
      </c>
      <c r="I938" s="8" t="s">
        <v>23</v>
      </c>
      <c r="J938" s="8" t="s">
        <v>3248</v>
      </c>
      <c r="K938" s="8" t="s">
        <v>6986</v>
      </c>
      <c r="L938" s="8" t="s">
        <v>19</v>
      </c>
      <c r="M938" s="8">
        <v>1506</v>
      </c>
      <c r="N938" s="8" t="s">
        <v>3018</v>
      </c>
      <c r="O938" s="8">
        <v>439</v>
      </c>
      <c r="P938" s="8" t="s">
        <v>6985</v>
      </c>
      <c r="Q938" s="8" t="s">
        <v>4262</v>
      </c>
      <c r="R938" s="8">
        <v>0.219</v>
      </c>
      <c r="S938" s="8">
        <v>74824801</v>
      </c>
      <c r="T938" s="8" t="s">
        <v>41</v>
      </c>
      <c r="U938" s="8" t="s">
        <v>46</v>
      </c>
    </row>
    <row r="939" spans="1:21">
      <c r="A939" s="8" t="s">
        <v>6801</v>
      </c>
      <c r="B939" s="8" t="s">
        <v>3173</v>
      </c>
      <c r="C939" s="8">
        <v>55102</v>
      </c>
      <c r="D939" s="8" t="s">
        <v>118</v>
      </c>
      <c r="E939" s="8">
        <v>96789044</v>
      </c>
      <c r="F939" s="8">
        <v>96789044</v>
      </c>
      <c r="G939" s="8" t="s">
        <v>41</v>
      </c>
      <c r="H939" s="8" t="s">
        <v>24</v>
      </c>
      <c r="I939" s="8" t="s">
        <v>23</v>
      </c>
      <c r="J939" s="8" t="s">
        <v>3174</v>
      </c>
      <c r="K939" s="8" t="s">
        <v>6988</v>
      </c>
      <c r="L939" s="8" t="s">
        <v>19</v>
      </c>
      <c r="M939" s="8">
        <v>2934</v>
      </c>
      <c r="N939" s="8" t="s">
        <v>3175</v>
      </c>
      <c r="O939" s="8">
        <v>857</v>
      </c>
      <c r="P939" s="8" t="s">
        <v>6987</v>
      </c>
      <c r="Q939" s="8" t="s">
        <v>4262</v>
      </c>
      <c r="R939" s="8">
        <v>0.29499999999999998</v>
      </c>
      <c r="S939" s="8">
        <v>96789044</v>
      </c>
      <c r="T939" s="8" t="s">
        <v>41</v>
      </c>
      <c r="U939" s="8" t="s">
        <v>24</v>
      </c>
    </row>
    <row r="940" spans="1:21">
      <c r="A940" s="8" t="s">
        <v>6801</v>
      </c>
      <c r="B940" s="8" t="s">
        <v>6989</v>
      </c>
      <c r="C940" s="8">
        <v>10278</v>
      </c>
      <c r="D940" s="8" t="s">
        <v>118</v>
      </c>
      <c r="E940" s="8">
        <v>23829864</v>
      </c>
      <c r="F940" s="8">
        <v>23829864</v>
      </c>
      <c r="G940" s="8" t="s">
        <v>25</v>
      </c>
      <c r="H940" s="8" t="s">
        <v>24</v>
      </c>
      <c r="I940" s="8" t="s">
        <v>23</v>
      </c>
      <c r="J940" s="8" t="s">
        <v>6990</v>
      </c>
      <c r="K940" s="8" t="s">
        <v>6992</v>
      </c>
      <c r="L940" s="8" t="s">
        <v>19</v>
      </c>
      <c r="M940" s="8">
        <v>805</v>
      </c>
      <c r="N940" s="8" t="s">
        <v>329</v>
      </c>
      <c r="O940" s="8">
        <v>66</v>
      </c>
      <c r="P940" s="8" t="s">
        <v>6991</v>
      </c>
      <c r="Q940" s="8" t="s">
        <v>4262</v>
      </c>
      <c r="R940" s="8">
        <v>0.188</v>
      </c>
      <c r="S940" s="8">
        <v>23829864</v>
      </c>
      <c r="T940" s="8" t="s">
        <v>25</v>
      </c>
      <c r="U940" s="8" t="s">
        <v>24</v>
      </c>
    </row>
    <row r="941" spans="1:21">
      <c r="A941" s="8" t="s">
        <v>6801</v>
      </c>
      <c r="B941" s="8" t="s">
        <v>3169</v>
      </c>
      <c r="C941" s="8">
        <v>4625</v>
      </c>
      <c r="D941" s="8" t="s">
        <v>118</v>
      </c>
      <c r="E941" s="8">
        <v>23885267</v>
      </c>
      <c r="F941" s="8">
        <v>23885267</v>
      </c>
      <c r="G941" s="8" t="s">
        <v>24</v>
      </c>
      <c r="H941" s="8" t="s">
        <v>41</v>
      </c>
      <c r="I941" s="8" t="s">
        <v>23</v>
      </c>
      <c r="J941" s="8" t="s">
        <v>3170</v>
      </c>
      <c r="K941" s="8" t="s">
        <v>6994</v>
      </c>
      <c r="L941" s="8" t="s">
        <v>19</v>
      </c>
      <c r="M941" s="8">
        <v>5001</v>
      </c>
      <c r="N941" s="8" t="s">
        <v>783</v>
      </c>
      <c r="O941" s="8">
        <v>1633</v>
      </c>
      <c r="P941" s="8" t="s">
        <v>6993</v>
      </c>
      <c r="Q941" s="8" t="s">
        <v>4262</v>
      </c>
      <c r="R941" s="8">
        <v>0.309</v>
      </c>
      <c r="S941" s="8">
        <v>23885267</v>
      </c>
      <c r="T941" s="8" t="s">
        <v>24</v>
      </c>
      <c r="U941" s="8" t="s">
        <v>41</v>
      </c>
    </row>
    <row r="942" spans="1:21">
      <c r="A942" s="8" t="s">
        <v>6801</v>
      </c>
      <c r="B942" s="8" t="s">
        <v>3752</v>
      </c>
      <c r="C942" s="8">
        <v>23116</v>
      </c>
      <c r="D942" s="8" t="s">
        <v>118</v>
      </c>
      <c r="E942" s="8">
        <v>45433333</v>
      </c>
      <c r="F942" s="8">
        <v>45433333</v>
      </c>
      <c r="G942" s="8" t="s">
        <v>25</v>
      </c>
      <c r="H942" s="8" t="s">
        <v>46</v>
      </c>
      <c r="I942" s="8" t="s">
        <v>23</v>
      </c>
      <c r="J942" s="8" t="s">
        <v>3753</v>
      </c>
      <c r="K942" s="8" t="s">
        <v>6996</v>
      </c>
      <c r="L942" s="8" t="s">
        <v>19</v>
      </c>
      <c r="M942" s="8">
        <v>1918</v>
      </c>
      <c r="N942" s="8" t="s">
        <v>944</v>
      </c>
      <c r="O942" s="8">
        <v>570</v>
      </c>
      <c r="P942" s="8" t="s">
        <v>6995</v>
      </c>
      <c r="Q942" s="8" t="s">
        <v>4262</v>
      </c>
      <c r="R942" s="8">
        <v>0.13900000000000001</v>
      </c>
      <c r="S942" s="8">
        <v>45433333</v>
      </c>
      <c r="T942" s="8" t="s">
        <v>25</v>
      </c>
      <c r="U942" s="8" t="s">
        <v>46</v>
      </c>
    </row>
    <row r="943" spans="1:21">
      <c r="A943" s="8" t="s">
        <v>6801</v>
      </c>
      <c r="B943" s="8" t="s">
        <v>6997</v>
      </c>
      <c r="C943" s="8">
        <v>4058</v>
      </c>
      <c r="D943" s="8" t="s">
        <v>120</v>
      </c>
      <c r="E943" s="8">
        <v>41804446</v>
      </c>
      <c r="F943" s="8">
        <v>41804446</v>
      </c>
      <c r="G943" s="8" t="s">
        <v>24</v>
      </c>
      <c r="H943" s="8" t="s">
        <v>41</v>
      </c>
      <c r="I943" s="8" t="s">
        <v>23</v>
      </c>
      <c r="J943" s="8" t="s">
        <v>6998</v>
      </c>
      <c r="K943" s="8" t="s">
        <v>7000</v>
      </c>
      <c r="L943" s="8" t="s">
        <v>19</v>
      </c>
      <c r="M943" s="8">
        <v>555</v>
      </c>
      <c r="N943" s="8" t="s">
        <v>3048</v>
      </c>
      <c r="O943" s="8">
        <v>126</v>
      </c>
      <c r="P943" s="8" t="s">
        <v>6999</v>
      </c>
      <c r="Q943" s="8" t="s">
        <v>4262</v>
      </c>
      <c r="R943" s="8">
        <v>0.375</v>
      </c>
      <c r="S943" s="8">
        <v>41804446</v>
      </c>
      <c r="T943" s="8" t="s">
        <v>24</v>
      </c>
      <c r="U943" s="8" t="s">
        <v>41</v>
      </c>
    </row>
    <row r="944" spans="1:21">
      <c r="A944" s="8" t="s">
        <v>6801</v>
      </c>
      <c r="B944" s="8" t="s">
        <v>1924</v>
      </c>
      <c r="C944" s="8">
        <v>7249</v>
      </c>
      <c r="D944" s="8" t="s">
        <v>129</v>
      </c>
      <c r="E944" s="8">
        <v>2122848</v>
      </c>
      <c r="F944" s="8">
        <v>2122848</v>
      </c>
      <c r="G944" s="8" t="s">
        <v>25</v>
      </c>
      <c r="H944" s="8" t="s">
        <v>41</v>
      </c>
      <c r="I944" s="8" t="s">
        <v>23</v>
      </c>
      <c r="J944" s="8" t="s">
        <v>5801</v>
      </c>
      <c r="K944" s="8" t="s">
        <v>5803</v>
      </c>
      <c r="L944" s="8" t="s">
        <v>68</v>
      </c>
      <c r="M944" s="8">
        <v>0</v>
      </c>
      <c r="N944" s="8" t="s">
        <v>35</v>
      </c>
      <c r="O944" s="8">
        <v>0</v>
      </c>
      <c r="P944" s="8" t="s">
        <v>35</v>
      </c>
      <c r="Q944" s="8" t="s">
        <v>7001</v>
      </c>
      <c r="R944" s="8">
        <v>0.41399999999999998</v>
      </c>
      <c r="S944" s="8">
        <v>2122848</v>
      </c>
      <c r="T944" s="8" t="s">
        <v>25</v>
      </c>
      <c r="U944" s="8" t="s">
        <v>41</v>
      </c>
    </row>
    <row r="945" spans="1:21">
      <c r="A945" s="8" t="s">
        <v>6801</v>
      </c>
      <c r="B945" s="8" t="s">
        <v>3176</v>
      </c>
      <c r="C945" s="8">
        <v>197407</v>
      </c>
      <c r="D945" s="8" t="s">
        <v>129</v>
      </c>
      <c r="E945" s="8">
        <v>30410040</v>
      </c>
      <c r="F945" s="8">
        <v>30410040</v>
      </c>
      <c r="G945" s="8" t="s">
        <v>25</v>
      </c>
      <c r="H945" s="8" t="s">
        <v>24</v>
      </c>
      <c r="I945" s="8" t="s">
        <v>23</v>
      </c>
      <c r="J945" s="8" t="s">
        <v>7002</v>
      </c>
      <c r="K945" s="8" t="s">
        <v>7004</v>
      </c>
      <c r="L945" s="8" t="s">
        <v>19</v>
      </c>
      <c r="M945" s="8">
        <v>1583</v>
      </c>
      <c r="N945" s="8" t="s">
        <v>551</v>
      </c>
      <c r="O945" s="8">
        <v>490</v>
      </c>
      <c r="P945" s="8" t="s">
        <v>7003</v>
      </c>
      <c r="Q945" s="8" t="s">
        <v>4262</v>
      </c>
      <c r="R945" s="8">
        <v>0.39700000000000002</v>
      </c>
      <c r="S945" s="8">
        <v>30410040</v>
      </c>
      <c r="T945" s="8" t="s">
        <v>25</v>
      </c>
      <c r="U945" s="8" t="s">
        <v>24</v>
      </c>
    </row>
    <row r="946" spans="1:21">
      <c r="A946" s="8" t="s">
        <v>6801</v>
      </c>
      <c r="B946" s="8" t="s">
        <v>3179</v>
      </c>
      <c r="C946" s="8">
        <v>57409</v>
      </c>
      <c r="D946" s="8" t="s">
        <v>133</v>
      </c>
      <c r="E946" s="8">
        <v>73262997</v>
      </c>
      <c r="F946" s="8">
        <v>73262997</v>
      </c>
      <c r="G946" s="8" t="s">
        <v>41</v>
      </c>
      <c r="H946" s="8" t="s">
        <v>46</v>
      </c>
      <c r="I946" s="8" t="s">
        <v>23</v>
      </c>
      <c r="J946" s="8" t="s">
        <v>7005</v>
      </c>
      <c r="K946" s="8" t="s">
        <v>7007</v>
      </c>
      <c r="L946" s="8" t="s">
        <v>19</v>
      </c>
      <c r="M946" s="8">
        <v>753</v>
      </c>
      <c r="N946" s="8" t="s">
        <v>974</v>
      </c>
      <c r="O946" s="8">
        <v>206</v>
      </c>
      <c r="P946" s="8" t="s">
        <v>7006</v>
      </c>
      <c r="Q946" s="8" t="s">
        <v>4262</v>
      </c>
      <c r="R946" s="8">
        <v>0.224</v>
      </c>
      <c r="S946" s="8">
        <v>73262997</v>
      </c>
      <c r="T946" s="8" t="s">
        <v>41</v>
      </c>
      <c r="U946" s="8" t="s">
        <v>46</v>
      </c>
    </row>
    <row r="947" spans="1:21">
      <c r="A947" s="8" t="s">
        <v>6801</v>
      </c>
      <c r="B947" s="8" t="s">
        <v>7008</v>
      </c>
      <c r="C947" s="8">
        <v>3993</v>
      </c>
      <c r="D947" s="8" t="s">
        <v>133</v>
      </c>
      <c r="E947" s="8">
        <v>73567825</v>
      </c>
      <c r="F947" s="8">
        <v>73567825</v>
      </c>
      <c r="G947" s="8" t="s">
        <v>24</v>
      </c>
      <c r="H947" s="8" t="s">
        <v>25</v>
      </c>
      <c r="I947" s="8" t="s">
        <v>23</v>
      </c>
      <c r="J947" s="8" t="s">
        <v>7009</v>
      </c>
      <c r="K947" s="8" t="s">
        <v>7011</v>
      </c>
      <c r="L947" s="8" t="s">
        <v>19</v>
      </c>
      <c r="M947" s="8">
        <v>2408</v>
      </c>
      <c r="N947" s="8" t="s">
        <v>155</v>
      </c>
      <c r="O947" s="8">
        <v>752</v>
      </c>
      <c r="P947" s="8" t="s">
        <v>7010</v>
      </c>
      <c r="Q947" s="8" t="s">
        <v>4262</v>
      </c>
      <c r="R947" s="8">
        <v>0.154</v>
      </c>
      <c r="S947" s="8">
        <v>73567825</v>
      </c>
      <c r="T947" s="8" t="s">
        <v>24</v>
      </c>
      <c r="U947" s="8" t="s">
        <v>25</v>
      </c>
    </row>
    <row r="948" spans="1:21">
      <c r="A948" s="8" t="s">
        <v>6801</v>
      </c>
      <c r="B948" s="8" t="s">
        <v>130</v>
      </c>
      <c r="C948" s="8">
        <v>7157</v>
      </c>
      <c r="D948" s="8" t="s">
        <v>133</v>
      </c>
      <c r="E948" s="8">
        <v>7579362</v>
      </c>
      <c r="F948" s="8">
        <v>7579362</v>
      </c>
      <c r="G948" s="8" t="s">
        <v>25</v>
      </c>
      <c r="H948" s="8" t="s">
        <v>46</v>
      </c>
      <c r="I948" s="8" t="s">
        <v>23</v>
      </c>
      <c r="J948" s="8" t="s">
        <v>5804</v>
      </c>
      <c r="K948" s="8" t="s">
        <v>5807</v>
      </c>
      <c r="L948" s="8" t="s">
        <v>19</v>
      </c>
      <c r="M948" s="8">
        <v>522</v>
      </c>
      <c r="N948" s="8" t="s">
        <v>2861</v>
      </c>
      <c r="O948" s="8">
        <v>109</v>
      </c>
      <c r="P948" s="8" t="s">
        <v>7012</v>
      </c>
      <c r="Q948" s="8" t="s">
        <v>7013</v>
      </c>
      <c r="R948" s="8">
        <v>0.37</v>
      </c>
      <c r="S948" s="8">
        <v>7579362</v>
      </c>
      <c r="T948" s="8" t="s">
        <v>25</v>
      </c>
      <c r="U948" s="8" t="s">
        <v>46</v>
      </c>
    </row>
    <row r="949" spans="1:21">
      <c r="A949" s="8" t="s">
        <v>6801</v>
      </c>
      <c r="B949" s="8" t="s">
        <v>4221</v>
      </c>
      <c r="C949" s="8">
        <v>400629</v>
      </c>
      <c r="D949" s="8" t="s">
        <v>133</v>
      </c>
      <c r="E949" s="8">
        <v>80320360</v>
      </c>
      <c r="F949" s="8">
        <v>80320360</v>
      </c>
      <c r="G949" s="8" t="s">
        <v>24</v>
      </c>
      <c r="H949" s="8" t="s">
        <v>41</v>
      </c>
      <c r="I949" s="8" t="s">
        <v>23</v>
      </c>
      <c r="J949" s="8" t="s">
        <v>7014</v>
      </c>
      <c r="K949" s="8" t="s">
        <v>7016</v>
      </c>
      <c r="L949" s="8" t="s">
        <v>19</v>
      </c>
      <c r="M949" s="8">
        <v>644</v>
      </c>
      <c r="N949" s="8" t="s">
        <v>883</v>
      </c>
      <c r="O949" s="8">
        <v>112</v>
      </c>
      <c r="P949" s="8" t="s">
        <v>7015</v>
      </c>
      <c r="Q949" s="8" t="s">
        <v>4262</v>
      </c>
      <c r="R949" s="8">
        <v>0.215</v>
      </c>
      <c r="S949" s="8">
        <v>80320360</v>
      </c>
      <c r="T949" s="8" t="s">
        <v>24</v>
      </c>
      <c r="U949" s="8" t="s">
        <v>41</v>
      </c>
    </row>
    <row r="950" spans="1:21">
      <c r="A950" s="8" t="s">
        <v>6801</v>
      </c>
      <c r="B950" s="8" t="s">
        <v>7017</v>
      </c>
      <c r="C950" s="8">
        <v>399687</v>
      </c>
      <c r="D950" s="8" t="s">
        <v>133</v>
      </c>
      <c r="E950" s="8">
        <v>27493400</v>
      </c>
      <c r="F950" s="8">
        <v>27493400</v>
      </c>
      <c r="G950" s="8" t="s">
        <v>24</v>
      </c>
      <c r="H950" s="8" t="s">
        <v>41</v>
      </c>
      <c r="I950" s="8" t="s">
        <v>23</v>
      </c>
      <c r="J950" s="8" t="s">
        <v>7018</v>
      </c>
      <c r="K950" s="8" t="s">
        <v>7020</v>
      </c>
      <c r="L950" s="8" t="s">
        <v>19</v>
      </c>
      <c r="M950" s="8">
        <v>717</v>
      </c>
      <c r="N950" s="8" t="s">
        <v>379</v>
      </c>
      <c r="O950" s="8">
        <v>187</v>
      </c>
      <c r="P950" s="8" t="s">
        <v>7019</v>
      </c>
      <c r="Q950" s="8" t="s">
        <v>4262</v>
      </c>
      <c r="R950" s="8">
        <v>0.26100000000000001</v>
      </c>
      <c r="S950" s="8">
        <v>27493400</v>
      </c>
      <c r="T950" s="8" t="s">
        <v>24</v>
      </c>
      <c r="U950" s="8" t="s">
        <v>41</v>
      </c>
    </row>
    <row r="951" spans="1:21">
      <c r="A951" s="8" t="s">
        <v>6801</v>
      </c>
      <c r="B951" s="8" t="s">
        <v>7021</v>
      </c>
      <c r="C951" s="8">
        <v>489</v>
      </c>
      <c r="D951" s="8" t="s">
        <v>133</v>
      </c>
      <c r="E951" s="8">
        <v>3839690</v>
      </c>
      <c r="F951" s="8">
        <v>3839690</v>
      </c>
      <c r="G951" s="8" t="s">
        <v>41</v>
      </c>
      <c r="H951" s="8" t="s">
        <v>24</v>
      </c>
      <c r="I951" s="8" t="s">
        <v>23</v>
      </c>
      <c r="J951" s="8" t="s">
        <v>7022</v>
      </c>
      <c r="K951" s="8" t="s">
        <v>7024</v>
      </c>
      <c r="L951" s="8" t="s">
        <v>19</v>
      </c>
      <c r="M951" s="8">
        <v>2546</v>
      </c>
      <c r="N951" s="8" t="s">
        <v>3431</v>
      </c>
      <c r="O951" s="8">
        <v>799</v>
      </c>
      <c r="P951" s="8" t="s">
        <v>7023</v>
      </c>
      <c r="Q951" s="8" t="s">
        <v>4262</v>
      </c>
      <c r="R951" s="8">
        <v>0.22900000000000001</v>
      </c>
      <c r="S951" s="8">
        <v>3839690</v>
      </c>
      <c r="T951" s="8" t="s">
        <v>41</v>
      </c>
      <c r="U951" s="8" t="s">
        <v>24</v>
      </c>
    </row>
    <row r="952" spans="1:21">
      <c r="A952" s="8" t="s">
        <v>6801</v>
      </c>
      <c r="B952" s="8" t="s">
        <v>2549</v>
      </c>
      <c r="C952" s="8">
        <v>3857</v>
      </c>
      <c r="D952" s="8" t="s">
        <v>133</v>
      </c>
      <c r="E952" s="8">
        <v>39727995</v>
      </c>
      <c r="F952" s="8">
        <v>39727995</v>
      </c>
      <c r="G952" s="8" t="s">
        <v>41</v>
      </c>
      <c r="H952" s="8" t="s">
        <v>25</v>
      </c>
      <c r="I952" s="8" t="s">
        <v>23</v>
      </c>
      <c r="J952" s="8" t="s">
        <v>2550</v>
      </c>
      <c r="K952" s="8" t="s">
        <v>7026</v>
      </c>
      <c r="L952" s="8" t="s">
        <v>19</v>
      </c>
      <c r="M952" s="8">
        <v>316</v>
      </c>
      <c r="N952" s="8" t="s">
        <v>3177</v>
      </c>
      <c r="O952" s="8">
        <v>84</v>
      </c>
      <c r="P952" s="8" t="s">
        <v>7025</v>
      </c>
      <c r="Q952" s="8" t="s">
        <v>4262</v>
      </c>
      <c r="R952" s="8">
        <v>0.34100000000000003</v>
      </c>
      <c r="S952" s="8">
        <v>39727995</v>
      </c>
      <c r="T952" s="8" t="s">
        <v>41</v>
      </c>
      <c r="U952" s="8" t="s">
        <v>25</v>
      </c>
    </row>
    <row r="953" spans="1:21">
      <c r="A953" s="8" t="s">
        <v>6801</v>
      </c>
      <c r="B953" s="8" t="s">
        <v>3178</v>
      </c>
      <c r="C953" s="8">
        <v>255061</v>
      </c>
      <c r="D953" s="8" t="s">
        <v>133</v>
      </c>
      <c r="E953" s="8">
        <v>47918918</v>
      </c>
      <c r="F953" s="8">
        <v>47918918</v>
      </c>
      <c r="G953" s="8" t="s">
        <v>41</v>
      </c>
      <c r="H953" s="8" t="s">
        <v>25</v>
      </c>
      <c r="I953" s="8" t="s">
        <v>23</v>
      </c>
      <c r="J953" s="8" t="s">
        <v>7027</v>
      </c>
      <c r="K953" s="8" t="s">
        <v>7029</v>
      </c>
      <c r="L953" s="8" t="s">
        <v>19</v>
      </c>
      <c r="M953" s="8">
        <v>246</v>
      </c>
      <c r="N953" s="8" t="s">
        <v>3165</v>
      </c>
      <c r="O953" s="8">
        <v>82</v>
      </c>
      <c r="P953" s="8" t="s">
        <v>7028</v>
      </c>
      <c r="Q953" s="8" t="s">
        <v>4262</v>
      </c>
      <c r="R953" s="8">
        <v>0.5</v>
      </c>
      <c r="S953" s="8">
        <v>47918918</v>
      </c>
      <c r="T953" s="8" t="s">
        <v>41</v>
      </c>
      <c r="U953" s="8" t="s">
        <v>25</v>
      </c>
    </row>
    <row r="954" spans="1:21">
      <c r="A954" s="8" t="s">
        <v>6801</v>
      </c>
      <c r="B954" s="8" t="s">
        <v>3180</v>
      </c>
      <c r="C954" s="8">
        <v>252884</v>
      </c>
      <c r="D954" s="8" t="s">
        <v>135</v>
      </c>
      <c r="E954" s="8">
        <v>32954235</v>
      </c>
      <c r="F954" s="8">
        <v>32954235</v>
      </c>
      <c r="G954" s="8" t="s">
        <v>25</v>
      </c>
      <c r="H954" s="8" t="s">
        <v>24</v>
      </c>
      <c r="I954" s="8" t="s">
        <v>23</v>
      </c>
      <c r="J954" s="8" t="s">
        <v>3181</v>
      </c>
      <c r="K954" s="8" t="s">
        <v>7031</v>
      </c>
      <c r="L954" s="8" t="s">
        <v>19</v>
      </c>
      <c r="M954" s="8">
        <v>154</v>
      </c>
      <c r="N954" s="8" t="s">
        <v>3182</v>
      </c>
      <c r="O954" s="8">
        <v>8</v>
      </c>
      <c r="P954" s="8" t="s">
        <v>7030</v>
      </c>
      <c r="Q954" s="8" t="s">
        <v>4262</v>
      </c>
      <c r="R954" s="8">
        <v>0.372</v>
      </c>
      <c r="S954" s="8">
        <v>32954235</v>
      </c>
      <c r="T954" s="8" t="s">
        <v>25</v>
      </c>
      <c r="U954" s="8" t="s">
        <v>24</v>
      </c>
    </row>
    <row r="955" spans="1:21">
      <c r="A955" s="8" t="s">
        <v>6801</v>
      </c>
      <c r="B955" s="8" t="s">
        <v>3864</v>
      </c>
      <c r="C955" s="8">
        <v>9063</v>
      </c>
      <c r="D955" s="8" t="s">
        <v>135</v>
      </c>
      <c r="E955" s="8">
        <v>44400910</v>
      </c>
      <c r="F955" s="8">
        <v>44400910</v>
      </c>
      <c r="G955" s="8" t="s">
        <v>24</v>
      </c>
      <c r="H955" s="8" t="s">
        <v>25</v>
      </c>
      <c r="I955" s="8" t="s">
        <v>23</v>
      </c>
      <c r="J955" s="8" t="s">
        <v>3865</v>
      </c>
      <c r="K955" s="8" t="s">
        <v>4963</v>
      </c>
      <c r="L955" s="8" t="s">
        <v>19</v>
      </c>
      <c r="M955" s="8">
        <v>1792</v>
      </c>
      <c r="N955" s="8" t="s">
        <v>2694</v>
      </c>
      <c r="O955" s="8">
        <v>545</v>
      </c>
      <c r="P955" s="8" t="s">
        <v>7032</v>
      </c>
      <c r="Q955" s="8" t="s">
        <v>4262</v>
      </c>
      <c r="R955" s="8">
        <v>0.20699999999999999</v>
      </c>
      <c r="S955" s="8">
        <v>44400910</v>
      </c>
      <c r="T955" s="8" t="s">
        <v>24</v>
      </c>
      <c r="U955" s="8" t="s">
        <v>25</v>
      </c>
    </row>
    <row r="956" spans="1:21">
      <c r="A956" s="8" t="s">
        <v>6801</v>
      </c>
      <c r="B956" s="8" t="s">
        <v>7033</v>
      </c>
      <c r="C956" s="8">
        <v>4089</v>
      </c>
      <c r="D956" s="8" t="s">
        <v>135</v>
      </c>
      <c r="E956" s="8">
        <v>48586263</v>
      </c>
      <c r="F956" s="8">
        <v>48586263</v>
      </c>
      <c r="G956" s="8" t="s">
        <v>25</v>
      </c>
      <c r="H956" s="8" t="s">
        <v>41</v>
      </c>
      <c r="I956" s="8" t="s">
        <v>23</v>
      </c>
      <c r="J956" s="8" t="s">
        <v>7034</v>
      </c>
      <c r="K956" s="8" t="s">
        <v>7036</v>
      </c>
      <c r="L956" s="8" t="s">
        <v>19</v>
      </c>
      <c r="M956" s="8">
        <v>1470</v>
      </c>
      <c r="N956" s="8" t="s">
        <v>3136</v>
      </c>
      <c r="O956" s="8">
        <v>311</v>
      </c>
      <c r="P956" s="8" t="s">
        <v>7035</v>
      </c>
      <c r="Q956" s="8" t="s">
        <v>4262</v>
      </c>
      <c r="R956" s="8">
        <v>0.17100000000000001</v>
      </c>
      <c r="S956" s="8">
        <v>48586263</v>
      </c>
      <c r="T956" s="8" t="s">
        <v>25</v>
      </c>
      <c r="U956" s="8" t="s">
        <v>41</v>
      </c>
    </row>
    <row r="957" spans="1:21">
      <c r="A957" s="8" t="s">
        <v>6801</v>
      </c>
      <c r="B957" s="8" t="s">
        <v>7037</v>
      </c>
      <c r="C957" s="8">
        <v>3661</v>
      </c>
      <c r="D957" s="8" t="s">
        <v>139</v>
      </c>
      <c r="E957" s="8">
        <v>50163021</v>
      </c>
      <c r="F957" s="8">
        <v>50163021</v>
      </c>
      <c r="G957" s="8" t="s">
        <v>41</v>
      </c>
      <c r="H957" s="8" t="s">
        <v>24</v>
      </c>
      <c r="I957" s="8" t="s">
        <v>23</v>
      </c>
      <c r="J957" s="8" t="s">
        <v>7038</v>
      </c>
      <c r="K957" s="8" t="s">
        <v>7040</v>
      </c>
      <c r="L957" s="8" t="s">
        <v>19</v>
      </c>
      <c r="M957" s="8">
        <v>1421</v>
      </c>
      <c r="N957" s="8" t="s">
        <v>3218</v>
      </c>
      <c r="O957" s="8">
        <v>390</v>
      </c>
      <c r="P957" s="8" t="s">
        <v>7039</v>
      </c>
      <c r="Q957" s="8" t="s">
        <v>4262</v>
      </c>
      <c r="R957" s="8">
        <v>0.19</v>
      </c>
      <c r="S957" s="8">
        <v>50163021</v>
      </c>
      <c r="T957" s="8" t="s">
        <v>41</v>
      </c>
      <c r="U957" s="8" t="s">
        <v>24</v>
      </c>
    </row>
    <row r="958" spans="1:21">
      <c r="A958" s="8" t="s">
        <v>6801</v>
      </c>
      <c r="B958" s="8" t="s">
        <v>7041</v>
      </c>
      <c r="C958" s="8">
        <v>22904</v>
      </c>
      <c r="D958" s="8" t="s">
        <v>139</v>
      </c>
      <c r="E958" s="8">
        <v>1123554</v>
      </c>
      <c r="F958" s="8">
        <v>1123554</v>
      </c>
      <c r="G958" s="8" t="s">
        <v>46</v>
      </c>
      <c r="H958" s="8" t="s">
        <v>25</v>
      </c>
      <c r="I958" s="8" t="s">
        <v>23</v>
      </c>
      <c r="J958" s="8" t="s">
        <v>7042</v>
      </c>
      <c r="K958" s="8" t="s">
        <v>7044</v>
      </c>
      <c r="L958" s="8" t="s">
        <v>19</v>
      </c>
      <c r="M958" s="8">
        <v>845</v>
      </c>
      <c r="N958" s="8" t="s">
        <v>256</v>
      </c>
      <c r="O958" s="8">
        <v>203</v>
      </c>
      <c r="P958" s="8" t="s">
        <v>7043</v>
      </c>
      <c r="Q958" s="8" t="s">
        <v>4262</v>
      </c>
      <c r="R958" s="8">
        <v>0.28599999999999998</v>
      </c>
      <c r="S958" s="8">
        <v>1123554</v>
      </c>
      <c r="T958" s="8" t="s">
        <v>46</v>
      </c>
      <c r="U958" s="8" t="s">
        <v>25</v>
      </c>
    </row>
    <row r="959" spans="1:21">
      <c r="A959" s="8" t="s">
        <v>6801</v>
      </c>
      <c r="B959" s="8" t="s">
        <v>3183</v>
      </c>
      <c r="C959" s="8">
        <v>57139</v>
      </c>
      <c r="D959" s="8" t="s">
        <v>139</v>
      </c>
      <c r="E959" s="8">
        <v>11527580</v>
      </c>
      <c r="F959" s="8">
        <v>11527580</v>
      </c>
      <c r="G959" s="8" t="s">
        <v>24</v>
      </c>
      <c r="H959" s="8" t="s">
        <v>25</v>
      </c>
      <c r="I959" s="8" t="s">
        <v>23</v>
      </c>
      <c r="J959" s="8" t="s">
        <v>7045</v>
      </c>
      <c r="K959" s="8" t="s">
        <v>7047</v>
      </c>
      <c r="L959" s="8" t="s">
        <v>19</v>
      </c>
      <c r="M959" s="8">
        <v>365</v>
      </c>
      <c r="N959" s="8" t="s">
        <v>92</v>
      </c>
      <c r="O959" s="8">
        <v>101</v>
      </c>
      <c r="P959" s="8" t="s">
        <v>7046</v>
      </c>
      <c r="Q959" s="8" t="s">
        <v>4262</v>
      </c>
      <c r="R959" s="8">
        <v>0.4</v>
      </c>
      <c r="S959" s="8">
        <v>11527580</v>
      </c>
      <c r="T959" s="8" t="s">
        <v>24</v>
      </c>
      <c r="U959" s="8" t="s">
        <v>25</v>
      </c>
    </row>
    <row r="960" spans="1:21">
      <c r="A960" s="8" t="s">
        <v>6801</v>
      </c>
      <c r="B960" s="8" t="s">
        <v>7048</v>
      </c>
      <c r="C960" s="8">
        <v>171392</v>
      </c>
      <c r="D960" s="8" t="s">
        <v>139</v>
      </c>
      <c r="E960" s="8">
        <v>23845866</v>
      </c>
      <c r="F960" s="8">
        <v>23845866</v>
      </c>
      <c r="G960" s="8" t="s">
        <v>25</v>
      </c>
      <c r="H960" s="8" t="s">
        <v>41</v>
      </c>
      <c r="I960" s="8" t="s">
        <v>23</v>
      </c>
      <c r="J960" s="8" t="s">
        <v>7049</v>
      </c>
      <c r="K960" s="8" t="s">
        <v>7051</v>
      </c>
      <c r="L960" s="8" t="s">
        <v>19</v>
      </c>
      <c r="M960" s="8">
        <v>280</v>
      </c>
      <c r="N960" s="8" t="s">
        <v>1416</v>
      </c>
      <c r="O960" s="8">
        <v>33</v>
      </c>
      <c r="P960" s="8" t="s">
        <v>7050</v>
      </c>
      <c r="Q960" s="8" t="s">
        <v>4262</v>
      </c>
      <c r="R960" s="8">
        <v>0.20599999999999999</v>
      </c>
      <c r="S960" s="8">
        <v>23845866</v>
      </c>
      <c r="T960" s="8" t="s">
        <v>25</v>
      </c>
      <c r="U960" s="8" t="s">
        <v>41</v>
      </c>
    </row>
    <row r="961" spans="1:21">
      <c r="A961" s="8" t="s">
        <v>6801</v>
      </c>
      <c r="B961" s="8"/>
      <c r="C961" s="8">
        <v>100509861</v>
      </c>
      <c r="D961" s="8" t="s">
        <v>188</v>
      </c>
      <c r="E961" s="8">
        <v>62475278</v>
      </c>
      <c r="F961" s="8">
        <v>62475278</v>
      </c>
      <c r="G961" s="8" t="s">
        <v>24</v>
      </c>
      <c r="H961" s="8" t="s">
        <v>25</v>
      </c>
      <c r="I961" s="8" t="s">
        <v>23</v>
      </c>
      <c r="J961" s="8" t="s">
        <v>3191</v>
      </c>
      <c r="K961" s="8" t="s">
        <v>7053</v>
      </c>
      <c r="L961" s="8" t="s">
        <v>19</v>
      </c>
      <c r="M961" s="8">
        <v>290</v>
      </c>
      <c r="N961" s="8" t="s">
        <v>96</v>
      </c>
      <c r="O961" s="8">
        <v>97</v>
      </c>
      <c r="P961" s="8" t="s">
        <v>7052</v>
      </c>
      <c r="Q961" s="8" t="s">
        <v>4262</v>
      </c>
      <c r="R961" s="8">
        <v>0.312</v>
      </c>
      <c r="S961" s="8">
        <v>62475278</v>
      </c>
      <c r="T961" s="8" t="s">
        <v>24</v>
      </c>
      <c r="U961" s="8" t="s">
        <v>25</v>
      </c>
    </row>
    <row r="962" spans="1:21">
      <c r="A962" s="8" t="s">
        <v>6801</v>
      </c>
      <c r="B962" s="8" t="s">
        <v>3192</v>
      </c>
      <c r="C962" s="8">
        <v>29980</v>
      </c>
      <c r="D962" s="8" t="s">
        <v>193</v>
      </c>
      <c r="E962" s="8">
        <v>34953673</v>
      </c>
      <c r="F962" s="8">
        <v>34953673</v>
      </c>
      <c r="G962" s="8" t="s">
        <v>46</v>
      </c>
      <c r="H962" s="8" t="s">
        <v>41</v>
      </c>
      <c r="I962" s="8" t="s">
        <v>23</v>
      </c>
      <c r="J962" s="8" t="s">
        <v>3193</v>
      </c>
      <c r="K962" s="8" t="s">
        <v>7055</v>
      </c>
      <c r="L962" s="8" t="s">
        <v>19</v>
      </c>
      <c r="M962" s="8">
        <v>1352</v>
      </c>
      <c r="N962" s="8" t="s">
        <v>1070</v>
      </c>
      <c r="O962" s="8">
        <v>429</v>
      </c>
      <c r="P962" s="8" t="s">
        <v>7054</v>
      </c>
      <c r="Q962" s="8" t="s">
        <v>4262</v>
      </c>
      <c r="R962" s="8">
        <v>0.24299999999999999</v>
      </c>
      <c r="S962" s="8">
        <v>34953673</v>
      </c>
      <c r="T962" s="8" t="s">
        <v>46</v>
      </c>
      <c r="U962" s="8" t="s">
        <v>41</v>
      </c>
    </row>
    <row r="963" spans="1:21">
      <c r="A963" s="8" t="s">
        <v>6801</v>
      </c>
      <c r="B963" s="8" t="s">
        <v>4093</v>
      </c>
      <c r="C963" s="8">
        <v>84700</v>
      </c>
      <c r="D963" s="8" t="s">
        <v>197</v>
      </c>
      <c r="E963" s="8">
        <v>26423571</v>
      </c>
      <c r="F963" s="8">
        <v>26423571</v>
      </c>
      <c r="G963" s="8" t="s">
        <v>25</v>
      </c>
      <c r="H963" s="8" t="s">
        <v>24</v>
      </c>
      <c r="I963" s="8" t="s">
        <v>23</v>
      </c>
      <c r="J963" s="8" t="s">
        <v>7056</v>
      </c>
      <c r="K963" s="8" t="s">
        <v>7058</v>
      </c>
      <c r="L963" s="8" t="s">
        <v>19</v>
      </c>
      <c r="M963" s="8">
        <v>7881</v>
      </c>
      <c r="N963" s="8" t="s">
        <v>574</v>
      </c>
      <c r="O963" s="8">
        <v>2544</v>
      </c>
      <c r="P963" s="8" t="s">
        <v>7057</v>
      </c>
      <c r="Q963" s="8" t="s">
        <v>4262</v>
      </c>
      <c r="R963" s="8">
        <v>0.19500000000000001</v>
      </c>
      <c r="S963" s="8">
        <v>26423571</v>
      </c>
      <c r="T963" s="8" t="s">
        <v>25</v>
      </c>
      <c r="U963" s="8" t="s">
        <v>24</v>
      </c>
    </row>
    <row r="964" spans="1:21">
      <c r="A964" s="8" t="s">
        <v>6801</v>
      </c>
      <c r="B964" s="8" t="s">
        <v>7059</v>
      </c>
      <c r="C964" s="8">
        <v>4668</v>
      </c>
      <c r="D964" s="8" t="s">
        <v>197</v>
      </c>
      <c r="E964" s="8">
        <v>42463191</v>
      </c>
      <c r="F964" s="8">
        <v>42463191</v>
      </c>
      <c r="G964" s="8" t="s">
        <v>41</v>
      </c>
      <c r="H964" s="8" t="s">
        <v>25</v>
      </c>
      <c r="I964" s="8" t="s">
        <v>23</v>
      </c>
      <c r="J964" s="8" t="s">
        <v>7060</v>
      </c>
      <c r="K964" s="8" t="s">
        <v>7062</v>
      </c>
      <c r="L964" s="8" t="s">
        <v>19</v>
      </c>
      <c r="M964" s="8">
        <v>973</v>
      </c>
      <c r="N964" s="8" t="s">
        <v>3136</v>
      </c>
      <c r="O964" s="8">
        <v>143</v>
      </c>
      <c r="P964" s="8" t="s">
        <v>7061</v>
      </c>
      <c r="Q964" s="8" t="s">
        <v>4262</v>
      </c>
      <c r="R964" s="8">
        <v>0.04</v>
      </c>
      <c r="S964" s="8">
        <v>42463191</v>
      </c>
      <c r="T964" s="8" t="s">
        <v>41</v>
      </c>
      <c r="U964" s="8" t="s">
        <v>25</v>
      </c>
    </row>
    <row r="965" spans="1:21">
      <c r="A965" s="8" t="s">
        <v>6801</v>
      </c>
      <c r="B965" s="8" t="s">
        <v>7063</v>
      </c>
      <c r="C965" s="8">
        <v>10343</v>
      </c>
      <c r="D965" s="8" t="s">
        <v>197</v>
      </c>
      <c r="E965" s="8">
        <v>46656422</v>
      </c>
      <c r="F965" s="8">
        <v>46656422</v>
      </c>
      <c r="G965" s="8" t="s">
        <v>25</v>
      </c>
      <c r="H965" s="8" t="s">
        <v>24</v>
      </c>
      <c r="I965" s="8" t="s">
        <v>23</v>
      </c>
      <c r="J965" s="8" t="s">
        <v>7064</v>
      </c>
      <c r="K965" s="8" t="s">
        <v>7066</v>
      </c>
      <c r="L965" s="8" t="s">
        <v>19</v>
      </c>
      <c r="M965" s="8">
        <v>2798</v>
      </c>
      <c r="N965" s="8" t="s">
        <v>3156</v>
      </c>
      <c r="O965" s="8">
        <v>933</v>
      </c>
      <c r="P965" s="8" t="s">
        <v>7065</v>
      </c>
      <c r="Q965" s="8" t="s">
        <v>4262</v>
      </c>
      <c r="R965" s="8">
        <v>0.28000000000000003</v>
      </c>
      <c r="S965" s="8">
        <v>46656422</v>
      </c>
      <c r="T965" s="8" t="s">
        <v>25</v>
      </c>
      <c r="U965" s="8" t="s">
        <v>24</v>
      </c>
    </row>
    <row r="966" spans="1:21">
      <c r="A966" s="8" t="s">
        <v>7071</v>
      </c>
      <c r="B966" s="8" t="s">
        <v>7067</v>
      </c>
      <c r="C966" s="8">
        <v>54432</v>
      </c>
      <c r="D966" s="8" t="s">
        <v>22</v>
      </c>
      <c r="E966" s="8">
        <v>54325811</v>
      </c>
      <c r="F966" s="8">
        <v>54325811</v>
      </c>
      <c r="G966" s="8" t="s">
        <v>46</v>
      </c>
      <c r="H966" s="8" t="s">
        <v>25</v>
      </c>
      <c r="I966" s="8" t="s">
        <v>23</v>
      </c>
      <c r="J966" s="8" t="s">
        <v>7068</v>
      </c>
      <c r="K966" s="8" t="s">
        <v>7070</v>
      </c>
      <c r="L966" s="8" t="s">
        <v>19</v>
      </c>
      <c r="M966" s="8">
        <v>1218</v>
      </c>
      <c r="N966" s="8" t="s">
        <v>124</v>
      </c>
      <c r="O966" s="8">
        <v>283</v>
      </c>
      <c r="P966" s="8" t="s">
        <v>7069</v>
      </c>
      <c r="Q966" s="8" t="s">
        <v>4262</v>
      </c>
      <c r="R966" s="8">
        <v>0.22900000000000001</v>
      </c>
      <c r="S966" s="8">
        <v>54325811</v>
      </c>
      <c r="T966" s="8" t="s">
        <v>46</v>
      </c>
      <c r="U966" s="8" t="s">
        <v>25</v>
      </c>
    </row>
    <row r="967" spans="1:21">
      <c r="A967" s="8" t="s">
        <v>7071</v>
      </c>
      <c r="B967" s="8" t="s">
        <v>7072</v>
      </c>
      <c r="C967" s="8">
        <v>83941</v>
      </c>
      <c r="D967" s="8" t="s">
        <v>22</v>
      </c>
      <c r="E967" s="8">
        <v>62190662</v>
      </c>
      <c r="F967" s="8">
        <v>62190662</v>
      </c>
      <c r="G967" s="8" t="s">
        <v>41</v>
      </c>
      <c r="H967" s="8" t="s">
        <v>24</v>
      </c>
      <c r="I967" s="8" t="s">
        <v>23</v>
      </c>
      <c r="J967" s="8" t="s">
        <v>7073</v>
      </c>
      <c r="K967" s="8" t="s">
        <v>7075</v>
      </c>
      <c r="L967" s="8" t="s">
        <v>19</v>
      </c>
      <c r="M967" s="8">
        <v>434</v>
      </c>
      <c r="N967" s="8" t="s">
        <v>4625</v>
      </c>
      <c r="O967" s="8">
        <v>44</v>
      </c>
      <c r="P967" s="8" t="s">
        <v>7074</v>
      </c>
      <c r="Q967" s="8" t="s">
        <v>4262</v>
      </c>
      <c r="R967" s="8">
        <v>0.19600000000000001</v>
      </c>
      <c r="S967" s="8">
        <v>62190662</v>
      </c>
      <c r="T967" s="8" t="s">
        <v>41</v>
      </c>
      <c r="U967" s="8" t="s">
        <v>24</v>
      </c>
    </row>
    <row r="968" spans="1:21">
      <c r="A968" s="8" t="s">
        <v>7071</v>
      </c>
      <c r="B968" s="8" t="s">
        <v>7076</v>
      </c>
      <c r="C968" s="8">
        <v>388591</v>
      </c>
      <c r="D968" s="8" t="s">
        <v>22</v>
      </c>
      <c r="E968" s="8">
        <v>6272396</v>
      </c>
      <c r="F968" s="8">
        <v>6272396</v>
      </c>
      <c r="G968" s="8" t="s">
        <v>46</v>
      </c>
      <c r="H968" s="8" t="s">
        <v>24</v>
      </c>
      <c r="I968" s="8" t="s">
        <v>23</v>
      </c>
      <c r="J968" s="8" t="s">
        <v>7077</v>
      </c>
      <c r="K968" s="8" t="s">
        <v>7079</v>
      </c>
      <c r="L968" s="8" t="s">
        <v>19</v>
      </c>
      <c r="M968" s="8">
        <v>1576</v>
      </c>
      <c r="N968" s="8" t="s">
        <v>3075</v>
      </c>
      <c r="O968" s="8">
        <v>468</v>
      </c>
      <c r="P968" s="8" t="s">
        <v>7078</v>
      </c>
      <c r="Q968" s="8" t="s">
        <v>4262</v>
      </c>
      <c r="R968" s="8">
        <v>8.3000000000000004E-2</v>
      </c>
      <c r="S968" s="8">
        <v>6272396</v>
      </c>
      <c r="T968" s="8" t="s">
        <v>46</v>
      </c>
      <c r="U968" s="8" t="s">
        <v>24</v>
      </c>
    </row>
    <row r="969" spans="1:21">
      <c r="A969" s="8" t="s">
        <v>7071</v>
      </c>
      <c r="B969" s="8" t="s">
        <v>3345</v>
      </c>
      <c r="C969" s="8">
        <v>85440</v>
      </c>
      <c r="D969" s="8" t="s">
        <v>22</v>
      </c>
      <c r="E969" s="8">
        <v>62940995</v>
      </c>
      <c r="F969" s="8">
        <v>62940995</v>
      </c>
      <c r="G969" s="8" t="s">
        <v>41</v>
      </c>
      <c r="H969" s="8" t="s">
        <v>46</v>
      </c>
      <c r="I969" s="8" t="s">
        <v>23</v>
      </c>
      <c r="J969" s="8" t="s">
        <v>3346</v>
      </c>
      <c r="K969" s="8" t="s">
        <v>7081</v>
      </c>
      <c r="L969" s="8" t="s">
        <v>19</v>
      </c>
      <c r="M969" s="8">
        <v>5930</v>
      </c>
      <c r="N969" s="8" t="s">
        <v>2976</v>
      </c>
      <c r="O969" s="8">
        <v>1966</v>
      </c>
      <c r="P969" s="8" t="s">
        <v>7080</v>
      </c>
      <c r="Q969" s="8" t="s">
        <v>4262</v>
      </c>
      <c r="R969" s="8">
        <v>0.34399999999999997</v>
      </c>
      <c r="S969" s="8">
        <v>62940995</v>
      </c>
      <c r="T969" s="8" t="s">
        <v>41</v>
      </c>
      <c r="U969" s="8" t="s">
        <v>46</v>
      </c>
    </row>
    <row r="970" spans="1:21">
      <c r="A970" s="8" t="s">
        <v>7071</v>
      </c>
      <c r="B970" s="8" t="s">
        <v>7082</v>
      </c>
      <c r="C970" s="8">
        <v>163351</v>
      </c>
      <c r="D970" s="8" t="s">
        <v>22</v>
      </c>
      <c r="E970" s="8">
        <v>89847337</v>
      </c>
      <c r="F970" s="8">
        <v>89847337</v>
      </c>
      <c r="G970" s="8" t="s">
        <v>46</v>
      </c>
      <c r="H970" s="8" t="s">
        <v>25</v>
      </c>
      <c r="I970" s="8" t="s">
        <v>23</v>
      </c>
      <c r="J970" s="8" t="s">
        <v>7083</v>
      </c>
      <c r="K970" s="8" t="s">
        <v>7085</v>
      </c>
      <c r="L970" s="8" t="s">
        <v>19</v>
      </c>
      <c r="M970" s="8">
        <v>1230</v>
      </c>
      <c r="N970" s="8" t="s">
        <v>3048</v>
      </c>
      <c r="O970" s="8">
        <v>319</v>
      </c>
      <c r="P970" s="8" t="s">
        <v>7084</v>
      </c>
      <c r="Q970" s="8" t="s">
        <v>4262</v>
      </c>
      <c r="R970" s="8">
        <v>0.23699999999999999</v>
      </c>
      <c r="S970" s="8">
        <v>89847337</v>
      </c>
      <c r="T970" s="8" t="s">
        <v>46</v>
      </c>
      <c r="U970" s="8" t="s">
        <v>25</v>
      </c>
    </row>
    <row r="971" spans="1:21">
      <c r="A971" s="8" t="s">
        <v>7071</v>
      </c>
      <c r="B971" s="8" t="s">
        <v>7086</v>
      </c>
      <c r="C971" s="8">
        <v>64783</v>
      </c>
      <c r="D971" s="8" t="s">
        <v>22</v>
      </c>
      <c r="E971" s="8">
        <v>110883061</v>
      </c>
      <c r="F971" s="8">
        <v>110883061</v>
      </c>
      <c r="G971" s="8" t="s">
        <v>41</v>
      </c>
      <c r="H971" s="8" t="s">
        <v>24</v>
      </c>
      <c r="I971" s="8" t="s">
        <v>23</v>
      </c>
      <c r="J971" s="8" t="s">
        <v>7087</v>
      </c>
      <c r="K971" s="8" t="s">
        <v>7089</v>
      </c>
      <c r="L971" s="8" t="s">
        <v>19</v>
      </c>
      <c r="M971" s="8">
        <v>1117</v>
      </c>
      <c r="N971" s="8" t="s">
        <v>886</v>
      </c>
      <c r="O971" s="8">
        <v>345</v>
      </c>
      <c r="P971" s="8" t="s">
        <v>7088</v>
      </c>
      <c r="Q971" s="8" t="s">
        <v>4262</v>
      </c>
      <c r="R971" s="8">
        <v>0.217</v>
      </c>
      <c r="S971" s="8">
        <v>110883061</v>
      </c>
      <c r="T971" s="8" t="s">
        <v>41</v>
      </c>
      <c r="U971" s="8" t="s">
        <v>24</v>
      </c>
    </row>
    <row r="972" spans="1:21">
      <c r="A972" s="8" t="s">
        <v>7071</v>
      </c>
      <c r="B972" s="8" t="s">
        <v>3522</v>
      </c>
      <c r="C972" s="8">
        <v>2312</v>
      </c>
      <c r="D972" s="8" t="s">
        <v>22</v>
      </c>
      <c r="E972" s="8">
        <v>152282434</v>
      </c>
      <c r="F972" s="8">
        <v>152282434</v>
      </c>
      <c r="G972" s="8" t="s">
        <v>41</v>
      </c>
      <c r="H972" s="8" t="s">
        <v>46</v>
      </c>
      <c r="I972" s="8" t="s">
        <v>23</v>
      </c>
      <c r="J972" s="8" t="s">
        <v>3523</v>
      </c>
      <c r="K972" s="8" t="s">
        <v>4266</v>
      </c>
      <c r="L972" s="8" t="s">
        <v>19</v>
      </c>
      <c r="M972" s="8">
        <v>4964</v>
      </c>
      <c r="N972" s="8" t="s">
        <v>681</v>
      </c>
      <c r="O972" s="8">
        <v>1643</v>
      </c>
      <c r="P972" s="8" t="s">
        <v>7090</v>
      </c>
      <c r="Q972" s="8" t="s">
        <v>4262</v>
      </c>
      <c r="R972" s="8">
        <v>5.0999999999999997E-2</v>
      </c>
      <c r="S972" s="8">
        <v>152282434</v>
      </c>
      <c r="T972" s="8" t="s">
        <v>41</v>
      </c>
      <c r="U972" s="8" t="s">
        <v>46</v>
      </c>
    </row>
    <row r="973" spans="1:21">
      <c r="A973" s="8" t="s">
        <v>7071</v>
      </c>
      <c r="B973" s="8" t="s">
        <v>3340</v>
      </c>
      <c r="C973" s="8">
        <v>7203</v>
      </c>
      <c r="D973" s="8" t="s">
        <v>22</v>
      </c>
      <c r="E973" s="8">
        <v>156280949</v>
      </c>
      <c r="F973" s="8">
        <v>156280949</v>
      </c>
      <c r="G973" s="8" t="s">
        <v>46</v>
      </c>
      <c r="H973" s="8" t="s">
        <v>25</v>
      </c>
      <c r="I973" s="8" t="s">
        <v>23</v>
      </c>
      <c r="J973" s="8" t="s">
        <v>7091</v>
      </c>
      <c r="K973" s="8" t="s">
        <v>7093</v>
      </c>
      <c r="L973" s="8" t="s">
        <v>19</v>
      </c>
      <c r="M973" s="8">
        <v>1424</v>
      </c>
      <c r="N973" s="8" t="s">
        <v>1126</v>
      </c>
      <c r="O973" s="8">
        <v>398</v>
      </c>
      <c r="P973" s="8" t="s">
        <v>7092</v>
      </c>
      <c r="Q973" s="8" t="s">
        <v>4262</v>
      </c>
      <c r="R973" s="8">
        <v>0.64800000000000002</v>
      </c>
      <c r="S973" s="8">
        <v>156280949</v>
      </c>
      <c r="T973" s="8" t="s">
        <v>46</v>
      </c>
      <c r="U973" s="8" t="s">
        <v>25</v>
      </c>
    </row>
    <row r="974" spans="1:21">
      <c r="A974" s="8" t="s">
        <v>7071</v>
      </c>
      <c r="B974" s="8" t="s">
        <v>2377</v>
      </c>
      <c r="C974" s="8">
        <v>343413</v>
      </c>
      <c r="D974" s="8" t="s">
        <v>22</v>
      </c>
      <c r="E974" s="8">
        <v>159779191</v>
      </c>
      <c r="F974" s="8">
        <v>159779191</v>
      </c>
      <c r="G974" s="8" t="s">
        <v>24</v>
      </c>
      <c r="H974" s="8" t="s">
        <v>41</v>
      </c>
      <c r="I974" s="8" t="s">
        <v>23</v>
      </c>
      <c r="J974" s="8" t="s">
        <v>2378</v>
      </c>
      <c r="K974" s="8" t="s">
        <v>7094</v>
      </c>
      <c r="L974" s="8" t="s">
        <v>68</v>
      </c>
      <c r="M974" s="8">
        <v>0</v>
      </c>
      <c r="N974" s="8" t="s">
        <v>35</v>
      </c>
      <c r="O974" s="8">
        <v>0</v>
      </c>
      <c r="P974" s="8" t="s">
        <v>35</v>
      </c>
      <c r="Q974" s="8" t="s">
        <v>4262</v>
      </c>
      <c r="R974" s="8">
        <v>0.56399999999999995</v>
      </c>
      <c r="S974" s="8">
        <v>159779191</v>
      </c>
      <c r="T974" s="8" t="s">
        <v>24</v>
      </c>
      <c r="U974" s="8" t="s">
        <v>41</v>
      </c>
    </row>
    <row r="975" spans="1:21">
      <c r="A975" s="8" t="s">
        <v>7071</v>
      </c>
      <c r="B975" s="8" t="s">
        <v>3341</v>
      </c>
      <c r="C975" s="8">
        <v>5087</v>
      </c>
      <c r="D975" s="8" t="s">
        <v>22</v>
      </c>
      <c r="E975" s="8">
        <v>164532514</v>
      </c>
      <c r="F975" s="8">
        <v>164532514</v>
      </c>
      <c r="G975" s="8" t="s">
        <v>24</v>
      </c>
      <c r="H975" s="8" t="s">
        <v>46</v>
      </c>
      <c r="I975" s="8" t="s">
        <v>23</v>
      </c>
      <c r="J975" s="8" t="s">
        <v>7095</v>
      </c>
      <c r="K975" s="8" t="s">
        <v>7097</v>
      </c>
      <c r="L975" s="8" t="s">
        <v>19</v>
      </c>
      <c r="M975" s="8">
        <v>694</v>
      </c>
      <c r="N975" s="8" t="s">
        <v>3342</v>
      </c>
      <c r="O975" s="8">
        <v>77</v>
      </c>
      <c r="P975" s="8" t="s">
        <v>7096</v>
      </c>
      <c r="Q975" s="8" t="s">
        <v>4262</v>
      </c>
      <c r="R975" s="8">
        <v>0.64900000000000002</v>
      </c>
      <c r="S975" s="8">
        <v>164532514</v>
      </c>
      <c r="T975" s="8" t="s">
        <v>24</v>
      </c>
      <c r="U975" s="8" t="s">
        <v>46</v>
      </c>
    </row>
    <row r="976" spans="1:21">
      <c r="A976" s="8" t="s">
        <v>7071</v>
      </c>
      <c r="B976" s="8" t="s">
        <v>4449</v>
      </c>
      <c r="C976" s="8">
        <v>55672</v>
      </c>
      <c r="D976" s="8" t="s">
        <v>22</v>
      </c>
      <c r="E976" s="8">
        <v>16914284</v>
      </c>
      <c r="F976" s="8">
        <v>16914284</v>
      </c>
      <c r="G976" s="8" t="s">
        <v>46</v>
      </c>
      <c r="H976" s="8" t="s">
        <v>41</v>
      </c>
      <c r="I976" s="8" t="s">
        <v>23</v>
      </c>
      <c r="J976" s="8" t="s">
        <v>4450</v>
      </c>
      <c r="K976" s="8" t="s">
        <v>4452</v>
      </c>
      <c r="L976" s="8" t="s">
        <v>19</v>
      </c>
      <c r="M976" s="8">
        <v>1390</v>
      </c>
      <c r="N976" s="8" t="s">
        <v>758</v>
      </c>
      <c r="O976" s="8">
        <v>168</v>
      </c>
      <c r="P976" s="8" t="s">
        <v>7098</v>
      </c>
      <c r="Q976" s="8" t="s">
        <v>4262</v>
      </c>
      <c r="R976" s="8">
        <v>6.3E-2</v>
      </c>
      <c r="S976" s="8">
        <v>16914284</v>
      </c>
      <c r="T976" s="8" t="s">
        <v>46</v>
      </c>
      <c r="U976" s="8" t="s">
        <v>41</v>
      </c>
    </row>
    <row r="977" spans="1:21">
      <c r="A977" s="8" t="s">
        <v>7071</v>
      </c>
      <c r="B977" s="8" t="s">
        <v>1689</v>
      </c>
      <c r="C977" s="8">
        <v>55157</v>
      </c>
      <c r="D977" s="8" t="s">
        <v>22</v>
      </c>
      <c r="E977" s="8">
        <v>173826839</v>
      </c>
      <c r="F977" s="8">
        <v>173826839</v>
      </c>
      <c r="G977" s="8" t="s">
        <v>25</v>
      </c>
      <c r="H977" s="8" t="s">
        <v>46</v>
      </c>
      <c r="I977" s="8" t="s">
        <v>23</v>
      </c>
      <c r="J977" s="8" t="s">
        <v>7099</v>
      </c>
      <c r="K977" s="8" t="s">
        <v>7101</v>
      </c>
      <c r="L977" s="8" t="s">
        <v>19</v>
      </c>
      <c r="M977" s="8">
        <v>2505</v>
      </c>
      <c r="N977" s="8" t="s">
        <v>3600</v>
      </c>
      <c r="O977" s="8">
        <v>645</v>
      </c>
      <c r="P977" s="8" t="s">
        <v>7100</v>
      </c>
      <c r="Q977" s="8" t="s">
        <v>4262</v>
      </c>
      <c r="R977" s="8">
        <v>7.9000000000000001E-2</v>
      </c>
      <c r="S977" s="8">
        <v>173826839</v>
      </c>
      <c r="T977" s="8" t="s">
        <v>25</v>
      </c>
      <c r="U977" s="8" t="s">
        <v>46</v>
      </c>
    </row>
    <row r="978" spans="1:21">
      <c r="A978" s="8" t="s">
        <v>7071</v>
      </c>
      <c r="B978" s="8" t="s">
        <v>7102</v>
      </c>
      <c r="C978" s="8">
        <v>149647</v>
      </c>
      <c r="D978" s="8" t="s">
        <v>22</v>
      </c>
      <c r="E978" s="8">
        <v>212798862</v>
      </c>
      <c r="F978" s="8">
        <v>212798862</v>
      </c>
      <c r="G978" s="8" t="s">
        <v>24</v>
      </c>
      <c r="H978" s="8" t="s">
        <v>41</v>
      </c>
      <c r="I978" s="8" t="s">
        <v>23</v>
      </c>
      <c r="J978" s="8" t="s">
        <v>7103</v>
      </c>
      <c r="K978" s="8" t="s">
        <v>7105</v>
      </c>
      <c r="L978" s="8" t="s">
        <v>19</v>
      </c>
      <c r="M978" s="8">
        <v>1074</v>
      </c>
      <c r="N978" s="8" t="s">
        <v>883</v>
      </c>
      <c r="O978" s="8">
        <v>215</v>
      </c>
      <c r="P978" s="8" t="s">
        <v>7104</v>
      </c>
      <c r="Q978" s="8" t="s">
        <v>4262</v>
      </c>
      <c r="R978" s="8">
        <v>0.14099999999999999</v>
      </c>
      <c r="S978" s="8">
        <v>212798862</v>
      </c>
      <c r="T978" s="8" t="s">
        <v>24</v>
      </c>
      <c r="U978" s="8" t="s">
        <v>41</v>
      </c>
    </row>
    <row r="979" spans="1:21">
      <c r="A979" s="8" t="s">
        <v>7071</v>
      </c>
      <c r="B979" s="8" t="s">
        <v>3343</v>
      </c>
      <c r="C979" s="8">
        <v>55105</v>
      </c>
      <c r="D979" s="8" t="s">
        <v>22</v>
      </c>
      <c r="E979" s="8">
        <v>217604611</v>
      </c>
      <c r="F979" s="8">
        <v>217604611</v>
      </c>
      <c r="G979" s="8" t="s">
        <v>46</v>
      </c>
      <c r="H979" s="8" t="s">
        <v>25</v>
      </c>
      <c r="I979" s="8" t="s">
        <v>23</v>
      </c>
      <c r="J979" s="8" t="s">
        <v>3344</v>
      </c>
      <c r="K979" s="8" t="s">
        <v>7107</v>
      </c>
      <c r="L979" s="8" t="s">
        <v>19</v>
      </c>
      <c r="M979" s="8">
        <v>1559</v>
      </c>
      <c r="N979" s="8" t="s">
        <v>437</v>
      </c>
      <c r="O979" s="8">
        <v>488</v>
      </c>
      <c r="P979" s="8" t="s">
        <v>7106</v>
      </c>
      <c r="Q979" s="8" t="s">
        <v>4262</v>
      </c>
      <c r="R979" s="8">
        <v>0.371</v>
      </c>
      <c r="S979" s="8">
        <v>217604611</v>
      </c>
      <c r="T979" s="8" t="s">
        <v>46</v>
      </c>
      <c r="U979" s="8" t="s">
        <v>25</v>
      </c>
    </row>
    <row r="980" spans="1:21">
      <c r="A980" s="8" t="s">
        <v>7071</v>
      </c>
      <c r="B980" s="8" t="s">
        <v>3085</v>
      </c>
      <c r="C980" s="8">
        <v>127602</v>
      </c>
      <c r="D980" s="8" t="s">
        <v>22</v>
      </c>
      <c r="E980" s="8">
        <v>225394910</v>
      </c>
      <c r="F980" s="8">
        <v>225394910</v>
      </c>
      <c r="G980" s="8" t="s">
        <v>24</v>
      </c>
      <c r="H980" s="8" t="s">
        <v>25</v>
      </c>
      <c r="I980" s="8" t="s">
        <v>23</v>
      </c>
      <c r="J980" s="8" t="s">
        <v>3086</v>
      </c>
      <c r="K980" s="8" t="s">
        <v>6368</v>
      </c>
      <c r="L980" s="8" t="s">
        <v>19</v>
      </c>
      <c r="M980" s="8">
        <v>6576</v>
      </c>
      <c r="N980" s="8" t="s">
        <v>1364</v>
      </c>
      <c r="O980" s="8">
        <v>2121</v>
      </c>
      <c r="P980" s="8" t="s">
        <v>7108</v>
      </c>
      <c r="Q980" s="8" t="s">
        <v>4262</v>
      </c>
      <c r="R980" s="8">
        <v>0.36099999999999999</v>
      </c>
      <c r="S980" s="8">
        <v>225394910</v>
      </c>
      <c r="T980" s="8" t="s">
        <v>24</v>
      </c>
      <c r="U980" s="8" t="s">
        <v>25</v>
      </c>
    </row>
    <row r="981" spans="1:21">
      <c r="A981" s="8" t="s">
        <v>7071</v>
      </c>
      <c r="B981" s="8" t="s">
        <v>4465</v>
      </c>
      <c r="C981" s="8">
        <v>8476</v>
      </c>
      <c r="D981" s="8" t="s">
        <v>22</v>
      </c>
      <c r="E981" s="8">
        <v>227300068</v>
      </c>
      <c r="F981" s="8">
        <v>227300068</v>
      </c>
      <c r="G981" s="8" t="s">
        <v>46</v>
      </c>
      <c r="H981" s="8" t="s">
        <v>25</v>
      </c>
      <c r="I981" s="8" t="s">
        <v>23</v>
      </c>
      <c r="J981" s="8" t="s">
        <v>4466</v>
      </c>
      <c r="K981" s="8" t="s">
        <v>4468</v>
      </c>
      <c r="L981" s="8" t="s">
        <v>19</v>
      </c>
      <c r="M981" s="8">
        <v>2889</v>
      </c>
      <c r="N981" s="8" t="s">
        <v>138</v>
      </c>
      <c r="O981" s="8">
        <v>649</v>
      </c>
      <c r="P981" s="8" t="s">
        <v>7109</v>
      </c>
      <c r="Q981" s="8" t="s">
        <v>4262</v>
      </c>
      <c r="R981" s="8">
        <v>0.161</v>
      </c>
      <c r="S981" s="8">
        <v>227300068</v>
      </c>
      <c r="T981" s="8" t="s">
        <v>46</v>
      </c>
      <c r="U981" s="8" t="s">
        <v>25</v>
      </c>
    </row>
    <row r="982" spans="1:21">
      <c r="A982" s="8" t="s">
        <v>7071</v>
      </c>
      <c r="B982" s="8" t="s">
        <v>7110</v>
      </c>
      <c r="C982" s="8">
        <v>9923</v>
      </c>
      <c r="D982" s="8" t="s">
        <v>22</v>
      </c>
      <c r="E982" s="8">
        <v>22843804</v>
      </c>
      <c r="F982" s="8">
        <v>22843804</v>
      </c>
      <c r="G982" s="8" t="s">
        <v>24</v>
      </c>
      <c r="H982" s="8" t="s">
        <v>25</v>
      </c>
      <c r="I982" s="8" t="s">
        <v>23</v>
      </c>
      <c r="J982" s="8" t="s">
        <v>7111</v>
      </c>
      <c r="K982" s="8" t="s">
        <v>7113</v>
      </c>
      <c r="L982" s="8" t="s">
        <v>19</v>
      </c>
      <c r="M982" s="8">
        <v>2903</v>
      </c>
      <c r="N982" s="8" t="s">
        <v>1070</v>
      </c>
      <c r="O982" s="8">
        <v>894</v>
      </c>
      <c r="P982" s="8" t="s">
        <v>7112</v>
      </c>
      <c r="Q982" s="8" t="s">
        <v>4262</v>
      </c>
      <c r="R982" s="8">
        <v>0.23300000000000001</v>
      </c>
      <c r="S982" s="8">
        <v>22843804</v>
      </c>
      <c r="T982" s="8" t="s">
        <v>24</v>
      </c>
      <c r="U982" s="8" t="s">
        <v>25</v>
      </c>
    </row>
    <row r="983" spans="1:21">
      <c r="A983" s="8" t="s">
        <v>7071</v>
      </c>
      <c r="B983" s="8" t="s">
        <v>7114</v>
      </c>
      <c r="C983" s="8">
        <v>3352</v>
      </c>
      <c r="D983" s="8" t="s">
        <v>22</v>
      </c>
      <c r="E983" s="8">
        <v>23519890</v>
      </c>
      <c r="F983" s="8">
        <v>23519890</v>
      </c>
      <c r="G983" s="8" t="s">
        <v>41</v>
      </c>
      <c r="H983" s="8" t="s">
        <v>24</v>
      </c>
      <c r="I983" s="8" t="s">
        <v>23</v>
      </c>
      <c r="J983" s="8" t="s">
        <v>7115</v>
      </c>
      <c r="K983" s="8" t="s">
        <v>7117</v>
      </c>
      <c r="L983" s="8" t="s">
        <v>19</v>
      </c>
      <c r="M983" s="8">
        <v>1333</v>
      </c>
      <c r="N983" s="8" t="s">
        <v>1040</v>
      </c>
      <c r="O983" s="8">
        <v>275</v>
      </c>
      <c r="P983" s="8" t="s">
        <v>7116</v>
      </c>
      <c r="Q983" s="8" t="s">
        <v>4262</v>
      </c>
      <c r="R983" s="8">
        <v>0.192</v>
      </c>
      <c r="S983" s="8">
        <v>23519890</v>
      </c>
      <c r="T983" s="8" t="s">
        <v>41</v>
      </c>
      <c r="U983" s="8" t="s">
        <v>24</v>
      </c>
    </row>
    <row r="984" spans="1:21">
      <c r="A984" s="8" t="s">
        <v>7071</v>
      </c>
      <c r="B984" s="8" t="s">
        <v>3911</v>
      </c>
      <c r="C984" s="8">
        <v>56776</v>
      </c>
      <c r="D984" s="8" t="s">
        <v>22</v>
      </c>
      <c r="E984" s="8">
        <v>240370741</v>
      </c>
      <c r="F984" s="8">
        <v>240370741</v>
      </c>
      <c r="G984" s="8" t="s">
        <v>46</v>
      </c>
      <c r="H984" s="8" t="s">
        <v>25</v>
      </c>
      <c r="I984" s="8" t="s">
        <v>23</v>
      </c>
      <c r="J984" s="8" t="s">
        <v>3912</v>
      </c>
      <c r="K984" s="8" t="s">
        <v>7119</v>
      </c>
      <c r="L984" s="8" t="s">
        <v>19</v>
      </c>
      <c r="M984" s="8">
        <v>2854</v>
      </c>
      <c r="N984" s="8" t="s">
        <v>1005</v>
      </c>
      <c r="O984" s="8">
        <v>877</v>
      </c>
      <c r="P984" s="8" t="s">
        <v>7118</v>
      </c>
      <c r="Q984" s="8" t="s">
        <v>4262</v>
      </c>
      <c r="R984" s="8">
        <v>4.4999999999999998E-2</v>
      </c>
      <c r="S984" s="8">
        <v>240370741</v>
      </c>
      <c r="T984" s="8" t="s">
        <v>46</v>
      </c>
      <c r="U984" s="8" t="s">
        <v>25</v>
      </c>
    </row>
    <row r="985" spans="1:21">
      <c r="A985" s="8" t="s">
        <v>7071</v>
      </c>
      <c r="B985" s="8" t="s">
        <v>7120</v>
      </c>
      <c r="C985" s="8">
        <v>343169</v>
      </c>
      <c r="D985" s="8" t="s">
        <v>22</v>
      </c>
      <c r="E985" s="8">
        <v>247875922</v>
      </c>
      <c r="F985" s="8">
        <v>247875922</v>
      </c>
      <c r="G985" s="8" t="s">
        <v>25</v>
      </c>
      <c r="H985" s="8" t="s">
        <v>41</v>
      </c>
      <c r="I985" s="8" t="s">
        <v>23</v>
      </c>
      <c r="J985" s="8" t="s">
        <v>7121</v>
      </c>
      <c r="K985" s="8" t="s">
        <v>7123</v>
      </c>
      <c r="L985" s="8" t="s">
        <v>19</v>
      </c>
      <c r="M985" s="8">
        <v>136</v>
      </c>
      <c r="N985" s="8" t="s">
        <v>3316</v>
      </c>
      <c r="O985" s="8">
        <v>46</v>
      </c>
      <c r="P985" s="8" t="s">
        <v>7122</v>
      </c>
      <c r="Q985" s="8" t="s">
        <v>4262</v>
      </c>
      <c r="R985" s="8">
        <v>7.2999999999999995E-2</v>
      </c>
      <c r="S985" s="8">
        <v>247875922</v>
      </c>
      <c r="T985" s="8" t="s">
        <v>25</v>
      </c>
      <c r="U985" s="8" t="s">
        <v>41</v>
      </c>
    </row>
    <row r="986" spans="1:21">
      <c r="A986" s="8" t="s">
        <v>7071</v>
      </c>
      <c r="B986" s="8" t="s">
        <v>7124</v>
      </c>
      <c r="C986" s="8">
        <v>84676</v>
      </c>
      <c r="D986" s="8" t="s">
        <v>22</v>
      </c>
      <c r="E986" s="8">
        <v>26384916</v>
      </c>
      <c r="F986" s="8">
        <v>26384916</v>
      </c>
      <c r="G986" s="8" t="s">
        <v>25</v>
      </c>
      <c r="H986" s="8" t="s">
        <v>24</v>
      </c>
      <c r="I986" s="8" t="s">
        <v>23</v>
      </c>
      <c r="J986" s="8" t="s">
        <v>7125</v>
      </c>
      <c r="K986" s="8" t="s">
        <v>7127</v>
      </c>
      <c r="L986" s="8" t="s">
        <v>19</v>
      </c>
      <c r="M986" s="8">
        <v>932</v>
      </c>
      <c r="N986" s="8" t="s">
        <v>300</v>
      </c>
      <c r="O986" s="8">
        <v>266</v>
      </c>
      <c r="P986" s="8" t="s">
        <v>7126</v>
      </c>
      <c r="Q986" s="8" t="s">
        <v>4262</v>
      </c>
      <c r="R986" s="8">
        <v>4.5999999999999999E-2</v>
      </c>
      <c r="S986" s="8">
        <v>26384916</v>
      </c>
      <c r="T986" s="8" t="s">
        <v>25</v>
      </c>
      <c r="U986" s="8" t="s">
        <v>24</v>
      </c>
    </row>
    <row r="987" spans="1:21">
      <c r="A987" s="8" t="s">
        <v>7071</v>
      </c>
      <c r="B987" s="8" t="s">
        <v>5922</v>
      </c>
      <c r="C987" s="8">
        <v>27245</v>
      </c>
      <c r="D987" s="8" t="s">
        <v>22</v>
      </c>
      <c r="E987" s="8">
        <v>27876186</v>
      </c>
      <c r="F987" s="8">
        <v>27876186</v>
      </c>
      <c r="G987" s="8" t="s">
        <v>46</v>
      </c>
      <c r="H987" s="8" t="s">
        <v>41</v>
      </c>
      <c r="I987" s="8" t="s">
        <v>23</v>
      </c>
      <c r="J987" s="8" t="s">
        <v>5923</v>
      </c>
      <c r="K987" s="8" t="s">
        <v>5925</v>
      </c>
      <c r="L987" s="8" t="s">
        <v>19</v>
      </c>
      <c r="M987" s="8">
        <v>3410</v>
      </c>
      <c r="N987" s="8" t="s">
        <v>205</v>
      </c>
      <c r="O987" s="8">
        <v>814</v>
      </c>
      <c r="P987" s="8" t="s">
        <v>7128</v>
      </c>
      <c r="Q987" s="8" t="s">
        <v>4262</v>
      </c>
      <c r="R987" s="8">
        <v>0.17699999999999999</v>
      </c>
      <c r="S987" s="8">
        <v>27876186</v>
      </c>
      <c r="T987" s="8" t="s">
        <v>46</v>
      </c>
      <c r="U987" s="8" t="s">
        <v>41</v>
      </c>
    </row>
    <row r="988" spans="1:21">
      <c r="A988" s="8" t="s">
        <v>7071</v>
      </c>
      <c r="B988" s="8" t="s">
        <v>7129</v>
      </c>
      <c r="C988" s="8">
        <v>5511</v>
      </c>
      <c r="D988" s="8" t="s">
        <v>22</v>
      </c>
      <c r="E988" s="8">
        <v>28173584</v>
      </c>
      <c r="F988" s="8">
        <v>28173584</v>
      </c>
      <c r="G988" s="8" t="s">
        <v>46</v>
      </c>
      <c r="H988" s="8" t="s">
        <v>24</v>
      </c>
      <c r="I988" s="8" t="s">
        <v>23</v>
      </c>
      <c r="J988" s="8" t="s">
        <v>7130</v>
      </c>
      <c r="K988" s="8" t="s">
        <v>7132</v>
      </c>
      <c r="L988" s="8" t="s">
        <v>19</v>
      </c>
      <c r="M988" s="8">
        <v>778</v>
      </c>
      <c r="N988" s="8" t="s">
        <v>4912</v>
      </c>
      <c r="O988" s="8">
        <v>228</v>
      </c>
      <c r="P988" s="8" t="s">
        <v>7131</v>
      </c>
      <c r="Q988" s="8" t="s">
        <v>4262</v>
      </c>
      <c r="R988" s="8">
        <v>9.4E-2</v>
      </c>
      <c r="S988" s="8">
        <v>28173584</v>
      </c>
      <c r="T988" s="8" t="s">
        <v>46</v>
      </c>
      <c r="U988" s="8" t="s">
        <v>24</v>
      </c>
    </row>
    <row r="989" spans="1:21">
      <c r="A989" s="8" t="s">
        <v>7071</v>
      </c>
      <c r="B989" s="8" t="s">
        <v>7133</v>
      </c>
      <c r="C989" s="8">
        <v>3061</v>
      </c>
      <c r="D989" s="8" t="s">
        <v>22</v>
      </c>
      <c r="E989" s="8">
        <v>32092431</v>
      </c>
      <c r="F989" s="8">
        <v>32092431</v>
      </c>
      <c r="G989" s="8" t="s">
        <v>46</v>
      </c>
      <c r="H989" s="8" t="s">
        <v>25</v>
      </c>
      <c r="I989" s="8" t="s">
        <v>23</v>
      </c>
      <c r="J989" s="8" t="s">
        <v>7134</v>
      </c>
      <c r="K989" s="8" t="s">
        <v>7136</v>
      </c>
      <c r="L989" s="8" t="s">
        <v>76</v>
      </c>
      <c r="M989" s="8">
        <v>1513</v>
      </c>
      <c r="N989" s="8" t="s">
        <v>209</v>
      </c>
      <c r="O989" s="8">
        <v>376</v>
      </c>
      <c r="P989" s="8" t="s">
        <v>7135</v>
      </c>
      <c r="Q989" s="8" t="s">
        <v>4262</v>
      </c>
      <c r="R989" s="8">
        <v>0.253</v>
      </c>
      <c r="S989" s="8">
        <v>32092431</v>
      </c>
      <c r="T989" s="8" t="s">
        <v>46</v>
      </c>
      <c r="U989" s="8" t="s">
        <v>25</v>
      </c>
    </row>
    <row r="990" spans="1:21">
      <c r="A990" s="8" t="s">
        <v>7071</v>
      </c>
      <c r="B990" s="8" t="s">
        <v>7137</v>
      </c>
      <c r="C990" s="8">
        <v>100505584</v>
      </c>
      <c r="D990" s="8" t="s">
        <v>22</v>
      </c>
      <c r="E990" s="8">
        <v>33416989</v>
      </c>
      <c r="F990" s="8">
        <v>33416989</v>
      </c>
      <c r="G990" s="8" t="s">
        <v>41</v>
      </c>
      <c r="H990" s="8" t="s">
        <v>24</v>
      </c>
      <c r="I990" s="8" t="s">
        <v>23</v>
      </c>
      <c r="J990" s="8" t="s">
        <v>7138</v>
      </c>
      <c r="K990" s="8" t="s">
        <v>7140</v>
      </c>
      <c r="L990" s="8" t="s">
        <v>19</v>
      </c>
      <c r="M990" s="8">
        <v>92</v>
      </c>
      <c r="N990" s="8" t="s">
        <v>2989</v>
      </c>
      <c r="O990" s="8">
        <v>31</v>
      </c>
      <c r="P990" s="8" t="s">
        <v>7139</v>
      </c>
      <c r="Q990" s="8" t="s">
        <v>4262</v>
      </c>
      <c r="R990" s="8">
        <v>0.23100000000000001</v>
      </c>
      <c r="S990" s="8">
        <v>33416989</v>
      </c>
      <c r="T990" s="8" t="s">
        <v>41</v>
      </c>
      <c r="U990" s="8" t="s">
        <v>24</v>
      </c>
    </row>
    <row r="991" spans="1:21">
      <c r="A991" s="8" t="s">
        <v>7071</v>
      </c>
      <c r="B991" s="8" t="s">
        <v>6811</v>
      </c>
      <c r="C991" s="8">
        <v>7579</v>
      </c>
      <c r="D991" s="8" t="s">
        <v>22</v>
      </c>
      <c r="E991" s="8">
        <v>33956683</v>
      </c>
      <c r="F991" s="8">
        <v>33956683</v>
      </c>
      <c r="G991" s="8" t="s">
        <v>24</v>
      </c>
      <c r="H991" s="8" t="s">
        <v>25</v>
      </c>
      <c r="I991" s="8" t="s">
        <v>23</v>
      </c>
      <c r="J991" s="8" t="s">
        <v>6812</v>
      </c>
      <c r="K991" s="8" t="s">
        <v>6814</v>
      </c>
      <c r="L991" s="8" t="s">
        <v>76</v>
      </c>
      <c r="M991" s="8">
        <v>992</v>
      </c>
      <c r="N991" s="8" t="s">
        <v>716</v>
      </c>
      <c r="O991" s="8">
        <v>275</v>
      </c>
      <c r="P991" s="8" t="s">
        <v>7141</v>
      </c>
      <c r="Q991" s="8" t="s">
        <v>4262</v>
      </c>
      <c r="R991" s="8">
        <v>0.113</v>
      </c>
      <c r="S991" s="8">
        <v>33956683</v>
      </c>
      <c r="T991" s="8" t="s">
        <v>24</v>
      </c>
      <c r="U991" s="8" t="s">
        <v>25</v>
      </c>
    </row>
    <row r="992" spans="1:21">
      <c r="A992" s="8" t="s">
        <v>7071</v>
      </c>
      <c r="B992" s="8" t="s">
        <v>7142</v>
      </c>
      <c r="C992" s="8">
        <v>84970</v>
      </c>
      <c r="D992" s="8" t="s">
        <v>22</v>
      </c>
      <c r="E992" s="8">
        <v>34684328</v>
      </c>
      <c r="F992" s="8">
        <v>34684328</v>
      </c>
      <c r="G992" s="8" t="s">
        <v>25</v>
      </c>
      <c r="H992" s="8" t="s">
        <v>41</v>
      </c>
      <c r="I992" s="8" t="s">
        <v>23</v>
      </c>
      <c r="J992" s="8" t="s">
        <v>7143</v>
      </c>
      <c r="K992" s="8" t="s">
        <v>7145</v>
      </c>
      <c r="L992" s="8" t="s">
        <v>19</v>
      </c>
      <c r="M992" s="8">
        <v>2601</v>
      </c>
      <c r="N992" s="8" t="s">
        <v>3761</v>
      </c>
      <c r="O992" s="8">
        <v>588</v>
      </c>
      <c r="P992" s="8" t="s">
        <v>7144</v>
      </c>
      <c r="Q992" s="8" t="s">
        <v>4262</v>
      </c>
      <c r="R992" s="8">
        <v>0.28799999999999998</v>
      </c>
      <c r="S992" s="8">
        <v>34684328</v>
      </c>
      <c r="T992" s="8" t="s">
        <v>25</v>
      </c>
      <c r="U992" s="8" t="s">
        <v>41</v>
      </c>
    </row>
    <row r="993" spans="1:21">
      <c r="A993" s="8" t="s">
        <v>7071</v>
      </c>
      <c r="B993" s="8" t="s">
        <v>7146</v>
      </c>
      <c r="C993" s="8">
        <v>731220</v>
      </c>
      <c r="D993" s="8" t="s">
        <v>172</v>
      </c>
      <c r="E993" s="8">
        <v>102029420</v>
      </c>
      <c r="F993" s="8">
        <v>102029420</v>
      </c>
      <c r="G993" s="8" t="s">
        <v>24</v>
      </c>
      <c r="H993" s="8" t="s">
        <v>41</v>
      </c>
      <c r="I993" s="8" t="s">
        <v>23</v>
      </c>
      <c r="J993" s="8" t="s">
        <v>7147</v>
      </c>
      <c r="K993" s="8" t="s">
        <v>7149</v>
      </c>
      <c r="L993" s="8" t="s">
        <v>19</v>
      </c>
      <c r="M993" s="8">
        <v>795</v>
      </c>
      <c r="N993" s="8" t="s">
        <v>247</v>
      </c>
      <c r="O993" s="8">
        <v>225</v>
      </c>
      <c r="P993" s="8" t="s">
        <v>7148</v>
      </c>
      <c r="Q993" s="8" t="s">
        <v>4262</v>
      </c>
      <c r="R993" s="8">
        <v>0.21099999999999999</v>
      </c>
      <c r="S993" s="8">
        <v>102029420</v>
      </c>
      <c r="T993" s="8" t="s">
        <v>24</v>
      </c>
      <c r="U993" s="8" t="s">
        <v>41</v>
      </c>
    </row>
    <row r="994" spans="1:21">
      <c r="A994" s="8" t="s">
        <v>7071</v>
      </c>
      <c r="B994" s="8" t="s">
        <v>7150</v>
      </c>
      <c r="C994" s="8">
        <v>54221</v>
      </c>
      <c r="D994" s="8" t="s">
        <v>172</v>
      </c>
      <c r="E994" s="8">
        <v>1168813</v>
      </c>
      <c r="F994" s="8">
        <v>1168813</v>
      </c>
      <c r="G994" s="8" t="s">
        <v>24</v>
      </c>
      <c r="H994" s="8" t="s">
        <v>41</v>
      </c>
      <c r="I994" s="8" t="s">
        <v>23</v>
      </c>
      <c r="J994" s="8" t="s">
        <v>7151</v>
      </c>
      <c r="K994" s="8" t="s">
        <v>7153</v>
      </c>
      <c r="L994" s="8" t="s">
        <v>19</v>
      </c>
      <c r="M994" s="8">
        <v>664</v>
      </c>
      <c r="N994" s="8" t="s">
        <v>256</v>
      </c>
      <c r="O994" s="8">
        <v>179</v>
      </c>
      <c r="P994" s="8" t="s">
        <v>7152</v>
      </c>
      <c r="Q994" s="8" t="s">
        <v>4262</v>
      </c>
      <c r="R994" s="8">
        <v>0.183</v>
      </c>
      <c r="S994" s="8">
        <v>1168813</v>
      </c>
      <c r="T994" s="8" t="s">
        <v>24</v>
      </c>
      <c r="U994" s="8" t="s">
        <v>41</v>
      </c>
    </row>
    <row r="995" spans="1:21">
      <c r="A995" s="8" t="s">
        <v>7071</v>
      </c>
      <c r="B995" s="8" t="s">
        <v>7154</v>
      </c>
      <c r="C995" s="8">
        <v>2736</v>
      </c>
      <c r="D995" s="8" t="s">
        <v>172</v>
      </c>
      <c r="E995" s="8">
        <v>121747734</v>
      </c>
      <c r="F995" s="8">
        <v>121747734</v>
      </c>
      <c r="G995" s="8" t="s">
        <v>46</v>
      </c>
      <c r="H995" s="8" t="s">
        <v>25</v>
      </c>
      <c r="I995" s="8" t="s">
        <v>23</v>
      </c>
      <c r="J995" s="8" t="s">
        <v>7155</v>
      </c>
      <c r="K995" s="8" t="s">
        <v>7157</v>
      </c>
      <c r="L995" s="8" t="s">
        <v>19</v>
      </c>
      <c r="M995" s="8">
        <v>4274</v>
      </c>
      <c r="N995" s="8" t="s">
        <v>530</v>
      </c>
      <c r="O995" s="8">
        <v>1415</v>
      </c>
      <c r="P995" s="8" t="s">
        <v>7156</v>
      </c>
      <c r="Q995" s="8" t="s">
        <v>4262</v>
      </c>
      <c r="R995" s="8">
        <v>0.255</v>
      </c>
      <c r="S995" s="8">
        <v>121747734</v>
      </c>
      <c r="T995" s="8" t="s">
        <v>46</v>
      </c>
      <c r="U995" s="8" t="s">
        <v>25</v>
      </c>
    </row>
    <row r="996" spans="1:21">
      <c r="A996" s="8" t="s">
        <v>7071</v>
      </c>
      <c r="B996" s="8" t="s">
        <v>7158</v>
      </c>
      <c r="C996" s="8">
        <v>2840</v>
      </c>
      <c r="D996" s="8" t="s">
        <v>172</v>
      </c>
      <c r="E996" s="8">
        <v>128408967</v>
      </c>
      <c r="F996" s="8">
        <v>128408967</v>
      </c>
      <c r="G996" s="8" t="s">
        <v>46</v>
      </c>
      <c r="H996" s="8" t="s">
        <v>41</v>
      </c>
      <c r="I996" s="8" t="s">
        <v>23</v>
      </c>
      <c r="J996" s="8" t="s">
        <v>7159</v>
      </c>
      <c r="K996" s="8" t="s">
        <v>7161</v>
      </c>
      <c r="L996" s="8" t="s">
        <v>19</v>
      </c>
      <c r="M996" s="8">
        <v>1124</v>
      </c>
      <c r="N996" s="8" t="s">
        <v>92</v>
      </c>
      <c r="O996" s="8">
        <v>248</v>
      </c>
      <c r="P996" s="8" t="s">
        <v>7160</v>
      </c>
      <c r="Q996" s="8" t="s">
        <v>4262</v>
      </c>
      <c r="R996" s="8">
        <v>0.17399999999999999</v>
      </c>
      <c r="S996" s="8">
        <v>128408967</v>
      </c>
      <c r="T996" s="8" t="s">
        <v>46</v>
      </c>
      <c r="U996" s="8" t="s">
        <v>41</v>
      </c>
    </row>
    <row r="997" spans="1:21">
      <c r="A997" s="8" t="s">
        <v>7071</v>
      </c>
      <c r="B997" s="8" t="s">
        <v>7162</v>
      </c>
      <c r="C997" s="8">
        <v>92856</v>
      </c>
      <c r="D997" s="8" t="s">
        <v>172</v>
      </c>
      <c r="E997" s="8">
        <v>131103192</v>
      </c>
      <c r="F997" s="8">
        <v>131103192</v>
      </c>
      <c r="G997" s="8" t="s">
        <v>25</v>
      </c>
      <c r="H997" s="8" t="s">
        <v>24</v>
      </c>
      <c r="I997" s="8" t="s">
        <v>23</v>
      </c>
      <c r="J997" s="8" t="s">
        <v>7163</v>
      </c>
      <c r="K997" s="8" t="s">
        <v>7165</v>
      </c>
      <c r="L997" s="8" t="s">
        <v>19</v>
      </c>
      <c r="M997" s="8">
        <v>376</v>
      </c>
      <c r="N997" s="8" t="s">
        <v>454</v>
      </c>
      <c r="O997" s="8">
        <v>120</v>
      </c>
      <c r="P997" s="8" t="s">
        <v>7164</v>
      </c>
      <c r="Q997" s="8" t="s">
        <v>4262</v>
      </c>
      <c r="R997" s="8">
        <v>0.111</v>
      </c>
      <c r="S997" s="8">
        <v>131103192</v>
      </c>
      <c r="T997" s="8" t="s">
        <v>25</v>
      </c>
      <c r="U997" s="8" t="s">
        <v>24</v>
      </c>
    </row>
    <row r="998" spans="1:21">
      <c r="A998" s="8" t="s">
        <v>7071</v>
      </c>
      <c r="B998" s="8" t="s">
        <v>3382</v>
      </c>
      <c r="C998" s="8">
        <v>344148</v>
      </c>
      <c r="D998" s="8" t="s">
        <v>172</v>
      </c>
      <c r="E998" s="8">
        <v>133636436</v>
      </c>
      <c r="F998" s="8">
        <v>133636436</v>
      </c>
      <c r="G998" s="8" t="s">
        <v>46</v>
      </c>
      <c r="H998" s="8" t="s">
        <v>25</v>
      </c>
      <c r="I998" s="8" t="s">
        <v>23</v>
      </c>
      <c r="J998" s="8" t="s">
        <v>5486</v>
      </c>
      <c r="K998" s="8" t="s">
        <v>5488</v>
      </c>
      <c r="L998" s="8" t="s">
        <v>19</v>
      </c>
      <c r="M998" s="8">
        <v>1007</v>
      </c>
      <c r="N998" s="8" t="s">
        <v>1180</v>
      </c>
      <c r="O998" s="8">
        <v>211</v>
      </c>
      <c r="P998" s="8" t="s">
        <v>7166</v>
      </c>
      <c r="Q998" s="8" t="s">
        <v>4262</v>
      </c>
      <c r="R998" s="8">
        <v>0.33100000000000002</v>
      </c>
      <c r="S998" s="8">
        <v>133636436</v>
      </c>
      <c r="T998" s="8" t="s">
        <v>46</v>
      </c>
      <c r="U998" s="8" t="s">
        <v>25</v>
      </c>
    </row>
    <row r="999" spans="1:21">
      <c r="A999" s="8" t="s">
        <v>7071</v>
      </c>
      <c r="B999" s="8" t="s">
        <v>7167</v>
      </c>
      <c r="C999" s="8">
        <v>4703</v>
      </c>
      <c r="D999" s="8" t="s">
        <v>172</v>
      </c>
      <c r="E999" s="8">
        <v>152487798</v>
      </c>
      <c r="F999" s="8">
        <v>152487798</v>
      </c>
      <c r="G999" s="8" t="s">
        <v>46</v>
      </c>
      <c r="H999" s="8" t="s">
        <v>24</v>
      </c>
      <c r="I999" s="8" t="s">
        <v>23</v>
      </c>
      <c r="J999" s="8" t="s">
        <v>7168</v>
      </c>
      <c r="K999" s="8" t="s">
        <v>7170</v>
      </c>
      <c r="L999" s="8" t="s">
        <v>19</v>
      </c>
      <c r="M999" s="8">
        <v>9680</v>
      </c>
      <c r="N999" s="8" t="s">
        <v>3231</v>
      </c>
      <c r="O999" s="8">
        <v>3159</v>
      </c>
      <c r="P999" s="8" t="s">
        <v>7169</v>
      </c>
      <c r="Q999" s="8" t="s">
        <v>4262</v>
      </c>
      <c r="R999" s="8">
        <v>0.19400000000000001</v>
      </c>
      <c r="S999" s="8">
        <v>152487798</v>
      </c>
      <c r="T999" s="8" t="s">
        <v>46</v>
      </c>
      <c r="U999" s="8" t="s">
        <v>24</v>
      </c>
    </row>
    <row r="1000" spans="1:21">
      <c r="A1000" s="8" t="s">
        <v>7071</v>
      </c>
      <c r="B1000" s="8" t="s">
        <v>3284</v>
      </c>
      <c r="C1000" s="8">
        <v>1386</v>
      </c>
      <c r="D1000" s="8" t="s">
        <v>172</v>
      </c>
      <c r="E1000" s="8">
        <v>175957818</v>
      </c>
      <c r="F1000" s="8">
        <v>175957818</v>
      </c>
      <c r="G1000" s="8" t="s">
        <v>46</v>
      </c>
      <c r="H1000" s="8" t="s">
        <v>24</v>
      </c>
      <c r="I1000" s="8" t="s">
        <v>23</v>
      </c>
      <c r="J1000" s="8" t="s">
        <v>7171</v>
      </c>
      <c r="K1000" s="8" t="s">
        <v>7173</v>
      </c>
      <c r="L1000" s="8" t="s">
        <v>19</v>
      </c>
      <c r="M1000" s="8">
        <v>1418</v>
      </c>
      <c r="N1000" s="8" t="s">
        <v>128</v>
      </c>
      <c r="O1000" s="8">
        <v>386</v>
      </c>
      <c r="P1000" s="8" t="s">
        <v>7172</v>
      </c>
      <c r="Q1000" s="8" t="s">
        <v>4262</v>
      </c>
      <c r="R1000" s="8">
        <v>0.13300000000000001</v>
      </c>
      <c r="S1000" s="8">
        <v>175957818</v>
      </c>
      <c r="T1000" s="8" t="s">
        <v>46</v>
      </c>
      <c r="U1000" s="8" t="s">
        <v>24</v>
      </c>
    </row>
    <row r="1001" spans="1:21">
      <c r="A1001" s="8" t="s">
        <v>7071</v>
      </c>
      <c r="B1001" s="8" t="s">
        <v>7174</v>
      </c>
      <c r="C1001" s="8">
        <v>3676</v>
      </c>
      <c r="D1001" s="8" t="s">
        <v>172</v>
      </c>
      <c r="E1001" s="8">
        <v>182388897</v>
      </c>
      <c r="F1001" s="8">
        <v>182388897</v>
      </c>
      <c r="G1001" s="8" t="s">
        <v>24</v>
      </c>
      <c r="H1001" s="8" t="s">
        <v>46</v>
      </c>
      <c r="I1001" s="8" t="s">
        <v>23</v>
      </c>
      <c r="J1001" s="8" t="s">
        <v>7175</v>
      </c>
      <c r="K1001" s="8" t="s">
        <v>7176</v>
      </c>
      <c r="L1001" s="8" t="s">
        <v>68</v>
      </c>
      <c r="M1001" s="8">
        <v>0</v>
      </c>
      <c r="N1001" s="8" t="s">
        <v>35</v>
      </c>
      <c r="O1001" s="8">
        <v>0</v>
      </c>
      <c r="P1001" s="8" t="s">
        <v>35</v>
      </c>
      <c r="Q1001" s="8" t="s">
        <v>4262</v>
      </c>
      <c r="R1001" s="8">
        <v>0.14899999999999999</v>
      </c>
      <c r="S1001" s="8">
        <v>182388897</v>
      </c>
      <c r="T1001" s="8" t="s">
        <v>24</v>
      </c>
      <c r="U1001" s="8" t="s">
        <v>46</v>
      </c>
    </row>
    <row r="1002" spans="1:21">
      <c r="A1002" s="8" t="s">
        <v>7071</v>
      </c>
      <c r="B1002" s="8" t="s">
        <v>1938</v>
      </c>
      <c r="C1002" s="8">
        <v>79065</v>
      </c>
      <c r="D1002" s="8" t="s">
        <v>172</v>
      </c>
      <c r="E1002" s="8">
        <v>220089401</v>
      </c>
      <c r="F1002" s="8">
        <v>220089401</v>
      </c>
      <c r="G1002" s="8" t="s">
        <v>46</v>
      </c>
      <c r="H1002" s="8" t="s">
        <v>24</v>
      </c>
      <c r="I1002" s="8" t="s">
        <v>23</v>
      </c>
      <c r="J1002" s="8" t="s">
        <v>7177</v>
      </c>
      <c r="K1002" s="8" t="s">
        <v>7179</v>
      </c>
      <c r="L1002" s="8" t="s">
        <v>19</v>
      </c>
      <c r="M1002" s="8">
        <v>826</v>
      </c>
      <c r="N1002" s="8" t="s">
        <v>3506</v>
      </c>
      <c r="O1002" s="8">
        <v>231</v>
      </c>
      <c r="P1002" s="8" t="s">
        <v>7178</v>
      </c>
      <c r="Q1002" s="8" t="s">
        <v>4262</v>
      </c>
      <c r="R1002" s="8">
        <v>0.33800000000000002</v>
      </c>
      <c r="S1002" s="8">
        <v>220089401</v>
      </c>
      <c r="T1002" s="8" t="s">
        <v>46</v>
      </c>
      <c r="U1002" s="8" t="s">
        <v>24</v>
      </c>
    </row>
    <row r="1003" spans="1:21">
      <c r="A1003" s="8" t="s">
        <v>7071</v>
      </c>
      <c r="B1003" s="8" t="s">
        <v>742</v>
      </c>
      <c r="C1003" s="8">
        <v>10290</v>
      </c>
      <c r="D1003" s="8" t="s">
        <v>172</v>
      </c>
      <c r="E1003" s="8">
        <v>220342060</v>
      </c>
      <c r="F1003" s="8">
        <v>220342060</v>
      </c>
      <c r="G1003" s="8" t="s">
        <v>46</v>
      </c>
      <c r="H1003" s="8" t="s">
        <v>25</v>
      </c>
      <c r="I1003" s="8" t="s">
        <v>23</v>
      </c>
      <c r="J1003" s="8" t="s">
        <v>743</v>
      </c>
      <c r="K1003" s="8" t="s">
        <v>7181</v>
      </c>
      <c r="L1003" s="8" t="s">
        <v>19</v>
      </c>
      <c r="M1003" s="8">
        <v>4622</v>
      </c>
      <c r="N1003" s="8" t="s">
        <v>637</v>
      </c>
      <c r="O1003" s="8">
        <v>1541</v>
      </c>
      <c r="P1003" s="8" t="s">
        <v>7180</v>
      </c>
      <c r="Q1003" s="8" t="s">
        <v>4262</v>
      </c>
      <c r="R1003" s="8">
        <v>0.57099999999999995</v>
      </c>
      <c r="S1003" s="8">
        <v>220342060</v>
      </c>
      <c r="T1003" s="8" t="s">
        <v>46</v>
      </c>
      <c r="U1003" s="8" t="s">
        <v>25</v>
      </c>
    </row>
    <row r="1004" spans="1:21">
      <c r="A1004" s="8" t="s">
        <v>7071</v>
      </c>
      <c r="B1004" s="8" t="s">
        <v>7182</v>
      </c>
      <c r="C1004" s="8">
        <v>643905</v>
      </c>
      <c r="D1004" s="8" t="s">
        <v>172</v>
      </c>
      <c r="E1004" s="8">
        <v>240981406</v>
      </c>
      <c r="F1004" s="8">
        <v>240981406</v>
      </c>
      <c r="G1004" s="8" t="s">
        <v>24</v>
      </c>
      <c r="H1004" s="8" t="s">
        <v>41</v>
      </c>
      <c r="I1004" s="8" t="s">
        <v>23</v>
      </c>
      <c r="J1004" s="8" t="s">
        <v>7183</v>
      </c>
      <c r="K1004" s="8" t="s">
        <v>7185</v>
      </c>
      <c r="L1004" s="8" t="s">
        <v>19</v>
      </c>
      <c r="M1004" s="8">
        <v>994</v>
      </c>
      <c r="N1004" s="8" t="s">
        <v>379</v>
      </c>
      <c r="O1004" s="8">
        <v>332</v>
      </c>
      <c r="P1004" s="8" t="s">
        <v>7184</v>
      </c>
      <c r="Q1004" s="8" t="s">
        <v>4262</v>
      </c>
      <c r="R1004" s="8">
        <v>0.34499999999999997</v>
      </c>
      <c r="S1004" s="8">
        <v>240981406</v>
      </c>
      <c r="T1004" s="8" t="s">
        <v>24</v>
      </c>
      <c r="U1004" s="8" t="s">
        <v>41</v>
      </c>
    </row>
    <row r="1005" spans="1:21">
      <c r="A1005" s="8" t="s">
        <v>7071</v>
      </c>
      <c r="B1005" s="8" t="s">
        <v>7186</v>
      </c>
      <c r="C1005" s="8">
        <v>285126</v>
      </c>
      <c r="D1005" s="8" t="s">
        <v>172</v>
      </c>
      <c r="E1005" s="8">
        <v>27499695</v>
      </c>
      <c r="F1005" s="8">
        <v>27499695</v>
      </c>
      <c r="G1005" s="8" t="s">
        <v>46</v>
      </c>
      <c r="H1005" s="8" t="s">
        <v>25</v>
      </c>
      <c r="I1005" s="8" t="s">
        <v>23</v>
      </c>
      <c r="J1005" s="8" t="s">
        <v>7187</v>
      </c>
      <c r="K1005" s="8" t="s">
        <v>7189</v>
      </c>
      <c r="L1005" s="8" t="s">
        <v>19</v>
      </c>
      <c r="M1005" s="8">
        <v>517</v>
      </c>
      <c r="N1005" s="8" t="s">
        <v>326</v>
      </c>
      <c r="O1005" s="8">
        <v>33</v>
      </c>
      <c r="P1005" s="8" t="s">
        <v>7188</v>
      </c>
      <c r="Q1005" s="8" t="s">
        <v>4262</v>
      </c>
      <c r="R1005" s="8">
        <v>0.222</v>
      </c>
      <c r="S1005" s="8">
        <v>27499695</v>
      </c>
      <c r="T1005" s="8" t="s">
        <v>46</v>
      </c>
      <c r="U1005" s="8" t="s">
        <v>25</v>
      </c>
    </row>
    <row r="1006" spans="1:21">
      <c r="A1006" s="8" t="s">
        <v>7071</v>
      </c>
      <c r="B1006" s="8" t="s">
        <v>7190</v>
      </c>
      <c r="C1006" s="8">
        <v>51232</v>
      </c>
      <c r="D1006" s="8" t="s">
        <v>172</v>
      </c>
      <c r="E1006" s="8">
        <v>36737164</v>
      </c>
      <c r="F1006" s="8">
        <v>36737164</v>
      </c>
      <c r="G1006" s="8" t="s">
        <v>41</v>
      </c>
      <c r="H1006" s="8" t="s">
        <v>25</v>
      </c>
      <c r="I1006" s="8" t="s">
        <v>23</v>
      </c>
      <c r="J1006" s="8" t="s">
        <v>7191</v>
      </c>
      <c r="K1006" s="8" t="s">
        <v>7193</v>
      </c>
      <c r="L1006" s="8" t="s">
        <v>19</v>
      </c>
      <c r="M1006" s="8">
        <v>1606</v>
      </c>
      <c r="N1006" s="8" t="s">
        <v>3316</v>
      </c>
      <c r="O1006" s="8">
        <v>514</v>
      </c>
      <c r="P1006" s="8" t="s">
        <v>7192</v>
      </c>
      <c r="Q1006" s="8" t="s">
        <v>4262</v>
      </c>
      <c r="R1006" s="8">
        <v>0.19800000000000001</v>
      </c>
      <c r="S1006" s="8">
        <v>36737164</v>
      </c>
      <c r="T1006" s="8" t="s">
        <v>41</v>
      </c>
      <c r="U1006" s="8" t="s">
        <v>25</v>
      </c>
    </row>
    <row r="1007" spans="1:21">
      <c r="A1007" s="8" t="s">
        <v>7071</v>
      </c>
      <c r="B1007" s="8" t="s">
        <v>7194</v>
      </c>
      <c r="C1007" s="8">
        <v>5212</v>
      </c>
      <c r="D1007" s="8" t="s">
        <v>172</v>
      </c>
      <c r="E1007" s="8">
        <v>37036022</v>
      </c>
      <c r="F1007" s="8">
        <v>37036022</v>
      </c>
      <c r="G1007" s="8" t="s">
        <v>24</v>
      </c>
      <c r="H1007" s="8" t="s">
        <v>41</v>
      </c>
      <c r="I1007" s="8" t="s">
        <v>23</v>
      </c>
      <c r="J1007" s="8" t="s">
        <v>7195</v>
      </c>
      <c r="K1007" s="8" t="s">
        <v>7197</v>
      </c>
      <c r="L1007" s="8" t="s">
        <v>19</v>
      </c>
      <c r="M1007" s="8">
        <v>1988</v>
      </c>
      <c r="N1007" s="8" t="s">
        <v>251</v>
      </c>
      <c r="O1007" s="8">
        <v>562</v>
      </c>
      <c r="P1007" s="8" t="s">
        <v>7196</v>
      </c>
      <c r="Q1007" s="8" t="s">
        <v>4262</v>
      </c>
      <c r="R1007" s="8">
        <v>9.0999999999999998E-2</v>
      </c>
      <c r="S1007" s="8">
        <v>37036022</v>
      </c>
      <c r="T1007" s="8" t="s">
        <v>24</v>
      </c>
      <c r="U1007" s="8" t="s">
        <v>41</v>
      </c>
    </row>
    <row r="1008" spans="1:21">
      <c r="A1008" s="8" t="s">
        <v>7071</v>
      </c>
      <c r="B1008" s="8" t="s">
        <v>3383</v>
      </c>
      <c r="C1008" s="8">
        <v>23498</v>
      </c>
      <c r="D1008" s="8" t="s">
        <v>172</v>
      </c>
      <c r="E1008" s="8">
        <v>42996893</v>
      </c>
      <c r="F1008" s="8">
        <v>42996893</v>
      </c>
      <c r="G1008" s="8" t="s">
        <v>46</v>
      </c>
      <c r="H1008" s="8" t="s">
        <v>25</v>
      </c>
      <c r="I1008" s="8" t="s">
        <v>23</v>
      </c>
      <c r="J1008" s="8" t="s">
        <v>3384</v>
      </c>
      <c r="K1008" s="8" t="s">
        <v>7199</v>
      </c>
      <c r="L1008" s="8" t="s">
        <v>19</v>
      </c>
      <c r="M1008" s="8">
        <v>665</v>
      </c>
      <c r="N1008" s="8" t="s">
        <v>710</v>
      </c>
      <c r="O1008" s="8">
        <v>197</v>
      </c>
      <c r="P1008" s="8" t="s">
        <v>7198</v>
      </c>
      <c r="Q1008" s="8" t="s">
        <v>4262</v>
      </c>
      <c r="R1008" s="8">
        <v>0.35799999999999998</v>
      </c>
      <c r="S1008" s="8">
        <v>42996893</v>
      </c>
      <c r="T1008" s="8" t="s">
        <v>46</v>
      </c>
      <c r="U1008" s="8" t="s">
        <v>25</v>
      </c>
    </row>
    <row r="1009" spans="1:21">
      <c r="A1009" s="8" t="s">
        <v>7071</v>
      </c>
      <c r="B1009" s="8" t="s">
        <v>7200</v>
      </c>
      <c r="C1009" s="8">
        <v>286749</v>
      </c>
      <c r="D1009" s="8" t="s">
        <v>172</v>
      </c>
      <c r="E1009" s="8">
        <v>48809405</v>
      </c>
      <c r="F1009" s="8">
        <v>48809405</v>
      </c>
      <c r="G1009" s="8" t="s">
        <v>24</v>
      </c>
      <c r="H1009" s="8" t="s">
        <v>25</v>
      </c>
      <c r="I1009" s="8" t="s">
        <v>23</v>
      </c>
      <c r="J1009" s="8" t="s">
        <v>7201</v>
      </c>
      <c r="K1009" s="8" t="s">
        <v>7203</v>
      </c>
      <c r="L1009" s="8" t="s">
        <v>19</v>
      </c>
      <c r="M1009" s="8">
        <v>1680</v>
      </c>
      <c r="N1009" s="8" t="s">
        <v>768</v>
      </c>
      <c r="O1009" s="8">
        <v>545</v>
      </c>
      <c r="P1009" s="8" t="s">
        <v>7202</v>
      </c>
      <c r="Q1009" s="8" t="s">
        <v>4262</v>
      </c>
      <c r="R1009" s="8">
        <v>0.255</v>
      </c>
      <c r="S1009" s="8">
        <v>48809405</v>
      </c>
      <c r="T1009" s="8" t="s">
        <v>24</v>
      </c>
      <c r="U1009" s="8" t="s">
        <v>25</v>
      </c>
    </row>
    <row r="1010" spans="1:21">
      <c r="A1010" s="8" t="s">
        <v>7071</v>
      </c>
      <c r="B1010" s="8" t="s">
        <v>7204</v>
      </c>
      <c r="C1010" s="8">
        <v>7873</v>
      </c>
      <c r="D1010" s="8" t="s">
        <v>201</v>
      </c>
      <c r="E1010" s="8">
        <v>51426512</v>
      </c>
      <c r="F1010" s="8">
        <v>51426512</v>
      </c>
      <c r="G1010" s="8" t="s">
        <v>24</v>
      </c>
      <c r="H1010" s="8" t="s">
        <v>41</v>
      </c>
      <c r="I1010" s="8" t="s">
        <v>23</v>
      </c>
      <c r="J1010" s="8" t="s">
        <v>7205</v>
      </c>
      <c r="K1010" s="8" t="s">
        <v>7207</v>
      </c>
      <c r="L1010" s="8" t="s">
        <v>19</v>
      </c>
      <c r="M1010" s="8">
        <v>623</v>
      </c>
      <c r="N1010" s="8" t="s">
        <v>883</v>
      </c>
      <c r="O1010" s="8">
        <v>181</v>
      </c>
      <c r="P1010" s="8" t="s">
        <v>7206</v>
      </c>
      <c r="Q1010" s="8" t="s">
        <v>4262</v>
      </c>
      <c r="R1010" s="8">
        <v>0.109</v>
      </c>
      <c r="S1010" s="8">
        <v>51426512</v>
      </c>
      <c r="T1010" s="8" t="s">
        <v>24</v>
      </c>
      <c r="U1010" s="8" t="s">
        <v>41</v>
      </c>
    </row>
    <row r="1011" spans="1:21">
      <c r="A1011" s="8" t="s">
        <v>7071</v>
      </c>
      <c r="B1011" s="8" t="s">
        <v>7208</v>
      </c>
      <c r="C1011" s="8">
        <v>26582</v>
      </c>
      <c r="D1011" s="8" t="s">
        <v>201</v>
      </c>
      <c r="E1011" s="8">
        <v>75718439</v>
      </c>
      <c r="F1011" s="8">
        <v>75718439</v>
      </c>
      <c r="G1011" s="8" t="s">
        <v>24</v>
      </c>
      <c r="H1011" s="8" t="s">
        <v>25</v>
      </c>
      <c r="I1011" s="8" t="s">
        <v>23</v>
      </c>
      <c r="J1011" s="8" t="s">
        <v>7209</v>
      </c>
      <c r="K1011" s="8" t="s">
        <v>7211</v>
      </c>
      <c r="L1011" s="8" t="s">
        <v>19</v>
      </c>
      <c r="M1011" s="8">
        <v>439</v>
      </c>
      <c r="N1011" s="8" t="s">
        <v>536</v>
      </c>
      <c r="O1011" s="8">
        <v>147</v>
      </c>
      <c r="P1011" s="8" t="s">
        <v>7210</v>
      </c>
      <c r="Q1011" s="8" t="s">
        <v>4262</v>
      </c>
      <c r="R1011" s="8">
        <v>2.4E-2</v>
      </c>
      <c r="S1011" s="8">
        <v>75718439</v>
      </c>
      <c r="T1011" s="8" t="s">
        <v>24</v>
      </c>
      <c r="U1011" s="8" t="s">
        <v>25</v>
      </c>
    </row>
    <row r="1012" spans="1:21">
      <c r="A1012" s="8" t="s">
        <v>7071</v>
      </c>
      <c r="B1012" s="8" t="s">
        <v>2237</v>
      </c>
      <c r="C1012" s="8">
        <v>3693</v>
      </c>
      <c r="D1012" s="8" t="s">
        <v>201</v>
      </c>
      <c r="E1012" s="8">
        <v>124567276</v>
      </c>
      <c r="F1012" s="8">
        <v>124567276</v>
      </c>
      <c r="G1012" s="8" t="s">
        <v>25</v>
      </c>
      <c r="H1012" s="8" t="s">
        <v>41</v>
      </c>
      <c r="I1012" s="8" t="s">
        <v>23</v>
      </c>
      <c r="J1012" s="8" t="s">
        <v>7212</v>
      </c>
      <c r="K1012" s="8" t="s">
        <v>7214</v>
      </c>
      <c r="L1012" s="8" t="s">
        <v>19</v>
      </c>
      <c r="M1012" s="8">
        <v>788</v>
      </c>
      <c r="N1012" s="8" t="s">
        <v>3834</v>
      </c>
      <c r="O1012" s="8">
        <v>164</v>
      </c>
      <c r="P1012" s="8" t="s">
        <v>7213</v>
      </c>
      <c r="Q1012" s="8" t="s">
        <v>4262</v>
      </c>
      <c r="R1012" s="8">
        <v>5.5E-2</v>
      </c>
      <c r="S1012" s="8">
        <v>124567276</v>
      </c>
      <c r="T1012" s="8" t="s">
        <v>25</v>
      </c>
      <c r="U1012" s="8" t="s">
        <v>41</v>
      </c>
    </row>
    <row r="1013" spans="1:21">
      <c r="A1013" s="8" t="s">
        <v>7071</v>
      </c>
      <c r="B1013" s="8" t="s">
        <v>7215</v>
      </c>
      <c r="C1013" s="8">
        <v>2624</v>
      </c>
      <c r="D1013" s="8" t="s">
        <v>201</v>
      </c>
      <c r="E1013" s="8">
        <v>128200005</v>
      </c>
      <c r="F1013" s="8">
        <v>128200005</v>
      </c>
      <c r="G1013" s="8" t="s">
        <v>46</v>
      </c>
      <c r="H1013" s="8" t="s">
        <v>25</v>
      </c>
      <c r="I1013" s="8" t="s">
        <v>23</v>
      </c>
      <c r="J1013" s="8" t="s">
        <v>7216</v>
      </c>
      <c r="K1013" s="8" t="s">
        <v>7218</v>
      </c>
      <c r="L1013" s="8" t="s">
        <v>19</v>
      </c>
      <c r="M1013" s="8">
        <v>1634</v>
      </c>
      <c r="N1013" s="8" t="s">
        <v>481</v>
      </c>
      <c r="O1013" s="8">
        <v>434</v>
      </c>
      <c r="P1013" s="8" t="s">
        <v>7217</v>
      </c>
      <c r="Q1013" s="8" t="s">
        <v>4262</v>
      </c>
      <c r="R1013" s="8">
        <v>0.23</v>
      </c>
      <c r="S1013" s="8">
        <v>128200005</v>
      </c>
      <c r="T1013" s="8" t="s">
        <v>46</v>
      </c>
      <c r="U1013" s="8" t="s">
        <v>25</v>
      </c>
    </row>
    <row r="1014" spans="1:21">
      <c r="A1014" s="8" t="s">
        <v>7071</v>
      </c>
      <c r="B1014" s="8" t="s">
        <v>7219</v>
      </c>
      <c r="C1014" s="8">
        <v>23023</v>
      </c>
      <c r="D1014" s="8" t="s">
        <v>201</v>
      </c>
      <c r="E1014" s="8">
        <v>129389909</v>
      </c>
      <c r="F1014" s="8">
        <v>129389909</v>
      </c>
      <c r="G1014" s="8" t="s">
        <v>46</v>
      </c>
      <c r="H1014" s="8" t="s">
        <v>41</v>
      </c>
      <c r="I1014" s="8" t="s">
        <v>23</v>
      </c>
      <c r="J1014" s="8" t="s">
        <v>7220</v>
      </c>
      <c r="K1014" s="8" t="s">
        <v>7222</v>
      </c>
      <c r="L1014" s="8" t="s">
        <v>19</v>
      </c>
      <c r="M1014" s="8">
        <v>1209</v>
      </c>
      <c r="N1014" s="8" t="s">
        <v>1440</v>
      </c>
      <c r="O1014" s="8">
        <v>259</v>
      </c>
      <c r="P1014" s="8" t="s">
        <v>7221</v>
      </c>
      <c r="Q1014" s="8" t="s">
        <v>4262</v>
      </c>
      <c r="R1014" s="8">
        <v>8.8999999999999996E-2</v>
      </c>
      <c r="S1014" s="8">
        <v>129389909</v>
      </c>
      <c r="T1014" s="8" t="s">
        <v>46</v>
      </c>
      <c r="U1014" s="8" t="s">
        <v>41</v>
      </c>
    </row>
    <row r="1015" spans="1:21">
      <c r="A1015" s="8" t="s">
        <v>7071</v>
      </c>
      <c r="B1015" s="8" t="s">
        <v>3145</v>
      </c>
      <c r="C1015" s="8">
        <v>152273</v>
      </c>
      <c r="D1015" s="8" t="s">
        <v>201</v>
      </c>
      <c r="E1015" s="8">
        <v>14862853</v>
      </c>
      <c r="F1015" s="8">
        <v>14862853</v>
      </c>
      <c r="G1015" s="8" t="s">
        <v>25</v>
      </c>
      <c r="H1015" s="8" t="s">
        <v>41</v>
      </c>
      <c r="I1015" s="8" t="s">
        <v>23</v>
      </c>
      <c r="J1015" s="8" t="s">
        <v>3146</v>
      </c>
      <c r="K1015" s="8" t="s">
        <v>4587</v>
      </c>
      <c r="L1015" s="8" t="s">
        <v>19</v>
      </c>
      <c r="M1015" s="8">
        <v>2385</v>
      </c>
      <c r="N1015" s="8" t="s">
        <v>1242</v>
      </c>
      <c r="O1015" s="8">
        <v>759</v>
      </c>
      <c r="P1015" s="8" t="s">
        <v>7223</v>
      </c>
      <c r="Q1015" s="8" t="s">
        <v>4262</v>
      </c>
      <c r="R1015" s="8">
        <v>0.34300000000000003</v>
      </c>
      <c r="S1015" s="8">
        <v>14862853</v>
      </c>
      <c r="T1015" s="8" t="s">
        <v>25</v>
      </c>
      <c r="U1015" s="8" t="s">
        <v>41</v>
      </c>
    </row>
    <row r="1016" spans="1:21">
      <c r="A1016" s="8" t="s">
        <v>7071</v>
      </c>
      <c r="B1016" s="8" t="s">
        <v>3386</v>
      </c>
      <c r="C1016" s="8">
        <v>89857</v>
      </c>
      <c r="D1016" s="8" t="s">
        <v>201</v>
      </c>
      <c r="E1016" s="8">
        <v>183210330</v>
      </c>
      <c r="F1016" s="8">
        <v>183210330</v>
      </c>
      <c r="G1016" s="8" t="s">
        <v>46</v>
      </c>
      <c r="H1016" s="8" t="s">
        <v>25</v>
      </c>
      <c r="I1016" s="8" t="s">
        <v>23</v>
      </c>
      <c r="J1016" s="8" t="s">
        <v>3387</v>
      </c>
      <c r="K1016" s="8" t="s">
        <v>7225</v>
      </c>
      <c r="L1016" s="8" t="s">
        <v>19</v>
      </c>
      <c r="M1016" s="8">
        <v>1574</v>
      </c>
      <c r="N1016" s="8" t="s">
        <v>481</v>
      </c>
      <c r="O1016" s="8">
        <v>506</v>
      </c>
      <c r="P1016" s="8" t="s">
        <v>7224</v>
      </c>
      <c r="Q1016" s="8" t="s">
        <v>4262</v>
      </c>
      <c r="R1016" s="8">
        <v>0.36399999999999999</v>
      </c>
      <c r="S1016" s="8">
        <v>183210330</v>
      </c>
      <c r="T1016" s="8" t="s">
        <v>46</v>
      </c>
      <c r="U1016" s="8" t="s">
        <v>25</v>
      </c>
    </row>
    <row r="1017" spans="1:21">
      <c r="A1017" s="8" t="s">
        <v>7071</v>
      </c>
      <c r="B1017" s="8" t="s">
        <v>3388</v>
      </c>
      <c r="C1017" s="8">
        <v>344905</v>
      </c>
      <c r="D1017" s="8" t="s">
        <v>201</v>
      </c>
      <c r="E1017" s="8">
        <v>193080380</v>
      </c>
      <c r="F1017" s="8">
        <v>193080380</v>
      </c>
      <c r="G1017" s="8" t="s">
        <v>25</v>
      </c>
      <c r="H1017" s="8" t="s">
        <v>24</v>
      </c>
      <c r="I1017" s="8" t="s">
        <v>23</v>
      </c>
      <c r="J1017" s="8" t="s">
        <v>3389</v>
      </c>
      <c r="K1017" s="8" t="s">
        <v>7227</v>
      </c>
      <c r="L1017" s="8" t="s">
        <v>19</v>
      </c>
      <c r="M1017" s="8">
        <v>431</v>
      </c>
      <c r="N1017" s="8" t="s">
        <v>3026</v>
      </c>
      <c r="O1017" s="8">
        <v>144</v>
      </c>
      <c r="P1017" s="8" t="s">
        <v>7226</v>
      </c>
      <c r="Q1017" s="8" t="s">
        <v>4262</v>
      </c>
      <c r="R1017" s="8">
        <v>0.39800000000000002</v>
      </c>
      <c r="S1017" s="8">
        <v>193080380</v>
      </c>
      <c r="T1017" s="8" t="s">
        <v>25</v>
      </c>
      <c r="U1017" s="8" t="s">
        <v>24</v>
      </c>
    </row>
    <row r="1018" spans="1:21">
      <c r="A1018" s="8" t="s">
        <v>7071</v>
      </c>
      <c r="B1018" s="8" t="s">
        <v>4297</v>
      </c>
      <c r="C1018" s="8">
        <v>4585</v>
      </c>
      <c r="D1018" s="8" t="s">
        <v>201</v>
      </c>
      <c r="E1018" s="8">
        <v>195512843</v>
      </c>
      <c r="F1018" s="8">
        <v>195512843</v>
      </c>
      <c r="G1018" s="8" t="s">
        <v>46</v>
      </c>
      <c r="H1018" s="8" t="s">
        <v>25</v>
      </c>
      <c r="I1018" s="8" t="s">
        <v>23</v>
      </c>
      <c r="J1018" s="8" t="s">
        <v>4298</v>
      </c>
      <c r="K1018" s="8" t="s">
        <v>4300</v>
      </c>
      <c r="L1018" s="8" t="s">
        <v>19</v>
      </c>
      <c r="M1018" s="8">
        <v>5764</v>
      </c>
      <c r="N1018" s="8" t="s">
        <v>256</v>
      </c>
      <c r="O1018" s="8">
        <v>1870</v>
      </c>
      <c r="P1018" s="8" t="s">
        <v>7228</v>
      </c>
      <c r="Q1018" s="8" t="s">
        <v>4262</v>
      </c>
      <c r="R1018" s="8">
        <v>0.111</v>
      </c>
      <c r="S1018" s="8">
        <v>195512843</v>
      </c>
      <c r="T1018" s="8" t="s">
        <v>46</v>
      </c>
      <c r="U1018" s="8" t="s">
        <v>25</v>
      </c>
    </row>
    <row r="1019" spans="1:21">
      <c r="A1019" s="8" t="s">
        <v>7071</v>
      </c>
      <c r="B1019" s="8" t="s">
        <v>7229</v>
      </c>
      <c r="C1019" s="8">
        <v>11280</v>
      </c>
      <c r="D1019" s="8" t="s">
        <v>201</v>
      </c>
      <c r="E1019" s="8">
        <v>38950592</v>
      </c>
      <c r="F1019" s="8">
        <v>38950592</v>
      </c>
      <c r="G1019" s="8" t="s">
        <v>46</v>
      </c>
      <c r="H1019" s="8" t="s">
        <v>41</v>
      </c>
      <c r="I1019" s="8" t="s">
        <v>23</v>
      </c>
      <c r="J1019" s="8" t="s">
        <v>7230</v>
      </c>
      <c r="K1019" s="8" t="s">
        <v>7232</v>
      </c>
      <c r="L1019" s="8" t="s">
        <v>19</v>
      </c>
      <c r="M1019" s="8">
        <v>1394</v>
      </c>
      <c r="N1019" s="8" t="s">
        <v>1440</v>
      </c>
      <c r="O1019" s="8">
        <v>399</v>
      </c>
      <c r="P1019" s="8" t="s">
        <v>7231</v>
      </c>
      <c r="Q1019" s="8" t="s">
        <v>4262</v>
      </c>
      <c r="R1019" s="8">
        <v>0.33600000000000002</v>
      </c>
      <c r="S1019" s="8">
        <v>38950592</v>
      </c>
      <c r="T1019" s="8" t="s">
        <v>46</v>
      </c>
      <c r="U1019" s="8" t="s">
        <v>41</v>
      </c>
    </row>
    <row r="1020" spans="1:21">
      <c r="A1020" s="8" t="s">
        <v>7071</v>
      </c>
      <c r="B1020" s="8" t="s">
        <v>7233</v>
      </c>
      <c r="C1020" s="8">
        <v>131377</v>
      </c>
      <c r="D1020" s="8" t="s">
        <v>201</v>
      </c>
      <c r="E1020" s="8">
        <v>42727790</v>
      </c>
      <c r="F1020" s="8">
        <v>42727790</v>
      </c>
      <c r="G1020" s="8" t="s">
        <v>24</v>
      </c>
      <c r="H1020" s="8" t="s">
        <v>25</v>
      </c>
      <c r="I1020" s="8" t="s">
        <v>23</v>
      </c>
      <c r="J1020" s="8" t="s">
        <v>7234</v>
      </c>
      <c r="K1020" s="8" t="s">
        <v>7236</v>
      </c>
      <c r="L1020" s="8" t="s">
        <v>19</v>
      </c>
      <c r="M1020" s="8">
        <v>780</v>
      </c>
      <c r="N1020" s="8" t="s">
        <v>73</v>
      </c>
      <c r="O1020" s="8">
        <v>227</v>
      </c>
      <c r="P1020" s="8" t="s">
        <v>7235</v>
      </c>
      <c r="Q1020" s="8" t="s">
        <v>4262</v>
      </c>
      <c r="R1020" s="8">
        <v>0.35699999999999998</v>
      </c>
      <c r="S1020" s="8">
        <v>42727790</v>
      </c>
      <c r="T1020" s="8" t="s">
        <v>24</v>
      </c>
      <c r="U1020" s="8" t="s">
        <v>25</v>
      </c>
    </row>
    <row r="1021" spans="1:21">
      <c r="A1021" s="8" t="s">
        <v>7071</v>
      </c>
      <c r="B1021" s="8" t="s">
        <v>3392</v>
      </c>
      <c r="C1021" s="8">
        <v>257236</v>
      </c>
      <c r="D1021" s="8" t="s">
        <v>220</v>
      </c>
      <c r="E1021" s="8">
        <v>7043215</v>
      </c>
      <c r="F1021" s="8">
        <v>7043215</v>
      </c>
      <c r="G1021" s="8" t="s">
        <v>24</v>
      </c>
      <c r="H1021" s="8" t="s">
        <v>25</v>
      </c>
      <c r="I1021" s="8" t="s">
        <v>23</v>
      </c>
      <c r="J1021" s="8" t="s">
        <v>3393</v>
      </c>
      <c r="K1021" s="8" t="s">
        <v>7238</v>
      </c>
      <c r="L1021" s="8" t="s">
        <v>19</v>
      </c>
      <c r="M1021" s="8">
        <v>1514</v>
      </c>
      <c r="N1021" s="8" t="s">
        <v>1421</v>
      </c>
      <c r="O1021" s="8">
        <v>484</v>
      </c>
      <c r="P1021" s="8" t="s">
        <v>7237</v>
      </c>
      <c r="Q1021" s="8" t="s">
        <v>4262</v>
      </c>
      <c r="R1021" s="8">
        <v>0.40899999999999997</v>
      </c>
      <c r="S1021" s="8">
        <v>7043215</v>
      </c>
      <c r="T1021" s="8" t="s">
        <v>24</v>
      </c>
      <c r="U1021" s="8" t="s">
        <v>25</v>
      </c>
    </row>
    <row r="1022" spans="1:21">
      <c r="A1022" s="8" t="s">
        <v>7071</v>
      </c>
      <c r="B1022" s="8" t="s">
        <v>3394</v>
      </c>
      <c r="C1022" s="8">
        <v>401137</v>
      </c>
      <c r="D1022" s="8" t="s">
        <v>220</v>
      </c>
      <c r="E1022" s="8">
        <v>71024493</v>
      </c>
      <c r="F1022" s="8">
        <v>71024493</v>
      </c>
      <c r="G1022" s="8" t="s">
        <v>46</v>
      </c>
      <c r="H1022" s="8" t="s">
        <v>25</v>
      </c>
      <c r="I1022" s="8" t="s">
        <v>23</v>
      </c>
      <c r="J1022" s="8" t="s">
        <v>3395</v>
      </c>
      <c r="K1022" s="8" t="s">
        <v>7241</v>
      </c>
      <c r="L1022" s="8" t="s">
        <v>19</v>
      </c>
      <c r="M1022" s="8">
        <v>713</v>
      </c>
      <c r="N1022" s="8" t="s">
        <v>1617</v>
      </c>
      <c r="O1022" s="8">
        <v>175</v>
      </c>
      <c r="P1022" s="8" t="s">
        <v>7239</v>
      </c>
      <c r="Q1022" s="8" t="s">
        <v>7240</v>
      </c>
      <c r="R1022" s="8">
        <v>0.40500000000000003</v>
      </c>
      <c r="S1022" s="8">
        <v>71024493</v>
      </c>
      <c r="T1022" s="8" t="s">
        <v>46</v>
      </c>
      <c r="U1022" s="8" t="s">
        <v>25</v>
      </c>
    </row>
    <row r="1023" spans="1:21">
      <c r="A1023" s="8" t="s">
        <v>7071</v>
      </c>
      <c r="B1023" s="8" t="s">
        <v>7242</v>
      </c>
      <c r="C1023" s="8">
        <v>5470</v>
      </c>
      <c r="D1023" s="8" t="s">
        <v>220</v>
      </c>
      <c r="E1023" s="8">
        <v>76794296</v>
      </c>
      <c r="F1023" s="8">
        <v>76794296</v>
      </c>
      <c r="G1023" s="8" t="s">
        <v>25</v>
      </c>
      <c r="H1023" s="8" t="s">
        <v>24</v>
      </c>
      <c r="I1023" s="8" t="s">
        <v>23</v>
      </c>
      <c r="J1023" s="8" t="s">
        <v>7243</v>
      </c>
      <c r="K1023" s="8" t="s">
        <v>7245</v>
      </c>
      <c r="L1023" s="8" t="s">
        <v>19</v>
      </c>
      <c r="M1023" s="8">
        <v>1847</v>
      </c>
      <c r="N1023" s="8" t="s">
        <v>3029</v>
      </c>
      <c r="O1023" s="8">
        <v>497</v>
      </c>
      <c r="P1023" s="8" t="s">
        <v>7244</v>
      </c>
      <c r="Q1023" s="8" t="s">
        <v>4262</v>
      </c>
      <c r="R1023" s="8">
        <v>0.124</v>
      </c>
      <c r="S1023" s="8">
        <v>76794296</v>
      </c>
      <c r="T1023" s="8" t="s">
        <v>25</v>
      </c>
      <c r="U1023" s="8" t="s">
        <v>24</v>
      </c>
    </row>
    <row r="1024" spans="1:21">
      <c r="A1024" s="8" t="s">
        <v>7071</v>
      </c>
      <c r="B1024" s="8" t="s">
        <v>3396</v>
      </c>
      <c r="C1024" s="8">
        <v>8633</v>
      </c>
      <c r="D1024" s="8" t="s">
        <v>220</v>
      </c>
      <c r="E1024" s="8">
        <v>96163670</v>
      </c>
      <c r="F1024" s="8">
        <v>96163670</v>
      </c>
      <c r="G1024" s="8" t="s">
        <v>25</v>
      </c>
      <c r="H1024" s="8" t="s">
        <v>41</v>
      </c>
      <c r="I1024" s="8" t="s">
        <v>23</v>
      </c>
      <c r="J1024" s="8" t="s">
        <v>3397</v>
      </c>
      <c r="K1024" s="8" t="s">
        <v>7247</v>
      </c>
      <c r="L1024" s="8" t="s">
        <v>19</v>
      </c>
      <c r="M1024" s="8">
        <v>1371</v>
      </c>
      <c r="N1024" s="8" t="s">
        <v>3260</v>
      </c>
      <c r="O1024" s="8">
        <v>340</v>
      </c>
      <c r="P1024" s="8" t="s">
        <v>7246</v>
      </c>
      <c r="Q1024" s="8" t="s">
        <v>4262</v>
      </c>
      <c r="R1024" s="8">
        <v>0.3</v>
      </c>
      <c r="S1024" s="8">
        <v>96163670</v>
      </c>
      <c r="T1024" s="8" t="s">
        <v>25</v>
      </c>
      <c r="U1024" s="8" t="s">
        <v>41</v>
      </c>
    </row>
    <row r="1025" spans="1:21">
      <c r="A1025" s="8" t="s">
        <v>7071</v>
      </c>
      <c r="B1025" s="8" t="s">
        <v>3390</v>
      </c>
      <c r="C1025" s="8">
        <v>57484</v>
      </c>
      <c r="D1025" s="8" t="s">
        <v>220</v>
      </c>
      <c r="E1025" s="8">
        <v>141870514</v>
      </c>
      <c r="F1025" s="8">
        <v>141870514</v>
      </c>
      <c r="G1025" s="8" t="s">
        <v>46</v>
      </c>
      <c r="H1025" s="8" t="s">
        <v>25</v>
      </c>
      <c r="I1025" s="8" t="s">
        <v>23</v>
      </c>
      <c r="J1025" s="8" t="s">
        <v>3391</v>
      </c>
      <c r="K1025" s="8" t="s">
        <v>7249</v>
      </c>
      <c r="L1025" s="8" t="s">
        <v>19</v>
      </c>
      <c r="M1025" s="8">
        <v>1402</v>
      </c>
      <c r="N1025" s="8" t="s">
        <v>883</v>
      </c>
      <c r="O1025" s="8">
        <v>250</v>
      </c>
      <c r="P1025" s="8" t="s">
        <v>7248</v>
      </c>
      <c r="Q1025" s="8" t="s">
        <v>4262</v>
      </c>
      <c r="R1025" s="8">
        <v>0.41599999999999998</v>
      </c>
      <c r="S1025" s="8">
        <v>141870514</v>
      </c>
      <c r="T1025" s="8" t="s">
        <v>46</v>
      </c>
      <c r="U1025" s="8" t="s">
        <v>25</v>
      </c>
    </row>
    <row r="1026" spans="1:21">
      <c r="A1026" s="8" t="s">
        <v>7071</v>
      </c>
      <c r="B1026" s="8" t="s">
        <v>7250</v>
      </c>
      <c r="C1026" s="8">
        <v>2743</v>
      </c>
      <c r="D1026" s="8" t="s">
        <v>220</v>
      </c>
      <c r="E1026" s="8">
        <v>158065074</v>
      </c>
      <c r="F1026" s="8">
        <v>158065074</v>
      </c>
      <c r="G1026" s="8" t="s">
        <v>24</v>
      </c>
      <c r="H1026" s="8" t="s">
        <v>46</v>
      </c>
      <c r="I1026" s="8" t="s">
        <v>23</v>
      </c>
      <c r="J1026" s="8" t="s">
        <v>7251</v>
      </c>
      <c r="K1026" s="8" t="s">
        <v>7253</v>
      </c>
      <c r="L1026" s="8" t="s">
        <v>19</v>
      </c>
      <c r="M1026" s="8">
        <v>1069</v>
      </c>
      <c r="N1026" s="8" t="s">
        <v>192</v>
      </c>
      <c r="O1026" s="8">
        <v>289</v>
      </c>
      <c r="P1026" s="8" t="s">
        <v>7252</v>
      </c>
      <c r="Q1026" s="8" t="s">
        <v>4262</v>
      </c>
      <c r="R1026" s="8">
        <v>0.17100000000000001</v>
      </c>
      <c r="S1026" s="8">
        <v>158065074</v>
      </c>
      <c r="T1026" s="8" t="s">
        <v>24</v>
      </c>
      <c r="U1026" s="8" t="s">
        <v>46</v>
      </c>
    </row>
    <row r="1027" spans="1:21">
      <c r="A1027" s="8" t="s">
        <v>7071</v>
      </c>
      <c r="B1027" s="8" t="s">
        <v>7254</v>
      </c>
      <c r="C1027" s="8">
        <v>8842</v>
      </c>
      <c r="D1027" s="8" t="s">
        <v>220</v>
      </c>
      <c r="E1027" s="8">
        <v>16020049</v>
      </c>
      <c r="F1027" s="8">
        <v>16020049</v>
      </c>
      <c r="G1027" s="8" t="s">
        <v>24</v>
      </c>
      <c r="H1027" s="8" t="s">
        <v>25</v>
      </c>
      <c r="I1027" s="8" t="s">
        <v>23</v>
      </c>
      <c r="J1027" s="8" t="s">
        <v>7255</v>
      </c>
      <c r="K1027" s="8" t="s">
        <v>7257</v>
      </c>
      <c r="L1027" s="8" t="s">
        <v>19</v>
      </c>
      <c r="M1027" s="8">
        <v>1111</v>
      </c>
      <c r="N1027" s="8" t="s">
        <v>2694</v>
      </c>
      <c r="O1027" s="8">
        <v>300</v>
      </c>
      <c r="P1027" s="8" t="s">
        <v>7256</v>
      </c>
      <c r="Q1027" s="8" t="s">
        <v>4262</v>
      </c>
      <c r="R1027" s="8">
        <v>0.373</v>
      </c>
      <c r="S1027" s="8">
        <v>16020049</v>
      </c>
      <c r="T1027" s="8" t="s">
        <v>24</v>
      </c>
      <c r="U1027" s="8" t="s">
        <v>25</v>
      </c>
    </row>
    <row r="1028" spans="1:21">
      <c r="A1028" s="8" t="s">
        <v>7071</v>
      </c>
      <c r="B1028" s="8" t="s">
        <v>7258</v>
      </c>
      <c r="C1028" s="8">
        <v>4437</v>
      </c>
      <c r="D1028" s="8" t="s">
        <v>226</v>
      </c>
      <c r="E1028" s="8">
        <v>80063775</v>
      </c>
      <c r="F1028" s="8">
        <v>80063775</v>
      </c>
      <c r="G1028" s="8" t="s">
        <v>24</v>
      </c>
      <c r="H1028" s="8" t="s">
        <v>41</v>
      </c>
      <c r="I1028" s="8" t="s">
        <v>23</v>
      </c>
      <c r="J1028" s="8" t="s">
        <v>7259</v>
      </c>
      <c r="K1028" s="8" t="s">
        <v>7261</v>
      </c>
      <c r="L1028" s="8" t="s">
        <v>19</v>
      </c>
      <c r="M1028" s="8">
        <v>2173</v>
      </c>
      <c r="N1028" s="8" t="s">
        <v>212</v>
      </c>
      <c r="O1028" s="8">
        <v>640</v>
      </c>
      <c r="P1028" s="8" t="s">
        <v>7260</v>
      </c>
      <c r="Q1028" s="8" t="s">
        <v>4262</v>
      </c>
      <c r="R1028" s="8">
        <v>0.29199999999999998</v>
      </c>
      <c r="S1028" s="8">
        <v>80063775</v>
      </c>
      <c r="T1028" s="8" t="s">
        <v>24</v>
      </c>
      <c r="U1028" s="8" t="s">
        <v>41</v>
      </c>
    </row>
    <row r="1029" spans="1:21">
      <c r="A1029" s="8" t="s">
        <v>7071</v>
      </c>
      <c r="B1029" s="8" t="s">
        <v>2712</v>
      </c>
      <c r="C1029" s="8">
        <v>1501</v>
      </c>
      <c r="D1029" s="8" t="s">
        <v>226</v>
      </c>
      <c r="E1029" s="8">
        <v>11199599</v>
      </c>
      <c r="F1029" s="8">
        <v>11199599</v>
      </c>
      <c r="G1029" s="8" t="s">
        <v>24</v>
      </c>
      <c r="H1029" s="8" t="s">
        <v>25</v>
      </c>
      <c r="I1029" s="8" t="s">
        <v>23</v>
      </c>
      <c r="J1029" s="8" t="s">
        <v>2713</v>
      </c>
      <c r="K1029" s="8" t="s">
        <v>4652</v>
      </c>
      <c r="L1029" s="8" t="s">
        <v>19</v>
      </c>
      <c r="M1029" s="8">
        <v>2081</v>
      </c>
      <c r="N1029" s="8" t="s">
        <v>560</v>
      </c>
      <c r="O1029" s="8">
        <v>646</v>
      </c>
      <c r="P1029" s="8" t="s">
        <v>7262</v>
      </c>
      <c r="Q1029" s="8" t="s">
        <v>4262</v>
      </c>
      <c r="R1029" s="8">
        <v>9.6000000000000002E-2</v>
      </c>
      <c r="S1029" s="8">
        <v>11199599</v>
      </c>
      <c r="T1029" s="8" t="s">
        <v>24</v>
      </c>
      <c r="U1029" s="8" t="s">
        <v>25</v>
      </c>
    </row>
    <row r="1030" spans="1:21">
      <c r="A1030" s="8" t="s">
        <v>7071</v>
      </c>
      <c r="B1030" s="8" t="s">
        <v>7263</v>
      </c>
      <c r="C1030" s="8">
        <v>113829</v>
      </c>
      <c r="D1030" s="8" t="s">
        <v>226</v>
      </c>
      <c r="E1030" s="8">
        <v>139947496</v>
      </c>
      <c r="F1030" s="8">
        <v>139947496</v>
      </c>
      <c r="G1030" s="8" t="s">
        <v>24</v>
      </c>
      <c r="H1030" s="8" t="s">
        <v>41</v>
      </c>
      <c r="I1030" s="8" t="s">
        <v>23</v>
      </c>
      <c r="J1030" s="8" t="s">
        <v>7264</v>
      </c>
      <c r="K1030" s="8" t="s">
        <v>7266</v>
      </c>
      <c r="L1030" s="8" t="s">
        <v>19</v>
      </c>
      <c r="M1030" s="8">
        <v>1470</v>
      </c>
      <c r="N1030" s="8" t="s">
        <v>1068</v>
      </c>
      <c r="O1030" s="8">
        <v>248</v>
      </c>
      <c r="P1030" s="8" t="s">
        <v>7265</v>
      </c>
      <c r="Q1030" s="8" t="s">
        <v>4262</v>
      </c>
      <c r="R1030" s="8">
        <v>0.24299999999999999</v>
      </c>
      <c r="S1030" s="8">
        <v>139947496</v>
      </c>
      <c r="T1030" s="8" t="s">
        <v>24</v>
      </c>
      <c r="U1030" s="8" t="s">
        <v>41</v>
      </c>
    </row>
    <row r="1031" spans="1:21">
      <c r="A1031" s="8" t="s">
        <v>7071</v>
      </c>
      <c r="B1031" s="8" t="s">
        <v>7267</v>
      </c>
      <c r="C1031" s="8">
        <v>56121</v>
      </c>
      <c r="D1031" s="8" t="s">
        <v>226</v>
      </c>
      <c r="E1031" s="8">
        <v>140626751</v>
      </c>
      <c r="F1031" s="8">
        <v>140626751</v>
      </c>
      <c r="G1031" s="8" t="s">
        <v>46</v>
      </c>
      <c r="H1031" s="8" t="s">
        <v>25</v>
      </c>
      <c r="I1031" s="8" t="s">
        <v>23</v>
      </c>
      <c r="J1031" s="8" t="s">
        <v>7268</v>
      </c>
      <c r="K1031" s="8" t="s">
        <v>7271</v>
      </c>
      <c r="L1031" s="8" t="s">
        <v>19</v>
      </c>
      <c r="M1031" s="8">
        <v>1605</v>
      </c>
      <c r="N1031" s="8" t="s">
        <v>247</v>
      </c>
      <c r="O1031" s="8">
        <v>535</v>
      </c>
      <c r="P1031" s="8" t="s">
        <v>7269</v>
      </c>
      <c r="Q1031" s="8" t="s">
        <v>7270</v>
      </c>
      <c r="R1031" s="8">
        <v>0.34</v>
      </c>
      <c r="S1031" s="8">
        <v>140626751</v>
      </c>
      <c r="T1031" s="8" t="s">
        <v>46</v>
      </c>
      <c r="U1031" s="8" t="s">
        <v>25</v>
      </c>
    </row>
    <row r="1032" spans="1:21">
      <c r="A1032" s="8" t="s">
        <v>7071</v>
      </c>
      <c r="B1032" s="8" t="s">
        <v>231</v>
      </c>
      <c r="C1032" s="8">
        <v>1729</v>
      </c>
      <c r="D1032" s="8" t="s">
        <v>226</v>
      </c>
      <c r="E1032" s="8">
        <v>140905870</v>
      </c>
      <c r="F1032" s="8">
        <v>140905870</v>
      </c>
      <c r="G1032" s="8" t="s">
        <v>46</v>
      </c>
      <c r="H1032" s="8" t="s">
        <v>25</v>
      </c>
      <c r="I1032" s="8" t="s">
        <v>23</v>
      </c>
      <c r="J1032" s="8" t="s">
        <v>7272</v>
      </c>
      <c r="K1032" s="8" t="s">
        <v>7274</v>
      </c>
      <c r="L1032" s="8" t="s">
        <v>19</v>
      </c>
      <c r="M1032" s="8">
        <v>3573</v>
      </c>
      <c r="N1032" s="8" t="s">
        <v>2948</v>
      </c>
      <c r="O1032" s="8">
        <v>1144</v>
      </c>
      <c r="P1032" s="8" t="s">
        <v>7273</v>
      </c>
      <c r="Q1032" s="8" t="s">
        <v>4262</v>
      </c>
      <c r="R1032" s="8">
        <v>0.23200000000000001</v>
      </c>
      <c r="S1032" s="8">
        <v>140905870</v>
      </c>
      <c r="T1032" s="8" t="s">
        <v>46</v>
      </c>
      <c r="U1032" s="8" t="s">
        <v>25</v>
      </c>
    </row>
    <row r="1033" spans="1:21">
      <c r="A1033" s="8" t="s">
        <v>7071</v>
      </c>
      <c r="B1033" s="8" t="s">
        <v>7275</v>
      </c>
      <c r="C1033" s="8">
        <v>643226</v>
      </c>
      <c r="D1033" s="8" t="s">
        <v>226</v>
      </c>
      <c r="E1033" s="8">
        <v>145252401</v>
      </c>
      <c r="F1033" s="8">
        <v>145252401</v>
      </c>
      <c r="G1033" s="8" t="s">
        <v>24</v>
      </c>
      <c r="H1033" s="8" t="s">
        <v>41</v>
      </c>
      <c r="I1033" s="8" t="s">
        <v>23</v>
      </c>
      <c r="J1033" s="8" t="s">
        <v>7276</v>
      </c>
      <c r="K1033" s="8" t="s">
        <v>7278</v>
      </c>
      <c r="L1033" s="8" t="s">
        <v>76</v>
      </c>
      <c r="M1033" s="8">
        <v>131</v>
      </c>
      <c r="N1033" s="8" t="s">
        <v>609</v>
      </c>
      <c r="O1033" s="8">
        <v>44</v>
      </c>
      <c r="P1033" s="8" t="s">
        <v>7277</v>
      </c>
      <c r="Q1033" s="8" t="s">
        <v>4262</v>
      </c>
      <c r="R1033" s="8">
        <v>0.105</v>
      </c>
      <c r="S1033" s="8">
        <v>145252401</v>
      </c>
      <c r="T1033" s="8" t="s">
        <v>24</v>
      </c>
      <c r="U1033" s="8" t="s">
        <v>41</v>
      </c>
    </row>
    <row r="1034" spans="1:21">
      <c r="A1034" s="8" t="s">
        <v>7071</v>
      </c>
      <c r="B1034" s="8" t="s">
        <v>7279</v>
      </c>
      <c r="C1034" s="8">
        <v>23367</v>
      </c>
      <c r="D1034" s="8" t="s">
        <v>226</v>
      </c>
      <c r="E1034" s="8">
        <v>154173449</v>
      </c>
      <c r="F1034" s="8">
        <v>154173449</v>
      </c>
      <c r="G1034" s="8" t="s">
        <v>24</v>
      </c>
      <c r="H1034" s="8" t="s">
        <v>25</v>
      </c>
      <c r="I1034" s="8" t="s">
        <v>23</v>
      </c>
      <c r="J1034" s="8" t="s">
        <v>7280</v>
      </c>
      <c r="K1034" s="8" t="s">
        <v>7282</v>
      </c>
      <c r="L1034" s="8" t="s">
        <v>19</v>
      </c>
      <c r="M1034" s="8">
        <v>751</v>
      </c>
      <c r="N1034" s="8" t="s">
        <v>557</v>
      </c>
      <c r="O1034" s="8">
        <v>243</v>
      </c>
      <c r="P1034" s="8" t="s">
        <v>7281</v>
      </c>
      <c r="Q1034" s="8" t="s">
        <v>4262</v>
      </c>
      <c r="R1034" s="8">
        <v>0.28599999999999998</v>
      </c>
      <c r="S1034" s="8">
        <v>154173449</v>
      </c>
      <c r="T1034" s="8" t="s">
        <v>24</v>
      </c>
      <c r="U1034" s="8" t="s">
        <v>25</v>
      </c>
    </row>
    <row r="1035" spans="1:21">
      <c r="A1035" s="8" t="s">
        <v>7071</v>
      </c>
      <c r="B1035" s="8" t="s">
        <v>7283</v>
      </c>
      <c r="C1035" s="8">
        <v>114787</v>
      </c>
      <c r="D1035" s="8" t="s">
        <v>226</v>
      </c>
      <c r="E1035" s="8">
        <v>176026708</v>
      </c>
      <c r="F1035" s="8">
        <v>176026708</v>
      </c>
      <c r="G1035" s="8" t="s">
        <v>46</v>
      </c>
      <c r="H1035" s="8" t="s">
        <v>41</v>
      </c>
      <c r="I1035" s="8" t="s">
        <v>23</v>
      </c>
      <c r="J1035" s="8" t="s">
        <v>7284</v>
      </c>
      <c r="K1035" s="8" t="s">
        <v>7286</v>
      </c>
      <c r="L1035" s="8" t="s">
        <v>19</v>
      </c>
      <c r="M1035" s="8">
        <v>303</v>
      </c>
      <c r="N1035" s="8" t="s">
        <v>2483</v>
      </c>
      <c r="O1035" s="8">
        <v>43</v>
      </c>
      <c r="P1035" s="8" t="s">
        <v>7285</v>
      </c>
      <c r="Q1035" s="8" t="s">
        <v>4262</v>
      </c>
      <c r="R1035" s="8">
        <v>0.19600000000000001</v>
      </c>
      <c r="S1035" s="8">
        <v>176026708</v>
      </c>
      <c r="T1035" s="8" t="s">
        <v>46</v>
      </c>
      <c r="U1035" s="8" t="s">
        <v>41</v>
      </c>
    </row>
    <row r="1036" spans="1:21">
      <c r="A1036" s="8" t="s">
        <v>7071</v>
      </c>
      <c r="B1036" s="8" t="s">
        <v>7287</v>
      </c>
      <c r="C1036" s="8">
        <v>1004</v>
      </c>
      <c r="D1036" s="8" t="s">
        <v>226</v>
      </c>
      <c r="E1036" s="8">
        <v>31305407</v>
      </c>
      <c r="F1036" s="8">
        <v>31305407</v>
      </c>
      <c r="G1036" s="8" t="s">
        <v>24</v>
      </c>
      <c r="H1036" s="8" t="s">
        <v>25</v>
      </c>
      <c r="I1036" s="8" t="s">
        <v>23</v>
      </c>
      <c r="J1036" s="8" t="s">
        <v>7288</v>
      </c>
      <c r="K1036" s="8" t="s">
        <v>7290</v>
      </c>
      <c r="L1036" s="8" t="s">
        <v>19</v>
      </c>
      <c r="M1036" s="8">
        <v>1486</v>
      </c>
      <c r="N1036" s="8" t="s">
        <v>557</v>
      </c>
      <c r="O1036" s="8">
        <v>376</v>
      </c>
      <c r="P1036" s="8" t="s">
        <v>7289</v>
      </c>
      <c r="Q1036" s="8" t="s">
        <v>4262</v>
      </c>
      <c r="R1036" s="8">
        <v>0.10299999999999999</v>
      </c>
      <c r="S1036" s="8">
        <v>31305407</v>
      </c>
      <c r="T1036" s="8" t="s">
        <v>24</v>
      </c>
      <c r="U1036" s="8" t="s">
        <v>25</v>
      </c>
    </row>
    <row r="1037" spans="1:21">
      <c r="A1037" s="8" t="s">
        <v>7071</v>
      </c>
      <c r="B1037" s="8" t="s">
        <v>799</v>
      </c>
      <c r="C1037" s="8">
        <v>346007</v>
      </c>
      <c r="D1037" s="8" t="s">
        <v>237</v>
      </c>
      <c r="E1037" s="8">
        <v>66205168</v>
      </c>
      <c r="F1037" s="8">
        <v>66205168</v>
      </c>
      <c r="G1037" s="8" t="s">
        <v>41</v>
      </c>
      <c r="H1037" s="8" t="s">
        <v>46</v>
      </c>
      <c r="I1037" s="8" t="s">
        <v>23</v>
      </c>
      <c r="J1037" s="8" t="s">
        <v>4667</v>
      </c>
      <c r="K1037" s="8" t="s">
        <v>4669</v>
      </c>
      <c r="L1037" s="8" t="s">
        <v>19</v>
      </c>
      <c r="M1037" s="8">
        <v>674</v>
      </c>
      <c r="N1037" s="8" t="s">
        <v>319</v>
      </c>
      <c r="O1037" s="8">
        <v>46</v>
      </c>
      <c r="P1037" s="8" t="s">
        <v>7291</v>
      </c>
      <c r="Q1037" s="8" t="s">
        <v>4262</v>
      </c>
      <c r="R1037" s="8">
        <v>7.4999999999999997E-2</v>
      </c>
      <c r="S1037" s="8">
        <v>66205168</v>
      </c>
      <c r="T1037" s="8" t="s">
        <v>41</v>
      </c>
      <c r="U1037" s="8" t="s">
        <v>46</v>
      </c>
    </row>
    <row r="1038" spans="1:21">
      <c r="A1038" s="8" t="s">
        <v>7071</v>
      </c>
      <c r="B1038" s="8" t="s">
        <v>7292</v>
      </c>
      <c r="C1038" s="8">
        <v>23376</v>
      </c>
      <c r="D1038" s="8" t="s">
        <v>237</v>
      </c>
      <c r="E1038" s="8">
        <v>96984188</v>
      </c>
      <c r="F1038" s="8">
        <v>96984188</v>
      </c>
      <c r="G1038" s="8" t="s">
        <v>24</v>
      </c>
      <c r="H1038" s="8" t="s">
        <v>41</v>
      </c>
      <c r="I1038" s="8" t="s">
        <v>23</v>
      </c>
      <c r="J1038" s="8" t="s">
        <v>7293</v>
      </c>
      <c r="K1038" s="8" t="s">
        <v>7295</v>
      </c>
      <c r="L1038" s="8" t="s">
        <v>19</v>
      </c>
      <c r="M1038" s="8">
        <v>772</v>
      </c>
      <c r="N1038" s="8" t="s">
        <v>481</v>
      </c>
      <c r="O1038" s="8">
        <v>242</v>
      </c>
      <c r="P1038" s="8" t="s">
        <v>7294</v>
      </c>
      <c r="Q1038" s="8" t="s">
        <v>4262</v>
      </c>
      <c r="R1038" s="8">
        <v>7.0000000000000007E-2</v>
      </c>
      <c r="S1038" s="8">
        <v>96984188</v>
      </c>
      <c r="T1038" s="8" t="s">
        <v>24</v>
      </c>
      <c r="U1038" s="8" t="s">
        <v>41</v>
      </c>
    </row>
    <row r="1039" spans="1:21">
      <c r="A1039" s="8" t="s">
        <v>7071</v>
      </c>
      <c r="B1039" s="8" t="s">
        <v>3404</v>
      </c>
      <c r="C1039" s="8">
        <v>25957</v>
      </c>
      <c r="D1039" s="8" t="s">
        <v>237</v>
      </c>
      <c r="E1039" s="8">
        <v>99851704</v>
      </c>
      <c r="F1039" s="8">
        <v>99851704</v>
      </c>
      <c r="G1039" s="8" t="s">
        <v>46</v>
      </c>
      <c r="H1039" s="8" t="s">
        <v>25</v>
      </c>
      <c r="I1039" s="8" t="s">
        <v>23</v>
      </c>
      <c r="J1039" s="8" t="s">
        <v>7296</v>
      </c>
      <c r="K1039" s="8" t="s">
        <v>7297</v>
      </c>
      <c r="L1039" s="8" t="s">
        <v>68</v>
      </c>
      <c r="M1039" s="8">
        <v>0</v>
      </c>
      <c r="N1039" s="8" t="s">
        <v>35</v>
      </c>
      <c r="O1039" s="8">
        <v>0</v>
      </c>
      <c r="P1039" s="8" t="s">
        <v>35</v>
      </c>
      <c r="Q1039" s="8" t="s">
        <v>4262</v>
      </c>
      <c r="R1039" s="8">
        <v>0.373</v>
      </c>
      <c r="S1039" s="8">
        <v>99851704</v>
      </c>
      <c r="T1039" s="8" t="s">
        <v>46</v>
      </c>
      <c r="U1039" s="8" t="s">
        <v>25</v>
      </c>
    </row>
    <row r="1040" spans="1:21">
      <c r="A1040" s="8" t="s">
        <v>7071</v>
      </c>
      <c r="B1040" s="8" t="s">
        <v>7298</v>
      </c>
      <c r="C1040" s="8">
        <v>2830</v>
      </c>
      <c r="D1040" s="8" t="s">
        <v>237</v>
      </c>
      <c r="E1040" s="8">
        <v>110300789</v>
      </c>
      <c r="F1040" s="8">
        <v>110300789</v>
      </c>
      <c r="G1040" s="8" t="s">
        <v>46</v>
      </c>
      <c r="H1040" s="8" t="s">
        <v>25</v>
      </c>
      <c r="I1040" s="8" t="s">
        <v>23</v>
      </c>
      <c r="J1040" s="8" t="s">
        <v>7299</v>
      </c>
      <c r="K1040" s="8" t="s">
        <v>7301</v>
      </c>
      <c r="L1040" s="8" t="s">
        <v>19</v>
      </c>
      <c r="M1040" s="8">
        <v>492</v>
      </c>
      <c r="N1040" s="8" t="s">
        <v>316</v>
      </c>
      <c r="O1040" s="8">
        <v>158</v>
      </c>
      <c r="P1040" s="8" t="s">
        <v>7300</v>
      </c>
      <c r="Q1040" s="8" t="s">
        <v>4262</v>
      </c>
      <c r="R1040" s="8">
        <v>0.124</v>
      </c>
      <c r="S1040" s="8">
        <v>110300789</v>
      </c>
      <c r="T1040" s="8" t="s">
        <v>46</v>
      </c>
      <c r="U1040" s="8" t="s">
        <v>25</v>
      </c>
    </row>
    <row r="1041" spans="1:21">
      <c r="A1041" s="8" t="s">
        <v>7071</v>
      </c>
      <c r="B1041" s="8" t="s">
        <v>7302</v>
      </c>
      <c r="C1041" s="8">
        <v>2534</v>
      </c>
      <c r="D1041" s="8" t="s">
        <v>237</v>
      </c>
      <c r="E1041" s="8">
        <v>112024214</v>
      </c>
      <c r="F1041" s="8">
        <v>112024214</v>
      </c>
      <c r="G1041" s="8" t="s">
        <v>46</v>
      </c>
      <c r="H1041" s="8" t="s">
        <v>25</v>
      </c>
      <c r="I1041" s="8" t="s">
        <v>23</v>
      </c>
      <c r="J1041" s="8" t="s">
        <v>7303</v>
      </c>
      <c r="K1041" s="8" t="s">
        <v>7305</v>
      </c>
      <c r="L1041" s="8" t="s">
        <v>19</v>
      </c>
      <c r="M1041" s="8">
        <v>582</v>
      </c>
      <c r="N1041" s="8" t="s">
        <v>883</v>
      </c>
      <c r="O1041" s="8">
        <v>191</v>
      </c>
      <c r="P1041" s="8" t="s">
        <v>7304</v>
      </c>
      <c r="Q1041" s="8" t="s">
        <v>4262</v>
      </c>
      <c r="R1041" s="8">
        <v>0.158</v>
      </c>
      <c r="S1041" s="8">
        <v>112024214</v>
      </c>
      <c r="T1041" s="8" t="s">
        <v>46</v>
      </c>
      <c r="U1041" s="8" t="s">
        <v>25</v>
      </c>
    </row>
    <row r="1042" spans="1:21">
      <c r="A1042" s="8" t="s">
        <v>7071</v>
      </c>
      <c r="B1042" s="8" t="s">
        <v>3398</v>
      </c>
      <c r="C1042" s="8">
        <v>3720</v>
      </c>
      <c r="D1042" s="8" t="s">
        <v>237</v>
      </c>
      <c r="E1042" s="8">
        <v>15374391</v>
      </c>
      <c r="F1042" s="8">
        <v>15374391</v>
      </c>
      <c r="G1042" s="8" t="s">
        <v>24</v>
      </c>
      <c r="H1042" s="8" t="s">
        <v>41</v>
      </c>
      <c r="I1042" s="8" t="s">
        <v>23</v>
      </c>
      <c r="J1042" s="8" t="s">
        <v>3399</v>
      </c>
      <c r="K1042" s="8" t="s">
        <v>7307</v>
      </c>
      <c r="L1042" s="8" t="s">
        <v>19</v>
      </c>
      <c r="M1042" s="8">
        <v>333</v>
      </c>
      <c r="N1042" s="8" t="s">
        <v>138</v>
      </c>
      <c r="O1042" s="8">
        <v>30</v>
      </c>
      <c r="P1042" s="8" t="s">
        <v>7306</v>
      </c>
      <c r="Q1042" s="8" t="s">
        <v>4262</v>
      </c>
      <c r="R1042" s="8">
        <v>0.41399999999999998</v>
      </c>
      <c r="S1042" s="8">
        <v>15374391</v>
      </c>
      <c r="T1042" s="8" t="s">
        <v>24</v>
      </c>
      <c r="U1042" s="8" t="s">
        <v>41</v>
      </c>
    </row>
    <row r="1043" spans="1:21">
      <c r="A1043" s="8" t="s">
        <v>7071</v>
      </c>
      <c r="B1043" s="8" t="s">
        <v>7308</v>
      </c>
      <c r="C1043" s="8">
        <v>168090</v>
      </c>
      <c r="D1043" s="8" t="s">
        <v>237</v>
      </c>
      <c r="E1043" s="8">
        <v>165715579</v>
      </c>
      <c r="F1043" s="8">
        <v>165715579</v>
      </c>
      <c r="G1043" s="8" t="s">
        <v>24</v>
      </c>
      <c r="H1043" s="8" t="s">
        <v>25</v>
      </c>
      <c r="I1043" s="8" t="s">
        <v>23</v>
      </c>
      <c r="J1043" s="8" t="s">
        <v>7309</v>
      </c>
      <c r="K1043" s="8" t="s">
        <v>7311</v>
      </c>
      <c r="L1043" s="8" t="s">
        <v>76</v>
      </c>
      <c r="M1043" s="8">
        <v>268</v>
      </c>
      <c r="N1043" s="8" t="s">
        <v>371</v>
      </c>
      <c r="O1043" s="8">
        <v>78</v>
      </c>
      <c r="P1043" s="8" t="s">
        <v>7310</v>
      </c>
      <c r="Q1043" s="8" t="s">
        <v>4262</v>
      </c>
      <c r="R1043" s="8">
        <v>9.5000000000000001E-2</v>
      </c>
      <c r="S1043" s="8">
        <v>165715579</v>
      </c>
      <c r="T1043" s="8" t="s">
        <v>24</v>
      </c>
      <c r="U1043" s="8" t="s">
        <v>25</v>
      </c>
    </row>
    <row r="1044" spans="1:21">
      <c r="A1044" s="8" t="s">
        <v>7071</v>
      </c>
      <c r="B1044" s="8" t="s">
        <v>3400</v>
      </c>
      <c r="C1044" s="8">
        <v>10385</v>
      </c>
      <c r="D1044" s="8" t="s">
        <v>237</v>
      </c>
      <c r="E1044" s="8">
        <v>26390936</v>
      </c>
      <c r="F1044" s="8">
        <v>26390936</v>
      </c>
      <c r="G1044" s="8" t="s">
        <v>24</v>
      </c>
      <c r="H1044" s="8" t="s">
        <v>25</v>
      </c>
      <c r="I1044" s="8" t="s">
        <v>23</v>
      </c>
      <c r="J1044" s="8" t="s">
        <v>7312</v>
      </c>
      <c r="K1044" s="8" t="s">
        <v>7313</v>
      </c>
      <c r="L1044" s="8" t="s">
        <v>68</v>
      </c>
      <c r="M1044" s="8">
        <v>0</v>
      </c>
      <c r="N1044" s="8" t="s">
        <v>35</v>
      </c>
      <c r="O1044" s="8">
        <v>0</v>
      </c>
      <c r="P1044" s="8" t="s">
        <v>35</v>
      </c>
      <c r="Q1044" s="8" t="s">
        <v>4262</v>
      </c>
      <c r="R1044" s="8">
        <v>0.40100000000000002</v>
      </c>
      <c r="S1044" s="8">
        <v>26390936</v>
      </c>
      <c r="T1044" s="8" t="s">
        <v>24</v>
      </c>
      <c r="U1044" s="8" t="s">
        <v>25</v>
      </c>
    </row>
    <row r="1045" spans="1:21">
      <c r="A1045" s="8" t="s">
        <v>7071</v>
      </c>
      <c r="B1045" s="8" t="s">
        <v>3401</v>
      </c>
      <c r="C1045" s="8">
        <v>26531</v>
      </c>
      <c r="D1045" s="8" t="s">
        <v>237</v>
      </c>
      <c r="E1045" s="8">
        <v>29394604</v>
      </c>
      <c r="F1045" s="8">
        <v>29394604</v>
      </c>
      <c r="G1045" s="8" t="s">
        <v>24</v>
      </c>
      <c r="H1045" s="8" t="s">
        <v>46</v>
      </c>
      <c r="I1045" s="8" t="s">
        <v>23</v>
      </c>
      <c r="J1045" s="8" t="s">
        <v>3402</v>
      </c>
      <c r="K1045" s="8" t="s">
        <v>7315</v>
      </c>
      <c r="L1045" s="8" t="s">
        <v>19</v>
      </c>
      <c r="M1045" s="8">
        <v>906</v>
      </c>
      <c r="N1045" s="8" t="s">
        <v>810</v>
      </c>
      <c r="O1045" s="8">
        <v>272</v>
      </c>
      <c r="P1045" s="8" t="s">
        <v>7314</v>
      </c>
      <c r="Q1045" s="8" t="s">
        <v>4262</v>
      </c>
      <c r="R1045" s="8">
        <v>0.39800000000000002</v>
      </c>
      <c r="S1045" s="8">
        <v>29394604</v>
      </c>
      <c r="T1045" s="8" t="s">
        <v>24</v>
      </c>
      <c r="U1045" s="8" t="s">
        <v>46</v>
      </c>
    </row>
    <row r="1046" spans="1:21">
      <c r="A1046" s="8" t="s">
        <v>7071</v>
      </c>
      <c r="B1046" s="8" t="s">
        <v>7316</v>
      </c>
      <c r="C1046" s="8">
        <v>221458</v>
      </c>
      <c r="D1046" s="8" t="s">
        <v>237</v>
      </c>
      <c r="E1046" s="8">
        <v>39682496</v>
      </c>
      <c r="F1046" s="8">
        <v>39682496</v>
      </c>
      <c r="G1046" s="8" t="s">
        <v>46</v>
      </c>
      <c r="H1046" s="8" t="s">
        <v>41</v>
      </c>
      <c r="I1046" s="8" t="s">
        <v>23</v>
      </c>
      <c r="J1046" s="8" t="s">
        <v>7317</v>
      </c>
      <c r="K1046" s="8" t="s">
        <v>7319</v>
      </c>
      <c r="L1046" s="8" t="s">
        <v>19</v>
      </c>
      <c r="M1046" s="8">
        <v>318</v>
      </c>
      <c r="N1046" s="8" t="s">
        <v>758</v>
      </c>
      <c r="O1046" s="8">
        <v>75</v>
      </c>
      <c r="P1046" s="8" t="s">
        <v>7318</v>
      </c>
      <c r="Q1046" s="8" t="s">
        <v>4262</v>
      </c>
      <c r="R1046" s="8">
        <v>0.09</v>
      </c>
      <c r="S1046" s="8">
        <v>39682496</v>
      </c>
      <c r="T1046" s="8" t="s">
        <v>46</v>
      </c>
      <c r="U1046" s="8" t="s">
        <v>41</v>
      </c>
    </row>
    <row r="1047" spans="1:21">
      <c r="A1047" s="8" t="s">
        <v>7071</v>
      </c>
      <c r="B1047" s="8" t="s">
        <v>3895</v>
      </c>
      <c r="C1047" s="8">
        <v>10930</v>
      </c>
      <c r="D1047" s="8" t="s">
        <v>237</v>
      </c>
      <c r="E1047" s="8">
        <v>41029198</v>
      </c>
      <c r="F1047" s="8">
        <v>41029198</v>
      </c>
      <c r="G1047" s="8" t="s">
        <v>24</v>
      </c>
      <c r="H1047" s="8" t="s">
        <v>41</v>
      </c>
      <c r="I1047" s="8" t="s">
        <v>23</v>
      </c>
      <c r="J1047" s="8" t="s">
        <v>3896</v>
      </c>
      <c r="K1047" s="8" t="s">
        <v>4684</v>
      </c>
      <c r="L1047" s="8" t="s">
        <v>19</v>
      </c>
      <c r="M1047" s="8">
        <v>410</v>
      </c>
      <c r="N1047" s="8" t="s">
        <v>780</v>
      </c>
      <c r="O1047" s="8">
        <v>88</v>
      </c>
      <c r="P1047" s="8" t="s">
        <v>7320</v>
      </c>
      <c r="Q1047" s="8" t="s">
        <v>4262</v>
      </c>
      <c r="R1047" s="8">
        <v>0.20399999999999999</v>
      </c>
      <c r="S1047" s="8">
        <v>41029198</v>
      </c>
      <c r="T1047" s="8" t="s">
        <v>24</v>
      </c>
      <c r="U1047" s="8" t="s">
        <v>41</v>
      </c>
    </row>
    <row r="1048" spans="1:21">
      <c r="A1048" s="8" t="s">
        <v>7071</v>
      </c>
      <c r="B1048" s="8" t="s">
        <v>7321</v>
      </c>
      <c r="C1048" s="8">
        <v>57505</v>
      </c>
      <c r="D1048" s="8" t="s">
        <v>237</v>
      </c>
      <c r="E1048" s="8">
        <v>44272234</v>
      </c>
      <c r="F1048" s="8">
        <v>44272234</v>
      </c>
      <c r="G1048" s="8" t="s">
        <v>46</v>
      </c>
      <c r="H1048" s="8" t="s">
        <v>25</v>
      </c>
      <c r="I1048" s="8" t="s">
        <v>23</v>
      </c>
      <c r="J1048" s="8" t="s">
        <v>7322</v>
      </c>
      <c r="K1048" s="8" t="s">
        <v>7324</v>
      </c>
      <c r="L1048" s="8" t="s">
        <v>76</v>
      </c>
      <c r="M1048" s="8">
        <v>1792</v>
      </c>
      <c r="N1048" s="8" t="s">
        <v>1244</v>
      </c>
      <c r="O1048" s="8">
        <v>597</v>
      </c>
      <c r="P1048" s="8" t="s">
        <v>7323</v>
      </c>
      <c r="Q1048" s="8" t="s">
        <v>4262</v>
      </c>
      <c r="R1048" s="8">
        <v>0.32400000000000001</v>
      </c>
      <c r="S1048" s="8">
        <v>44272234</v>
      </c>
      <c r="T1048" s="8" t="s">
        <v>46</v>
      </c>
      <c r="U1048" s="8" t="s">
        <v>25</v>
      </c>
    </row>
    <row r="1049" spans="1:21">
      <c r="A1049" s="8" t="s">
        <v>7071</v>
      </c>
      <c r="B1049" s="8" t="s">
        <v>7325</v>
      </c>
      <c r="C1049" s="8">
        <v>222611</v>
      </c>
      <c r="D1049" s="8" t="s">
        <v>237</v>
      </c>
      <c r="E1049" s="8">
        <v>47647972</v>
      </c>
      <c r="F1049" s="8">
        <v>47647972</v>
      </c>
      <c r="G1049" s="8" t="s">
        <v>24</v>
      </c>
      <c r="H1049" s="8" t="s">
        <v>46</v>
      </c>
      <c r="I1049" s="8" t="s">
        <v>23</v>
      </c>
      <c r="J1049" s="8" t="s">
        <v>7326</v>
      </c>
      <c r="K1049" s="8" t="s">
        <v>7328</v>
      </c>
      <c r="L1049" s="8" t="s">
        <v>19</v>
      </c>
      <c r="M1049" s="8">
        <v>709</v>
      </c>
      <c r="N1049" s="8" t="s">
        <v>1612</v>
      </c>
      <c r="O1049" s="8">
        <v>145</v>
      </c>
      <c r="P1049" s="8" t="s">
        <v>7327</v>
      </c>
      <c r="Q1049" s="8" t="s">
        <v>4262</v>
      </c>
      <c r="R1049" s="8">
        <v>0.11799999999999999</v>
      </c>
      <c r="S1049" s="8">
        <v>47647972</v>
      </c>
      <c r="T1049" s="8" t="s">
        <v>24</v>
      </c>
      <c r="U1049" s="8" t="s">
        <v>46</v>
      </c>
    </row>
    <row r="1050" spans="1:21">
      <c r="A1050" s="8" t="s">
        <v>7071</v>
      </c>
      <c r="B1050" s="8" t="s">
        <v>7329</v>
      </c>
      <c r="C1050" s="8">
        <v>5232</v>
      </c>
      <c r="D1050" s="8" t="s">
        <v>237</v>
      </c>
      <c r="E1050" s="8">
        <v>49753664</v>
      </c>
      <c r="F1050" s="8">
        <v>49753664</v>
      </c>
      <c r="G1050" s="8" t="s">
        <v>46</v>
      </c>
      <c r="H1050" s="8" t="s">
        <v>41</v>
      </c>
      <c r="I1050" s="8" t="s">
        <v>23</v>
      </c>
      <c r="J1050" s="8" t="s">
        <v>7330</v>
      </c>
      <c r="K1050" s="8" t="s">
        <v>7332</v>
      </c>
      <c r="L1050" s="8" t="s">
        <v>19</v>
      </c>
      <c r="M1050" s="8">
        <v>1390</v>
      </c>
      <c r="N1050" s="8" t="s">
        <v>155</v>
      </c>
      <c r="O1050" s="8">
        <v>413</v>
      </c>
      <c r="P1050" s="8" t="s">
        <v>7331</v>
      </c>
      <c r="Q1050" s="8" t="s">
        <v>4262</v>
      </c>
      <c r="R1050" s="8">
        <v>0.16800000000000001</v>
      </c>
      <c r="S1050" s="8">
        <v>49753664</v>
      </c>
      <c r="T1050" s="8" t="s">
        <v>46</v>
      </c>
      <c r="U1050" s="8" t="s">
        <v>41</v>
      </c>
    </row>
    <row r="1051" spans="1:21">
      <c r="A1051" s="8" t="s">
        <v>7071</v>
      </c>
      <c r="B1051" s="8" t="s">
        <v>3407</v>
      </c>
      <c r="C1051" s="8">
        <v>908</v>
      </c>
      <c r="D1051" s="8" t="s">
        <v>257</v>
      </c>
      <c r="E1051" s="8">
        <v>56126368</v>
      </c>
      <c r="F1051" s="8">
        <v>56126368</v>
      </c>
      <c r="G1051" s="8" t="s">
        <v>24</v>
      </c>
      <c r="H1051" s="8" t="s">
        <v>41</v>
      </c>
      <c r="I1051" s="8" t="s">
        <v>23</v>
      </c>
      <c r="J1051" s="8" t="s">
        <v>7333</v>
      </c>
      <c r="K1051" s="8" t="s">
        <v>7335</v>
      </c>
      <c r="L1051" s="8" t="s">
        <v>19</v>
      </c>
      <c r="M1051" s="8">
        <v>1105</v>
      </c>
      <c r="N1051" s="8" t="s">
        <v>1288</v>
      </c>
      <c r="O1051" s="8">
        <v>314</v>
      </c>
      <c r="P1051" s="8" t="s">
        <v>7334</v>
      </c>
      <c r="Q1051" s="8" t="s">
        <v>4262</v>
      </c>
      <c r="R1051" s="8">
        <v>0.4</v>
      </c>
      <c r="S1051" s="8">
        <v>56126368</v>
      </c>
      <c r="T1051" s="8" t="s">
        <v>24</v>
      </c>
      <c r="U1051" s="8" t="s">
        <v>41</v>
      </c>
    </row>
    <row r="1052" spans="1:21">
      <c r="A1052" s="8" t="s">
        <v>7071</v>
      </c>
      <c r="B1052" s="8" t="s">
        <v>4693</v>
      </c>
      <c r="C1052" s="8">
        <v>2913</v>
      </c>
      <c r="D1052" s="8" t="s">
        <v>257</v>
      </c>
      <c r="E1052" s="8">
        <v>86468427</v>
      </c>
      <c r="F1052" s="8">
        <v>86468427</v>
      </c>
      <c r="G1052" s="8" t="s">
        <v>46</v>
      </c>
      <c r="H1052" s="8" t="s">
        <v>25</v>
      </c>
      <c r="I1052" s="8" t="s">
        <v>23</v>
      </c>
      <c r="J1052" s="8" t="s">
        <v>4694</v>
      </c>
      <c r="K1052" s="8" t="s">
        <v>4696</v>
      </c>
      <c r="L1052" s="8" t="s">
        <v>19</v>
      </c>
      <c r="M1052" s="8">
        <v>2696</v>
      </c>
      <c r="N1052" s="8" t="s">
        <v>3150</v>
      </c>
      <c r="O1052" s="8">
        <v>533</v>
      </c>
      <c r="P1052" s="8" t="s">
        <v>7336</v>
      </c>
      <c r="Q1052" s="8" t="s">
        <v>4262</v>
      </c>
      <c r="R1052" s="8">
        <v>0.20100000000000001</v>
      </c>
      <c r="S1052" s="8">
        <v>86468427</v>
      </c>
      <c r="T1052" s="8" t="s">
        <v>46</v>
      </c>
      <c r="U1052" s="8" t="s">
        <v>25</v>
      </c>
    </row>
    <row r="1053" spans="1:21">
      <c r="A1053" s="8" t="s">
        <v>7071</v>
      </c>
      <c r="B1053" s="8" t="s">
        <v>7337</v>
      </c>
      <c r="C1053" s="8">
        <v>1278</v>
      </c>
      <c r="D1053" s="8" t="s">
        <v>257</v>
      </c>
      <c r="E1053" s="8">
        <v>94037172</v>
      </c>
      <c r="F1053" s="8">
        <v>94037172</v>
      </c>
      <c r="G1053" s="8" t="s">
        <v>46</v>
      </c>
      <c r="H1053" s="8" t="s">
        <v>25</v>
      </c>
      <c r="I1053" s="8" t="s">
        <v>23</v>
      </c>
      <c r="J1053" s="8" t="s">
        <v>7338</v>
      </c>
      <c r="K1053" s="8" t="s">
        <v>7340</v>
      </c>
      <c r="L1053" s="8" t="s">
        <v>19</v>
      </c>
      <c r="M1053" s="8">
        <v>1079</v>
      </c>
      <c r="N1053" s="8" t="s">
        <v>3048</v>
      </c>
      <c r="O1053" s="8">
        <v>203</v>
      </c>
      <c r="P1053" s="8" t="s">
        <v>7339</v>
      </c>
      <c r="Q1053" s="8" t="s">
        <v>4262</v>
      </c>
      <c r="R1053" s="8">
        <v>0.16700000000000001</v>
      </c>
      <c r="S1053" s="8">
        <v>94037172</v>
      </c>
      <c r="T1053" s="8" t="s">
        <v>46</v>
      </c>
      <c r="U1053" s="8" t="s">
        <v>25</v>
      </c>
    </row>
    <row r="1054" spans="1:21">
      <c r="A1054" s="8" t="s">
        <v>7071</v>
      </c>
      <c r="B1054" s="8" t="s">
        <v>7341</v>
      </c>
      <c r="C1054" s="8">
        <v>1523</v>
      </c>
      <c r="D1054" s="8" t="s">
        <v>257</v>
      </c>
      <c r="E1054" s="8">
        <v>101747707</v>
      </c>
      <c r="F1054" s="8">
        <v>101747707</v>
      </c>
      <c r="G1054" s="8" t="s">
        <v>24</v>
      </c>
      <c r="H1054" s="8" t="s">
        <v>46</v>
      </c>
      <c r="I1054" s="8" t="s">
        <v>23</v>
      </c>
      <c r="J1054" s="8" t="s">
        <v>7342</v>
      </c>
      <c r="K1054" s="8" t="s">
        <v>7344</v>
      </c>
      <c r="L1054" s="8" t="s">
        <v>19</v>
      </c>
      <c r="M1054" s="8">
        <v>536</v>
      </c>
      <c r="N1054" s="8" t="s">
        <v>969</v>
      </c>
      <c r="O1054" s="8">
        <v>166</v>
      </c>
      <c r="P1054" s="8" t="s">
        <v>7343</v>
      </c>
      <c r="Q1054" s="8" t="s">
        <v>4262</v>
      </c>
      <c r="R1054" s="8">
        <v>8.1000000000000003E-2</v>
      </c>
      <c r="S1054" s="8">
        <v>101747707</v>
      </c>
      <c r="T1054" s="8" t="s">
        <v>24</v>
      </c>
      <c r="U1054" s="8" t="s">
        <v>46</v>
      </c>
    </row>
    <row r="1055" spans="1:21">
      <c r="A1055" s="8" t="s">
        <v>7071</v>
      </c>
      <c r="B1055" s="8" t="s">
        <v>3405</v>
      </c>
      <c r="C1055" s="8">
        <v>60561</v>
      </c>
      <c r="D1055" s="8" t="s">
        <v>257</v>
      </c>
      <c r="E1055" s="8">
        <v>105192034</v>
      </c>
      <c r="F1055" s="8">
        <v>105192034</v>
      </c>
      <c r="G1055" s="8" t="s">
        <v>24</v>
      </c>
      <c r="H1055" s="8" t="s">
        <v>41</v>
      </c>
      <c r="I1055" s="8" t="s">
        <v>23</v>
      </c>
      <c r="J1055" s="8" t="s">
        <v>3406</v>
      </c>
      <c r="K1055" s="8" t="s">
        <v>7346</v>
      </c>
      <c r="L1055" s="8" t="s">
        <v>19</v>
      </c>
      <c r="M1055" s="8">
        <v>1582</v>
      </c>
      <c r="N1055" s="8" t="s">
        <v>463</v>
      </c>
      <c r="O1055" s="8">
        <v>451</v>
      </c>
      <c r="P1055" s="8" t="s">
        <v>7345</v>
      </c>
      <c r="Q1055" s="8" t="s">
        <v>4262</v>
      </c>
      <c r="R1055" s="8">
        <v>0.33900000000000002</v>
      </c>
      <c r="S1055" s="8">
        <v>105192034</v>
      </c>
      <c r="T1055" s="8" t="s">
        <v>24</v>
      </c>
      <c r="U1055" s="8" t="s">
        <v>41</v>
      </c>
    </row>
    <row r="1056" spans="1:21">
      <c r="A1056" s="8" t="s">
        <v>7071</v>
      </c>
      <c r="B1056" s="8" t="s">
        <v>7347</v>
      </c>
      <c r="C1056" s="8">
        <v>5577</v>
      </c>
      <c r="D1056" s="8" t="s">
        <v>257</v>
      </c>
      <c r="E1056" s="8">
        <v>106791431</v>
      </c>
      <c r="F1056" s="8">
        <v>106791431</v>
      </c>
      <c r="G1056" s="8" t="s">
        <v>24</v>
      </c>
      <c r="H1056" s="8" t="s">
        <v>25</v>
      </c>
      <c r="I1056" s="8" t="s">
        <v>23</v>
      </c>
      <c r="J1056" s="8" t="s">
        <v>7348</v>
      </c>
      <c r="K1056" s="8" t="s">
        <v>7350</v>
      </c>
      <c r="L1056" s="8" t="s">
        <v>19</v>
      </c>
      <c r="M1056" s="8">
        <v>981</v>
      </c>
      <c r="N1056" s="8" t="s">
        <v>708</v>
      </c>
      <c r="O1056" s="8">
        <v>269</v>
      </c>
      <c r="P1056" s="8" t="s">
        <v>7349</v>
      </c>
      <c r="Q1056" s="8" t="s">
        <v>4262</v>
      </c>
      <c r="R1056" s="8">
        <v>0.32800000000000001</v>
      </c>
      <c r="S1056" s="8">
        <v>106791431</v>
      </c>
      <c r="T1056" s="8" t="s">
        <v>24</v>
      </c>
      <c r="U1056" s="8" t="s">
        <v>25</v>
      </c>
    </row>
    <row r="1057" spans="1:21">
      <c r="A1057" s="8" t="s">
        <v>7071</v>
      </c>
      <c r="B1057" s="8" t="s">
        <v>7351</v>
      </c>
      <c r="C1057" s="8">
        <v>23601</v>
      </c>
      <c r="D1057" s="8" t="s">
        <v>257</v>
      </c>
      <c r="E1057" s="8">
        <v>141629963</v>
      </c>
      <c r="F1057" s="8">
        <v>141629963</v>
      </c>
      <c r="G1057" s="8" t="s">
        <v>25</v>
      </c>
      <c r="H1057" s="8" t="s">
        <v>24</v>
      </c>
      <c r="I1057" s="8" t="s">
        <v>23</v>
      </c>
      <c r="J1057" s="8" t="s">
        <v>7352</v>
      </c>
      <c r="K1057" s="8" t="s">
        <v>7354</v>
      </c>
      <c r="L1057" s="8" t="s">
        <v>19</v>
      </c>
      <c r="M1057" s="8">
        <v>705</v>
      </c>
      <c r="N1057" s="8" t="s">
        <v>200</v>
      </c>
      <c r="O1057" s="8">
        <v>170</v>
      </c>
      <c r="P1057" s="8" t="s">
        <v>7353</v>
      </c>
      <c r="Q1057" s="8" t="s">
        <v>4262</v>
      </c>
      <c r="R1057" s="8">
        <v>0.35399999999999998</v>
      </c>
      <c r="S1057" s="8">
        <v>141629963</v>
      </c>
      <c r="T1057" s="8" t="s">
        <v>25</v>
      </c>
      <c r="U1057" s="8" t="s">
        <v>24</v>
      </c>
    </row>
    <row r="1058" spans="1:21">
      <c r="A1058" s="8" t="s">
        <v>7071</v>
      </c>
      <c r="B1058" s="8" t="s">
        <v>2762</v>
      </c>
      <c r="C1058" s="8">
        <v>116988</v>
      </c>
      <c r="D1058" s="8" t="s">
        <v>257</v>
      </c>
      <c r="E1058" s="8">
        <v>150820896</v>
      </c>
      <c r="F1058" s="8">
        <v>150820896</v>
      </c>
      <c r="G1058" s="8" t="s">
        <v>24</v>
      </c>
      <c r="H1058" s="8" t="s">
        <v>41</v>
      </c>
      <c r="I1058" s="8" t="s">
        <v>23</v>
      </c>
      <c r="J1058" s="8" t="s">
        <v>2763</v>
      </c>
      <c r="K1058" s="8" t="s">
        <v>7356</v>
      </c>
      <c r="L1058" s="8" t="s">
        <v>19</v>
      </c>
      <c r="M1058" s="8">
        <v>1147</v>
      </c>
      <c r="N1058" s="8" t="s">
        <v>463</v>
      </c>
      <c r="O1058" s="8">
        <v>382</v>
      </c>
      <c r="P1058" s="8" t="s">
        <v>7355</v>
      </c>
      <c r="Q1058" s="8" t="s">
        <v>4262</v>
      </c>
      <c r="R1058" s="8">
        <v>0.17</v>
      </c>
      <c r="S1058" s="8">
        <v>150820896</v>
      </c>
      <c r="T1058" s="8" t="s">
        <v>24</v>
      </c>
      <c r="U1058" s="8" t="s">
        <v>41</v>
      </c>
    </row>
    <row r="1059" spans="1:21">
      <c r="A1059" s="8" t="s">
        <v>7071</v>
      </c>
      <c r="B1059" s="8" t="s">
        <v>1864</v>
      </c>
      <c r="C1059" s="8">
        <v>84433</v>
      </c>
      <c r="D1059" s="8" t="s">
        <v>257</v>
      </c>
      <c r="E1059" s="8">
        <v>2978447</v>
      </c>
      <c r="F1059" s="8">
        <v>2978447</v>
      </c>
      <c r="G1059" s="8" t="s">
        <v>24</v>
      </c>
      <c r="H1059" s="8" t="s">
        <v>25</v>
      </c>
      <c r="I1059" s="8" t="s">
        <v>23</v>
      </c>
      <c r="J1059" s="8" t="s">
        <v>3897</v>
      </c>
      <c r="K1059" s="8" t="s">
        <v>4726</v>
      </c>
      <c r="L1059" s="8" t="s">
        <v>19</v>
      </c>
      <c r="M1059" s="8">
        <v>1217</v>
      </c>
      <c r="N1059" s="8" t="s">
        <v>423</v>
      </c>
      <c r="O1059" s="8">
        <v>295</v>
      </c>
      <c r="P1059" s="8" t="s">
        <v>7357</v>
      </c>
      <c r="Q1059" s="8" t="s">
        <v>4262</v>
      </c>
      <c r="R1059" s="8">
        <v>0.29399999999999998</v>
      </c>
      <c r="S1059" s="8">
        <v>2978447</v>
      </c>
      <c r="T1059" s="8" t="s">
        <v>24</v>
      </c>
      <c r="U1059" s="8" t="s">
        <v>25</v>
      </c>
    </row>
    <row r="1060" spans="1:21">
      <c r="A1060" s="8" t="s">
        <v>7071</v>
      </c>
      <c r="B1060" s="8" t="s">
        <v>2764</v>
      </c>
      <c r="C1060" s="8">
        <v>273</v>
      </c>
      <c r="D1060" s="8" t="s">
        <v>257</v>
      </c>
      <c r="E1060" s="8">
        <v>38530660</v>
      </c>
      <c r="F1060" s="8">
        <v>38530660</v>
      </c>
      <c r="G1060" s="8" t="s">
        <v>24</v>
      </c>
      <c r="H1060" s="8" t="s">
        <v>41</v>
      </c>
      <c r="I1060" s="8" t="s">
        <v>23</v>
      </c>
      <c r="J1060" s="8" t="s">
        <v>7358</v>
      </c>
      <c r="K1060" s="8" t="s">
        <v>7360</v>
      </c>
      <c r="L1060" s="8" t="s">
        <v>19</v>
      </c>
      <c r="M1060" s="8">
        <v>602</v>
      </c>
      <c r="N1060" s="8" t="s">
        <v>622</v>
      </c>
      <c r="O1060" s="8">
        <v>129</v>
      </c>
      <c r="P1060" s="8" t="s">
        <v>7359</v>
      </c>
      <c r="Q1060" s="8" t="s">
        <v>4262</v>
      </c>
      <c r="R1060" s="8">
        <v>5.8999999999999997E-2</v>
      </c>
      <c r="S1060" s="8">
        <v>38530660</v>
      </c>
      <c r="T1060" s="8" t="s">
        <v>24</v>
      </c>
      <c r="U1060" s="8" t="s">
        <v>41</v>
      </c>
    </row>
    <row r="1061" spans="1:21">
      <c r="A1061" s="8" t="s">
        <v>7071</v>
      </c>
      <c r="B1061" s="8" t="s">
        <v>7361</v>
      </c>
      <c r="C1061" s="8">
        <v>10987</v>
      </c>
      <c r="D1061" s="8" t="s">
        <v>279</v>
      </c>
      <c r="E1061" s="8">
        <v>67969635</v>
      </c>
      <c r="F1061" s="8">
        <v>67969635</v>
      </c>
      <c r="G1061" s="8" t="s">
        <v>46</v>
      </c>
      <c r="H1061" s="8" t="s">
        <v>25</v>
      </c>
      <c r="I1061" s="8" t="s">
        <v>23</v>
      </c>
      <c r="J1061" s="8" t="s">
        <v>7362</v>
      </c>
      <c r="K1061" s="8" t="s">
        <v>7364</v>
      </c>
      <c r="L1061" s="8" t="s">
        <v>19</v>
      </c>
      <c r="M1061" s="8">
        <v>884</v>
      </c>
      <c r="N1061" s="8" t="s">
        <v>256</v>
      </c>
      <c r="O1061" s="8">
        <v>185</v>
      </c>
      <c r="P1061" s="8" t="s">
        <v>7363</v>
      </c>
      <c r="Q1061" s="8" t="s">
        <v>4262</v>
      </c>
      <c r="R1061" s="8">
        <v>0.32700000000000001</v>
      </c>
      <c r="S1061" s="8">
        <v>67969635</v>
      </c>
      <c r="T1061" s="8" t="s">
        <v>46</v>
      </c>
      <c r="U1061" s="8" t="s">
        <v>25</v>
      </c>
    </row>
    <row r="1062" spans="1:21">
      <c r="A1062" s="8" t="s">
        <v>7071</v>
      </c>
      <c r="B1062" s="8" t="s">
        <v>3411</v>
      </c>
      <c r="C1062" s="8">
        <v>401447</v>
      </c>
      <c r="D1062" s="8" t="s">
        <v>279</v>
      </c>
      <c r="E1062" s="8">
        <v>7190929</v>
      </c>
      <c r="F1062" s="8">
        <v>7190929</v>
      </c>
      <c r="G1062" s="8" t="s">
        <v>24</v>
      </c>
      <c r="H1062" s="8" t="s">
        <v>41</v>
      </c>
      <c r="I1062" s="8" t="s">
        <v>23</v>
      </c>
      <c r="J1062" s="8" t="s">
        <v>3412</v>
      </c>
      <c r="K1062" s="8" t="s">
        <v>7366</v>
      </c>
      <c r="L1062" s="8" t="s">
        <v>19</v>
      </c>
      <c r="M1062" s="8">
        <v>1021</v>
      </c>
      <c r="N1062" s="8" t="s">
        <v>481</v>
      </c>
      <c r="O1062" s="8">
        <v>341</v>
      </c>
      <c r="P1062" s="8" t="s">
        <v>7365</v>
      </c>
      <c r="Q1062" s="8" t="s">
        <v>4262</v>
      </c>
      <c r="R1062" s="8">
        <v>0.442</v>
      </c>
      <c r="S1062" s="8">
        <v>7190929</v>
      </c>
      <c r="T1062" s="8" t="s">
        <v>24</v>
      </c>
      <c r="U1062" s="8" t="s">
        <v>41</v>
      </c>
    </row>
    <row r="1063" spans="1:21">
      <c r="A1063" s="8" t="s">
        <v>7071</v>
      </c>
      <c r="B1063" s="8" t="s">
        <v>7367</v>
      </c>
      <c r="C1063" s="8">
        <v>51110</v>
      </c>
      <c r="D1063" s="8" t="s">
        <v>279</v>
      </c>
      <c r="E1063" s="8">
        <v>71570022</v>
      </c>
      <c r="F1063" s="8">
        <v>71570022</v>
      </c>
      <c r="G1063" s="8" t="s">
        <v>46</v>
      </c>
      <c r="H1063" s="8" t="s">
        <v>24</v>
      </c>
      <c r="I1063" s="8" t="s">
        <v>23</v>
      </c>
      <c r="J1063" s="8" t="s">
        <v>7368</v>
      </c>
      <c r="K1063" s="8" t="s">
        <v>7370</v>
      </c>
      <c r="L1063" s="8" t="s">
        <v>19</v>
      </c>
      <c r="M1063" s="8">
        <v>474</v>
      </c>
      <c r="N1063" s="8" t="s">
        <v>1410</v>
      </c>
      <c r="O1063" s="8">
        <v>128</v>
      </c>
      <c r="P1063" s="8" t="s">
        <v>7369</v>
      </c>
      <c r="Q1063" s="8" t="s">
        <v>4262</v>
      </c>
      <c r="R1063" s="8">
        <v>8.2000000000000003E-2</v>
      </c>
      <c r="S1063" s="8">
        <v>71570022</v>
      </c>
      <c r="T1063" s="8" t="s">
        <v>46</v>
      </c>
      <c r="U1063" s="8" t="s">
        <v>24</v>
      </c>
    </row>
    <row r="1064" spans="1:21">
      <c r="A1064" s="8" t="s">
        <v>7071</v>
      </c>
      <c r="B1064" s="8" t="s">
        <v>1401</v>
      </c>
      <c r="C1064" s="8">
        <v>23414</v>
      </c>
      <c r="D1064" s="8" t="s">
        <v>279</v>
      </c>
      <c r="E1064" s="8">
        <v>106813776</v>
      </c>
      <c r="F1064" s="8">
        <v>106813776</v>
      </c>
      <c r="G1064" s="8" t="s">
        <v>24</v>
      </c>
      <c r="H1064" s="8" t="s">
        <v>41</v>
      </c>
      <c r="I1064" s="8" t="s">
        <v>23</v>
      </c>
      <c r="J1064" s="8" t="s">
        <v>1402</v>
      </c>
      <c r="K1064" s="8" t="s">
        <v>6065</v>
      </c>
      <c r="L1064" s="8" t="s">
        <v>19</v>
      </c>
      <c r="M1064" s="8">
        <v>1489</v>
      </c>
      <c r="N1064" s="8" t="s">
        <v>270</v>
      </c>
      <c r="O1064" s="8">
        <v>489</v>
      </c>
      <c r="P1064" s="8" t="s">
        <v>7371</v>
      </c>
      <c r="Q1064" s="8" t="s">
        <v>4262</v>
      </c>
      <c r="R1064" s="8">
        <v>0.28000000000000003</v>
      </c>
      <c r="S1064" s="8">
        <v>106813776</v>
      </c>
      <c r="T1064" s="8" t="s">
        <v>24</v>
      </c>
      <c r="U1064" s="8" t="s">
        <v>41</v>
      </c>
    </row>
    <row r="1065" spans="1:21">
      <c r="A1065" s="8" t="s">
        <v>7071</v>
      </c>
      <c r="B1065" s="8" t="s">
        <v>7372</v>
      </c>
      <c r="C1065" s="8">
        <v>7201</v>
      </c>
      <c r="D1065" s="8" t="s">
        <v>279</v>
      </c>
      <c r="E1065" s="8">
        <v>110131356</v>
      </c>
      <c r="F1065" s="8">
        <v>110131356</v>
      </c>
      <c r="G1065" s="8" t="s">
        <v>46</v>
      </c>
      <c r="H1065" s="8" t="s">
        <v>41</v>
      </c>
      <c r="I1065" s="8" t="s">
        <v>23</v>
      </c>
      <c r="J1065" s="8" t="s">
        <v>7373</v>
      </c>
      <c r="K1065" s="8" t="s">
        <v>7375</v>
      </c>
      <c r="L1065" s="8" t="s">
        <v>19</v>
      </c>
      <c r="M1065" s="8">
        <v>935</v>
      </c>
      <c r="N1065" s="8" t="s">
        <v>2694</v>
      </c>
      <c r="O1065" s="8">
        <v>290</v>
      </c>
      <c r="P1065" s="8" t="s">
        <v>7374</v>
      </c>
      <c r="Q1065" s="8" t="s">
        <v>4262</v>
      </c>
      <c r="R1065" s="8">
        <v>5.8999999999999997E-2</v>
      </c>
      <c r="S1065" s="8">
        <v>110131356</v>
      </c>
      <c r="T1065" s="8" t="s">
        <v>46</v>
      </c>
      <c r="U1065" s="8" t="s">
        <v>41</v>
      </c>
    </row>
    <row r="1066" spans="1:21">
      <c r="A1066" s="8" t="s">
        <v>7071</v>
      </c>
      <c r="B1066" s="8" t="s">
        <v>7376</v>
      </c>
      <c r="C1066" s="8">
        <v>392197</v>
      </c>
      <c r="D1066" s="8" t="s">
        <v>279</v>
      </c>
      <c r="E1066" s="8">
        <v>11990050</v>
      </c>
      <c r="F1066" s="8">
        <v>11990050</v>
      </c>
      <c r="G1066" s="8" t="s">
        <v>24</v>
      </c>
      <c r="H1066" s="8" t="s">
        <v>25</v>
      </c>
      <c r="I1066" s="8" t="s">
        <v>23</v>
      </c>
      <c r="J1066" s="8" t="s">
        <v>7377</v>
      </c>
      <c r="K1066" s="8" t="s">
        <v>7379</v>
      </c>
      <c r="L1066" s="8" t="s">
        <v>19</v>
      </c>
      <c r="M1066" s="8">
        <v>1469</v>
      </c>
      <c r="N1066" s="8" t="s">
        <v>117</v>
      </c>
      <c r="O1066" s="8">
        <v>490</v>
      </c>
      <c r="P1066" s="8" t="s">
        <v>7378</v>
      </c>
      <c r="Q1066" s="8" t="s">
        <v>4262</v>
      </c>
      <c r="R1066" s="8">
        <v>8.4000000000000005E-2</v>
      </c>
      <c r="S1066" s="8">
        <v>11990050</v>
      </c>
      <c r="T1066" s="8" t="s">
        <v>24</v>
      </c>
      <c r="U1066" s="8" t="s">
        <v>25</v>
      </c>
    </row>
    <row r="1067" spans="1:21">
      <c r="A1067" s="8" t="s">
        <v>7071</v>
      </c>
      <c r="B1067" s="8" t="s">
        <v>3408</v>
      </c>
      <c r="C1067" s="8">
        <v>93594</v>
      </c>
      <c r="D1067" s="8" t="s">
        <v>279</v>
      </c>
      <c r="E1067" s="8">
        <v>124140622</v>
      </c>
      <c r="F1067" s="8">
        <v>124140622</v>
      </c>
      <c r="G1067" s="8" t="s">
        <v>24</v>
      </c>
      <c r="H1067" s="8" t="s">
        <v>41</v>
      </c>
      <c r="I1067" s="8" t="s">
        <v>23</v>
      </c>
      <c r="J1067" s="8" t="s">
        <v>7380</v>
      </c>
      <c r="K1067" s="8" t="s">
        <v>7382</v>
      </c>
      <c r="L1067" s="8" t="s">
        <v>19</v>
      </c>
      <c r="M1067" s="8">
        <v>2076</v>
      </c>
      <c r="N1067" s="8" t="s">
        <v>2948</v>
      </c>
      <c r="O1067" s="8">
        <v>662</v>
      </c>
      <c r="P1067" s="8" t="s">
        <v>7381</v>
      </c>
      <c r="Q1067" s="8" t="s">
        <v>4262</v>
      </c>
      <c r="R1067" s="8">
        <v>0.38300000000000001</v>
      </c>
      <c r="S1067" s="8">
        <v>124140622</v>
      </c>
      <c r="T1067" s="8" t="s">
        <v>24</v>
      </c>
      <c r="U1067" s="8" t="s">
        <v>41</v>
      </c>
    </row>
    <row r="1068" spans="1:21">
      <c r="A1068" s="8" t="s">
        <v>7071</v>
      </c>
      <c r="B1068" s="8" t="s">
        <v>7383</v>
      </c>
      <c r="C1068" s="8">
        <v>11236</v>
      </c>
      <c r="D1068" s="8" t="s">
        <v>279</v>
      </c>
      <c r="E1068" s="8">
        <v>125498627</v>
      </c>
      <c r="F1068" s="8">
        <v>125498627</v>
      </c>
      <c r="G1068" s="8" t="s">
        <v>41</v>
      </c>
      <c r="H1068" s="8" t="s">
        <v>46</v>
      </c>
      <c r="I1068" s="8" t="s">
        <v>23</v>
      </c>
      <c r="J1068" s="8" t="s">
        <v>7384</v>
      </c>
      <c r="K1068" s="8" t="s">
        <v>7386</v>
      </c>
      <c r="L1068" s="8" t="s">
        <v>19</v>
      </c>
      <c r="M1068" s="8">
        <v>1080</v>
      </c>
      <c r="N1068" s="8" t="s">
        <v>525</v>
      </c>
      <c r="O1068" s="8">
        <v>246</v>
      </c>
      <c r="P1068" s="8" t="s">
        <v>7385</v>
      </c>
      <c r="Q1068" s="8" t="s">
        <v>4262</v>
      </c>
      <c r="R1068" s="8">
        <v>3.3000000000000002E-2</v>
      </c>
      <c r="S1068" s="8">
        <v>125498627</v>
      </c>
      <c r="T1068" s="8" t="s">
        <v>41</v>
      </c>
      <c r="U1068" s="8" t="s">
        <v>46</v>
      </c>
    </row>
    <row r="1069" spans="1:21">
      <c r="A1069" s="8" t="s">
        <v>7071</v>
      </c>
      <c r="B1069" s="8" t="s">
        <v>7387</v>
      </c>
      <c r="C1069" s="8">
        <v>137209</v>
      </c>
      <c r="D1069" s="8" t="s">
        <v>279</v>
      </c>
      <c r="E1069" s="8">
        <v>125989057</v>
      </c>
      <c r="F1069" s="8">
        <v>125989057</v>
      </c>
      <c r="G1069" s="8" t="s">
        <v>25</v>
      </c>
      <c r="H1069" s="8" t="s">
        <v>24</v>
      </c>
      <c r="I1069" s="8" t="s">
        <v>23</v>
      </c>
      <c r="J1069" s="8" t="s">
        <v>7388</v>
      </c>
      <c r="K1069" s="8" t="s">
        <v>7390</v>
      </c>
      <c r="L1069" s="8" t="s">
        <v>19</v>
      </c>
      <c r="M1069" s="8">
        <v>702</v>
      </c>
      <c r="N1069" s="8" t="s">
        <v>319</v>
      </c>
      <c r="O1069" s="8">
        <v>183</v>
      </c>
      <c r="P1069" s="8" t="s">
        <v>7389</v>
      </c>
      <c r="Q1069" s="8" t="s">
        <v>4262</v>
      </c>
      <c r="R1069" s="8">
        <v>3.9E-2</v>
      </c>
      <c r="S1069" s="8">
        <v>125989057</v>
      </c>
      <c r="T1069" s="8" t="s">
        <v>25</v>
      </c>
      <c r="U1069" s="8" t="s">
        <v>24</v>
      </c>
    </row>
    <row r="1070" spans="1:21">
      <c r="A1070" s="8" t="s">
        <v>7071</v>
      </c>
      <c r="B1070" s="8" t="s">
        <v>2782</v>
      </c>
      <c r="C1070" s="8">
        <v>51059</v>
      </c>
      <c r="D1070" s="8" t="s">
        <v>279</v>
      </c>
      <c r="E1070" s="8">
        <v>139164908</v>
      </c>
      <c r="F1070" s="8">
        <v>139164908</v>
      </c>
      <c r="G1070" s="8" t="s">
        <v>46</v>
      </c>
      <c r="H1070" s="8" t="s">
        <v>41</v>
      </c>
      <c r="I1070" s="8" t="s">
        <v>23</v>
      </c>
      <c r="J1070" s="8" t="s">
        <v>2783</v>
      </c>
      <c r="K1070" s="8" t="s">
        <v>7392</v>
      </c>
      <c r="L1070" s="8" t="s">
        <v>19</v>
      </c>
      <c r="M1070" s="8">
        <v>1981</v>
      </c>
      <c r="N1070" s="8" t="s">
        <v>155</v>
      </c>
      <c r="O1070" s="8">
        <v>604</v>
      </c>
      <c r="P1070" s="8" t="s">
        <v>7391</v>
      </c>
      <c r="Q1070" s="8" t="s">
        <v>4262</v>
      </c>
      <c r="R1070" s="8">
        <v>6.8000000000000005E-2</v>
      </c>
      <c r="S1070" s="8">
        <v>139164908</v>
      </c>
      <c r="T1070" s="8" t="s">
        <v>46</v>
      </c>
      <c r="U1070" s="8" t="s">
        <v>41</v>
      </c>
    </row>
    <row r="1071" spans="1:21">
      <c r="A1071" s="8" t="s">
        <v>7071</v>
      </c>
      <c r="B1071" s="8" t="s">
        <v>3409</v>
      </c>
      <c r="C1071" s="8">
        <v>57210</v>
      </c>
      <c r="D1071" s="8" t="s">
        <v>279</v>
      </c>
      <c r="E1071" s="8">
        <v>142228642</v>
      </c>
      <c r="F1071" s="8">
        <v>142228642</v>
      </c>
      <c r="G1071" s="8" t="s">
        <v>24</v>
      </c>
      <c r="H1071" s="8" t="s">
        <v>41</v>
      </c>
      <c r="I1071" s="8" t="s">
        <v>23</v>
      </c>
      <c r="J1071" s="8" t="s">
        <v>3410</v>
      </c>
      <c r="K1071" s="8" t="s">
        <v>7394</v>
      </c>
      <c r="L1071" s="8" t="s">
        <v>19</v>
      </c>
      <c r="M1071" s="8">
        <v>1252</v>
      </c>
      <c r="N1071" s="8" t="s">
        <v>3048</v>
      </c>
      <c r="O1071" s="8">
        <v>315</v>
      </c>
      <c r="P1071" s="8" t="s">
        <v>7393</v>
      </c>
      <c r="Q1071" s="8" t="s">
        <v>4262</v>
      </c>
      <c r="R1071" s="8">
        <v>0.44800000000000001</v>
      </c>
      <c r="S1071" s="8">
        <v>142228642</v>
      </c>
      <c r="T1071" s="8" t="s">
        <v>24</v>
      </c>
      <c r="U1071" s="8" t="s">
        <v>41</v>
      </c>
    </row>
    <row r="1072" spans="1:21">
      <c r="A1072" s="8" t="s">
        <v>7071</v>
      </c>
      <c r="B1072" s="8" t="s">
        <v>2794</v>
      </c>
      <c r="C1072" s="8">
        <v>5591</v>
      </c>
      <c r="D1072" s="8" t="s">
        <v>279</v>
      </c>
      <c r="E1072" s="8">
        <v>48843319</v>
      </c>
      <c r="F1072" s="8">
        <v>48843319</v>
      </c>
      <c r="G1072" s="8" t="s">
        <v>25</v>
      </c>
      <c r="H1072" s="8" t="s">
        <v>41</v>
      </c>
      <c r="I1072" s="8" t="s">
        <v>23</v>
      </c>
      <c r="J1072" s="8" t="s">
        <v>4747</v>
      </c>
      <c r="K1072" s="8" t="s">
        <v>4749</v>
      </c>
      <c r="L1072" s="8" t="s">
        <v>19</v>
      </c>
      <c r="M1072" s="8">
        <v>1862</v>
      </c>
      <c r="N1072" s="8" t="s">
        <v>3606</v>
      </c>
      <c r="O1072" s="8">
        <v>602</v>
      </c>
      <c r="P1072" s="8" t="s">
        <v>7395</v>
      </c>
      <c r="Q1072" s="8" t="s">
        <v>4262</v>
      </c>
      <c r="R1072" s="8">
        <v>0.11799999999999999</v>
      </c>
      <c r="S1072" s="8">
        <v>48843319</v>
      </c>
      <c r="T1072" s="8" t="s">
        <v>25</v>
      </c>
      <c r="U1072" s="8" t="s">
        <v>41</v>
      </c>
    </row>
    <row r="1073" spans="1:21">
      <c r="A1073" s="8" t="s">
        <v>7071</v>
      </c>
      <c r="B1073" s="8" t="s">
        <v>7396</v>
      </c>
      <c r="C1073" s="8">
        <v>7091</v>
      </c>
      <c r="D1073" s="8" t="s">
        <v>292</v>
      </c>
      <c r="E1073" s="8">
        <v>82333767</v>
      </c>
      <c r="F1073" s="8">
        <v>82333767</v>
      </c>
      <c r="G1073" s="8" t="s">
        <v>41</v>
      </c>
      <c r="H1073" s="8" t="s">
        <v>46</v>
      </c>
      <c r="I1073" s="8" t="s">
        <v>23</v>
      </c>
      <c r="J1073" s="8" t="s">
        <v>7397</v>
      </c>
      <c r="K1073" s="8" t="s">
        <v>7399</v>
      </c>
      <c r="L1073" s="8" t="s">
        <v>19</v>
      </c>
      <c r="M1073" s="8">
        <v>2299</v>
      </c>
      <c r="N1073" s="8" t="s">
        <v>449</v>
      </c>
      <c r="O1073" s="8">
        <v>491</v>
      </c>
      <c r="P1073" s="8" t="s">
        <v>7398</v>
      </c>
      <c r="Q1073" s="8" t="s">
        <v>4262</v>
      </c>
      <c r="R1073" s="8">
        <v>6.8000000000000005E-2</v>
      </c>
      <c r="S1073" s="8">
        <v>82333767</v>
      </c>
      <c r="T1073" s="8" t="s">
        <v>41</v>
      </c>
      <c r="U1073" s="8" t="s">
        <v>46</v>
      </c>
    </row>
    <row r="1074" spans="1:21">
      <c r="A1074" s="8" t="s">
        <v>7071</v>
      </c>
      <c r="B1074" s="8" t="s">
        <v>7400</v>
      </c>
      <c r="C1074" s="8">
        <v>23287</v>
      </c>
      <c r="D1074" s="8" t="s">
        <v>292</v>
      </c>
      <c r="E1074" s="8">
        <v>88193956</v>
      </c>
      <c r="F1074" s="8">
        <v>88193956</v>
      </c>
      <c r="G1074" s="8" t="s">
        <v>46</v>
      </c>
      <c r="H1074" s="8" t="s">
        <v>25</v>
      </c>
      <c r="I1074" s="8" t="s">
        <v>23</v>
      </c>
      <c r="J1074" s="8" t="s">
        <v>7401</v>
      </c>
      <c r="K1074" s="8" t="s">
        <v>7403</v>
      </c>
      <c r="L1074" s="8" t="s">
        <v>19</v>
      </c>
      <c r="M1074" s="8">
        <v>3389</v>
      </c>
      <c r="N1074" s="8" t="s">
        <v>2954</v>
      </c>
      <c r="O1074" s="8">
        <v>1034</v>
      </c>
      <c r="P1074" s="8" t="s">
        <v>7402</v>
      </c>
      <c r="Q1074" s="8" t="s">
        <v>4262</v>
      </c>
      <c r="R1074" s="8">
        <v>8.3000000000000004E-2</v>
      </c>
      <c r="S1074" s="8">
        <v>88193956</v>
      </c>
      <c r="T1074" s="8" t="s">
        <v>46</v>
      </c>
      <c r="U1074" s="8" t="s">
        <v>25</v>
      </c>
    </row>
    <row r="1075" spans="1:21">
      <c r="A1075" s="8" t="s">
        <v>7071</v>
      </c>
      <c r="B1075" s="8" t="s">
        <v>1212</v>
      </c>
      <c r="C1075" s="8">
        <v>58499</v>
      </c>
      <c r="D1075" s="8" t="s">
        <v>292</v>
      </c>
      <c r="E1075" s="8">
        <v>109773207</v>
      </c>
      <c r="F1075" s="8">
        <v>109773207</v>
      </c>
      <c r="G1075" s="8" t="s">
        <v>24</v>
      </c>
      <c r="H1075" s="8" t="s">
        <v>46</v>
      </c>
      <c r="I1075" s="8" t="s">
        <v>23</v>
      </c>
      <c r="J1075" s="8" t="s">
        <v>1213</v>
      </c>
      <c r="K1075" s="8" t="s">
        <v>7405</v>
      </c>
      <c r="L1075" s="8" t="s">
        <v>19</v>
      </c>
      <c r="M1075" s="8">
        <v>7706</v>
      </c>
      <c r="N1075" s="8" t="s">
        <v>588</v>
      </c>
      <c r="O1075" s="8">
        <v>2473</v>
      </c>
      <c r="P1075" s="8" t="s">
        <v>7404</v>
      </c>
      <c r="Q1075" s="8" t="s">
        <v>4262</v>
      </c>
      <c r="R1075" s="8">
        <v>0.312</v>
      </c>
      <c r="S1075" s="8">
        <v>109773207</v>
      </c>
      <c r="T1075" s="8" t="s">
        <v>24</v>
      </c>
      <c r="U1075" s="8" t="s">
        <v>46</v>
      </c>
    </row>
    <row r="1076" spans="1:21">
      <c r="A1076" s="8" t="s">
        <v>7071</v>
      </c>
      <c r="B1076" s="8" t="s">
        <v>7406</v>
      </c>
      <c r="C1076" s="8">
        <v>26219</v>
      </c>
      <c r="D1076" s="8" t="s">
        <v>292</v>
      </c>
      <c r="E1076" s="8">
        <v>125281862</v>
      </c>
      <c r="F1076" s="8">
        <v>125281862</v>
      </c>
      <c r="G1076" s="8" t="s">
        <v>46</v>
      </c>
      <c r="H1076" s="8" t="s">
        <v>25</v>
      </c>
      <c r="I1076" s="8" t="s">
        <v>23</v>
      </c>
      <c r="J1076" s="8" t="s">
        <v>7407</v>
      </c>
      <c r="K1076" s="8" t="s">
        <v>7409</v>
      </c>
      <c r="L1076" s="8" t="s">
        <v>19</v>
      </c>
      <c r="M1076" s="8">
        <v>443</v>
      </c>
      <c r="N1076" s="8" t="s">
        <v>637</v>
      </c>
      <c r="O1076" s="8">
        <v>148</v>
      </c>
      <c r="P1076" s="8" t="s">
        <v>7408</v>
      </c>
      <c r="Q1076" s="8" t="s">
        <v>4262</v>
      </c>
      <c r="R1076" s="8">
        <v>7.8E-2</v>
      </c>
      <c r="S1076" s="8">
        <v>125281862</v>
      </c>
      <c r="T1076" s="8" t="s">
        <v>46</v>
      </c>
      <c r="U1076" s="8" t="s">
        <v>25</v>
      </c>
    </row>
    <row r="1077" spans="1:21">
      <c r="A1077" s="8" t="s">
        <v>7071</v>
      </c>
      <c r="B1077" s="8" t="s">
        <v>7410</v>
      </c>
      <c r="C1077" s="8">
        <v>138881</v>
      </c>
      <c r="D1077" s="8" t="s">
        <v>292</v>
      </c>
      <c r="E1077" s="8">
        <v>125330478</v>
      </c>
      <c r="F1077" s="8">
        <v>125330478</v>
      </c>
      <c r="G1077" s="8" t="s">
        <v>24</v>
      </c>
      <c r="H1077" s="8" t="s">
        <v>46</v>
      </c>
      <c r="I1077" s="8" t="s">
        <v>23</v>
      </c>
      <c r="J1077" s="8" t="s">
        <v>7411</v>
      </c>
      <c r="K1077" s="8" t="s">
        <v>7413</v>
      </c>
      <c r="L1077" s="8" t="s">
        <v>19</v>
      </c>
      <c r="M1077" s="8">
        <v>279</v>
      </c>
      <c r="N1077" s="8" t="s">
        <v>304</v>
      </c>
      <c r="O1077" s="8">
        <v>93</v>
      </c>
      <c r="P1077" s="8" t="s">
        <v>7412</v>
      </c>
      <c r="Q1077" s="8" t="s">
        <v>4262</v>
      </c>
      <c r="R1077" s="8">
        <v>0.14399999999999999</v>
      </c>
      <c r="S1077" s="8">
        <v>125330478</v>
      </c>
      <c r="T1077" s="8" t="s">
        <v>24</v>
      </c>
      <c r="U1077" s="8" t="s">
        <v>46</v>
      </c>
    </row>
    <row r="1078" spans="1:21">
      <c r="A1078" s="8" t="s">
        <v>7071</v>
      </c>
      <c r="B1078" s="8" t="s">
        <v>3413</v>
      </c>
      <c r="C1078" s="8">
        <v>158248</v>
      </c>
      <c r="D1078" s="8" t="s">
        <v>292</v>
      </c>
      <c r="E1078" s="8">
        <v>130493623</v>
      </c>
      <c r="F1078" s="8">
        <v>130493623</v>
      </c>
      <c r="G1078" s="8" t="s">
        <v>46</v>
      </c>
      <c r="H1078" s="8" t="s">
        <v>25</v>
      </c>
      <c r="I1078" s="8" t="s">
        <v>23</v>
      </c>
      <c r="J1078" s="8" t="s">
        <v>3414</v>
      </c>
      <c r="K1078" s="8" t="s">
        <v>7415</v>
      </c>
      <c r="L1078" s="8" t="s">
        <v>19</v>
      </c>
      <c r="M1078" s="8">
        <v>2628</v>
      </c>
      <c r="N1078" s="8" t="s">
        <v>143</v>
      </c>
      <c r="O1078" s="8">
        <v>854</v>
      </c>
      <c r="P1078" s="8" t="s">
        <v>7414</v>
      </c>
      <c r="Q1078" s="8" t="s">
        <v>4262</v>
      </c>
      <c r="R1078" s="8">
        <v>0.38400000000000001</v>
      </c>
      <c r="S1078" s="8">
        <v>130493623</v>
      </c>
      <c r="T1078" s="8" t="s">
        <v>46</v>
      </c>
      <c r="U1078" s="8" t="s">
        <v>25</v>
      </c>
    </row>
    <row r="1079" spans="1:21">
      <c r="A1079" s="8" t="s">
        <v>7071</v>
      </c>
      <c r="B1079" s="8" t="s">
        <v>7416</v>
      </c>
      <c r="C1079" s="8">
        <v>389827</v>
      </c>
      <c r="D1079" s="8" t="s">
        <v>292</v>
      </c>
      <c r="E1079" s="8">
        <v>136385367</v>
      </c>
      <c r="F1079" s="8">
        <v>136385367</v>
      </c>
      <c r="G1079" s="8" t="s">
        <v>25</v>
      </c>
      <c r="H1079" s="8" t="s">
        <v>24</v>
      </c>
      <c r="I1079" s="8" t="s">
        <v>23</v>
      </c>
      <c r="J1079" s="8" t="s">
        <v>7417</v>
      </c>
      <c r="K1079" s="8" t="s">
        <v>7419</v>
      </c>
      <c r="L1079" s="8" t="s">
        <v>19</v>
      </c>
      <c r="M1079" s="8">
        <v>281</v>
      </c>
      <c r="N1079" s="8" t="s">
        <v>3029</v>
      </c>
      <c r="O1079" s="8">
        <v>60</v>
      </c>
      <c r="P1079" s="8" t="s">
        <v>7418</v>
      </c>
      <c r="Q1079" s="8" t="s">
        <v>4262</v>
      </c>
      <c r="R1079" s="8">
        <v>0.182</v>
      </c>
      <c r="S1079" s="8">
        <v>136385367</v>
      </c>
      <c r="T1079" s="8" t="s">
        <v>25</v>
      </c>
      <c r="U1079" s="8" t="s">
        <v>24</v>
      </c>
    </row>
    <row r="1080" spans="1:21">
      <c r="A1080" s="8" t="s">
        <v>7071</v>
      </c>
      <c r="B1080" s="8" t="s">
        <v>2278</v>
      </c>
      <c r="C1080" s="8">
        <v>81704</v>
      </c>
      <c r="D1080" s="8" t="s">
        <v>292</v>
      </c>
      <c r="E1080" s="8">
        <v>336614</v>
      </c>
      <c r="F1080" s="8">
        <v>336614</v>
      </c>
      <c r="G1080" s="8" t="s">
        <v>24</v>
      </c>
      <c r="H1080" s="8" t="s">
        <v>41</v>
      </c>
      <c r="I1080" s="8" t="s">
        <v>23</v>
      </c>
      <c r="J1080" s="8" t="s">
        <v>7420</v>
      </c>
      <c r="K1080" s="8" t="s">
        <v>7422</v>
      </c>
      <c r="L1080" s="8" t="s">
        <v>19</v>
      </c>
      <c r="M1080" s="8">
        <v>1430</v>
      </c>
      <c r="N1080" s="8" t="s">
        <v>256</v>
      </c>
      <c r="O1080" s="8">
        <v>440</v>
      </c>
      <c r="P1080" s="8" t="s">
        <v>7421</v>
      </c>
      <c r="Q1080" s="8" t="s">
        <v>4262</v>
      </c>
      <c r="R1080" s="8">
        <v>0.47</v>
      </c>
      <c r="S1080" s="8">
        <v>336614</v>
      </c>
      <c r="T1080" s="8" t="s">
        <v>24</v>
      </c>
      <c r="U1080" s="8" t="s">
        <v>41</v>
      </c>
    </row>
    <row r="1081" spans="1:21">
      <c r="A1081" s="8" t="s">
        <v>7071</v>
      </c>
      <c r="B1081" s="8" t="s">
        <v>3129</v>
      </c>
      <c r="C1081" s="8">
        <v>138474</v>
      </c>
      <c r="D1081" s="8" t="s">
        <v>292</v>
      </c>
      <c r="E1081" s="8">
        <v>32632974</v>
      </c>
      <c r="F1081" s="8">
        <v>32632974</v>
      </c>
      <c r="G1081" s="8" t="s">
        <v>24</v>
      </c>
      <c r="H1081" s="8" t="s">
        <v>41</v>
      </c>
      <c r="I1081" s="8" t="s">
        <v>23</v>
      </c>
      <c r="J1081" s="8" t="s">
        <v>3130</v>
      </c>
      <c r="K1081" s="8" t="s">
        <v>4761</v>
      </c>
      <c r="L1081" s="8" t="s">
        <v>76</v>
      </c>
      <c r="M1081" s="8">
        <v>2694</v>
      </c>
      <c r="N1081" s="8" t="s">
        <v>209</v>
      </c>
      <c r="O1081" s="8">
        <v>868</v>
      </c>
      <c r="P1081" s="8" t="s">
        <v>7423</v>
      </c>
      <c r="Q1081" s="8" t="s">
        <v>7424</v>
      </c>
      <c r="R1081" s="8">
        <v>0.44500000000000001</v>
      </c>
      <c r="S1081" s="8">
        <v>32632974</v>
      </c>
      <c r="T1081" s="8" t="s">
        <v>24</v>
      </c>
      <c r="U1081" s="8" t="s">
        <v>41</v>
      </c>
    </row>
    <row r="1082" spans="1:21">
      <c r="A1082" s="8" t="s">
        <v>7071</v>
      </c>
      <c r="B1082" s="8" t="s">
        <v>7425</v>
      </c>
      <c r="C1082" s="8">
        <v>728130</v>
      </c>
      <c r="D1082" s="8" t="s">
        <v>69</v>
      </c>
      <c r="E1082" s="8">
        <v>89118164</v>
      </c>
      <c r="F1082" s="8">
        <v>89118164</v>
      </c>
      <c r="G1082" s="8" t="s">
        <v>46</v>
      </c>
      <c r="H1082" s="8" t="s">
        <v>25</v>
      </c>
      <c r="I1082" s="8" t="s">
        <v>23</v>
      </c>
      <c r="J1082" s="8" t="s">
        <v>7426</v>
      </c>
      <c r="K1082" s="8" t="s">
        <v>7428</v>
      </c>
      <c r="L1082" s="8" t="s">
        <v>19</v>
      </c>
      <c r="M1082" s="8">
        <v>688</v>
      </c>
      <c r="N1082" s="8" t="s">
        <v>1005</v>
      </c>
      <c r="O1082" s="8">
        <v>48</v>
      </c>
      <c r="P1082" s="8" t="s">
        <v>7427</v>
      </c>
      <c r="Q1082" s="8" t="s">
        <v>4262</v>
      </c>
      <c r="R1082" s="8">
        <v>0.14099999999999999</v>
      </c>
      <c r="S1082" s="8">
        <v>89118164</v>
      </c>
      <c r="T1082" s="8" t="s">
        <v>46</v>
      </c>
      <c r="U1082" s="8" t="s">
        <v>25</v>
      </c>
    </row>
    <row r="1083" spans="1:21">
      <c r="A1083" s="8" t="s">
        <v>7071</v>
      </c>
      <c r="B1083" s="8" t="s">
        <v>549</v>
      </c>
      <c r="C1083" s="8">
        <v>55388</v>
      </c>
      <c r="D1083" s="8" t="s">
        <v>69</v>
      </c>
      <c r="E1083" s="8">
        <v>13251113</v>
      </c>
      <c r="F1083" s="8">
        <v>13251113</v>
      </c>
      <c r="G1083" s="8" t="s">
        <v>24</v>
      </c>
      <c r="H1083" s="8" t="s">
        <v>41</v>
      </c>
      <c r="I1083" s="8" t="s">
        <v>23</v>
      </c>
      <c r="J1083" s="8" t="s">
        <v>4349</v>
      </c>
      <c r="K1083" s="8" t="s">
        <v>4351</v>
      </c>
      <c r="L1083" s="8" t="s">
        <v>76</v>
      </c>
      <c r="M1083" s="8">
        <v>2652</v>
      </c>
      <c r="N1083" s="8" t="s">
        <v>625</v>
      </c>
      <c r="O1083" s="8">
        <v>842</v>
      </c>
      <c r="P1083" s="8" t="s">
        <v>7429</v>
      </c>
      <c r="Q1083" s="8" t="s">
        <v>4262</v>
      </c>
      <c r="R1083" s="8">
        <v>0.246</v>
      </c>
      <c r="S1083" s="8">
        <v>13251113</v>
      </c>
      <c r="T1083" s="8" t="s">
        <v>24</v>
      </c>
      <c r="U1083" s="8" t="s">
        <v>41</v>
      </c>
    </row>
    <row r="1084" spans="1:21">
      <c r="A1084" s="8" t="s">
        <v>7071</v>
      </c>
      <c r="B1084" s="8" t="s">
        <v>7430</v>
      </c>
      <c r="C1084" s="8">
        <v>10844</v>
      </c>
      <c r="D1084" s="8" t="s">
        <v>69</v>
      </c>
      <c r="E1084" s="8">
        <v>135116339</v>
      </c>
      <c r="F1084" s="8">
        <v>135116339</v>
      </c>
      <c r="G1084" s="8" t="s">
        <v>46</v>
      </c>
      <c r="H1084" s="8" t="s">
        <v>41</v>
      </c>
      <c r="I1084" s="8" t="s">
        <v>23</v>
      </c>
      <c r="J1084" s="8" t="s">
        <v>7431</v>
      </c>
      <c r="K1084" s="8" t="s">
        <v>7433</v>
      </c>
      <c r="L1084" s="8" t="s">
        <v>19</v>
      </c>
      <c r="M1084" s="8">
        <v>464</v>
      </c>
      <c r="N1084" s="8" t="s">
        <v>2483</v>
      </c>
      <c r="O1084" s="8">
        <v>36</v>
      </c>
      <c r="P1084" s="8" t="s">
        <v>7432</v>
      </c>
      <c r="Q1084" s="8" t="s">
        <v>4262</v>
      </c>
      <c r="R1084" s="8">
        <v>0.28000000000000003</v>
      </c>
      <c r="S1084" s="8">
        <v>135116339</v>
      </c>
      <c r="T1084" s="8" t="s">
        <v>46</v>
      </c>
      <c r="U1084" s="8" t="s">
        <v>41</v>
      </c>
    </row>
    <row r="1085" spans="1:21">
      <c r="A1085" s="8" t="s">
        <v>7071</v>
      </c>
      <c r="B1085" s="8" t="s">
        <v>7434</v>
      </c>
      <c r="C1085" s="8">
        <v>9200</v>
      </c>
      <c r="D1085" s="8" t="s">
        <v>69</v>
      </c>
      <c r="E1085" s="8">
        <v>17641340</v>
      </c>
      <c r="F1085" s="8">
        <v>17641340</v>
      </c>
      <c r="G1085" s="8" t="s">
        <v>25</v>
      </c>
      <c r="H1085" s="8" t="s">
        <v>24</v>
      </c>
      <c r="I1085" s="8" t="s">
        <v>23</v>
      </c>
      <c r="J1085" s="8" t="s">
        <v>7435</v>
      </c>
      <c r="K1085" s="8" t="s">
        <v>7437</v>
      </c>
      <c r="L1085" s="8" t="s">
        <v>19</v>
      </c>
      <c r="M1085" s="8">
        <v>589</v>
      </c>
      <c r="N1085" s="8" t="s">
        <v>3029</v>
      </c>
      <c r="O1085" s="8">
        <v>185</v>
      </c>
      <c r="P1085" s="8" t="s">
        <v>7436</v>
      </c>
      <c r="Q1085" s="8" t="s">
        <v>4262</v>
      </c>
      <c r="R1085" s="8">
        <v>0.115</v>
      </c>
      <c r="S1085" s="8">
        <v>17641340</v>
      </c>
      <c r="T1085" s="8" t="s">
        <v>25</v>
      </c>
      <c r="U1085" s="8" t="s">
        <v>24</v>
      </c>
    </row>
    <row r="1086" spans="1:21">
      <c r="A1086" s="8" t="s">
        <v>7071</v>
      </c>
      <c r="B1086" s="8" t="s">
        <v>7438</v>
      </c>
      <c r="C1086" s="8">
        <v>5214</v>
      </c>
      <c r="D1086" s="8" t="s">
        <v>69</v>
      </c>
      <c r="E1086" s="8">
        <v>3178705</v>
      </c>
      <c r="F1086" s="8">
        <v>3178705</v>
      </c>
      <c r="G1086" s="8" t="s">
        <v>24</v>
      </c>
      <c r="H1086" s="8" t="s">
        <v>46</v>
      </c>
      <c r="I1086" s="8" t="s">
        <v>23</v>
      </c>
      <c r="J1086" s="8" t="s">
        <v>7439</v>
      </c>
      <c r="K1086" s="8" t="s">
        <v>7441</v>
      </c>
      <c r="L1086" s="8" t="s">
        <v>19</v>
      </c>
      <c r="M1086" s="8">
        <v>2365</v>
      </c>
      <c r="N1086" s="8" t="s">
        <v>851</v>
      </c>
      <c r="O1086" s="8">
        <v>763</v>
      </c>
      <c r="P1086" s="8" t="s">
        <v>7440</v>
      </c>
      <c r="Q1086" s="8" t="s">
        <v>4262</v>
      </c>
      <c r="R1086" s="8">
        <v>0.21199999999999999</v>
      </c>
      <c r="S1086" s="8">
        <v>3178705</v>
      </c>
      <c r="T1086" s="8" t="s">
        <v>24</v>
      </c>
      <c r="U1086" s="8" t="s">
        <v>46</v>
      </c>
    </row>
    <row r="1087" spans="1:21">
      <c r="A1087" s="8" t="s">
        <v>7071</v>
      </c>
      <c r="B1087" s="8" t="s">
        <v>2202</v>
      </c>
      <c r="C1087" s="8">
        <v>7582</v>
      </c>
      <c r="D1087" s="8" t="s">
        <v>69</v>
      </c>
      <c r="E1087" s="8">
        <v>43088906</v>
      </c>
      <c r="F1087" s="8">
        <v>43088906</v>
      </c>
      <c r="G1087" s="8" t="s">
        <v>46</v>
      </c>
      <c r="H1087" s="8" t="s">
        <v>25</v>
      </c>
      <c r="I1087" s="8" t="s">
        <v>23</v>
      </c>
      <c r="J1087" s="8" t="s">
        <v>7442</v>
      </c>
      <c r="K1087" s="8" t="s">
        <v>7444</v>
      </c>
      <c r="L1087" s="8" t="s">
        <v>76</v>
      </c>
      <c r="M1087" s="8">
        <v>1607</v>
      </c>
      <c r="N1087" s="8" t="s">
        <v>625</v>
      </c>
      <c r="O1087" s="8">
        <v>498</v>
      </c>
      <c r="P1087" s="8" t="s">
        <v>7443</v>
      </c>
      <c r="Q1087" s="8" t="s">
        <v>4262</v>
      </c>
      <c r="R1087" s="8">
        <v>0.36699999999999999</v>
      </c>
      <c r="S1087" s="8">
        <v>43088906</v>
      </c>
      <c r="T1087" s="8" t="s">
        <v>46</v>
      </c>
      <c r="U1087" s="8" t="s">
        <v>25</v>
      </c>
    </row>
    <row r="1088" spans="1:21">
      <c r="A1088" s="8" t="s">
        <v>7071</v>
      </c>
      <c r="B1088" s="8" t="s">
        <v>4766</v>
      </c>
      <c r="C1088" s="8">
        <v>57705</v>
      </c>
      <c r="D1088" s="8" t="s">
        <v>69</v>
      </c>
      <c r="E1088" s="8">
        <v>49988000</v>
      </c>
      <c r="F1088" s="8">
        <v>49988000</v>
      </c>
      <c r="G1088" s="8" t="s">
        <v>24</v>
      </c>
      <c r="H1088" s="8" t="s">
        <v>41</v>
      </c>
      <c r="I1088" s="8" t="s">
        <v>23</v>
      </c>
      <c r="J1088" s="8" t="s">
        <v>4767</v>
      </c>
      <c r="K1088" s="8" t="s">
        <v>4769</v>
      </c>
      <c r="L1088" s="8" t="s">
        <v>76</v>
      </c>
      <c r="M1088" s="8">
        <v>3489</v>
      </c>
      <c r="N1088" s="8" t="s">
        <v>263</v>
      </c>
      <c r="O1088" s="8">
        <v>1138</v>
      </c>
      <c r="P1088" s="8" t="s">
        <v>7445</v>
      </c>
      <c r="Q1088" s="8" t="s">
        <v>4262</v>
      </c>
      <c r="R1088" s="8">
        <v>0.219</v>
      </c>
      <c r="S1088" s="8">
        <v>49988000</v>
      </c>
      <c r="T1088" s="8" t="s">
        <v>24</v>
      </c>
      <c r="U1088" s="8" t="s">
        <v>41</v>
      </c>
    </row>
    <row r="1089" spans="1:21">
      <c r="A1089" s="8" t="s">
        <v>7071</v>
      </c>
      <c r="B1089" s="8" t="s">
        <v>7446</v>
      </c>
      <c r="C1089" s="8">
        <v>3048</v>
      </c>
      <c r="D1089" s="8" t="s">
        <v>83</v>
      </c>
      <c r="E1089" s="8">
        <v>5274544</v>
      </c>
      <c r="F1089" s="8">
        <v>5274544</v>
      </c>
      <c r="G1089" s="8" t="s">
        <v>24</v>
      </c>
      <c r="H1089" s="8" t="s">
        <v>41</v>
      </c>
      <c r="I1089" s="8" t="s">
        <v>23</v>
      </c>
      <c r="J1089" s="8" t="s">
        <v>7447</v>
      </c>
      <c r="K1089" s="8" t="s">
        <v>7449</v>
      </c>
      <c r="L1089" s="8" t="s">
        <v>19</v>
      </c>
      <c r="M1089" s="8">
        <v>460</v>
      </c>
      <c r="N1089" s="8" t="s">
        <v>2541</v>
      </c>
      <c r="O1089" s="8">
        <v>136</v>
      </c>
      <c r="P1089" s="8" t="s">
        <v>7448</v>
      </c>
      <c r="Q1089" s="8" t="s">
        <v>4262</v>
      </c>
      <c r="R1089" s="8">
        <v>7.0000000000000007E-2</v>
      </c>
      <c r="S1089" s="8">
        <v>5274544</v>
      </c>
      <c r="T1089" s="8" t="s">
        <v>24</v>
      </c>
      <c r="U1089" s="8" t="s">
        <v>41</v>
      </c>
    </row>
    <row r="1090" spans="1:21">
      <c r="A1090" s="8" t="s">
        <v>7071</v>
      </c>
      <c r="B1090" s="8" t="s">
        <v>7450</v>
      </c>
      <c r="C1090" s="8">
        <v>81168</v>
      </c>
      <c r="D1090" s="8" t="s">
        <v>83</v>
      </c>
      <c r="E1090" s="8">
        <v>55904344</v>
      </c>
      <c r="F1090" s="8">
        <v>55904344</v>
      </c>
      <c r="G1090" s="8" t="s">
        <v>25</v>
      </c>
      <c r="H1090" s="8" t="s">
        <v>41</v>
      </c>
      <c r="I1090" s="8" t="s">
        <v>23</v>
      </c>
      <c r="J1090" s="8" t="s">
        <v>7451</v>
      </c>
      <c r="K1090" s="8" t="s">
        <v>7453</v>
      </c>
      <c r="L1090" s="8" t="s">
        <v>19</v>
      </c>
      <c r="M1090" s="8">
        <v>851</v>
      </c>
      <c r="N1090" s="8" t="s">
        <v>3606</v>
      </c>
      <c r="O1090" s="8">
        <v>284</v>
      </c>
      <c r="P1090" s="8" t="s">
        <v>7452</v>
      </c>
      <c r="Q1090" s="8" t="s">
        <v>4262</v>
      </c>
      <c r="R1090" s="8">
        <v>0.27500000000000002</v>
      </c>
      <c r="S1090" s="8">
        <v>55904344</v>
      </c>
      <c r="T1090" s="8" t="s">
        <v>25</v>
      </c>
      <c r="U1090" s="8" t="s">
        <v>41</v>
      </c>
    </row>
    <row r="1091" spans="1:21">
      <c r="A1091" s="8" t="s">
        <v>7071</v>
      </c>
      <c r="B1091" s="8" t="s">
        <v>1236</v>
      </c>
      <c r="C1091" s="8">
        <v>390162</v>
      </c>
      <c r="D1091" s="8" t="s">
        <v>83</v>
      </c>
      <c r="E1091" s="8">
        <v>56230729</v>
      </c>
      <c r="F1091" s="8">
        <v>56230729</v>
      </c>
      <c r="G1091" s="8" t="s">
        <v>46</v>
      </c>
      <c r="H1091" s="8" t="s">
        <v>25</v>
      </c>
      <c r="I1091" s="8" t="s">
        <v>23</v>
      </c>
      <c r="J1091" s="8" t="s">
        <v>1237</v>
      </c>
      <c r="K1091" s="8" t="s">
        <v>7455</v>
      </c>
      <c r="L1091" s="8" t="s">
        <v>19</v>
      </c>
      <c r="M1091" s="8">
        <v>149</v>
      </c>
      <c r="N1091" s="8" t="s">
        <v>2978</v>
      </c>
      <c r="O1091" s="8">
        <v>50</v>
      </c>
      <c r="P1091" s="8" t="s">
        <v>7454</v>
      </c>
      <c r="Q1091" s="8" t="s">
        <v>4262</v>
      </c>
      <c r="R1091" s="8">
        <v>0.188</v>
      </c>
      <c r="S1091" s="8">
        <v>56230729</v>
      </c>
      <c r="T1091" s="8" t="s">
        <v>46</v>
      </c>
      <c r="U1091" s="8" t="s">
        <v>25</v>
      </c>
    </row>
    <row r="1092" spans="1:21">
      <c r="A1092" s="8" t="s">
        <v>7071</v>
      </c>
      <c r="B1092" s="8" t="s">
        <v>3356</v>
      </c>
      <c r="C1092" s="8">
        <v>219957</v>
      </c>
      <c r="D1092" s="8" t="s">
        <v>83</v>
      </c>
      <c r="E1092" s="8">
        <v>57958537</v>
      </c>
      <c r="F1092" s="8">
        <v>57958537</v>
      </c>
      <c r="G1092" s="8" t="s">
        <v>24</v>
      </c>
      <c r="H1092" s="8" t="s">
        <v>41</v>
      </c>
      <c r="I1092" s="8" t="s">
        <v>23</v>
      </c>
      <c r="J1092" s="8" t="s">
        <v>3357</v>
      </c>
      <c r="K1092" s="8" t="s">
        <v>6113</v>
      </c>
      <c r="L1092" s="8" t="s">
        <v>19</v>
      </c>
      <c r="M1092" s="8">
        <v>632</v>
      </c>
      <c r="N1092" s="8" t="s">
        <v>2954</v>
      </c>
      <c r="O1092" s="8">
        <v>192</v>
      </c>
      <c r="P1092" s="8" t="s">
        <v>7456</v>
      </c>
      <c r="Q1092" s="8" t="s">
        <v>4262</v>
      </c>
      <c r="R1092" s="8">
        <v>0.49099999999999999</v>
      </c>
      <c r="S1092" s="8">
        <v>57958537</v>
      </c>
      <c r="T1092" s="8" t="s">
        <v>24</v>
      </c>
      <c r="U1092" s="8" t="s">
        <v>41</v>
      </c>
    </row>
    <row r="1093" spans="1:21">
      <c r="A1093" s="8" t="s">
        <v>7071</v>
      </c>
      <c r="B1093" s="8" t="s">
        <v>3358</v>
      </c>
      <c r="C1093" s="8">
        <v>341116</v>
      </c>
      <c r="D1093" s="8" t="s">
        <v>83</v>
      </c>
      <c r="E1093" s="8">
        <v>60563126</v>
      </c>
      <c r="F1093" s="8">
        <v>60563126</v>
      </c>
      <c r="G1093" s="8" t="s">
        <v>46</v>
      </c>
      <c r="H1093" s="8" t="s">
        <v>25</v>
      </c>
      <c r="I1093" s="8" t="s">
        <v>23</v>
      </c>
      <c r="J1093" s="8" t="s">
        <v>3359</v>
      </c>
      <c r="K1093" s="8" t="s">
        <v>7458</v>
      </c>
      <c r="L1093" s="8" t="s">
        <v>76</v>
      </c>
      <c r="M1093" s="8">
        <v>687</v>
      </c>
      <c r="N1093" s="8" t="s">
        <v>209</v>
      </c>
      <c r="O1093" s="8">
        <v>197</v>
      </c>
      <c r="P1093" s="8" t="s">
        <v>7457</v>
      </c>
      <c r="Q1093" s="8" t="s">
        <v>4262</v>
      </c>
      <c r="R1093" s="8">
        <v>0.35</v>
      </c>
      <c r="S1093" s="8">
        <v>60563126</v>
      </c>
      <c r="T1093" s="8" t="s">
        <v>46</v>
      </c>
      <c r="U1093" s="8" t="s">
        <v>25</v>
      </c>
    </row>
    <row r="1094" spans="1:21">
      <c r="A1094" s="8" t="s">
        <v>7071</v>
      </c>
      <c r="B1094" s="8" t="s">
        <v>3360</v>
      </c>
      <c r="C1094" s="8">
        <v>9376</v>
      </c>
      <c r="D1094" s="8" t="s">
        <v>83</v>
      </c>
      <c r="E1094" s="8">
        <v>62767285</v>
      </c>
      <c r="F1094" s="8">
        <v>62767285</v>
      </c>
      <c r="G1094" s="8" t="s">
        <v>46</v>
      </c>
      <c r="H1094" s="8" t="s">
        <v>41</v>
      </c>
      <c r="I1094" s="8" t="s">
        <v>23</v>
      </c>
      <c r="J1094" s="8" t="s">
        <v>7459</v>
      </c>
      <c r="K1094" s="8" t="s">
        <v>7461</v>
      </c>
      <c r="L1094" s="8" t="s">
        <v>19</v>
      </c>
      <c r="M1094" s="8">
        <v>609</v>
      </c>
      <c r="N1094" s="8" t="s">
        <v>708</v>
      </c>
      <c r="O1094" s="8">
        <v>156</v>
      </c>
      <c r="P1094" s="8" t="s">
        <v>7460</v>
      </c>
      <c r="Q1094" s="8" t="s">
        <v>4262</v>
      </c>
      <c r="R1094" s="8">
        <v>0.26700000000000002</v>
      </c>
      <c r="S1094" s="8">
        <v>62767285</v>
      </c>
      <c r="T1094" s="8" t="s">
        <v>46</v>
      </c>
      <c r="U1094" s="8" t="s">
        <v>41</v>
      </c>
    </row>
    <row r="1095" spans="1:21">
      <c r="A1095" s="8" t="s">
        <v>7071</v>
      </c>
      <c r="B1095" s="8" t="s">
        <v>7462</v>
      </c>
      <c r="C1095" s="8">
        <v>84285</v>
      </c>
      <c r="D1095" s="8" t="s">
        <v>83</v>
      </c>
      <c r="E1095" s="8">
        <v>65766096</v>
      </c>
      <c r="F1095" s="8">
        <v>65766096</v>
      </c>
      <c r="G1095" s="8" t="s">
        <v>46</v>
      </c>
      <c r="H1095" s="8" t="s">
        <v>25</v>
      </c>
      <c r="I1095" s="8" t="s">
        <v>23</v>
      </c>
      <c r="J1095" s="8" t="s">
        <v>7463</v>
      </c>
      <c r="K1095" s="8" t="s">
        <v>7465</v>
      </c>
      <c r="L1095" s="8" t="s">
        <v>76</v>
      </c>
      <c r="M1095" s="8">
        <v>691</v>
      </c>
      <c r="N1095" s="8" t="s">
        <v>263</v>
      </c>
      <c r="O1095" s="8">
        <v>158</v>
      </c>
      <c r="P1095" s="8" t="s">
        <v>7464</v>
      </c>
      <c r="Q1095" s="8" t="s">
        <v>4262</v>
      </c>
      <c r="R1095" s="8">
        <v>0.22800000000000001</v>
      </c>
      <c r="S1095" s="8">
        <v>65766096</v>
      </c>
      <c r="T1095" s="8" t="s">
        <v>46</v>
      </c>
      <c r="U1095" s="8" t="s">
        <v>25</v>
      </c>
    </row>
    <row r="1096" spans="1:21">
      <c r="A1096" s="8" t="s">
        <v>7071</v>
      </c>
      <c r="B1096" s="8" t="s">
        <v>2168</v>
      </c>
      <c r="C1096" s="8">
        <v>4041</v>
      </c>
      <c r="D1096" s="8" t="s">
        <v>83</v>
      </c>
      <c r="E1096" s="8">
        <v>68174122</v>
      </c>
      <c r="F1096" s="8">
        <v>68174122</v>
      </c>
      <c r="G1096" s="8" t="s">
        <v>24</v>
      </c>
      <c r="H1096" s="8" t="s">
        <v>41</v>
      </c>
      <c r="I1096" s="8" t="s">
        <v>23</v>
      </c>
      <c r="J1096" s="8" t="s">
        <v>7466</v>
      </c>
      <c r="K1096" s="8" t="s">
        <v>7469</v>
      </c>
      <c r="L1096" s="8" t="s">
        <v>19</v>
      </c>
      <c r="M1096" s="8">
        <v>2007</v>
      </c>
      <c r="N1096" s="8" t="s">
        <v>1180</v>
      </c>
      <c r="O1096" s="8">
        <v>644</v>
      </c>
      <c r="P1096" s="8" t="s">
        <v>7467</v>
      </c>
      <c r="Q1096" s="8" t="s">
        <v>7468</v>
      </c>
      <c r="R1096" s="8">
        <v>0.27100000000000002</v>
      </c>
      <c r="S1096" s="8">
        <v>68174122</v>
      </c>
      <c r="T1096" s="8" t="s">
        <v>24</v>
      </c>
      <c r="U1096" s="8" t="s">
        <v>41</v>
      </c>
    </row>
    <row r="1097" spans="1:21">
      <c r="A1097" s="8" t="s">
        <v>7071</v>
      </c>
      <c r="B1097" s="8" t="s">
        <v>7470</v>
      </c>
      <c r="C1097" s="8">
        <v>4926</v>
      </c>
      <c r="D1097" s="8" t="s">
        <v>83</v>
      </c>
      <c r="E1097" s="8">
        <v>71724999</v>
      </c>
      <c r="F1097" s="8">
        <v>71724999</v>
      </c>
      <c r="G1097" s="8" t="s">
        <v>46</v>
      </c>
      <c r="H1097" s="8" t="s">
        <v>24</v>
      </c>
      <c r="I1097" s="8" t="s">
        <v>23</v>
      </c>
      <c r="J1097" s="8" t="s">
        <v>7471</v>
      </c>
      <c r="K1097" s="8" t="s">
        <v>7473</v>
      </c>
      <c r="L1097" s="8" t="s">
        <v>19</v>
      </c>
      <c r="M1097" s="8">
        <v>3722</v>
      </c>
      <c r="N1097" s="8" t="s">
        <v>582</v>
      </c>
      <c r="O1097" s="8">
        <v>1184</v>
      </c>
      <c r="P1097" s="8" t="s">
        <v>7472</v>
      </c>
      <c r="Q1097" s="8" t="s">
        <v>4262</v>
      </c>
      <c r="R1097" s="8">
        <v>0.24299999999999999</v>
      </c>
      <c r="S1097" s="8">
        <v>71724999</v>
      </c>
      <c r="T1097" s="8" t="s">
        <v>46</v>
      </c>
      <c r="U1097" s="8" t="s">
        <v>24</v>
      </c>
    </row>
    <row r="1098" spans="1:21">
      <c r="A1098" s="8" t="s">
        <v>7071</v>
      </c>
      <c r="B1098" s="8" t="s">
        <v>7474</v>
      </c>
      <c r="C1098" s="8">
        <v>283208</v>
      </c>
      <c r="D1098" s="8" t="s">
        <v>83</v>
      </c>
      <c r="E1098" s="8">
        <v>74009375</v>
      </c>
      <c r="F1098" s="8">
        <v>74009375</v>
      </c>
      <c r="G1098" s="8" t="s">
        <v>24</v>
      </c>
      <c r="H1098" s="8" t="s">
        <v>25</v>
      </c>
      <c r="I1098" s="8" t="s">
        <v>23</v>
      </c>
      <c r="J1098" s="8" t="s">
        <v>7475</v>
      </c>
      <c r="K1098" s="8" t="s">
        <v>7477</v>
      </c>
      <c r="L1098" s="8" t="s">
        <v>19</v>
      </c>
      <c r="M1098" s="8">
        <v>642</v>
      </c>
      <c r="N1098" s="8" t="s">
        <v>1421</v>
      </c>
      <c r="O1098" s="8">
        <v>200</v>
      </c>
      <c r="P1098" s="8" t="s">
        <v>7476</v>
      </c>
      <c r="Q1098" s="8" t="s">
        <v>4262</v>
      </c>
      <c r="R1098" s="8">
        <v>0.14399999999999999</v>
      </c>
      <c r="S1098" s="8">
        <v>74009375</v>
      </c>
      <c r="T1098" s="8" t="s">
        <v>24</v>
      </c>
      <c r="U1098" s="8" t="s">
        <v>25</v>
      </c>
    </row>
    <row r="1099" spans="1:21">
      <c r="A1099" s="8" t="s">
        <v>7071</v>
      </c>
      <c r="B1099" s="8" t="s">
        <v>7478</v>
      </c>
      <c r="C1099" s="8">
        <v>7299</v>
      </c>
      <c r="D1099" s="8" t="s">
        <v>83</v>
      </c>
      <c r="E1099" s="8">
        <v>89018116</v>
      </c>
      <c r="F1099" s="8">
        <v>89018116</v>
      </c>
      <c r="G1099" s="8" t="s">
        <v>24</v>
      </c>
      <c r="H1099" s="8" t="s">
        <v>46</v>
      </c>
      <c r="I1099" s="8" t="s">
        <v>23</v>
      </c>
      <c r="J1099" s="8" t="s">
        <v>7479</v>
      </c>
      <c r="K1099" s="8" t="s">
        <v>7481</v>
      </c>
      <c r="L1099" s="8" t="s">
        <v>19</v>
      </c>
      <c r="M1099" s="8">
        <v>1442</v>
      </c>
      <c r="N1099" s="8" t="s">
        <v>1410</v>
      </c>
      <c r="O1099" s="8">
        <v>454</v>
      </c>
      <c r="P1099" s="8" t="s">
        <v>7480</v>
      </c>
      <c r="Q1099" s="8" t="s">
        <v>4262</v>
      </c>
      <c r="R1099" s="8">
        <v>8.6999999999999994E-2</v>
      </c>
      <c r="S1099" s="8">
        <v>89018116</v>
      </c>
      <c r="T1099" s="8" t="s">
        <v>24</v>
      </c>
      <c r="U1099" s="8" t="s">
        <v>46</v>
      </c>
    </row>
    <row r="1100" spans="1:21">
      <c r="A1100" s="8" t="s">
        <v>7071</v>
      </c>
      <c r="B1100" s="8" t="s">
        <v>3361</v>
      </c>
      <c r="C1100" s="8">
        <v>56676</v>
      </c>
      <c r="D1100" s="8" t="s">
        <v>83</v>
      </c>
      <c r="E1100" s="8">
        <v>8959396</v>
      </c>
      <c r="F1100" s="8">
        <v>8959396</v>
      </c>
      <c r="G1100" s="8" t="s">
        <v>24</v>
      </c>
      <c r="H1100" s="8" t="s">
        <v>25</v>
      </c>
      <c r="I1100" s="8" t="s">
        <v>23</v>
      </c>
      <c r="J1100" s="8" t="s">
        <v>3362</v>
      </c>
      <c r="K1100" s="8" t="s">
        <v>7483</v>
      </c>
      <c r="L1100" s="8" t="s">
        <v>19</v>
      </c>
      <c r="M1100" s="8">
        <v>373</v>
      </c>
      <c r="N1100" s="8" t="s">
        <v>92</v>
      </c>
      <c r="O1100" s="8">
        <v>105</v>
      </c>
      <c r="P1100" s="8" t="s">
        <v>7482</v>
      </c>
      <c r="Q1100" s="8" t="s">
        <v>4262</v>
      </c>
      <c r="R1100" s="8">
        <v>0.36899999999999999</v>
      </c>
      <c r="S1100" s="8">
        <v>8959396</v>
      </c>
      <c r="T1100" s="8" t="s">
        <v>24</v>
      </c>
      <c r="U1100" s="8" t="s">
        <v>25</v>
      </c>
    </row>
    <row r="1101" spans="1:21">
      <c r="A1101" s="8" t="s">
        <v>7071</v>
      </c>
      <c r="B1101" s="8" t="s">
        <v>2169</v>
      </c>
      <c r="C1101" s="8">
        <v>120114</v>
      </c>
      <c r="D1101" s="8" t="s">
        <v>83</v>
      </c>
      <c r="E1101" s="8">
        <v>92577382</v>
      </c>
      <c r="F1101" s="8">
        <v>92577382</v>
      </c>
      <c r="G1101" s="8" t="s">
        <v>24</v>
      </c>
      <c r="H1101" s="8" t="s">
        <v>25</v>
      </c>
      <c r="I1101" s="8" t="s">
        <v>23</v>
      </c>
      <c r="J1101" s="8" t="s">
        <v>3608</v>
      </c>
      <c r="K1101" s="8" t="s">
        <v>7485</v>
      </c>
      <c r="L1101" s="8" t="s">
        <v>19</v>
      </c>
      <c r="M1101" s="8">
        <v>10866</v>
      </c>
      <c r="N1101" s="8" t="s">
        <v>21</v>
      </c>
      <c r="O1101" s="8">
        <v>3617</v>
      </c>
      <c r="P1101" s="8" t="s">
        <v>7484</v>
      </c>
      <c r="Q1101" s="8" t="s">
        <v>4262</v>
      </c>
      <c r="R1101" s="8">
        <v>0.10199999999999999</v>
      </c>
      <c r="S1101" s="8">
        <v>92577382</v>
      </c>
      <c r="T1101" s="8" t="s">
        <v>24</v>
      </c>
      <c r="U1101" s="8" t="s">
        <v>25</v>
      </c>
    </row>
    <row r="1102" spans="1:21">
      <c r="A1102" s="8" t="s">
        <v>7071</v>
      </c>
      <c r="B1102" s="8" t="s">
        <v>3746</v>
      </c>
      <c r="C1102" s="8">
        <v>4583</v>
      </c>
      <c r="D1102" s="8" t="s">
        <v>83</v>
      </c>
      <c r="E1102" s="8">
        <v>1094863</v>
      </c>
      <c r="F1102" s="8">
        <v>1094863</v>
      </c>
      <c r="G1102" s="8" t="s">
        <v>24</v>
      </c>
      <c r="H1102" s="8" t="s">
        <v>41</v>
      </c>
      <c r="I1102" s="8" t="s">
        <v>23</v>
      </c>
      <c r="J1102" s="8" t="s">
        <v>3747</v>
      </c>
      <c r="K1102" s="8" t="s">
        <v>7486</v>
      </c>
      <c r="L1102" s="8" t="s">
        <v>68</v>
      </c>
      <c r="M1102" s="8">
        <v>0</v>
      </c>
      <c r="N1102" s="8" t="s">
        <v>35</v>
      </c>
      <c r="O1102" s="8">
        <v>0</v>
      </c>
      <c r="P1102" s="8" t="s">
        <v>35</v>
      </c>
      <c r="Q1102" s="8" t="s">
        <v>4262</v>
      </c>
      <c r="R1102" s="8">
        <v>6.2E-2</v>
      </c>
      <c r="S1102" s="8">
        <v>1094863</v>
      </c>
      <c r="T1102" s="8" t="s">
        <v>24</v>
      </c>
      <c r="U1102" s="8" t="s">
        <v>41</v>
      </c>
    </row>
    <row r="1103" spans="1:21">
      <c r="A1103" s="8" t="s">
        <v>7071</v>
      </c>
      <c r="B1103" s="8" t="s">
        <v>3347</v>
      </c>
      <c r="C1103" s="8">
        <v>160140</v>
      </c>
      <c r="D1103" s="8" t="s">
        <v>83</v>
      </c>
      <c r="E1103" s="8">
        <v>108276167</v>
      </c>
      <c r="F1103" s="8">
        <v>108276167</v>
      </c>
      <c r="G1103" s="8" t="s">
        <v>46</v>
      </c>
      <c r="H1103" s="8" t="s">
        <v>41</v>
      </c>
      <c r="I1103" s="8" t="s">
        <v>23</v>
      </c>
      <c r="J1103" s="8" t="s">
        <v>3348</v>
      </c>
      <c r="K1103" s="8" t="s">
        <v>7488</v>
      </c>
      <c r="L1103" s="8" t="s">
        <v>76</v>
      </c>
      <c r="M1103" s="8">
        <v>619</v>
      </c>
      <c r="N1103" s="8" t="s">
        <v>716</v>
      </c>
      <c r="O1103" s="8">
        <v>183</v>
      </c>
      <c r="P1103" s="8" t="s">
        <v>7487</v>
      </c>
      <c r="Q1103" s="8" t="s">
        <v>4262</v>
      </c>
      <c r="R1103" s="8">
        <v>0.39600000000000002</v>
      </c>
      <c r="S1103" s="8">
        <v>108276167</v>
      </c>
      <c r="T1103" s="8" t="s">
        <v>46</v>
      </c>
      <c r="U1103" s="8" t="s">
        <v>41</v>
      </c>
    </row>
    <row r="1104" spans="1:21">
      <c r="A1104" s="8" t="s">
        <v>7071</v>
      </c>
      <c r="B1104" s="8" t="s">
        <v>3349</v>
      </c>
      <c r="C1104" s="8">
        <v>4684</v>
      </c>
      <c r="D1104" s="8" t="s">
        <v>83</v>
      </c>
      <c r="E1104" s="8">
        <v>113078000</v>
      </c>
      <c r="F1104" s="8">
        <v>113078000</v>
      </c>
      <c r="G1104" s="8" t="s">
        <v>24</v>
      </c>
      <c r="H1104" s="8" t="s">
        <v>25</v>
      </c>
      <c r="I1104" s="8" t="s">
        <v>23</v>
      </c>
      <c r="J1104" s="8" t="s">
        <v>5709</v>
      </c>
      <c r="K1104" s="8" t="s">
        <v>5711</v>
      </c>
      <c r="L1104" s="8" t="s">
        <v>19</v>
      </c>
      <c r="M1104" s="8">
        <v>1012</v>
      </c>
      <c r="N1104" s="8" t="s">
        <v>155</v>
      </c>
      <c r="O1104" s="8">
        <v>216</v>
      </c>
      <c r="P1104" s="8" t="s">
        <v>7489</v>
      </c>
      <c r="Q1104" s="8" t="s">
        <v>4262</v>
      </c>
      <c r="R1104" s="8">
        <v>0.40600000000000003</v>
      </c>
      <c r="S1104" s="8">
        <v>113078000</v>
      </c>
      <c r="T1104" s="8" t="s">
        <v>24</v>
      </c>
      <c r="U1104" s="8" t="s">
        <v>25</v>
      </c>
    </row>
    <row r="1105" spans="1:21">
      <c r="A1105" s="8" t="s">
        <v>7071</v>
      </c>
      <c r="B1105" s="8" t="s">
        <v>3350</v>
      </c>
      <c r="C1105" s="8">
        <v>4013</v>
      </c>
      <c r="D1105" s="8" t="s">
        <v>83</v>
      </c>
      <c r="E1105" s="8">
        <v>123993696</v>
      </c>
      <c r="F1105" s="8">
        <v>123993696</v>
      </c>
      <c r="G1105" s="8" t="s">
        <v>24</v>
      </c>
      <c r="H1105" s="8" t="s">
        <v>41</v>
      </c>
      <c r="I1105" s="8" t="s">
        <v>23</v>
      </c>
      <c r="J1105" s="8" t="s">
        <v>7490</v>
      </c>
      <c r="K1105" s="8" t="s">
        <v>7492</v>
      </c>
      <c r="L1105" s="8" t="s">
        <v>19</v>
      </c>
      <c r="M1105" s="8">
        <v>884</v>
      </c>
      <c r="N1105" s="8" t="s">
        <v>1248</v>
      </c>
      <c r="O1105" s="8">
        <v>264</v>
      </c>
      <c r="P1105" s="8" t="s">
        <v>7491</v>
      </c>
      <c r="Q1105" s="8" t="s">
        <v>4262</v>
      </c>
      <c r="R1105" s="8">
        <v>0.375</v>
      </c>
      <c r="S1105" s="8">
        <v>123993696</v>
      </c>
      <c r="T1105" s="8" t="s">
        <v>24</v>
      </c>
      <c r="U1105" s="8" t="s">
        <v>41</v>
      </c>
    </row>
    <row r="1106" spans="1:21">
      <c r="A1106" s="8" t="s">
        <v>7071</v>
      </c>
      <c r="B1106" s="8" t="s">
        <v>3350</v>
      </c>
      <c r="C1106" s="8">
        <v>4013</v>
      </c>
      <c r="D1106" s="8" t="s">
        <v>83</v>
      </c>
      <c r="E1106" s="8">
        <v>123993723</v>
      </c>
      <c r="F1106" s="8">
        <v>123993723</v>
      </c>
      <c r="G1106" s="8" t="s">
        <v>24</v>
      </c>
      <c r="H1106" s="8" t="s">
        <v>25</v>
      </c>
      <c r="I1106" s="8" t="s">
        <v>23</v>
      </c>
      <c r="J1106" s="8" t="s">
        <v>7490</v>
      </c>
      <c r="K1106" s="8" t="s">
        <v>7492</v>
      </c>
      <c r="L1106" s="8" t="s">
        <v>19</v>
      </c>
      <c r="M1106" s="8">
        <v>911</v>
      </c>
      <c r="N1106" s="8" t="s">
        <v>557</v>
      </c>
      <c r="O1106" s="8">
        <v>273</v>
      </c>
      <c r="P1106" s="8" t="s">
        <v>7493</v>
      </c>
      <c r="Q1106" s="8" t="s">
        <v>4262</v>
      </c>
      <c r="R1106" s="8">
        <v>0.315</v>
      </c>
      <c r="S1106" s="8">
        <v>123993723</v>
      </c>
      <c r="T1106" s="8" t="s">
        <v>24</v>
      </c>
      <c r="U1106" s="8" t="s">
        <v>25</v>
      </c>
    </row>
    <row r="1107" spans="1:21">
      <c r="A1107" s="8" t="s">
        <v>7071</v>
      </c>
      <c r="B1107" s="8" t="s">
        <v>3351</v>
      </c>
      <c r="C1107" s="8">
        <v>4900</v>
      </c>
      <c r="D1107" s="8" t="s">
        <v>83</v>
      </c>
      <c r="E1107" s="8">
        <v>124615472</v>
      </c>
      <c r="F1107" s="8">
        <v>124615472</v>
      </c>
      <c r="G1107" s="8" t="s">
        <v>46</v>
      </c>
      <c r="H1107" s="8" t="s">
        <v>25</v>
      </c>
      <c r="I1107" s="8" t="s">
        <v>23</v>
      </c>
      <c r="J1107" s="8" t="s">
        <v>7494</v>
      </c>
      <c r="K1107" s="8" t="s">
        <v>7496</v>
      </c>
      <c r="L1107" s="8" t="s">
        <v>19</v>
      </c>
      <c r="M1107" s="8">
        <v>241</v>
      </c>
      <c r="N1107" s="8" t="s">
        <v>3048</v>
      </c>
      <c r="O1107" s="8">
        <v>30</v>
      </c>
      <c r="P1107" s="8" t="s">
        <v>7495</v>
      </c>
      <c r="Q1107" s="8" t="s">
        <v>4262</v>
      </c>
      <c r="R1107" s="8">
        <v>0.51100000000000001</v>
      </c>
      <c r="S1107" s="8">
        <v>124615472</v>
      </c>
      <c r="T1107" s="8" t="s">
        <v>46</v>
      </c>
      <c r="U1107" s="8" t="s">
        <v>25</v>
      </c>
    </row>
    <row r="1108" spans="1:21">
      <c r="A1108" s="8" t="s">
        <v>7071</v>
      </c>
      <c r="B1108" s="8" t="s">
        <v>7497</v>
      </c>
      <c r="C1108" s="8">
        <v>79607</v>
      </c>
      <c r="D1108" s="8" t="s">
        <v>83</v>
      </c>
      <c r="E1108" s="8">
        <v>126126728</v>
      </c>
      <c r="F1108" s="8">
        <v>126126728</v>
      </c>
      <c r="G1108" s="8" t="s">
        <v>46</v>
      </c>
      <c r="H1108" s="8" t="s">
        <v>24</v>
      </c>
      <c r="I1108" s="8" t="s">
        <v>23</v>
      </c>
      <c r="J1108" s="8" t="s">
        <v>7498</v>
      </c>
      <c r="K1108" s="8" t="s">
        <v>7500</v>
      </c>
      <c r="L1108" s="8" t="s">
        <v>19</v>
      </c>
      <c r="M1108" s="8">
        <v>1146</v>
      </c>
      <c r="N1108" s="8" t="s">
        <v>304</v>
      </c>
      <c r="O1108" s="8">
        <v>321</v>
      </c>
      <c r="P1108" s="8" t="s">
        <v>7499</v>
      </c>
      <c r="Q1108" s="8" t="s">
        <v>4262</v>
      </c>
      <c r="R1108" s="8">
        <v>0.17399999999999999</v>
      </c>
      <c r="S1108" s="8">
        <v>126126728</v>
      </c>
      <c r="T1108" s="8" t="s">
        <v>46</v>
      </c>
      <c r="U1108" s="8" t="s">
        <v>24</v>
      </c>
    </row>
    <row r="1109" spans="1:21">
      <c r="A1109" s="8" t="s">
        <v>7071</v>
      </c>
      <c r="B1109" s="8" t="s">
        <v>3352</v>
      </c>
      <c r="C1109" s="8">
        <v>6833</v>
      </c>
      <c r="D1109" s="8" t="s">
        <v>83</v>
      </c>
      <c r="E1109" s="8">
        <v>17418749</v>
      </c>
      <c r="F1109" s="8">
        <v>17418749</v>
      </c>
      <c r="G1109" s="8" t="s">
        <v>46</v>
      </c>
      <c r="H1109" s="8" t="s">
        <v>24</v>
      </c>
      <c r="I1109" s="8" t="s">
        <v>23</v>
      </c>
      <c r="J1109" s="8" t="s">
        <v>3353</v>
      </c>
      <c r="K1109" s="8" t="s">
        <v>7502</v>
      </c>
      <c r="L1109" s="8" t="s">
        <v>19</v>
      </c>
      <c r="M1109" s="8">
        <v>4105</v>
      </c>
      <c r="N1109" s="8" t="s">
        <v>1321</v>
      </c>
      <c r="O1109" s="8">
        <v>1327</v>
      </c>
      <c r="P1109" s="8" t="s">
        <v>7501</v>
      </c>
      <c r="Q1109" s="8" t="s">
        <v>4262</v>
      </c>
      <c r="R1109" s="8">
        <v>0.41799999999999998</v>
      </c>
      <c r="S1109" s="8">
        <v>17418749</v>
      </c>
      <c r="T1109" s="8" t="s">
        <v>46</v>
      </c>
      <c r="U1109" s="8" t="s">
        <v>24</v>
      </c>
    </row>
    <row r="1110" spans="1:21">
      <c r="A1110" s="8" t="s">
        <v>7071</v>
      </c>
      <c r="B1110" s="8" t="s">
        <v>4054</v>
      </c>
      <c r="C1110" s="8">
        <v>55761</v>
      </c>
      <c r="D1110" s="8" t="s">
        <v>83</v>
      </c>
      <c r="E1110" s="8">
        <v>43429046</v>
      </c>
      <c r="F1110" s="8">
        <v>43429046</v>
      </c>
      <c r="G1110" s="8" t="s">
        <v>24</v>
      </c>
      <c r="H1110" s="8" t="s">
        <v>41</v>
      </c>
      <c r="I1110" s="8" t="s">
        <v>23</v>
      </c>
      <c r="J1110" s="8" t="s">
        <v>7503</v>
      </c>
      <c r="K1110" s="8" t="s">
        <v>7505</v>
      </c>
      <c r="L1110" s="8" t="s">
        <v>19</v>
      </c>
      <c r="M1110" s="8">
        <v>2053</v>
      </c>
      <c r="N1110" s="8" t="s">
        <v>212</v>
      </c>
      <c r="O1110" s="8">
        <v>661</v>
      </c>
      <c r="P1110" s="8" t="s">
        <v>7504</v>
      </c>
      <c r="Q1110" s="8" t="s">
        <v>4262</v>
      </c>
      <c r="R1110" s="8">
        <v>0.253</v>
      </c>
      <c r="S1110" s="8">
        <v>43429046</v>
      </c>
      <c r="T1110" s="8" t="s">
        <v>24</v>
      </c>
      <c r="U1110" s="8" t="s">
        <v>41</v>
      </c>
    </row>
    <row r="1111" spans="1:21">
      <c r="A1111" s="8" t="s">
        <v>7071</v>
      </c>
      <c r="B1111" s="8" t="s">
        <v>7506</v>
      </c>
      <c r="C1111" s="8">
        <v>256144</v>
      </c>
      <c r="D1111" s="8" t="s">
        <v>83</v>
      </c>
      <c r="E1111" s="8">
        <v>48347177</v>
      </c>
      <c r="F1111" s="8">
        <v>48347177</v>
      </c>
      <c r="G1111" s="8" t="s">
        <v>24</v>
      </c>
      <c r="H1111" s="8" t="s">
        <v>25</v>
      </c>
      <c r="I1111" s="8" t="s">
        <v>23</v>
      </c>
      <c r="J1111" s="8" t="s">
        <v>7507</v>
      </c>
      <c r="K1111" s="8" t="s">
        <v>7509</v>
      </c>
      <c r="L1111" s="8" t="s">
        <v>19</v>
      </c>
      <c r="M1111" s="8">
        <v>685</v>
      </c>
      <c r="N1111" s="8" t="s">
        <v>878</v>
      </c>
      <c r="O1111" s="8">
        <v>229</v>
      </c>
      <c r="P1111" s="8" t="s">
        <v>7508</v>
      </c>
      <c r="Q1111" s="8" t="s">
        <v>4262</v>
      </c>
      <c r="R1111" s="8">
        <v>7.1999999999999995E-2</v>
      </c>
      <c r="S1111" s="8">
        <v>48347177</v>
      </c>
      <c r="T1111" s="8" t="s">
        <v>24</v>
      </c>
      <c r="U1111" s="8" t="s">
        <v>25</v>
      </c>
    </row>
    <row r="1112" spans="1:21">
      <c r="A1112" s="8" t="s">
        <v>7071</v>
      </c>
      <c r="B1112" s="8" t="s">
        <v>7510</v>
      </c>
      <c r="C1112" s="8">
        <v>401666</v>
      </c>
      <c r="D1112" s="8" t="s">
        <v>83</v>
      </c>
      <c r="E1112" s="8">
        <v>4968148</v>
      </c>
      <c r="F1112" s="8">
        <v>4968148</v>
      </c>
      <c r="G1112" s="8" t="s">
        <v>46</v>
      </c>
      <c r="H1112" s="8" t="s">
        <v>41</v>
      </c>
      <c r="I1112" s="8" t="s">
        <v>23</v>
      </c>
      <c r="J1112" s="8" t="s">
        <v>7511</v>
      </c>
      <c r="K1112" s="8" t="s">
        <v>7513</v>
      </c>
      <c r="L1112" s="8" t="s">
        <v>19</v>
      </c>
      <c r="M1112" s="8">
        <v>183</v>
      </c>
      <c r="N1112" s="8" t="s">
        <v>2439</v>
      </c>
      <c r="O1112" s="8">
        <v>61</v>
      </c>
      <c r="P1112" s="8" t="s">
        <v>7512</v>
      </c>
      <c r="Q1112" s="8" t="s">
        <v>4262</v>
      </c>
      <c r="R1112" s="8">
        <v>0.21299999999999999</v>
      </c>
      <c r="S1112" s="8">
        <v>4968148</v>
      </c>
      <c r="T1112" s="8" t="s">
        <v>46</v>
      </c>
      <c r="U1112" s="8" t="s">
        <v>41</v>
      </c>
    </row>
    <row r="1113" spans="1:21">
      <c r="A1113" s="8" t="s">
        <v>7071</v>
      </c>
      <c r="B1113" s="8" t="s">
        <v>7514</v>
      </c>
      <c r="C1113" s="8">
        <v>283092</v>
      </c>
      <c r="D1113" s="8" t="s">
        <v>83</v>
      </c>
      <c r="E1113" s="8">
        <v>49974672</v>
      </c>
      <c r="F1113" s="8">
        <v>49974672</v>
      </c>
      <c r="G1113" s="8" t="s">
        <v>25</v>
      </c>
      <c r="H1113" s="8" t="s">
        <v>24</v>
      </c>
      <c r="I1113" s="8" t="s">
        <v>23</v>
      </c>
      <c r="J1113" s="8" t="s">
        <v>7515</v>
      </c>
      <c r="K1113" s="8" t="s">
        <v>7517</v>
      </c>
      <c r="L1113" s="8" t="s">
        <v>19</v>
      </c>
      <c r="M1113" s="8">
        <v>730</v>
      </c>
      <c r="N1113" s="8" t="s">
        <v>454</v>
      </c>
      <c r="O1113" s="8">
        <v>233</v>
      </c>
      <c r="P1113" s="8" t="s">
        <v>7516</v>
      </c>
      <c r="Q1113" s="8" t="s">
        <v>4262</v>
      </c>
      <c r="R1113" s="8">
        <v>0.26800000000000002</v>
      </c>
      <c r="S1113" s="8">
        <v>49974672</v>
      </c>
      <c r="T1113" s="8" t="s">
        <v>25</v>
      </c>
      <c r="U1113" s="8" t="s">
        <v>24</v>
      </c>
    </row>
    <row r="1114" spans="1:21">
      <c r="A1114" s="8" t="s">
        <v>7071</v>
      </c>
      <c r="B1114" s="8" t="s">
        <v>7518</v>
      </c>
      <c r="C1114" s="8">
        <v>57609</v>
      </c>
      <c r="D1114" s="8" t="s">
        <v>104</v>
      </c>
      <c r="E1114" s="8">
        <v>51092140</v>
      </c>
      <c r="F1114" s="8">
        <v>51092140</v>
      </c>
      <c r="G1114" s="8" t="s">
        <v>24</v>
      </c>
      <c r="H1114" s="8" t="s">
        <v>25</v>
      </c>
      <c r="I1114" s="8" t="s">
        <v>23</v>
      </c>
      <c r="J1114" s="8" t="s">
        <v>7519</v>
      </c>
      <c r="K1114" s="8" t="s">
        <v>7521</v>
      </c>
      <c r="L1114" s="8" t="s">
        <v>19</v>
      </c>
      <c r="M1114" s="8">
        <v>2234</v>
      </c>
      <c r="N1114" s="8" t="s">
        <v>494</v>
      </c>
      <c r="O1114" s="8">
        <v>693</v>
      </c>
      <c r="P1114" s="8" t="s">
        <v>7520</v>
      </c>
      <c r="Q1114" s="8" t="s">
        <v>4262</v>
      </c>
      <c r="R1114" s="8">
        <v>0.25600000000000001</v>
      </c>
      <c r="S1114" s="8">
        <v>51092140</v>
      </c>
      <c r="T1114" s="8" t="s">
        <v>24</v>
      </c>
      <c r="U1114" s="8" t="s">
        <v>25</v>
      </c>
    </row>
    <row r="1115" spans="1:21">
      <c r="A1115" s="8" t="s">
        <v>7071</v>
      </c>
      <c r="B1115" s="8" t="s">
        <v>7522</v>
      </c>
      <c r="C1115" s="8">
        <v>3849</v>
      </c>
      <c r="D1115" s="8" t="s">
        <v>104</v>
      </c>
      <c r="E1115" s="8">
        <v>53040650</v>
      </c>
      <c r="F1115" s="8">
        <v>53040650</v>
      </c>
      <c r="G1115" s="8" t="s">
        <v>24</v>
      </c>
      <c r="H1115" s="8" t="s">
        <v>41</v>
      </c>
      <c r="I1115" s="8" t="s">
        <v>23</v>
      </c>
      <c r="J1115" s="8" t="s">
        <v>7523</v>
      </c>
      <c r="K1115" s="8" t="s">
        <v>7525</v>
      </c>
      <c r="L1115" s="8" t="s">
        <v>19</v>
      </c>
      <c r="M1115" s="8">
        <v>1376</v>
      </c>
      <c r="N1115" s="8" t="s">
        <v>3048</v>
      </c>
      <c r="O1115" s="8">
        <v>448</v>
      </c>
      <c r="P1115" s="8" t="s">
        <v>7524</v>
      </c>
      <c r="Q1115" s="8" t="s">
        <v>4262</v>
      </c>
      <c r="R1115" s="8">
        <v>0.17499999999999999</v>
      </c>
      <c r="S1115" s="8">
        <v>53040650</v>
      </c>
      <c r="T1115" s="8" t="s">
        <v>24</v>
      </c>
      <c r="U1115" s="8" t="s">
        <v>41</v>
      </c>
    </row>
    <row r="1116" spans="1:21">
      <c r="A1116" s="8" t="s">
        <v>7071</v>
      </c>
      <c r="B1116" s="8" t="s">
        <v>3365</v>
      </c>
      <c r="C1116" s="8">
        <v>4234</v>
      </c>
      <c r="D1116" s="8" t="s">
        <v>104</v>
      </c>
      <c r="E1116" s="8">
        <v>58165856</v>
      </c>
      <c r="F1116" s="8">
        <v>58165856</v>
      </c>
      <c r="G1116" s="8" t="s">
        <v>41</v>
      </c>
      <c r="H1116" s="8" t="s">
        <v>46</v>
      </c>
      <c r="I1116" s="8" t="s">
        <v>23</v>
      </c>
      <c r="J1116" s="8" t="s">
        <v>7526</v>
      </c>
      <c r="K1116" s="8" t="s">
        <v>7528</v>
      </c>
      <c r="L1116" s="8" t="s">
        <v>19</v>
      </c>
      <c r="M1116" s="8">
        <v>59</v>
      </c>
      <c r="N1116" s="8" t="s">
        <v>574</v>
      </c>
      <c r="O1116" s="8">
        <v>4</v>
      </c>
      <c r="P1116" s="8" t="s">
        <v>7527</v>
      </c>
      <c r="Q1116" s="8" t="s">
        <v>4262</v>
      </c>
      <c r="R1116" s="8">
        <v>0.25800000000000001</v>
      </c>
      <c r="S1116" s="8">
        <v>58165856</v>
      </c>
      <c r="T1116" s="8" t="s">
        <v>41</v>
      </c>
      <c r="U1116" s="8" t="s">
        <v>46</v>
      </c>
    </row>
    <row r="1117" spans="1:21">
      <c r="A1117" s="8" t="s">
        <v>7071</v>
      </c>
      <c r="B1117" s="8" t="s">
        <v>3366</v>
      </c>
      <c r="C1117" s="8">
        <v>25895</v>
      </c>
      <c r="D1117" s="8" t="s">
        <v>104</v>
      </c>
      <c r="E1117" s="8">
        <v>58174256</v>
      </c>
      <c r="F1117" s="8">
        <v>58174256</v>
      </c>
      <c r="G1117" s="8" t="s">
        <v>41</v>
      </c>
      <c r="H1117" s="8" t="s">
        <v>46</v>
      </c>
      <c r="I1117" s="8" t="s">
        <v>23</v>
      </c>
      <c r="J1117" s="8" t="s">
        <v>3367</v>
      </c>
      <c r="K1117" s="8" t="s">
        <v>7530</v>
      </c>
      <c r="L1117" s="8" t="s">
        <v>19</v>
      </c>
      <c r="M1117" s="8">
        <v>633</v>
      </c>
      <c r="N1117" s="8" t="s">
        <v>449</v>
      </c>
      <c r="O1117" s="8">
        <v>170</v>
      </c>
      <c r="P1117" s="8" t="s">
        <v>7529</v>
      </c>
      <c r="Q1117" s="8" t="s">
        <v>4262</v>
      </c>
      <c r="R1117" s="8">
        <v>0.438</v>
      </c>
      <c r="S1117" s="8">
        <v>58174256</v>
      </c>
      <c r="T1117" s="8" t="s">
        <v>41</v>
      </c>
      <c r="U1117" s="8" t="s">
        <v>46</v>
      </c>
    </row>
    <row r="1118" spans="1:21">
      <c r="A1118" s="8" t="s">
        <v>7071</v>
      </c>
      <c r="B1118" s="8" t="s">
        <v>7531</v>
      </c>
      <c r="C1118" s="8">
        <v>10536</v>
      </c>
      <c r="D1118" s="8" t="s">
        <v>104</v>
      </c>
      <c r="E1118" s="8">
        <v>6939042</v>
      </c>
      <c r="F1118" s="8">
        <v>6939042</v>
      </c>
      <c r="G1118" s="8" t="s">
        <v>46</v>
      </c>
      <c r="H1118" s="8" t="s">
        <v>41</v>
      </c>
      <c r="I1118" s="8" t="s">
        <v>23</v>
      </c>
      <c r="J1118" s="8" t="s">
        <v>7532</v>
      </c>
      <c r="K1118" s="8" t="s">
        <v>7534</v>
      </c>
      <c r="L1118" s="8" t="s">
        <v>19</v>
      </c>
      <c r="M1118" s="8">
        <v>552</v>
      </c>
      <c r="N1118" s="8" t="s">
        <v>417</v>
      </c>
      <c r="O1118" s="8">
        <v>173</v>
      </c>
      <c r="P1118" s="8" t="s">
        <v>7533</v>
      </c>
      <c r="Q1118" s="8" t="s">
        <v>4262</v>
      </c>
      <c r="R1118" s="8">
        <v>0.122</v>
      </c>
      <c r="S1118" s="8">
        <v>6939042</v>
      </c>
      <c r="T1118" s="8" t="s">
        <v>46</v>
      </c>
      <c r="U1118" s="8" t="s">
        <v>41</v>
      </c>
    </row>
    <row r="1119" spans="1:21">
      <c r="A1119" s="8" t="s">
        <v>7071</v>
      </c>
      <c r="B1119" s="8" t="s">
        <v>7535</v>
      </c>
      <c r="C1119" s="8">
        <v>4673</v>
      </c>
      <c r="D1119" s="8" t="s">
        <v>104</v>
      </c>
      <c r="E1119" s="8">
        <v>76443562</v>
      </c>
      <c r="F1119" s="8">
        <v>76443562</v>
      </c>
      <c r="G1119" s="8" t="s">
        <v>46</v>
      </c>
      <c r="H1119" s="8" t="s">
        <v>41</v>
      </c>
      <c r="I1119" s="8" t="s">
        <v>23</v>
      </c>
      <c r="J1119" s="8" t="s">
        <v>7536</v>
      </c>
      <c r="K1119" s="8" t="s">
        <v>7538</v>
      </c>
      <c r="L1119" s="8" t="s">
        <v>19</v>
      </c>
      <c r="M1119" s="8">
        <v>1475</v>
      </c>
      <c r="N1119" s="8" t="s">
        <v>557</v>
      </c>
      <c r="O1119" s="8">
        <v>355</v>
      </c>
      <c r="P1119" s="8" t="s">
        <v>7537</v>
      </c>
      <c r="Q1119" s="8" t="s">
        <v>4262</v>
      </c>
      <c r="R1119" s="8">
        <v>0.11899999999999999</v>
      </c>
      <c r="S1119" s="8">
        <v>76443562</v>
      </c>
      <c r="T1119" s="8" t="s">
        <v>46</v>
      </c>
      <c r="U1119" s="8" t="s">
        <v>41</v>
      </c>
    </row>
    <row r="1120" spans="1:21">
      <c r="A1120" s="8" t="s">
        <v>7071</v>
      </c>
      <c r="B1120" s="8" t="s">
        <v>7539</v>
      </c>
      <c r="C1120" s="8">
        <v>51184</v>
      </c>
      <c r="D1120" s="8" t="s">
        <v>104</v>
      </c>
      <c r="E1120" s="8">
        <v>110891665</v>
      </c>
      <c r="F1120" s="8">
        <v>110891665</v>
      </c>
      <c r="G1120" s="8" t="s">
        <v>24</v>
      </c>
      <c r="H1120" s="8" t="s">
        <v>41</v>
      </c>
      <c r="I1120" s="8" t="s">
        <v>23</v>
      </c>
      <c r="J1120" s="8" t="s">
        <v>7540</v>
      </c>
      <c r="K1120" s="8" t="s">
        <v>7542</v>
      </c>
      <c r="L1120" s="8" t="s">
        <v>76</v>
      </c>
      <c r="M1120" s="8">
        <v>877</v>
      </c>
      <c r="N1120" s="8" t="s">
        <v>747</v>
      </c>
      <c r="O1120" s="8">
        <v>264</v>
      </c>
      <c r="P1120" s="8" t="s">
        <v>7541</v>
      </c>
      <c r="Q1120" s="8" t="s">
        <v>4262</v>
      </c>
      <c r="R1120" s="8">
        <v>0.224</v>
      </c>
      <c r="S1120" s="8">
        <v>110891665</v>
      </c>
      <c r="T1120" s="8" t="s">
        <v>24</v>
      </c>
      <c r="U1120" s="8" t="s">
        <v>41</v>
      </c>
    </row>
    <row r="1121" spans="1:21">
      <c r="A1121" s="8" t="s">
        <v>7071</v>
      </c>
      <c r="B1121" s="8" t="s">
        <v>3363</v>
      </c>
      <c r="C1121" s="8">
        <v>196385</v>
      </c>
      <c r="D1121" s="8" t="s">
        <v>104</v>
      </c>
      <c r="E1121" s="8">
        <v>124268569</v>
      </c>
      <c r="F1121" s="8">
        <v>124268569</v>
      </c>
      <c r="G1121" s="8" t="s">
        <v>25</v>
      </c>
      <c r="H1121" s="8" t="s">
        <v>41</v>
      </c>
      <c r="I1121" s="8" t="s">
        <v>23</v>
      </c>
      <c r="J1121" s="8" t="s">
        <v>3364</v>
      </c>
      <c r="K1121" s="8" t="s">
        <v>7544</v>
      </c>
      <c r="L1121" s="8" t="s">
        <v>76</v>
      </c>
      <c r="M1121" s="8">
        <v>917</v>
      </c>
      <c r="N1121" s="8" t="s">
        <v>1103</v>
      </c>
      <c r="O1121" s="8">
        <v>298</v>
      </c>
      <c r="P1121" s="8" t="s">
        <v>7543</v>
      </c>
      <c r="Q1121" s="8" t="s">
        <v>4262</v>
      </c>
      <c r="R1121" s="8">
        <v>0.42899999999999999</v>
      </c>
      <c r="S1121" s="8">
        <v>124268569</v>
      </c>
      <c r="T1121" s="8" t="s">
        <v>25</v>
      </c>
      <c r="U1121" s="8" t="s">
        <v>41</v>
      </c>
    </row>
    <row r="1122" spans="1:21">
      <c r="A1122" s="8" t="s">
        <v>7071</v>
      </c>
      <c r="B1122" s="8" t="s">
        <v>7545</v>
      </c>
      <c r="C1122" s="8">
        <v>55196</v>
      </c>
      <c r="D1122" s="8" t="s">
        <v>104</v>
      </c>
      <c r="E1122" s="8">
        <v>32137488</v>
      </c>
      <c r="F1122" s="8">
        <v>32137488</v>
      </c>
      <c r="G1122" s="8" t="s">
        <v>25</v>
      </c>
      <c r="H1122" s="8" t="s">
        <v>41</v>
      </c>
      <c r="I1122" s="8" t="s">
        <v>23</v>
      </c>
      <c r="J1122" s="8" t="s">
        <v>7546</v>
      </c>
      <c r="K1122" s="8" t="s">
        <v>7548</v>
      </c>
      <c r="L1122" s="8" t="s">
        <v>19</v>
      </c>
      <c r="M1122" s="8">
        <v>4013</v>
      </c>
      <c r="N1122" s="8" t="s">
        <v>3268</v>
      </c>
      <c r="O1122" s="8">
        <v>1200</v>
      </c>
      <c r="P1122" s="8" t="s">
        <v>7547</v>
      </c>
      <c r="Q1122" s="8" t="s">
        <v>4262</v>
      </c>
      <c r="R1122" s="8">
        <v>7.5999999999999998E-2</v>
      </c>
      <c r="S1122" s="8">
        <v>32137488</v>
      </c>
      <c r="T1122" s="8" t="s">
        <v>25</v>
      </c>
      <c r="U1122" s="8" t="s">
        <v>41</v>
      </c>
    </row>
    <row r="1123" spans="1:21">
      <c r="A1123" s="8" t="s">
        <v>7071</v>
      </c>
      <c r="B1123" s="8" t="s">
        <v>7549</v>
      </c>
      <c r="C1123" s="8">
        <v>51067</v>
      </c>
      <c r="D1123" s="8" t="s">
        <v>104</v>
      </c>
      <c r="E1123" s="8">
        <v>32908456</v>
      </c>
      <c r="F1123" s="8">
        <v>32908456</v>
      </c>
      <c r="G1123" s="8" t="s">
        <v>46</v>
      </c>
      <c r="H1123" s="8" t="s">
        <v>25</v>
      </c>
      <c r="I1123" s="8" t="s">
        <v>23</v>
      </c>
      <c r="J1123" s="8" t="s">
        <v>7550</v>
      </c>
      <c r="K1123" s="8" t="s">
        <v>7552</v>
      </c>
      <c r="L1123" s="8" t="s">
        <v>19</v>
      </c>
      <c r="M1123" s="8">
        <v>432</v>
      </c>
      <c r="N1123" s="8" t="s">
        <v>1288</v>
      </c>
      <c r="O1123" s="8">
        <v>118</v>
      </c>
      <c r="P1123" s="8" t="s">
        <v>7551</v>
      </c>
      <c r="Q1123" s="8" t="s">
        <v>4262</v>
      </c>
      <c r="R1123" s="8">
        <v>0.35</v>
      </c>
      <c r="S1123" s="8">
        <v>32908456</v>
      </c>
      <c r="T1123" s="8" t="s">
        <v>46</v>
      </c>
      <c r="U1123" s="8" t="s">
        <v>25</v>
      </c>
    </row>
    <row r="1124" spans="1:21">
      <c r="A1124" s="8" t="s">
        <v>7071</v>
      </c>
      <c r="B1124" s="8" t="s">
        <v>2501</v>
      </c>
      <c r="C1124" s="8">
        <v>26960</v>
      </c>
      <c r="D1124" s="8" t="s">
        <v>339</v>
      </c>
      <c r="E1124" s="8">
        <v>35806736</v>
      </c>
      <c r="F1124" s="8">
        <v>35806736</v>
      </c>
      <c r="G1124" s="8" t="s">
        <v>24</v>
      </c>
      <c r="H1124" s="8" t="s">
        <v>25</v>
      </c>
      <c r="I1124" s="8" t="s">
        <v>23</v>
      </c>
      <c r="J1124" s="8" t="s">
        <v>2502</v>
      </c>
      <c r="K1124" s="8" t="s">
        <v>7554</v>
      </c>
      <c r="L1124" s="8" t="s">
        <v>19</v>
      </c>
      <c r="M1124" s="8">
        <v>6290</v>
      </c>
      <c r="N1124" s="8" t="s">
        <v>494</v>
      </c>
      <c r="O1124" s="8">
        <v>1919</v>
      </c>
      <c r="P1124" s="8" t="s">
        <v>7553</v>
      </c>
      <c r="Q1124" s="8" t="s">
        <v>4262</v>
      </c>
      <c r="R1124" s="8">
        <v>0.374</v>
      </c>
      <c r="S1124" s="8">
        <v>35806736</v>
      </c>
      <c r="T1124" s="8" t="s">
        <v>24</v>
      </c>
      <c r="U1124" s="8" t="s">
        <v>25</v>
      </c>
    </row>
    <row r="1125" spans="1:21">
      <c r="A1125" s="8" t="s">
        <v>7071</v>
      </c>
      <c r="B1125" s="8" t="s">
        <v>3369</v>
      </c>
      <c r="C1125" s="8">
        <v>27133</v>
      </c>
      <c r="D1125" s="8" t="s">
        <v>118</v>
      </c>
      <c r="E1125" s="8">
        <v>63246465</v>
      </c>
      <c r="F1125" s="8">
        <v>63246465</v>
      </c>
      <c r="G1125" s="8" t="s">
        <v>24</v>
      </c>
      <c r="H1125" s="8" t="s">
        <v>41</v>
      </c>
      <c r="I1125" s="8" t="s">
        <v>23</v>
      </c>
      <c r="J1125" s="8" t="s">
        <v>6167</v>
      </c>
      <c r="K1125" s="8" t="s">
        <v>6169</v>
      </c>
      <c r="L1125" s="8" t="s">
        <v>19</v>
      </c>
      <c r="M1125" s="8">
        <v>2051</v>
      </c>
      <c r="N1125" s="8" t="s">
        <v>2541</v>
      </c>
      <c r="O1125" s="8">
        <v>667</v>
      </c>
      <c r="P1125" s="8" t="s">
        <v>7555</v>
      </c>
      <c r="Q1125" s="8" t="s">
        <v>4262</v>
      </c>
      <c r="R1125" s="8">
        <v>0.40600000000000003</v>
      </c>
      <c r="S1125" s="8">
        <v>63246465</v>
      </c>
      <c r="T1125" s="8" t="s">
        <v>24</v>
      </c>
      <c r="U1125" s="8" t="s">
        <v>41</v>
      </c>
    </row>
    <row r="1126" spans="1:21">
      <c r="A1126" s="8" t="s">
        <v>7071</v>
      </c>
      <c r="B1126" s="8" t="s">
        <v>2209</v>
      </c>
      <c r="C1126" s="8">
        <v>1778</v>
      </c>
      <c r="D1126" s="8" t="s">
        <v>118</v>
      </c>
      <c r="E1126" s="8">
        <v>102449367</v>
      </c>
      <c r="F1126" s="8">
        <v>102449367</v>
      </c>
      <c r="G1126" s="8" t="s">
        <v>24</v>
      </c>
      <c r="H1126" s="8" t="s">
        <v>25</v>
      </c>
      <c r="I1126" s="8" t="s">
        <v>23</v>
      </c>
      <c r="J1126" s="8" t="s">
        <v>3368</v>
      </c>
      <c r="K1126" s="8" t="s">
        <v>7557</v>
      </c>
      <c r="L1126" s="8" t="s">
        <v>19</v>
      </c>
      <c r="M1126" s="8">
        <v>1137</v>
      </c>
      <c r="N1126" s="8" t="s">
        <v>768</v>
      </c>
      <c r="O1126" s="8">
        <v>325</v>
      </c>
      <c r="P1126" s="8" t="s">
        <v>7556</v>
      </c>
      <c r="Q1126" s="8" t="s">
        <v>4262</v>
      </c>
      <c r="R1126" s="8">
        <v>0.45800000000000002</v>
      </c>
      <c r="S1126" s="8">
        <v>102449367</v>
      </c>
      <c r="T1126" s="8" t="s">
        <v>24</v>
      </c>
      <c r="U1126" s="8" t="s">
        <v>25</v>
      </c>
    </row>
    <row r="1127" spans="1:21">
      <c r="A1127" s="8" t="s">
        <v>7071</v>
      </c>
      <c r="B1127" s="8" t="s">
        <v>7558</v>
      </c>
      <c r="C1127" s="8">
        <v>441669</v>
      </c>
      <c r="D1127" s="8" t="s">
        <v>118</v>
      </c>
      <c r="E1127" s="8">
        <v>20216152</v>
      </c>
      <c r="F1127" s="8">
        <v>20216152</v>
      </c>
      <c r="G1127" s="8" t="s">
        <v>46</v>
      </c>
      <c r="H1127" s="8" t="s">
        <v>41</v>
      </c>
      <c r="I1127" s="8" t="s">
        <v>23</v>
      </c>
      <c r="J1127" s="8" t="s">
        <v>7559</v>
      </c>
      <c r="K1127" s="8" t="s">
        <v>7562</v>
      </c>
      <c r="L1127" s="8" t="s">
        <v>19</v>
      </c>
      <c r="M1127" s="8">
        <v>566</v>
      </c>
      <c r="N1127" s="8" t="s">
        <v>1421</v>
      </c>
      <c r="O1127" s="8">
        <v>189</v>
      </c>
      <c r="P1127" s="8" t="s">
        <v>7560</v>
      </c>
      <c r="Q1127" s="8" t="s">
        <v>7561</v>
      </c>
      <c r="R1127" s="8">
        <v>0.17899999999999999</v>
      </c>
      <c r="S1127" s="8">
        <v>20216152</v>
      </c>
      <c r="T1127" s="8" t="s">
        <v>46</v>
      </c>
      <c r="U1127" s="8" t="s">
        <v>41</v>
      </c>
    </row>
    <row r="1128" spans="1:21">
      <c r="A1128" s="8" t="s">
        <v>7071</v>
      </c>
      <c r="B1128" s="8" t="s">
        <v>7563</v>
      </c>
      <c r="C1128" s="8">
        <v>55072</v>
      </c>
      <c r="D1128" s="8" t="s">
        <v>118</v>
      </c>
      <c r="E1128" s="8">
        <v>24619825</v>
      </c>
      <c r="F1128" s="8">
        <v>24619825</v>
      </c>
      <c r="G1128" s="8" t="s">
        <v>24</v>
      </c>
      <c r="H1128" s="8" t="s">
        <v>25</v>
      </c>
      <c r="I1128" s="8" t="s">
        <v>23</v>
      </c>
      <c r="J1128" s="8" t="s">
        <v>7564</v>
      </c>
      <c r="K1128" s="8" t="s">
        <v>7566</v>
      </c>
      <c r="L1128" s="8" t="s">
        <v>19</v>
      </c>
      <c r="M1128" s="8">
        <v>1465</v>
      </c>
      <c r="N1128" s="8" t="s">
        <v>155</v>
      </c>
      <c r="O1128" s="8">
        <v>406</v>
      </c>
      <c r="P1128" s="8" t="s">
        <v>7565</v>
      </c>
      <c r="Q1128" s="8" t="s">
        <v>4262</v>
      </c>
      <c r="R1128" s="8">
        <v>9.1999999999999998E-2</v>
      </c>
      <c r="S1128" s="8">
        <v>24619825</v>
      </c>
      <c r="T1128" s="8" t="s">
        <v>24</v>
      </c>
      <c r="U1128" s="8" t="s">
        <v>25</v>
      </c>
    </row>
    <row r="1129" spans="1:21">
      <c r="A1129" s="8" t="s">
        <v>7071</v>
      </c>
      <c r="B1129" s="8" t="s">
        <v>3851</v>
      </c>
      <c r="C1129" s="8">
        <v>23312</v>
      </c>
      <c r="D1129" s="8" t="s">
        <v>120</v>
      </c>
      <c r="E1129" s="8">
        <v>51795026</v>
      </c>
      <c r="F1129" s="8">
        <v>51795026</v>
      </c>
      <c r="G1129" s="8" t="s">
        <v>25</v>
      </c>
      <c r="H1129" s="8" t="s">
        <v>24</v>
      </c>
      <c r="I1129" s="8" t="s">
        <v>23</v>
      </c>
      <c r="J1129" s="8" t="s">
        <v>4882</v>
      </c>
      <c r="K1129" s="8" t="s">
        <v>4884</v>
      </c>
      <c r="L1129" s="8" t="s">
        <v>19</v>
      </c>
      <c r="M1129" s="8">
        <v>3194</v>
      </c>
      <c r="N1129" s="8" t="s">
        <v>5447</v>
      </c>
      <c r="O1129" s="8">
        <v>990</v>
      </c>
      <c r="P1129" s="8" t="s">
        <v>7567</v>
      </c>
      <c r="Q1129" s="8" t="s">
        <v>4262</v>
      </c>
      <c r="R1129" s="8">
        <v>0.13600000000000001</v>
      </c>
      <c r="S1129" s="8">
        <v>51795026</v>
      </c>
      <c r="T1129" s="8" t="s">
        <v>25</v>
      </c>
      <c r="U1129" s="8" t="s">
        <v>24</v>
      </c>
    </row>
    <row r="1130" spans="1:21">
      <c r="A1130" s="8" t="s">
        <v>7071</v>
      </c>
      <c r="B1130" s="8" t="s">
        <v>3851</v>
      </c>
      <c r="C1130" s="8">
        <v>23312</v>
      </c>
      <c r="D1130" s="8" t="s">
        <v>120</v>
      </c>
      <c r="E1130" s="8">
        <v>51834656</v>
      </c>
      <c r="F1130" s="8">
        <v>51834656</v>
      </c>
      <c r="G1130" s="8" t="s">
        <v>46</v>
      </c>
      <c r="H1130" s="8" t="s">
        <v>25</v>
      </c>
      <c r="I1130" s="8" t="s">
        <v>23</v>
      </c>
      <c r="J1130" s="8" t="s">
        <v>4882</v>
      </c>
      <c r="K1130" s="8" t="s">
        <v>4884</v>
      </c>
      <c r="L1130" s="8" t="s">
        <v>19</v>
      </c>
      <c r="M1130" s="8">
        <v>1204</v>
      </c>
      <c r="N1130" s="8" t="s">
        <v>3804</v>
      </c>
      <c r="O1130" s="8">
        <v>327</v>
      </c>
      <c r="P1130" s="8" t="s">
        <v>7568</v>
      </c>
      <c r="Q1130" s="8" t="s">
        <v>4262</v>
      </c>
      <c r="R1130" s="8">
        <v>0.13</v>
      </c>
      <c r="S1130" s="8">
        <v>51834656</v>
      </c>
      <c r="T1130" s="8" t="s">
        <v>46</v>
      </c>
      <c r="U1130" s="8" t="s">
        <v>25</v>
      </c>
    </row>
    <row r="1131" spans="1:21">
      <c r="A1131" s="8" t="s">
        <v>7071</v>
      </c>
      <c r="B1131" s="8" t="s">
        <v>7569</v>
      </c>
      <c r="C1131" s="8">
        <v>1143</v>
      </c>
      <c r="D1131" s="8" t="s">
        <v>120</v>
      </c>
      <c r="E1131" s="8">
        <v>78921958</v>
      </c>
      <c r="F1131" s="8">
        <v>78921958</v>
      </c>
      <c r="G1131" s="8" t="s">
        <v>46</v>
      </c>
      <c r="H1131" s="8" t="s">
        <v>41</v>
      </c>
      <c r="I1131" s="8" t="s">
        <v>23</v>
      </c>
      <c r="J1131" s="8" t="s">
        <v>7570</v>
      </c>
      <c r="K1131" s="8" t="s">
        <v>7572</v>
      </c>
      <c r="L1131" s="8" t="s">
        <v>19</v>
      </c>
      <c r="M1131" s="8">
        <v>801</v>
      </c>
      <c r="N1131" s="8" t="s">
        <v>73</v>
      </c>
      <c r="O1131" s="8">
        <v>230</v>
      </c>
      <c r="P1131" s="8" t="s">
        <v>7571</v>
      </c>
      <c r="Q1131" s="8" t="s">
        <v>4262</v>
      </c>
      <c r="R1131" s="8">
        <v>0.32800000000000001</v>
      </c>
      <c r="S1131" s="8">
        <v>78921958</v>
      </c>
      <c r="T1131" s="8" t="s">
        <v>46</v>
      </c>
      <c r="U1131" s="8" t="s">
        <v>41</v>
      </c>
    </row>
    <row r="1132" spans="1:21">
      <c r="A1132" s="8" t="s">
        <v>7071</v>
      </c>
      <c r="B1132" s="8" t="s">
        <v>697</v>
      </c>
      <c r="C1132" s="8">
        <v>57188</v>
      </c>
      <c r="D1132" s="8" t="s">
        <v>120</v>
      </c>
      <c r="E1132" s="8">
        <v>84652001</v>
      </c>
      <c r="F1132" s="8">
        <v>84652001</v>
      </c>
      <c r="G1132" s="8" t="s">
        <v>24</v>
      </c>
      <c r="H1132" s="8" t="s">
        <v>46</v>
      </c>
      <c r="I1132" s="8" t="s">
        <v>23</v>
      </c>
      <c r="J1132" s="8" t="s">
        <v>698</v>
      </c>
      <c r="K1132" s="8" t="s">
        <v>7574</v>
      </c>
      <c r="L1132" s="8" t="s">
        <v>19</v>
      </c>
      <c r="M1132" s="8">
        <v>3845</v>
      </c>
      <c r="N1132" s="8" t="s">
        <v>5833</v>
      </c>
      <c r="O1132" s="8">
        <v>1207</v>
      </c>
      <c r="P1132" s="8" t="s">
        <v>7573</v>
      </c>
      <c r="Q1132" s="8" t="s">
        <v>4262</v>
      </c>
      <c r="R1132" s="8">
        <v>0.13600000000000001</v>
      </c>
      <c r="S1132" s="8">
        <v>84652001</v>
      </c>
      <c r="T1132" s="8" t="s">
        <v>24</v>
      </c>
      <c r="U1132" s="8" t="s">
        <v>46</v>
      </c>
    </row>
    <row r="1133" spans="1:21">
      <c r="A1133" s="8" t="s">
        <v>7071</v>
      </c>
      <c r="B1133" s="8" t="s">
        <v>7575</v>
      </c>
      <c r="C1133" s="8">
        <v>64782</v>
      </c>
      <c r="D1133" s="8" t="s">
        <v>120</v>
      </c>
      <c r="E1133" s="8">
        <v>89169456</v>
      </c>
      <c r="F1133" s="8">
        <v>89169456</v>
      </c>
      <c r="G1133" s="8" t="s">
        <v>24</v>
      </c>
      <c r="H1133" s="8" t="s">
        <v>25</v>
      </c>
      <c r="I1133" s="8" t="s">
        <v>23</v>
      </c>
      <c r="J1133" s="8" t="s">
        <v>7576</v>
      </c>
      <c r="K1133" s="8" t="s">
        <v>7577</v>
      </c>
      <c r="L1133" s="8" t="s">
        <v>19</v>
      </c>
      <c r="M1133" s="8">
        <v>167</v>
      </c>
      <c r="N1133" s="8" t="s">
        <v>155</v>
      </c>
      <c r="O1133" s="8">
        <v>6</v>
      </c>
      <c r="P1133" s="8" t="s">
        <v>5723</v>
      </c>
      <c r="Q1133" s="8" t="s">
        <v>4262</v>
      </c>
      <c r="R1133" s="8">
        <v>0.23100000000000001</v>
      </c>
      <c r="S1133" s="8">
        <v>89169456</v>
      </c>
      <c r="T1133" s="8" t="s">
        <v>24</v>
      </c>
      <c r="U1133" s="8" t="s">
        <v>25</v>
      </c>
    </row>
    <row r="1134" spans="1:21">
      <c r="A1134" s="8" t="s">
        <v>7071</v>
      </c>
      <c r="B1134" s="8" t="s">
        <v>2523</v>
      </c>
      <c r="C1134" s="8">
        <v>176</v>
      </c>
      <c r="D1134" s="8" t="s">
        <v>120</v>
      </c>
      <c r="E1134" s="8">
        <v>89391219</v>
      </c>
      <c r="F1134" s="8">
        <v>89391219</v>
      </c>
      <c r="G1134" s="8" t="s">
        <v>24</v>
      </c>
      <c r="H1134" s="8" t="s">
        <v>41</v>
      </c>
      <c r="I1134" s="8" t="s">
        <v>23</v>
      </c>
      <c r="J1134" s="8" t="s">
        <v>7578</v>
      </c>
      <c r="K1134" s="8" t="s">
        <v>7580</v>
      </c>
      <c r="L1134" s="8" t="s">
        <v>19</v>
      </c>
      <c r="M1134" s="8">
        <v>2056</v>
      </c>
      <c r="N1134" s="8" t="s">
        <v>1288</v>
      </c>
      <c r="O1134" s="8">
        <v>561</v>
      </c>
      <c r="P1134" s="8" t="s">
        <v>7579</v>
      </c>
      <c r="Q1134" s="8" t="s">
        <v>4262</v>
      </c>
      <c r="R1134" s="8">
        <v>0.14899999999999999</v>
      </c>
      <c r="S1134" s="8">
        <v>89391219</v>
      </c>
      <c r="T1134" s="8" t="s">
        <v>24</v>
      </c>
      <c r="U1134" s="8" t="s">
        <v>41</v>
      </c>
    </row>
    <row r="1135" spans="1:21">
      <c r="A1135" s="8" t="s">
        <v>7071</v>
      </c>
      <c r="B1135" s="8" t="s">
        <v>3250</v>
      </c>
      <c r="C1135" s="8">
        <v>79705</v>
      </c>
      <c r="D1135" s="8" t="s">
        <v>120</v>
      </c>
      <c r="E1135" s="8">
        <v>101608890</v>
      </c>
      <c r="F1135" s="8">
        <v>101608890</v>
      </c>
      <c r="G1135" s="8" t="s">
        <v>46</v>
      </c>
      <c r="H1135" s="8" t="s">
        <v>41</v>
      </c>
      <c r="I1135" s="8" t="s">
        <v>23</v>
      </c>
      <c r="J1135" s="8" t="s">
        <v>3251</v>
      </c>
      <c r="K1135" s="8" t="s">
        <v>7582</v>
      </c>
      <c r="L1135" s="8" t="s">
        <v>19</v>
      </c>
      <c r="M1135" s="8">
        <v>6204</v>
      </c>
      <c r="N1135" s="8" t="s">
        <v>389</v>
      </c>
      <c r="O1135" s="8">
        <v>1962</v>
      </c>
      <c r="P1135" s="8" t="s">
        <v>7581</v>
      </c>
      <c r="Q1135" s="8" t="s">
        <v>4262</v>
      </c>
      <c r="R1135" s="8">
        <v>0.192</v>
      </c>
      <c r="S1135" s="8">
        <v>101608890</v>
      </c>
      <c r="T1135" s="8" t="s">
        <v>46</v>
      </c>
      <c r="U1135" s="8" t="s">
        <v>41</v>
      </c>
    </row>
    <row r="1136" spans="1:21">
      <c r="A1136" s="8" t="s">
        <v>7071</v>
      </c>
      <c r="B1136" s="8" t="s">
        <v>7583</v>
      </c>
      <c r="C1136" s="8">
        <v>57194</v>
      </c>
      <c r="D1136" s="8" t="s">
        <v>120</v>
      </c>
      <c r="E1136" s="8">
        <v>25925084</v>
      </c>
      <c r="F1136" s="8">
        <v>25925084</v>
      </c>
      <c r="G1136" s="8" t="s">
        <v>41</v>
      </c>
      <c r="H1136" s="8" t="s">
        <v>24</v>
      </c>
      <c r="I1136" s="8" t="s">
        <v>23</v>
      </c>
      <c r="J1136" s="8" t="s">
        <v>7584</v>
      </c>
      <c r="K1136" s="8" t="s">
        <v>7586</v>
      </c>
      <c r="L1136" s="8" t="s">
        <v>19</v>
      </c>
      <c r="M1136" s="8">
        <v>4010</v>
      </c>
      <c r="N1136" s="8" t="s">
        <v>3431</v>
      </c>
      <c r="O1136" s="8">
        <v>1302</v>
      </c>
      <c r="P1136" s="8" t="s">
        <v>7585</v>
      </c>
      <c r="Q1136" s="8" t="s">
        <v>4262</v>
      </c>
      <c r="R1136" s="8">
        <v>0.21</v>
      </c>
      <c r="S1136" s="8">
        <v>25925084</v>
      </c>
      <c r="T1136" s="8" t="s">
        <v>41</v>
      </c>
      <c r="U1136" s="8" t="s">
        <v>24</v>
      </c>
    </row>
    <row r="1137" spans="1:21">
      <c r="A1137" s="8" t="s">
        <v>7071</v>
      </c>
      <c r="B1137" s="8" t="s">
        <v>5789</v>
      </c>
      <c r="C1137" s="8">
        <v>8924</v>
      </c>
      <c r="D1137" s="8" t="s">
        <v>120</v>
      </c>
      <c r="E1137" s="8">
        <v>28511092</v>
      </c>
      <c r="F1137" s="8">
        <v>28511092</v>
      </c>
      <c r="G1137" s="8" t="s">
        <v>46</v>
      </c>
      <c r="H1137" s="8" t="s">
        <v>25</v>
      </c>
      <c r="I1137" s="8" t="s">
        <v>23</v>
      </c>
      <c r="J1137" s="8" t="s">
        <v>5790</v>
      </c>
      <c r="K1137" s="8" t="s">
        <v>5792</v>
      </c>
      <c r="L1137" s="8" t="s">
        <v>19</v>
      </c>
      <c r="M1137" s="8">
        <v>1733</v>
      </c>
      <c r="N1137" s="8" t="s">
        <v>256</v>
      </c>
      <c r="O1137" s="8">
        <v>543</v>
      </c>
      <c r="P1137" s="8" t="s">
        <v>7587</v>
      </c>
      <c r="Q1137" s="8" t="s">
        <v>7588</v>
      </c>
      <c r="R1137" s="8">
        <v>0.255</v>
      </c>
      <c r="S1137" s="8">
        <v>28511092</v>
      </c>
      <c r="T1137" s="8" t="s">
        <v>46</v>
      </c>
      <c r="U1137" s="8" t="s">
        <v>25</v>
      </c>
    </row>
    <row r="1138" spans="1:21">
      <c r="A1138" s="8" t="s">
        <v>7071</v>
      </c>
      <c r="B1138" s="8" t="s">
        <v>897</v>
      </c>
      <c r="C1138" s="8">
        <v>342184</v>
      </c>
      <c r="D1138" s="8" t="s">
        <v>120</v>
      </c>
      <c r="E1138" s="8">
        <v>33359148</v>
      </c>
      <c r="F1138" s="8">
        <v>33359148</v>
      </c>
      <c r="G1138" s="8" t="s">
        <v>24</v>
      </c>
      <c r="H1138" s="8" t="s">
        <v>41</v>
      </c>
      <c r="I1138" s="8" t="s">
        <v>23</v>
      </c>
      <c r="J1138" s="8" t="s">
        <v>898</v>
      </c>
      <c r="K1138" s="8" t="s">
        <v>7590</v>
      </c>
      <c r="L1138" s="8" t="s">
        <v>19</v>
      </c>
      <c r="M1138" s="8">
        <v>938</v>
      </c>
      <c r="N1138" s="8" t="s">
        <v>622</v>
      </c>
      <c r="O1138" s="8">
        <v>313</v>
      </c>
      <c r="P1138" s="8" t="s">
        <v>7589</v>
      </c>
      <c r="Q1138" s="8" t="s">
        <v>4262</v>
      </c>
      <c r="R1138" s="8">
        <v>0.20300000000000001</v>
      </c>
      <c r="S1138" s="8">
        <v>33359148</v>
      </c>
      <c r="T1138" s="8" t="s">
        <v>24</v>
      </c>
      <c r="U1138" s="8" t="s">
        <v>41</v>
      </c>
    </row>
    <row r="1139" spans="1:21">
      <c r="A1139" s="8" t="s">
        <v>7071</v>
      </c>
      <c r="B1139" s="8" t="s">
        <v>1066</v>
      </c>
      <c r="C1139" s="8">
        <v>23269</v>
      </c>
      <c r="D1139" s="8" t="s">
        <v>120</v>
      </c>
      <c r="E1139" s="8">
        <v>42057105</v>
      </c>
      <c r="F1139" s="8">
        <v>42057105</v>
      </c>
      <c r="G1139" s="8" t="s">
        <v>46</v>
      </c>
      <c r="H1139" s="8" t="s">
        <v>41</v>
      </c>
      <c r="I1139" s="8" t="s">
        <v>23</v>
      </c>
      <c r="J1139" s="8" t="s">
        <v>7591</v>
      </c>
      <c r="K1139" s="8" t="s">
        <v>7593</v>
      </c>
      <c r="L1139" s="8" t="s">
        <v>19</v>
      </c>
      <c r="M1139" s="8">
        <v>7947</v>
      </c>
      <c r="N1139" s="8" t="s">
        <v>96</v>
      </c>
      <c r="O1139" s="8">
        <v>2589</v>
      </c>
      <c r="P1139" s="8" t="s">
        <v>7592</v>
      </c>
      <c r="Q1139" s="8" t="s">
        <v>4262</v>
      </c>
      <c r="R1139" s="8">
        <v>3.1E-2</v>
      </c>
      <c r="S1139" s="8">
        <v>42057105</v>
      </c>
      <c r="T1139" s="8" t="s">
        <v>46</v>
      </c>
      <c r="U1139" s="8" t="s">
        <v>41</v>
      </c>
    </row>
    <row r="1140" spans="1:21">
      <c r="A1140" s="8" t="s">
        <v>7071</v>
      </c>
      <c r="B1140" s="8" t="s">
        <v>1069</v>
      </c>
      <c r="C1140" s="8">
        <v>6557</v>
      </c>
      <c r="D1140" s="8" t="s">
        <v>120</v>
      </c>
      <c r="E1140" s="8">
        <v>48543917</v>
      </c>
      <c r="F1140" s="8">
        <v>48543917</v>
      </c>
      <c r="G1140" s="8" t="s">
        <v>46</v>
      </c>
      <c r="H1140" s="8" t="s">
        <v>25</v>
      </c>
      <c r="I1140" s="8" t="s">
        <v>23</v>
      </c>
      <c r="J1140" s="8" t="s">
        <v>7594</v>
      </c>
      <c r="K1140" s="8" t="s">
        <v>7596</v>
      </c>
      <c r="L1140" s="8" t="s">
        <v>19</v>
      </c>
      <c r="M1140" s="8">
        <v>2108</v>
      </c>
      <c r="N1140" s="8" t="s">
        <v>65</v>
      </c>
      <c r="O1140" s="8">
        <v>631</v>
      </c>
      <c r="P1140" s="8" t="s">
        <v>7595</v>
      </c>
      <c r="Q1140" s="8" t="s">
        <v>4262</v>
      </c>
      <c r="R1140" s="8">
        <v>0.19</v>
      </c>
      <c r="S1140" s="8">
        <v>48543917</v>
      </c>
      <c r="T1140" s="8" t="s">
        <v>46</v>
      </c>
      <c r="U1140" s="8" t="s">
        <v>25</v>
      </c>
    </row>
    <row r="1141" spans="1:21">
      <c r="A1141" s="8" t="s">
        <v>7071</v>
      </c>
      <c r="B1141" s="8" t="s">
        <v>2537</v>
      </c>
      <c r="C1141" s="8">
        <v>794</v>
      </c>
      <c r="D1141" s="8" t="s">
        <v>129</v>
      </c>
      <c r="E1141" s="8">
        <v>71423725</v>
      </c>
      <c r="F1141" s="8">
        <v>71423725</v>
      </c>
      <c r="G1141" s="8" t="s">
        <v>24</v>
      </c>
      <c r="H1141" s="8" t="s">
        <v>41</v>
      </c>
      <c r="I1141" s="8" t="s">
        <v>23</v>
      </c>
      <c r="J1141" s="8" t="s">
        <v>2538</v>
      </c>
      <c r="K1141" s="8" t="s">
        <v>7599</v>
      </c>
      <c r="L1141" s="8" t="s">
        <v>19</v>
      </c>
      <c r="M1141" s="8">
        <v>853</v>
      </c>
      <c r="N1141" s="8" t="s">
        <v>1288</v>
      </c>
      <c r="O1141" s="8">
        <v>258</v>
      </c>
      <c r="P1141" s="8" t="s">
        <v>7597</v>
      </c>
      <c r="Q1141" s="8" t="s">
        <v>7598</v>
      </c>
      <c r="R1141" s="8">
        <v>0.41</v>
      </c>
      <c r="S1141" s="8">
        <v>71423725</v>
      </c>
      <c r="T1141" s="8" t="s">
        <v>24</v>
      </c>
      <c r="U1141" s="8" t="s">
        <v>41</v>
      </c>
    </row>
    <row r="1142" spans="1:21">
      <c r="A1142" s="8" t="s">
        <v>7071</v>
      </c>
      <c r="B1142" s="8" t="s">
        <v>3372</v>
      </c>
      <c r="C1142" s="8">
        <v>9914</v>
      </c>
      <c r="D1142" s="8" t="s">
        <v>129</v>
      </c>
      <c r="E1142" s="8">
        <v>84438777</v>
      </c>
      <c r="F1142" s="8">
        <v>84438777</v>
      </c>
      <c r="G1142" s="8" t="s">
        <v>24</v>
      </c>
      <c r="H1142" s="8" t="s">
        <v>25</v>
      </c>
      <c r="I1142" s="8" t="s">
        <v>23</v>
      </c>
      <c r="J1142" s="8" t="s">
        <v>3373</v>
      </c>
      <c r="K1142" s="8" t="s">
        <v>7601</v>
      </c>
      <c r="L1142" s="8" t="s">
        <v>19</v>
      </c>
      <c r="M1142" s="8">
        <v>343</v>
      </c>
      <c r="N1142" s="8" t="s">
        <v>73</v>
      </c>
      <c r="O1142" s="8">
        <v>85</v>
      </c>
      <c r="P1142" s="8" t="s">
        <v>7600</v>
      </c>
      <c r="Q1142" s="8" t="s">
        <v>4262</v>
      </c>
      <c r="R1142" s="8">
        <v>0.35099999999999998</v>
      </c>
      <c r="S1142" s="8">
        <v>84438777</v>
      </c>
      <c r="T1142" s="8" t="s">
        <v>24</v>
      </c>
      <c r="U1142" s="8" t="s">
        <v>25</v>
      </c>
    </row>
    <row r="1143" spans="1:21">
      <c r="A1143" s="8" t="s">
        <v>7071</v>
      </c>
      <c r="B1143" s="8" t="s">
        <v>7602</v>
      </c>
      <c r="C1143" s="8">
        <v>23274</v>
      </c>
      <c r="D1143" s="8" t="s">
        <v>129</v>
      </c>
      <c r="E1143" s="8">
        <v>11114073</v>
      </c>
      <c r="F1143" s="8">
        <v>11114073</v>
      </c>
      <c r="G1143" s="8" t="s">
        <v>46</v>
      </c>
      <c r="H1143" s="8" t="s">
        <v>41</v>
      </c>
      <c r="I1143" s="8" t="s">
        <v>23</v>
      </c>
      <c r="J1143" s="8" t="s">
        <v>7603</v>
      </c>
      <c r="K1143" s="8" t="s">
        <v>7605</v>
      </c>
      <c r="L1143" s="8" t="s">
        <v>19</v>
      </c>
      <c r="M1143" s="8">
        <v>1557</v>
      </c>
      <c r="N1143" s="8" t="s">
        <v>614</v>
      </c>
      <c r="O1143" s="8">
        <v>443</v>
      </c>
      <c r="P1143" s="8" t="s">
        <v>7604</v>
      </c>
      <c r="Q1143" s="8" t="s">
        <v>4262</v>
      </c>
      <c r="R1143" s="8">
        <v>0.17699999999999999</v>
      </c>
      <c r="S1143" s="8">
        <v>11114073</v>
      </c>
      <c r="T1143" s="8" t="s">
        <v>46</v>
      </c>
      <c r="U1143" s="8" t="s">
        <v>41</v>
      </c>
    </row>
    <row r="1144" spans="1:21">
      <c r="A1144" s="8" t="s">
        <v>7071</v>
      </c>
      <c r="B1144" s="8" t="s">
        <v>3370</v>
      </c>
      <c r="C1144" s="8">
        <v>57524</v>
      </c>
      <c r="D1144" s="8" t="s">
        <v>129</v>
      </c>
      <c r="E1144" s="8">
        <v>2237064</v>
      </c>
      <c r="F1144" s="8">
        <v>2237064</v>
      </c>
      <c r="G1144" s="8" t="s">
        <v>24</v>
      </c>
      <c r="H1144" s="8" t="s">
        <v>41</v>
      </c>
      <c r="I1144" s="8" t="s">
        <v>23</v>
      </c>
      <c r="J1144" s="8" t="s">
        <v>3371</v>
      </c>
      <c r="K1144" s="8" t="s">
        <v>7607</v>
      </c>
      <c r="L1144" s="8" t="s">
        <v>19</v>
      </c>
      <c r="M1144" s="8">
        <v>877</v>
      </c>
      <c r="N1144" s="8" t="s">
        <v>629</v>
      </c>
      <c r="O1144" s="8">
        <v>282</v>
      </c>
      <c r="P1144" s="8" t="s">
        <v>7606</v>
      </c>
      <c r="Q1144" s="8" t="s">
        <v>4262</v>
      </c>
      <c r="R1144" s="8">
        <v>0.433</v>
      </c>
      <c r="S1144" s="8">
        <v>2237064</v>
      </c>
      <c r="T1144" s="8" t="s">
        <v>24</v>
      </c>
      <c r="U1144" s="8" t="s">
        <v>41</v>
      </c>
    </row>
    <row r="1145" spans="1:21">
      <c r="A1145" s="8" t="s">
        <v>7071</v>
      </c>
      <c r="B1145" s="8" t="s">
        <v>7608</v>
      </c>
      <c r="C1145" s="8">
        <v>3681</v>
      </c>
      <c r="D1145" s="8" t="s">
        <v>129</v>
      </c>
      <c r="E1145" s="8">
        <v>31429831</v>
      </c>
      <c r="F1145" s="8">
        <v>31429831</v>
      </c>
      <c r="G1145" s="8" t="s">
        <v>46</v>
      </c>
      <c r="H1145" s="8" t="s">
        <v>25</v>
      </c>
      <c r="I1145" s="8" t="s">
        <v>23</v>
      </c>
      <c r="J1145" s="8" t="s">
        <v>7609</v>
      </c>
      <c r="K1145" s="8" t="s">
        <v>7611</v>
      </c>
      <c r="L1145" s="8" t="s">
        <v>19</v>
      </c>
      <c r="M1145" s="8">
        <v>2775</v>
      </c>
      <c r="N1145" s="8" t="s">
        <v>3048</v>
      </c>
      <c r="O1145" s="8">
        <v>909</v>
      </c>
      <c r="P1145" s="8" t="s">
        <v>7610</v>
      </c>
      <c r="Q1145" s="8" t="s">
        <v>4262</v>
      </c>
      <c r="R1145" s="8">
        <v>0.28999999999999998</v>
      </c>
      <c r="S1145" s="8">
        <v>31429831</v>
      </c>
      <c r="T1145" s="8" t="s">
        <v>46</v>
      </c>
      <c r="U1145" s="8" t="s">
        <v>25</v>
      </c>
    </row>
    <row r="1146" spans="1:21">
      <c r="A1146" s="8" t="s">
        <v>7071</v>
      </c>
      <c r="B1146" s="8" t="s">
        <v>566</v>
      </c>
      <c r="C1146" s="8">
        <v>8312</v>
      </c>
      <c r="D1146" s="8" t="s">
        <v>129</v>
      </c>
      <c r="E1146" s="8">
        <v>354330</v>
      </c>
      <c r="F1146" s="8">
        <v>354330</v>
      </c>
      <c r="G1146" s="8" t="s">
        <v>46</v>
      </c>
      <c r="H1146" s="8" t="s">
        <v>25</v>
      </c>
      <c r="I1146" s="8" t="s">
        <v>23</v>
      </c>
      <c r="J1146" s="8" t="s">
        <v>5218</v>
      </c>
      <c r="K1146" s="8" t="s">
        <v>5220</v>
      </c>
      <c r="L1146" s="8" t="s">
        <v>76</v>
      </c>
      <c r="M1146" s="8">
        <v>1617</v>
      </c>
      <c r="N1146" s="8" t="s">
        <v>263</v>
      </c>
      <c r="O1146" s="8">
        <v>410</v>
      </c>
      <c r="P1146" s="8" t="s">
        <v>7612</v>
      </c>
      <c r="Q1146" s="8" t="s">
        <v>4262</v>
      </c>
      <c r="R1146" s="8">
        <v>0.40600000000000003</v>
      </c>
      <c r="S1146" s="8">
        <v>354330</v>
      </c>
      <c r="T1146" s="8" t="s">
        <v>46</v>
      </c>
      <c r="U1146" s="8" t="s">
        <v>25</v>
      </c>
    </row>
    <row r="1147" spans="1:21">
      <c r="A1147" s="8" t="s">
        <v>7071</v>
      </c>
      <c r="B1147" s="8" t="s">
        <v>7613</v>
      </c>
      <c r="C1147" s="8">
        <v>26048</v>
      </c>
      <c r="D1147" s="8" t="s">
        <v>129</v>
      </c>
      <c r="E1147" s="8">
        <v>4802852</v>
      </c>
      <c r="F1147" s="8">
        <v>4802852</v>
      </c>
      <c r="G1147" s="8" t="s">
        <v>41</v>
      </c>
      <c r="H1147" s="8" t="s">
        <v>46</v>
      </c>
      <c r="I1147" s="8" t="s">
        <v>23</v>
      </c>
      <c r="J1147" s="8" t="s">
        <v>7614</v>
      </c>
      <c r="K1147" s="8" t="s">
        <v>7616</v>
      </c>
      <c r="L1147" s="8" t="s">
        <v>19</v>
      </c>
      <c r="M1147" s="8">
        <v>1215</v>
      </c>
      <c r="N1147" s="8" t="s">
        <v>908</v>
      </c>
      <c r="O1147" s="8">
        <v>323</v>
      </c>
      <c r="P1147" s="8" t="s">
        <v>7615</v>
      </c>
      <c r="Q1147" s="8" t="s">
        <v>4262</v>
      </c>
      <c r="R1147" s="8">
        <v>0.14299999999999999</v>
      </c>
      <c r="S1147" s="8">
        <v>4802852</v>
      </c>
      <c r="T1147" s="8" t="s">
        <v>41</v>
      </c>
      <c r="U1147" s="8" t="s">
        <v>46</v>
      </c>
    </row>
    <row r="1148" spans="1:21">
      <c r="A1148" s="8" t="s">
        <v>7071</v>
      </c>
      <c r="B1148" s="8" t="s">
        <v>3374</v>
      </c>
      <c r="C1148" s="8">
        <v>9851</v>
      </c>
      <c r="D1148" s="8" t="s">
        <v>133</v>
      </c>
      <c r="E1148" s="8">
        <v>6493848</v>
      </c>
      <c r="F1148" s="8">
        <v>6493848</v>
      </c>
      <c r="G1148" s="8" t="s">
        <v>41</v>
      </c>
      <c r="H1148" s="8" t="s">
        <v>46</v>
      </c>
      <c r="I1148" s="8" t="s">
        <v>23</v>
      </c>
      <c r="J1148" s="8" t="s">
        <v>3375</v>
      </c>
      <c r="K1148" s="8" t="s">
        <v>7618</v>
      </c>
      <c r="L1148" s="8" t="s">
        <v>19</v>
      </c>
      <c r="M1148" s="8">
        <v>2902</v>
      </c>
      <c r="N1148" s="8" t="s">
        <v>454</v>
      </c>
      <c r="O1148" s="8">
        <v>848</v>
      </c>
      <c r="P1148" s="8" t="s">
        <v>7617</v>
      </c>
      <c r="Q1148" s="8" t="s">
        <v>4262</v>
      </c>
      <c r="R1148" s="8">
        <v>0.42899999999999999</v>
      </c>
      <c r="S1148" s="8">
        <v>6493848</v>
      </c>
      <c r="T1148" s="8" t="s">
        <v>41</v>
      </c>
      <c r="U1148" s="8" t="s">
        <v>46</v>
      </c>
    </row>
    <row r="1149" spans="1:21">
      <c r="A1149" s="8" t="s">
        <v>7071</v>
      </c>
      <c r="B1149" s="8" t="s">
        <v>7619</v>
      </c>
      <c r="C1149" s="8">
        <v>64446</v>
      </c>
      <c r="D1149" s="8" t="s">
        <v>133</v>
      </c>
      <c r="E1149" s="8">
        <v>72277962</v>
      </c>
      <c r="F1149" s="8">
        <v>72277962</v>
      </c>
      <c r="G1149" s="8" t="s">
        <v>24</v>
      </c>
      <c r="H1149" s="8" t="s">
        <v>46</v>
      </c>
      <c r="I1149" s="8" t="s">
        <v>23</v>
      </c>
      <c r="J1149" s="8" t="s">
        <v>7620</v>
      </c>
      <c r="K1149" s="8" t="s">
        <v>7622</v>
      </c>
      <c r="L1149" s="8" t="s">
        <v>19</v>
      </c>
      <c r="M1149" s="8">
        <v>116</v>
      </c>
      <c r="N1149" s="8" t="s">
        <v>1380</v>
      </c>
      <c r="O1149" s="8">
        <v>2</v>
      </c>
      <c r="P1149" s="8" t="s">
        <v>7621</v>
      </c>
      <c r="Q1149" s="8" t="s">
        <v>4262</v>
      </c>
      <c r="R1149" s="8">
        <v>0.11799999999999999</v>
      </c>
      <c r="S1149" s="8">
        <v>72277962</v>
      </c>
      <c r="T1149" s="8" t="s">
        <v>24</v>
      </c>
      <c r="U1149" s="8" t="s">
        <v>46</v>
      </c>
    </row>
    <row r="1150" spans="1:21">
      <c r="A1150" s="8" t="s">
        <v>7071</v>
      </c>
      <c r="B1150" s="8" t="s">
        <v>130</v>
      </c>
      <c r="C1150" s="8">
        <v>7157</v>
      </c>
      <c r="D1150" s="8" t="s">
        <v>133</v>
      </c>
      <c r="E1150" s="8">
        <v>7577534</v>
      </c>
      <c r="F1150" s="8">
        <v>7577534</v>
      </c>
      <c r="G1150" s="8" t="s">
        <v>46</v>
      </c>
      <c r="H1150" s="8" t="s">
        <v>25</v>
      </c>
      <c r="I1150" s="8" t="s">
        <v>23</v>
      </c>
      <c r="J1150" s="8" t="s">
        <v>5804</v>
      </c>
      <c r="K1150" s="8" t="s">
        <v>5807</v>
      </c>
      <c r="L1150" s="8" t="s">
        <v>19</v>
      </c>
      <c r="M1150" s="8">
        <v>944</v>
      </c>
      <c r="N1150" s="8" t="s">
        <v>553</v>
      </c>
      <c r="O1150" s="8">
        <v>249</v>
      </c>
      <c r="P1150" s="8" t="s">
        <v>7623</v>
      </c>
      <c r="Q1150" s="8" t="s">
        <v>7624</v>
      </c>
      <c r="R1150" s="8">
        <v>0.48599999999999999</v>
      </c>
      <c r="S1150" s="8">
        <v>7577534</v>
      </c>
      <c r="T1150" s="8" t="s">
        <v>46</v>
      </c>
      <c r="U1150" s="8" t="s">
        <v>25</v>
      </c>
    </row>
    <row r="1151" spans="1:21">
      <c r="A1151" s="8" t="s">
        <v>7071</v>
      </c>
      <c r="B1151" s="8"/>
      <c r="C1151" s="8">
        <v>100653515</v>
      </c>
      <c r="D1151" s="8" t="s">
        <v>133</v>
      </c>
      <c r="E1151" s="8">
        <v>76887133</v>
      </c>
      <c r="F1151" s="8">
        <v>76887133</v>
      </c>
      <c r="G1151" s="8" t="s">
        <v>24</v>
      </c>
      <c r="H1151" s="8" t="s">
        <v>41</v>
      </c>
      <c r="I1151" s="8" t="s">
        <v>23</v>
      </c>
      <c r="J1151" s="8" t="s">
        <v>7625</v>
      </c>
      <c r="K1151" s="8" t="s">
        <v>7627</v>
      </c>
      <c r="L1151" s="8" t="s">
        <v>19</v>
      </c>
      <c r="M1151" s="8">
        <v>1635</v>
      </c>
      <c r="N1151" s="8" t="s">
        <v>983</v>
      </c>
      <c r="O1151" s="8">
        <v>485</v>
      </c>
      <c r="P1151" s="8" t="s">
        <v>7626</v>
      </c>
      <c r="Q1151" s="8" t="s">
        <v>4262</v>
      </c>
      <c r="R1151" s="8">
        <v>0.32600000000000001</v>
      </c>
      <c r="S1151" s="8">
        <v>76887133</v>
      </c>
      <c r="T1151" s="8" t="s">
        <v>24</v>
      </c>
      <c r="U1151" s="8" t="s">
        <v>41</v>
      </c>
    </row>
    <row r="1152" spans="1:21">
      <c r="A1152" s="8" t="s">
        <v>7071</v>
      </c>
      <c r="B1152" s="8"/>
      <c r="C1152" s="8">
        <v>100653515</v>
      </c>
      <c r="D1152" s="8" t="s">
        <v>133</v>
      </c>
      <c r="E1152" s="8">
        <v>76888192</v>
      </c>
      <c r="F1152" s="8">
        <v>76888192</v>
      </c>
      <c r="G1152" s="8" t="s">
        <v>24</v>
      </c>
      <c r="H1152" s="8" t="s">
        <v>41</v>
      </c>
      <c r="I1152" s="8" t="s">
        <v>23</v>
      </c>
      <c r="J1152" s="8" t="s">
        <v>7625</v>
      </c>
      <c r="K1152" s="8" t="s">
        <v>7627</v>
      </c>
      <c r="L1152" s="8" t="s">
        <v>19</v>
      </c>
      <c r="M1152" s="8">
        <v>576</v>
      </c>
      <c r="N1152" s="8" t="s">
        <v>598</v>
      </c>
      <c r="O1152" s="8">
        <v>132</v>
      </c>
      <c r="P1152" s="8" t="s">
        <v>7628</v>
      </c>
      <c r="Q1152" s="8" t="s">
        <v>4262</v>
      </c>
      <c r="R1152" s="8">
        <v>0.309</v>
      </c>
      <c r="S1152" s="8">
        <v>76888192</v>
      </c>
      <c r="T1152" s="8" t="s">
        <v>24</v>
      </c>
      <c r="U1152" s="8" t="s">
        <v>41</v>
      </c>
    </row>
    <row r="1153" spans="1:21">
      <c r="A1153" s="8" t="s">
        <v>7071</v>
      </c>
      <c r="B1153" s="8" t="s">
        <v>2027</v>
      </c>
      <c r="C1153" s="8">
        <v>5176</v>
      </c>
      <c r="D1153" s="8" t="s">
        <v>133</v>
      </c>
      <c r="E1153" s="8">
        <v>1675300</v>
      </c>
      <c r="F1153" s="8">
        <v>1675300</v>
      </c>
      <c r="G1153" s="8" t="s">
        <v>46</v>
      </c>
      <c r="H1153" s="8" t="s">
        <v>41</v>
      </c>
      <c r="I1153" s="8" t="s">
        <v>23</v>
      </c>
      <c r="J1153" s="8" t="s">
        <v>7629</v>
      </c>
      <c r="K1153" s="8" t="s">
        <v>7631</v>
      </c>
      <c r="L1153" s="8" t="s">
        <v>19</v>
      </c>
      <c r="M1153" s="8">
        <v>731</v>
      </c>
      <c r="N1153" s="8" t="s">
        <v>58</v>
      </c>
      <c r="O1153" s="8">
        <v>192</v>
      </c>
      <c r="P1153" s="8" t="s">
        <v>7630</v>
      </c>
      <c r="Q1153" s="8" t="s">
        <v>4262</v>
      </c>
      <c r="R1153" s="8">
        <v>0.17599999999999999</v>
      </c>
      <c r="S1153" s="8">
        <v>1675300</v>
      </c>
      <c r="T1153" s="8" t="s">
        <v>46</v>
      </c>
      <c r="U1153" s="8" t="s">
        <v>41</v>
      </c>
    </row>
    <row r="1154" spans="1:21">
      <c r="A1154" s="8" t="s">
        <v>7071</v>
      </c>
      <c r="B1154" s="8" t="s">
        <v>7632</v>
      </c>
      <c r="C1154" s="8">
        <v>284194</v>
      </c>
      <c r="D1154" s="8" t="s">
        <v>133</v>
      </c>
      <c r="E1154" s="8">
        <v>20363680</v>
      </c>
      <c r="F1154" s="8">
        <v>20363680</v>
      </c>
      <c r="G1154" s="8" t="s">
        <v>46</v>
      </c>
      <c r="H1154" s="8" t="s">
        <v>25</v>
      </c>
      <c r="I1154" s="8" t="s">
        <v>23</v>
      </c>
      <c r="J1154" s="8" t="s">
        <v>7633</v>
      </c>
      <c r="K1154" s="8" t="s">
        <v>7635</v>
      </c>
      <c r="L1154" s="8" t="s">
        <v>19</v>
      </c>
      <c r="M1154" s="8">
        <v>181</v>
      </c>
      <c r="N1154" s="8" t="s">
        <v>2954</v>
      </c>
      <c r="O1154" s="8">
        <v>39</v>
      </c>
      <c r="P1154" s="8" t="s">
        <v>7634</v>
      </c>
      <c r="Q1154" s="8" t="s">
        <v>4262</v>
      </c>
      <c r="R1154" s="8">
        <v>0.218</v>
      </c>
      <c r="S1154" s="8">
        <v>20363680</v>
      </c>
      <c r="T1154" s="8" t="s">
        <v>46</v>
      </c>
      <c r="U1154" s="8" t="s">
        <v>25</v>
      </c>
    </row>
    <row r="1155" spans="1:21">
      <c r="A1155" s="8" t="s">
        <v>7071</v>
      </c>
      <c r="B1155" s="8" t="s">
        <v>7636</v>
      </c>
      <c r="C1155" s="8">
        <v>55720</v>
      </c>
      <c r="D1155" s="8" t="s">
        <v>133</v>
      </c>
      <c r="E1155" s="8">
        <v>2236379</v>
      </c>
      <c r="F1155" s="8">
        <v>2236379</v>
      </c>
      <c r="G1155" s="8" t="s">
        <v>24</v>
      </c>
      <c r="H1155" s="8" t="s">
        <v>46</v>
      </c>
      <c r="I1155" s="8" t="s">
        <v>23</v>
      </c>
      <c r="J1155" s="8" t="s">
        <v>7637</v>
      </c>
      <c r="K1155" s="8" t="s">
        <v>7639</v>
      </c>
      <c r="L1155" s="8" t="s">
        <v>19</v>
      </c>
      <c r="M1155" s="8">
        <v>2138</v>
      </c>
      <c r="N1155" s="8" t="s">
        <v>514</v>
      </c>
      <c r="O1155" s="8">
        <v>394</v>
      </c>
      <c r="P1155" s="8" t="s">
        <v>7638</v>
      </c>
      <c r="Q1155" s="8" t="s">
        <v>4262</v>
      </c>
      <c r="R1155" s="8">
        <v>5.7000000000000002E-2</v>
      </c>
      <c r="S1155" s="8">
        <v>2236379</v>
      </c>
      <c r="T1155" s="8" t="s">
        <v>24</v>
      </c>
      <c r="U1155" s="8" t="s">
        <v>46</v>
      </c>
    </row>
    <row r="1156" spans="1:21">
      <c r="A1156" s="8" t="s">
        <v>7071</v>
      </c>
      <c r="B1156" s="8" t="s">
        <v>7640</v>
      </c>
      <c r="C1156" s="8">
        <v>8383</v>
      </c>
      <c r="D1156" s="8" t="s">
        <v>133</v>
      </c>
      <c r="E1156" s="8">
        <v>3119669</v>
      </c>
      <c r="F1156" s="8">
        <v>3119669</v>
      </c>
      <c r="G1156" s="8" t="s">
        <v>24</v>
      </c>
      <c r="H1156" s="8" t="s">
        <v>41</v>
      </c>
      <c r="I1156" s="8" t="s">
        <v>23</v>
      </c>
      <c r="J1156" s="8" t="s">
        <v>7641</v>
      </c>
      <c r="K1156" s="8" t="s">
        <v>7643</v>
      </c>
      <c r="L1156" s="8" t="s">
        <v>19</v>
      </c>
      <c r="M1156" s="8">
        <v>755</v>
      </c>
      <c r="N1156" s="8" t="s">
        <v>1555</v>
      </c>
      <c r="O1156" s="8">
        <v>252</v>
      </c>
      <c r="P1156" s="8" t="s">
        <v>7642</v>
      </c>
      <c r="Q1156" s="8" t="s">
        <v>4262</v>
      </c>
      <c r="R1156" s="8">
        <v>0.311</v>
      </c>
      <c r="S1156" s="8">
        <v>3119669</v>
      </c>
      <c r="T1156" s="8" t="s">
        <v>24</v>
      </c>
      <c r="U1156" s="8" t="s">
        <v>41</v>
      </c>
    </row>
    <row r="1157" spans="1:21">
      <c r="A1157" s="8" t="s">
        <v>7071</v>
      </c>
      <c r="B1157" s="8" t="s">
        <v>2176</v>
      </c>
      <c r="C1157" s="8">
        <v>80725</v>
      </c>
      <c r="D1157" s="8" t="s">
        <v>133</v>
      </c>
      <c r="E1157" s="8">
        <v>36709070</v>
      </c>
      <c r="F1157" s="8">
        <v>36709070</v>
      </c>
      <c r="G1157" s="8" t="s">
        <v>46</v>
      </c>
      <c r="H1157" s="8" t="s">
        <v>25</v>
      </c>
      <c r="I1157" s="8" t="s">
        <v>23</v>
      </c>
      <c r="J1157" s="8" t="s">
        <v>7644</v>
      </c>
      <c r="K1157" s="8" t="s">
        <v>7646</v>
      </c>
      <c r="L1157" s="8" t="s">
        <v>19</v>
      </c>
      <c r="M1157" s="8">
        <v>2448</v>
      </c>
      <c r="N1157" s="8" t="s">
        <v>1180</v>
      </c>
      <c r="O1157" s="8">
        <v>741</v>
      </c>
      <c r="P1157" s="8" t="s">
        <v>7645</v>
      </c>
      <c r="Q1157" s="8" t="s">
        <v>4262</v>
      </c>
      <c r="R1157" s="8">
        <v>0.217</v>
      </c>
      <c r="S1157" s="8">
        <v>36709070</v>
      </c>
      <c r="T1157" s="8" t="s">
        <v>46</v>
      </c>
      <c r="U1157" s="8" t="s">
        <v>25</v>
      </c>
    </row>
    <row r="1158" spans="1:21">
      <c r="A1158" s="8" t="s">
        <v>7071</v>
      </c>
      <c r="B1158" s="8" t="s">
        <v>7647</v>
      </c>
      <c r="C1158" s="8">
        <v>7067</v>
      </c>
      <c r="D1158" s="8" t="s">
        <v>133</v>
      </c>
      <c r="E1158" s="8">
        <v>38249330</v>
      </c>
      <c r="F1158" s="8">
        <v>38249330</v>
      </c>
      <c r="G1158" s="8" t="s">
        <v>24</v>
      </c>
      <c r="H1158" s="8" t="s">
        <v>41</v>
      </c>
      <c r="I1158" s="8" t="s">
        <v>23</v>
      </c>
      <c r="J1158" s="8" t="s">
        <v>7648</v>
      </c>
      <c r="K1158" s="8" t="s">
        <v>7650</v>
      </c>
      <c r="L1158" s="8" t="s">
        <v>19</v>
      </c>
      <c r="M1158" s="8">
        <v>1743</v>
      </c>
      <c r="N1158" s="8" t="s">
        <v>1088</v>
      </c>
      <c r="O1158" s="8">
        <v>390</v>
      </c>
      <c r="P1158" s="8" t="s">
        <v>7649</v>
      </c>
      <c r="Q1158" s="8" t="s">
        <v>4262</v>
      </c>
      <c r="R1158" s="8">
        <v>0.28799999999999998</v>
      </c>
      <c r="S1158" s="8">
        <v>38249330</v>
      </c>
      <c r="T1158" s="8" t="s">
        <v>24</v>
      </c>
      <c r="U1158" s="8" t="s">
        <v>41</v>
      </c>
    </row>
    <row r="1159" spans="1:21">
      <c r="A1159" s="8" t="s">
        <v>7071</v>
      </c>
      <c r="B1159" s="8" t="s">
        <v>7651</v>
      </c>
      <c r="C1159" s="8">
        <v>8913</v>
      </c>
      <c r="D1159" s="8" t="s">
        <v>133</v>
      </c>
      <c r="E1159" s="8">
        <v>48655833</v>
      </c>
      <c r="F1159" s="8">
        <v>48655833</v>
      </c>
      <c r="G1159" s="8" t="s">
        <v>46</v>
      </c>
      <c r="H1159" s="8" t="s">
        <v>41</v>
      </c>
      <c r="I1159" s="8" t="s">
        <v>23</v>
      </c>
      <c r="J1159" s="8" t="s">
        <v>7652</v>
      </c>
      <c r="K1159" s="8" t="s">
        <v>7654</v>
      </c>
      <c r="L1159" s="8" t="s">
        <v>76</v>
      </c>
      <c r="M1159" s="8">
        <v>2581</v>
      </c>
      <c r="N1159" s="8" t="s">
        <v>103</v>
      </c>
      <c r="O1159" s="8">
        <v>737</v>
      </c>
      <c r="P1159" s="8" t="s">
        <v>7653</v>
      </c>
      <c r="Q1159" s="8" t="s">
        <v>4262</v>
      </c>
      <c r="R1159" s="8">
        <v>0.215</v>
      </c>
      <c r="S1159" s="8">
        <v>48655833</v>
      </c>
      <c r="T1159" s="8" t="s">
        <v>46</v>
      </c>
      <c r="U1159" s="8" t="s">
        <v>41</v>
      </c>
    </row>
    <row r="1160" spans="1:21">
      <c r="A1160" s="8" t="s">
        <v>7071</v>
      </c>
      <c r="B1160" s="8" t="s">
        <v>7655</v>
      </c>
      <c r="C1160" s="8">
        <v>27098</v>
      </c>
      <c r="D1160" s="8" t="s">
        <v>135</v>
      </c>
      <c r="E1160" s="8">
        <v>619358</v>
      </c>
      <c r="F1160" s="8">
        <v>619358</v>
      </c>
      <c r="G1160" s="8" t="s">
        <v>24</v>
      </c>
      <c r="H1160" s="8" t="s">
        <v>41</v>
      </c>
      <c r="I1160" s="8" t="s">
        <v>23</v>
      </c>
      <c r="J1160" s="8" t="s">
        <v>7656</v>
      </c>
      <c r="K1160" s="8" t="s">
        <v>7658</v>
      </c>
      <c r="L1160" s="8" t="s">
        <v>19</v>
      </c>
      <c r="M1160" s="8">
        <v>323</v>
      </c>
      <c r="N1160" s="8" t="s">
        <v>490</v>
      </c>
      <c r="O1160" s="8">
        <v>84</v>
      </c>
      <c r="P1160" s="8" t="s">
        <v>7657</v>
      </c>
      <c r="Q1160" s="8" t="s">
        <v>4262</v>
      </c>
      <c r="R1160" s="8">
        <v>4.5999999999999999E-2</v>
      </c>
      <c r="S1160" s="8">
        <v>619358</v>
      </c>
      <c r="T1160" s="8" t="s">
        <v>24</v>
      </c>
      <c r="U1160" s="8" t="s">
        <v>41</v>
      </c>
    </row>
    <row r="1161" spans="1:21">
      <c r="A1161" s="8" t="s">
        <v>7071</v>
      </c>
      <c r="B1161" s="8" t="s">
        <v>3376</v>
      </c>
      <c r="C1161" s="8">
        <v>23347</v>
      </c>
      <c r="D1161" s="8" t="s">
        <v>135</v>
      </c>
      <c r="E1161" s="8">
        <v>2706425</v>
      </c>
      <c r="F1161" s="8">
        <v>2706425</v>
      </c>
      <c r="G1161" s="8" t="s">
        <v>24</v>
      </c>
      <c r="H1161" s="8" t="s">
        <v>46</v>
      </c>
      <c r="I1161" s="8" t="s">
        <v>23</v>
      </c>
      <c r="J1161" s="8" t="s">
        <v>3377</v>
      </c>
      <c r="K1161" s="8" t="s">
        <v>7660</v>
      </c>
      <c r="L1161" s="8" t="s">
        <v>19</v>
      </c>
      <c r="M1161" s="8">
        <v>2209</v>
      </c>
      <c r="N1161" s="8" t="s">
        <v>1075</v>
      </c>
      <c r="O1161" s="8">
        <v>674</v>
      </c>
      <c r="P1161" s="8" t="s">
        <v>7659</v>
      </c>
      <c r="Q1161" s="8" t="s">
        <v>4262</v>
      </c>
      <c r="R1161" s="8">
        <v>0.38100000000000001</v>
      </c>
      <c r="S1161" s="8">
        <v>2706425</v>
      </c>
      <c r="T1161" s="8" t="s">
        <v>24</v>
      </c>
      <c r="U1161" s="8" t="s">
        <v>46</v>
      </c>
    </row>
    <row r="1162" spans="1:21">
      <c r="A1162" s="8" t="s">
        <v>7071</v>
      </c>
      <c r="B1162" s="8" t="s">
        <v>3378</v>
      </c>
      <c r="C1162" s="8">
        <v>8736</v>
      </c>
      <c r="D1162" s="8" t="s">
        <v>135</v>
      </c>
      <c r="E1162" s="8">
        <v>3214997</v>
      </c>
      <c r="F1162" s="8">
        <v>3214997</v>
      </c>
      <c r="G1162" s="8" t="s">
        <v>46</v>
      </c>
      <c r="H1162" s="8" t="s">
        <v>25</v>
      </c>
      <c r="I1162" s="8" t="s">
        <v>23</v>
      </c>
      <c r="J1162" s="8" t="s">
        <v>7661</v>
      </c>
      <c r="K1162" s="8" t="s">
        <v>7663</v>
      </c>
      <c r="L1162" s="8" t="s">
        <v>19</v>
      </c>
      <c r="M1162" s="8">
        <v>559</v>
      </c>
      <c r="N1162" s="8" t="s">
        <v>251</v>
      </c>
      <c r="O1162" s="8">
        <v>75</v>
      </c>
      <c r="P1162" s="8" t="s">
        <v>7662</v>
      </c>
      <c r="Q1162" s="8" t="s">
        <v>4262</v>
      </c>
      <c r="R1162" s="8">
        <v>0.435</v>
      </c>
      <c r="S1162" s="8">
        <v>3214997</v>
      </c>
      <c r="T1162" s="8" t="s">
        <v>46</v>
      </c>
      <c r="U1162" s="8" t="s">
        <v>25</v>
      </c>
    </row>
    <row r="1163" spans="1:21">
      <c r="A1163" s="8" t="s">
        <v>7071</v>
      </c>
      <c r="B1163" s="8" t="s">
        <v>2570</v>
      </c>
      <c r="C1163" s="8">
        <v>9229</v>
      </c>
      <c r="D1163" s="8" t="s">
        <v>135</v>
      </c>
      <c r="E1163" s="8">
        <v>3879528</v>
      </c>
      <c r="F1163" s="8">
        <v>3879528</v>
      </c>
      <c r="G1163" s="8" t="s">
        <v>24</v>
      </c>
      <c r="H1163" s="8" t="s">
        <v>25</v>
      </c>
      <c r="I1163" s="8" t="s">
        <v>23</v>
      </c>
      <c r="J1163" s="8" t="s">
        <v>7664</v>
      </c>
      <c r="K1163" s="8" t="s">
        <v>7665</v>
      </c>
      <c r="L1163" s="8" t="s">
        <v>19</v>
      </c>
      <c r="M1163" s="8">
        <v>1068</v>
      </c>
      <c r="N1163" s="8" t="s">
        <v>560</v>
      </c>
      <c r="O1163" s="8">
        <v>181</v>
      </c>
      <c r="P1163" s="8" t="s">
        <v>5805</v>
      </c>
      <c r="Q1163" s="8" t="s">
        <v>4262</v>
      </c>
      <c r="R1163" s="8">
        <v>0.30299999999999999</v>
      </c>
      <c r="S1163" s="8">
        <v>3879528</v>
      </c>
      <c r="T1163" s="8" t="s">
        <v>24</v>
      </c>
      <c r="U1163" s="8" t="s">
        <v>25</v>
      </c>
    </row>
    <row r="1164" spans="1:21">
      <c r="A1164" s="8" t="s">
        <v>7071</v>
      </c>
      <c r="B1164" s="8" t="s">
        <v>7666</v>
      </c>
      <c r="C1164" s="8">
        <v>27180</v>
      </c>
      <c r="D1164" s="8" t="s">
        <v>139</v>
      </c>
      <c r="E1164" s="8">
        <v>51631289</v>
      </c>
      <c r="F1164" s="8">
        <v>51631289</v>
      </c>
      <c r="G1164" s="8" t="s">
        <v>41</v>
      </c>
      <c r="H1164" s="8" t="s">
        <v>46</v>
      </c>
      <c r="I1164" s="8" t="s">
        <v>23</v>
      </c>
      <c r="J1164" s="8" t="s">
        <v>7667</v>
      </c>
      <c r="K1164" s="8" t="s">
        <v>7669</v>
      </c>
      <c r="L1164" s="8" t="s">
        <v>19</v>
      </c>
      <c r="M1164" s="8">
        <v>1194</v>
      </c>
      <c r="N1164" s="8" t="s">
        <v>266</v>
      </c>
      <c r="O1164" s="8">
        <v>367</v>
      </c>
      <c r="P1164" s="8" t="s">
        <v>7668</v>
      </c>
      <c r="Q1164" s="8" t="s">
        <v>4262</v>
      </c>
      <c r="R1164" s="8">
        <v>7.9000000000000001E-2</v>
      </c>
      <c r="S1164" s="8">
        <v>51631289</v>
      </c>
      <c r="T1164" s="8" t="s">
        <v>41</v>
      </c>
      <c r="U1164" s="8" t="s">
        <v>46</v>
      </c>
    </row>
    <row r="1165" spans="1:21">
      <c r="A1165" s="8" t="s">
        <v>7071</v>
      </c>
      <c r="B1165" s="8" t="s">
        <v>7670</v>
      </c>
      <c r="C1165" s="8">
        <v>89858</v>
      </c>
      <c r="D1165" s="8" t="s">
        <v>139</v>
      </c>
      <c r="E1165" s="8">
        <v>52002912</v>
      </c>
      <c r="F1165" s="8">
        <v>52002912</v>
      </c>
      <c r="G1165" s="8" t="s">
        <v>46</v>
      </c>
      <c r="H1165" s="8" t="s">
        <v>25</v>
      </c>
      <c r="I1165" s="8" t="s">
        <v>23</v>
      </c>
      <c r="J1165" s="8" t="s">
        <v>7671</v>
      </c>
      <c r="K1165" s="8" t="s">
        <v>7673</v>
      </c>
      <c r="L1165" s="8" t="s">
        <v>19</v>
      </c>
      <c r="M1165" s="8">
        <v>923</v>
      </c>
      <c r="N1165" s="8" t="s">
        <v>553</v>
      </c>
      <c r="O1165" s="8">
        <v>289</v>
      </c>
      <c r="P1165" s="8" t="s">
        <v>7672</v>
      </c>
      <c r="Q1165" s="8" t="s">
        <v>4262</v>
      </c>
      <c r="R1165" s="8">
        <v>0.108</v>
      </c>
      <c r="S1165" s="8">
        <v>52002912</v>
      </c>
      <c r="T1165" s="8" t="s">
        <v>46</v>
      </c>
      <c r="U1165" s="8" t="s">
        <v>25</v>
      </c>
    </row>
    <row r="1166" spans="1:21">
      <c r="A1166" s="8" t="s">
        <v>7071</v>
      </c>
      <c r="B1166" s="8" t="s">
        <v>7674</v>
      </c>
      <c r="C1166" s="8">
        <v>10859</v>
      </c>
      <c r="D1166" s="8" t="s">
        <v>139</v>
      </c>
      <c r="E1166" s="8">
        <v>55146188</v>
      </c>
      <c r="F1166" s="8">
        <v>55146188</v>
      </c>
      <c r="G1166" s="8" t="s">
        <v>24</v>
      </c>
      <c r="H1166" s="8" t="s">
        <v>25</v>
      </c>
      <c r="I1166" s="8" t="s">
        <v>23</v>
      </c>
      <c r="J1166" s="8" t="s">
        <v>7675</v>
      </c>
      <c r="K1166" s="8" t="s">
        <v>7677</v>
      </c>
      <c r="L1166" s="8" t="s">
        <v>19</v>
      </c>
      <c r="M1166" s="8">
        <v>1625</v>
      </c>
      <c r="N1166" s="8" t="s">
        <v>577</v>
      </c>
      <c r="O1166" s="8">
        <v>487</v>
      </c>
      <c r="P1166" s="8" t="s">
        <v>7676</v>
      </c>
      <c r="Q1166" s="8" t="s">
        <v>4262</v>
      </c>
      <c r="R1166" s="8">
        <v>0.11799999999999999</v>
      </c>
      <c r="S1166" s="8">
        <v>55146188</v>
      </c>
      <c r="T1166" s="8" t="s">
        <v>24</v>
      </c>
      <c r="U1166" s="8" t="s">
        <v>25</v>
      </c>
    </row>
    <row r="1167" spans="1:21">
      <c r="A1167" s="8" t="s">
        <v>7071</v>
      </c>
      <c r="B1167" s="8" t="s">
        <v>7678</v>
      </c>
      <c r="C1167" s="8">
        <v>400720</v>
      </c>
      <c r="D1167" s="8" t="s">
        <v>139</v>
      </c>
      <c r="E1167" s="8">
        <v>57985108</v>
      </c>
      <c r="F1167" s="8">
        <v>57985108</v>
      </c>
      <c r="G1167" s="8" t="s">
        <v>24</v>
      </c>
      <c r="H1167" s="8" t="s">
        <v>46</v>
      </c>
      <c r="I1167" s="8" t="s">
        <v>23</v>
      </c>
      <c r="J1167" s="8" t="s">
        <v>7679</v>
      </c>
      <c r="K1167" s="8" t="s">
        <v>7681</v>
      </c>
      <c r="L1167" s="8" t="s">
        <v>19</v>
      </c>
      <c r="M1167" s="8">
        <v>1265</v>
      </c>
      <c r="N1167" s="8" t="s">
        <v>435</v>
      </c>
      <c r="O1167" s="8">
        <v>335</v>
      </c>
      <c r="P1167" s="8" t="s">
        <v>7680</v>
      </c>
      <c r="Q1167" s="8" t="s">
        <v>4262</v>
      </c>
      <c r="R1167" s="8">
        <v>0.153</v>
      </c>
      <c r="S1167" s="8">
        <v>57985108</v>
      </c>
      <c r="T1167" s="8" t="s">
        <v>24</v>
      </c>
      <c r="U1167" s="8" t="s">
        <v>46</v>
      </c>
    </row>
    <row r="1168" spans="1:21">
      <c r="A1168" s="8" t="s">
        <v>7071</v>
      </c>
      <c r="B1168" s="8" t="s">
        <v>7682</v>
      </c>
      <c r="C1168" s="8">
        <v>374928</v>
      </c>
      <c r="D1168" s="8" t="s">
        <v>139</v>
      </c>
      <c r="E1168" s="8">
        <v>58017852</v>
      </c>
      <c r="F1168" s="8">
        <v>58017852</v>
      </c>
      <c r="G1168" s="8" t="s">
        <v>24</v>
      </c>
      <c r="H1168" s="8" t="s">
        <v>41</v>
      </c>
      <c r="I1168" s="8" t="s">
        <v>23</v>
      </c>
      <c r="J1168" s="8" t="s">
        <v>7683</v>
      </c>
      <c r="K1168" s="8" t="s">
        <v>7685</v>
      </c>
      <c r="L1168" s="8" t="s">
        <v>19</v>
      </c>
      <c r="M1168" s="8">
        <v>529</v>
      </c>
      <c r="N1168" s="8" t="s">
        <v>710</v>
      </c>
      <c r="O1168" s="8">
        <v>130</v>
      </c>
      <c r="P1168" s="8" t="s">
        <v>7684</v>
      </c>
      <c r="Q1168" s="8" t="s">
        <v>4262</v>
      </c>
      <c r="R1168" s="8">
        <v>0.109</v>
      </c>
      <c r="S1168" s="8">
        <v>58017852</v>
      </c>
      <c r="T1168" s="8" t="s">
        <v>24</v>
      </c>
      <c r="U1168" s="8" t="s">
        <v>41</v>
      </c>
    </row>
    <row r="1169" spans="1:21">
      <c r="A1169" s="8" t="s">
        <v>7071</v>
      </c>
      <c r="B1169" s="8" t="s">
        <v>7686</v>
      </c>
      <c r="C1169" s="8">
        <v>147687</v>
      </c>
      <c r="D1169" s="8" t="s">
        <v>139</v>
      </c>
      <c r="E1169" s="8">
        <v>58427759</v>
      </c>
      <c r="F1169" s="8">
        <v>58427759</v>
      </c>
      <c r="G1169" s="8" t="s">
        <v>46</v>
      </c>
      <c r="H1169" s="8" t="s">
        <v>25</v>
      </c>
      <c r="I1169" s="8" t="s">
        <v>23</v>
      </c>
      <c r="J1169" s="8" t="s">
        <v>7687</v>
      </c>
      <c r="K1169" s="8" t="s">
        <v>7689</v>
      </c>
      <c r="L1169" s="8" t="s">
        <v>19</v>
      </c>
      <c r="M1169" s="8">
        <v>220</v>
      </c>
      <c r="N1169" s="8" t="s">
        <v>553</v>
      </c>
      <c r="O1169" s="8">
        <v>7</v>
      </c>
      <c r="P1169" s="8" t="s">
        <v>7688</v>
      </c>
      <c r="Q1169" s="8" t="s">
        <v>4262</v>
      </c>
      <c r="R1169" s="8">
        <v>0.39500000000000002</v>
      </c>
      <c r="S1169" s="8">
        <v>58427759</v>
      </c>
      <c r="T1169" s="8" t="s">
        <v>46</v>
      </c>
      <c r="U1169" s="8" t="s">
        <v>25</v>
      </c>
    </row>
    <row r="1170" spans="1:21">
      <c r="A1170" s="8" t="s">
        <v>7071</v>
      </c>
      <c r="B1170" s="8" t="s">
        <v>7690</v>
      </c>
      <c r="C1170" s="8">
        <v>388569</v>
      </c>
      <c r="D1170" s="8" t="s">
        <v>139</v>
      </c>
      <c r="E1170" s="8">
        <v>58967686</v>
      </c>
      <c r="F1170" s="8">
        <v>58967686</v>
      </c>
      <c r="G1170" s="8" t="s">
        <v>24</v>
      </c>
      <c r="H1170" s="8" t="s">
        <v>46</v>
      </c>
      <c r="I1170" s="8" t="s">
        <v>23</v>
      </c>
      <c r="J1170" s="8" t="s">
        <v>7691</v>
      </c>
      <c r="K1170" s="8" t="s">
        <v>7693</v>
      </c>
      <c r="L1170" s="8" t="s">
        <v>19</v>
      </c>
      <c r="M1170" s="8">
        <v>1482</v>
      </c>
      <c r="N1170" s="8" t="s">
        <v>3440</v>
      </c>
      <c r="O1170" s="8">
        <v>459</v>
      </c>
      <c r="P1170" s="8" t="s">
        <v>7692</v>
      </c>
      <c r="Q1170" s="8" t="s">
        <v>4262</v>
      </c>
      <c r="R1170" s="8">
        <v>0.11</v>
      </c>
      <c r="S1170" s="8">
        <v>58967686</v>
      </c>
      <c r="T1170" s="8" t="s">
        <v>24</v>
      </c>
      <c r="U1170" s="8" t="s">
        <v>46</v>
      </c>
    </row>
    <row r="1171" spans="1:21">
      <c r="A1171" s="8" t="s">
        <v>7071</v>
      </c>
      <c r="B1171" s="8" t="s">
        <v>7694</v>
      </c>
      <c r="C1171" s="8">
        <v>3643</v>
      </c>
      <c r="D1171" s="8" t="s">
        <v>139</v>
      </c>
      <c r="E1171" s="8">
        <v>7170664</v>
      </c>
      <c r="F1171" s="8">
        <v>7170664</v>
      </c>
      <c r="G1171" s="8" t="s">
        <v>41</v>
      </c>
      <c r="H1171" s="8" t="s">
        <v>46</v>
      </c>
      <c r="I1171" s="8" t="s">
        <v>23</v>
      </c>
      <c r="J1171" s="8" t="s">
        <v>7695</v>
      </c>
      <c r="K1171" s="8" t="s">
        <v>7697</v>
      </c>
      <c r="L1171" s="8" t="s">
        <v>19</v>
      </c>
      <c r="M1171" s="8">
        <v>1476</v>
      </c>
      <c r="N1171" s="8" t="s">
        <v>1080</v>
      </c>
      <c r="O1171" s="8">
        <v>456</v>
      </c>
      <c r="P1171" s="8" t="s">
        <v>7696</v>
      </c>
      <c r="Q1171" s="8" t="s">
        <v>4262</v>
      </c>
      <c r="R1171" s="8">
        <v>5.6000000000000001E-2</v>
      </c>
      <c r="S1171" s="8">
        <v>7170664</v>
      </c>
      <c r="T1171" s="8" t="s">
        <v>41</v>
      </c>
      <c r="U1171" s="8" t="s">
        <v>46</v>
      </c>
    </row>
    <row r="1172" spans="1:21">
      <c r="A1172" s="8" t="s">
        <v>7071</v>
      </c>
      <c r="B1172" s="8" t="s">
        <v>7698</v>
      </c>
      <c r="C1172" s="8">
        <v>57662</v>
      </c>
      <c r="D1172" s="8" t="s">
        <v>139</v>
      </c>
      <c r="E1172" s="8">
        <v>7676049</v>
      </c>
      <c r="F1172" s="8">
        <v>7676049</v>
      </c>
      <c r="G1172" s="8" t="s">
        <v>46</v>
      </c>
      <c r="H1172" s="8" t="s">
        <v>24</v>
      </c>
      <c r="I1172" s="8" t="s">
        <v>23</v>
      </c>
      <c r="J1172" s="8" t="s">
        <v>7699</v>
      </c>
      <c r="K1172" s="8" t="s">
        <v>7701</v>
      </c>
      <c r="L1172" s="8" t="s">
        <v>19</v>
      </c>
      <c r="M1172" s="8">
        <v>1300</v>
      </c>
      <c r="N1172" s="8" t="s">
        <v>810</v>
      </c>
      <c r="O1172" s="8">
        <v>400</v>
      </c>
      <c r="P1172" s="8" t="s">
        <v>7700</v>
      </c>
      <c r="Q1172" s="8" t="s">
        <v>4262</v>
      </c>
      <c r="R1172" s="8">
        <v>0.20699999999999999</v>
      </c>
      <c r="S1172" s="8">
        <v>7676049</v>
      </c>
      <c r="T1172" s="8" t="s">
        <v>46</v>
      </c>
      <c r="U1172" s="8" t="s">
        <v>24</v>
      </c>
    </row>
    <row r="1173" spans="1:21">
      <c r="A1173" s="8" t="s">
        <v>7071</v>
      </c>
      <c r="B1173" s="8" t="s">
        <v>1093</v>
      </c>
      <c r="C1173" s="8">
        <v>94025</v>
      </c>
      <c r="D1173" s="8" t="s">
        <v>139</v>
      </c>
      <c r="E1173" s="8">
        <v>9090145</v>
      </c>
      <c r="F1173" s="8">
        <v>9090145</v>
      </c>
      <c r="G1173" s="8" t="s">
        <v>24</v>
      </c>
      <c r="H1173" s="8" t="s">
        <v>46</v>
      </c>
      <c r="I1173" s="8" t="s">
        <v>23</v>
      </c>
      <c r="J1173" s="8" t="s">
        <v>1094</v>
      </c>
      <c r="K1173" s="8" t="s">
        <v>4408</v>
      </c>
      <c r="L1173" s="8" t="s">
        <v>19</v>
      </c>
      <c r="M1173" s="8">
        <v>1874</v>
      </c>
      <c r="N1173" s="8" t="s">
        <v>87</v>
      </c>
      <c r="O1173" s="8">
        <v>557</v>
      </c>
      <c r="P1173" s="8" t="s">
        <v>7702</v>
      </c>
      <c r="Q1173" s="8" t="s">
        <v>4262</v>
      </c>
      <c r="R1173" s="8">
        <v>0.124</v>
      </c>
      <c r="S1173" s="8">
        <v>9090145</v>
      </c>
      <c r="T1173" s="8" t="s">
        <v>24</v>
      </c>
      <c r="U1173" s="8" t="s">
        <v>46</v>
      </c>
    </row>
    <row r="1174" spans="1:21">
      <c r="A1174" s="8" t="s">
        <v>7071</v>
      </c>
      <c r="B1174" s="8" t="s">
        <v>2230</v>
      </c>
      <c r="C1174" s="8">
        <v>30000</v>
      </c>
      <c r="D1174" s="8" t="s">
        <v>139</v>
      </c>
      <c r="E1174" s="8">
        <v>12812579</v>
      </c>
      <c r="F1174" s="8">
        <v>12812579</v>
      </c>
      <c r="G1174" s="8" t="s">
        <v>46</v>
      </c>
      <c r="H1174" s="8" t="s">
        <v>25</v>
      </c>
      <c r="I1174" s="8" t="s">
        <v>23</v>
      </c>
      <c r="J1174" s="8" t="s">
        <v>7703</v>
      </c>
      <c r="K1174" s="8" t="s">
        <v>7705</v>
      </c>
      <c r="L1174" s="8" t="s">
        <v>19</v>
      </c>
      <c r="M1174" s="8">
        <v>2683</v>
      </c>
      <c r="N1174" s="8" t="s">
        <v>270</v>
      </c>
      <c r="O1174" s="8">
        <v>833</v>
      </c>
      <c r="P1174" s="8" t="s">
        <v>7704</v>
      </c>
      <c r="Q1174" s="8" t="s">
        <v>4262</v>
      </c>
      <c r="R1174" s="8">
        <v>0.31900000000000001</v>
      </c>
      <c r="S1174" s="8">
        <v>12812579</v>
      </c>
      <c r="T1174" s="8" t="s">
        <v>46</v>
      </c>
      <c r="U1174" s="8" t="s">
        <v>25</v>
      </c>
    </row>
    <row r="1175" spans="1:21">
      <c r="A1175" s="8" t="s">
        <v>7071</v>
      </c>
      <c r="B1175" s="8" t="s">
        <v>3379</v>
      </c>
      <c r="C1175" s="8">
        <v>388512</v>
      </c>
      <c r="D1175" s="8" t="s">
        <v>139</v>
      </c>
      <c r="E1175" s="8">
        <v>14705443</v>
      </c>
      <c r="F1175" s="8">
        <v>14705443</v>
      </c>
      <c r="G1175" s="8" t="s">
        <v>24</v>
      </c>
      <c r="H1175" s="8" t="s">
        <v>41</v>
      </c>
      <c r="I1175" s="8" t="s">
        <v>23</v>
      </c>
      <c r="J1175" s="8" t="s">
        <v>7706</v>
      </c>
      <c r="K1175" s="8" t="s">
        <v>7707</v>
      </c>
      <c r="L1175" s="8" t="s">
        <v>68</v>
      </c>
      <c r="M1175" s="8">
        <v>0</v>
      </c>
      <c r="N1175" s="8" t="s">
        <v>35</v>
      </c>
      <c r="O1175" s="8">
        <v>0</v>
      </c>
      <c r="P1175" s="8" t="s">
        <v>35</v>
      </c>
      <c r="Q1175" s="8" t="s">
        <v>4262</v>
      </c>
      <c r="R1175" s="8">
        <v>0.318</v>
      </c>
      <c r="S1175" s="8">
        <v>14705443</v>
      </c>
      <c r="T1175" s="8" t="s">
        <v>24</v>
      </c>
      <c r="U1175" s="8" t="s">
        <v>41</v>
      </c>
    </row>
    <row r="1176" spans="1:21">
      <c r="A1176" s="8" t="s">
        <v>7071</v>
      </c>
      <c r="B1176" s="8" t="s">
        <v>7708</v>
      </c>
      <c r="C1176" s="8">
        <v>10994</v>
      </c>
      <c r="D1176" s="8" t="s">
        <v>139</v>
      </c>
      <c r="E1176" s="8">
        <v>15226973</v>
      </c>
      <c r="F1176" s="8">
        <v>15226973</v>
      </c>
      <c r="G1176" s="8" t="s">
        <v>46</v>
      </c>
      <c r="H1176" s="8" t="s">
        <v>24</v>
      </c>
      <c r="I1176" s="8" t="s">
        <v>23</v>
      </c>
      <c r="J1176" s="8" t="s">
        <v>7709</v>
      </c>
      <c r="K1176" s="8" t="s">
        <v>7711</v>
      </c>
      <c r="L1176" s="8" t="s">
        <v>19</v>
      </c>
      <c r="M1176" s="8">
        <v>1582</v>
      </c>
      <c r="N1176" s="8" t="s">
        <v>192</v>
      </c>
      <c r="O1176" s="8">
        <v>487</v>
      </c>
      <c r="P1176" s="8" t="s">
        <v>7710</v>
      </c>
      <c r="Q1176" s="8" t="s">
        <v>4262</v>
      </c>
      <c r="R1176" s="8">
        <v>0.30299999999999999</v>
      </c>
      <c r="S1176" s="8">
        <v>15226973</v>
      </c>
      <c r="T1176" s="8" t="s">
        <v>46</v>
      </c>
      <c r="U1176" s="8" t="s">
        <v>24</v>
      </c>
    </row>
    <row r="1177" spans="1:21">
      <c r="A1177" s="8" t="s">
        <v>7071</v>
      </c>
      <c r="B1177" s="8" t="s">
        <v>3380</v>
      </c>
      <c r="C1177" s="8">
        <v>23025</v>
      </c>
      <c r="D1177" s="8" t="s">
        <v>139</v>
      </c>
      <c r="E1177" s="8">
        <v>17758217</v>
      </c>
      <c r="F1177" s="8">
        <v>17758217</v>
      </c>
      <c r="G1177" s="8" t="s">
        <v>46</v>
      </c>
      <c r="H1177" s="8" t="s">
        <v>41</v>
      </c>
      <c r="I1177" s="8" t="s">
        <v>23</v>
      </c>
      <c r="J1177" s="8" t="s">
        <v>3381</v>
      </c>
      <c r="K1177" s="8" t="s">
        <v>7713</v>
      </c>
      <c r="L1177" s="8" t="s">
        <v>19</v>
      </c>
      <c r="M1177" s="8">
        <v>1901</v>
      </c>
      <c r="N1177" s="8" t="s">
        <v>61</v>
      </c>
      <c r="O1177" s="8">
        <v>634</v>
      </c>
      <c r="P1177" s="8" t="s">
        <v>7712</v>
      </c>
      <c r="Q1177" s="8" t="s">
        <v>4262</v>
      </c>
      <c r="R1177" s="8">
        <v>0.36799999999999999</v>
      </c>
      <c r="S1177" s="8">
        <v>17758217</v>
      </c>
      <c r="T1177" s="8" t="s">
        <v>46</v>
      </c>
      <c r="U1177" s="8" t="s">
        <v>41</v>
      </c>
    </row>
    <row r="1178" spans="1:21">
      <c r="A1178" s="8" t="s">
        <v>7071</v>
      </c>
      <c r="B1178" s="8" t="s">
        <v>7714</v>
      </c>
      <c r="C1178" s="8">
        <v>79816</v>
      </c>
      <c r="D1178" s="8" t="s">
        <v>139</v>
      </c>
      <c r="E1178" s="8">
        <v>2987120</v>
      </c>
      <c r="F1178" s="8">
        <v>2987120</v>
      </c>
      <c r="G1178" s="8" t="s">
        <v>46</v>
      </c>
      <c r="H1178" s="8" t="s">
        <v>41</v>
      </c>
      <c r="I1178" s="8" t="s">
        <v>23</v>
      </c>
      <c r="J1178" s="8" t="s">
        <v>7715</v>
      </c>
      <c r="K1178" s="8" t="s">
        <v>7717</v>
      </c>
      <c r="L1178" s="8" t="s">
        <v>19</v>
      </c>
      <c r="M1178" s="8">
        <v>534</v>
      </c>
      <c r="N1178" s="8" t="s">
        <v>365</v>
      </c>
      <c r="O1178" s="8">
        <v>142</v>
      </c>
      <c r="P1178" s="8" t="s">
        <v>7716</v>
      </c>
      <c r="Q1178" s="8" t="s">
        <v>4262</v>
      </c>
      <c r="R1178" s="8">
        <v>0.14099999999999999</v>
      </c>
      <c r="S1178" s="8">
        <v>2987120</v>
      </c>
      <c r="T1178" s="8" t="s">
        <v>46</v>
      </c>
      <c r="U1178" s="8" t="s">
        <v>41</v>
      </c>
    </row>
    <row r="1179" spans="1:21">
      <c r="A1179" s="8" t="s">
        <v>7071</v>
      </c>
      <c r="B1179" s="8" t="s">
        <v>5378</v>
      </c>
      <c r="C1179" s="8">
        <v>64763</v>
      </c>
      <c r="D1179" s="8" t="s">
        <v>139</v>
      </c>
      <c r="E1179" s="8">
        <v>42585068</v>
      </c>
      <c r="F1179" s="8">
        <v>42585068</v>
      </c>
      <c r="G1179" s="8" t="s">
        <v>46</v>
      </c>
      <c r="H1179" s="8" t="s">
        <v>24</v>
      </c>
      <c r="I1179" s="8" t="s">
        <v>23</v>
      </c>
      <c r="J1179" s="8" t="s">
        <v>5379</v>
      </c>
      <c r="K1179" s="8" t="s">
        <v>5381</v>
      </c>
      <c r="L1179" s="8" t="s">
        <v>19</v>
      </c>
      <c r="M1179" s="8">
        <v>2479</v>
      </c>
      <c r="N1179" s="8" t="s">
        <v>507</v>
      </c>
      <c r="O1179" s="8">
        <v>770</v>
      </c>
      <c r="P1179" s="8" t="s">
        <v>7718</v>
      </c>
      <c r="Q1179" s="8" t="s">
        <v>4262</v>
      </c>
      <c r="R1179" s="8">
        <v>5.2999999999999999E-2</v>
      </c>
      <c r="S1179" s="8">
        <v>42585068</v>
      </c>
      <c r="T1179" s="8" t="s">
        <v>46</v>
      </c>
      <c r="U1179" s="8" t="s">
        <v>24</v>
      </c>
    </row>
    <row r="1180" spans="1:21">
      <c r="A1180" s="8" t="s">
        <v>7071</v>
      </c>
      <c r="B1180" s="8" t="s">
        <v>592</v>
      </c>
      <c r="C1180" s="8">
        <v>117285</v>
      </c>
      <c r="D1180" s="8" t="s">
        <v>188</v>
      </c>
      <c r="E1180" s="8">
        <v>29960761</v>
      </c>
      <c r="F1180" s="8">
        <v>29960761</v>
      </c>
      <c r="G1180" s="8" t="s">
        <v>41</v>
      </c>
      <c r="H1180" s="8" t="s">
        <v>25</v>
      </c>
      <c r="I1180" s="8" t="s">
        <v>23</v>
      </c>
      <c r="J1180" s="8" t="s">
        <v>593</v>
      </c>
      <c r="K1180" s="8" t="s">
        <v>7720</v>
      </c>
      <c r="L1180" s="8" t="s">
        <v>19</v>
      </c>
      <c r="M1180" s="8">
        <v>193</v>
      </c>
      <c r="N1180" s="8" t="s">
        <v>3260</v>
      </c>
      <c r="O1180" s="8">
        <v>54</v>
      </c>
      <c r="P1180" s="8" t="s">
        <v>7719</v>
      </c>
      <c r="Q1180" s="8" t="s">
        <v>4262</v>
      </c>
      <c r="R1180" s="8">
        <v>0.126</v>
      </c>
      <c r="S1180" s="8">
        <v>29960761</v>
      </c>
      <c r="T1180" s="8" t="s">
        <v>41</v>
      </c>
      <c r="U1180" s="8" t="s">
        <v>25</v>
      </c>
    </row>
    <row r="1181" spans="1:21">
      <c r="A1181" s="8" t="s">
        <v>7071</v>
      </c>
      <c r="B1181" s="8" t="s">
        <v>7721</v>
      </c>
      <c r="C1181" s="8">
        <v>55245</v>
      </c>
      <c r="D1181" s="8" t="s">
        <v>188</v>
      </c>
      <c r="E1181" s="8">
        <v>33971864</v>
      </c>
      <c r="F1181" s="8">
        <v>33971864</v>
      </c>
      <c r="G1181" s="8" t="s">
        <v>41</v>
      </c>
      <c r="H1181" s="8" t="s">
        <v>46</v>
      </c>
      <c r="I1181" s="8" t="s">
        <v>23</v>
      </c>
      <c r="J1181" s="8" t="s">
        <v>7722</v>
      </c>
      <c r="K1181" s="8" t="s">
        <v>7724</v>
      </c>
      <c r="L1181" s="8" t="s">
        <v>19</v>
      </c>
      <c r="M1181" s="8">
        <v>381</v>
      </c>
      <c r="N1181" s="8" t="s">
        <v>446</v>
      </c>
      <c r="O1181" s="8">
        <v>68</v>
      </c>
      <c r="P1181" s="8" t="s">
        <v>7723</v>
      </c>
      <c r="Q1181" s="8" t="s">
        <v>4262</v>
      </c>
      <c r="R1181" s="8">
        <v>8.6999999999999994E-2</v>
      </c>
      <c r="S1181" s="8">
        <v>33971864</v>
      </c>
      <c r="T1181" s="8" t="s">
        <v>41</v>
      </c>
      <c r="U1181" s="8" t="s">
        <v>46</v>
      </c>
    </row>
    <row r="1182" spans="1:21">
      <c r="A1182" s="8" t="s">
        <v>7071</v>
      </c>
      <c r="B1182" s="8" t="s">
        <v>3109</v>
      </c>
      <c r="C1182" s="8">
        <v>57169</v>
      </c>
      <c r="D1182" s="8" t="s">
        <v>188</v>
      </c>
      <c r="E1182" s="8">
        <v>47887209</v>
      </c>
      <c r="F1182" s="8">
        <v>47887209</v>
      </c>
      <c r="G1182" s="8" t="s">
        <v>24</v>
      </c>
      <c r="H1182" s="8" t="s">
        <v>41</v>
      </c>
      <c r="I1182" s="8" t="s">
        <v>23</v>
      </c>
      <c r="J1182" s="8" t="s">
        <v>3110</v>
      </c>
      <c r="K1182" s="8" t="s">
        <v>7726</v>
      </c>
      <c r="L1182" s="8" t="s">
        <v>19</v>
      </c>
      <c r="M1182" s="8">
        <v>1387</v>
      </c>
      <c r="N1182" s="8" t="s">
        <v>326</v>
      </c>
      <c r="O1182" s="8">
        <v>380</v>
      </c>
      <c r="P1182" s="8" t="s">
        <v>7725</v>
      </c>
      <c r="Q1182" s="8" t="s">
        <v>4262</v>
      </c>
      <c r="R1182" s="8">
        <v>0.13200000000000001</v>
      </c>
      <c r="S1182" s="8">
        <v>47887209</v>
      </c>
      <c r="T1182" s="8" t="s">
        <v>24</v>
      </c>
      <c r="U1182" s="8" t="s">
        <v>41</v>
      </c>
    </row>
    <row r="1183" spans="1:21">
      <c r="A1183" s="8" t="s">
        <v>7071</v>
      </c>
      <c r="B1183" s="8" t="s">
        <v>7727</v>
      </c>
      <c r="C1183" s="8">
        <v>23209</v>
      </c>
      <c r="D1183" s="8" t="s">
        <v>197</v>
      </c>
      <c r="E1183" s="8">
        <v>50502544</v>
      </c>
      <c r="F1183" s="8">
        <v>50502544</v>
      </c>
      <c r="G1183" s="8" t="s">
        <v>24</v>
      </c>
      <c r="H1183" s="8" t="s">
        <v>41</v>
      </c>
      <c r="I1183" s="8" t="s">
        <v>23</v>
      </c>
      <c r="J1183" s="8" t="s">
        <v>7728</v>
      </c>
      <c r="K1183" s="8" t="s">
        <v>7731</v>
      </c>
      <c r="L1183" s="8" t="s">
        <v>76</v>
      </c>
      <c r="M1183" s="8">
        <v>1251</v>
      </c>
      <c r="N1183" s="8" t="s">
        <v>209</v>
      </c>
      <c r="O1183" s="8">
        <v>326</v>
      </c>
      <c r="P1183" s="8" t="s">
        <v>7729</v>
      </c>
      <c r="Q1183" s="8" t="s">
        <v>7730</v>
      </c>
      <c r="R1183" s="8">
        <v>0.318</v>
      </c>
      <c r="S1183" s="8">
        <v>50502544</v>
      </c>
      <c r="T1183" s="8" t="s">
        <v>24</v>
      </c>
      <c r="U1183" s="8" t="s">
        <v>41</v>
      </c>
    </row>
    <row r="1184" spans="1:21">
      <c r="A1184" s="8" t="s">
        <v>7071</v>
      </c>
      <c r="B1184" s="8" t="s">
        <v>2660</v>
      </c>
      <c r="C1184" s="8">
        <v>54456</v>
      </c>
      <c r="D1184" s="8" t="s">
        <v>197</v>
      </c>
      <c r="E1184" s="8">
        <v>50555591</v>
      </c>
      <c r="F1184" s="8">
        <v>50555591</v>
      </c>
      <c r="G1184" s="8" t="s">
        <v>46</v>
      </c>
      <c r="H1184" s="8" t="s">
        <v>41</v>
      </c>
      <c r="I1184" s="8" t="s">
        <v>23</v>
      </c>
      <c r="J1184" s="8" t="s">
        <v>7732</v>
      </c>
      <c r="K1184" s="8" t="s">
        <v>7734</v>
      </c>
      <c r="L1184" s="8" t="s">
        <v>19</v>
      </c>
      <c r="M1184" s="8">
        <v>1348</v>
      </c>
      <c r="N1184" s="8" t="s">
        <v>1140</v>
      </c>
      <c r="O1184" s="8">
        <v>422</v>
      </c>
      <c r="P1184" s="8" t="s">
        <v>7733</v>
      </c>
      <c r="Q1184" s="8" t="s">
        <v>4262</v>
      </c>
      <c r="R1184" s="8">
        <v>0.27300000000000002</v>
      </c>
      <c r="S1184" s="8">
        <v>50555591</v>
      </c>
      <c r="T1184" s="8" t="s">
        <v>46</v>
      </c>
      <c r="U1184" s="8" t="s">
        <v>41</v>
      </c>
    </row>
    <row r="1185" spans="1:21">
      <c r="A1185" s="8" t="s">
        <v>7071</v>
      </c>
      <c r="B1185" s="8" t="s">
        <v>7735</v>
      </c>
      <c r="C1185" s="8">
        <v>1415</v>
      </c>
      <c r="D1185" s="8" t="s">
        <v>197</v>
      </c>
      <c r="E1185" s="8">
        <v>25623932</v>
      </c>
      <c r="F1185" s="8">
        <v>25623932</v>
      </c>
      <c r="G1185" s="8" t="s">
        <v>41</v>
      </c>
      <c r="H1185" s="8" t="s">
        <v>25</v>
      </c>
      <c r="I1185" s="8" t="s">
        <v>23</v>
      </c>
      <c r="J1185" s="8" t="s">
        <v>7736</v>
      </c>
      <c r="K1185" s="8" t="s">
        <v>7738</v>
      </c>
      <c r="L1185" s="8" t="s">
        <v>19</v>
      </c>
      <c r="M1185" s="8">
        <v>334</v>
      </c>
      <c r="N1185" s="8" t="s">
        <v>7739</v>
      </c>
      <c r="O1185" s="8">
        <v>96</v>
      </c>
      <c r="P1185" s="8" t="s">
        <v>7737</v>
      </c>
      <c r="Q1185" s="8" t="s">
        <v>4262</v>
      </c>
      <c r="R1185" s="8">
        <v>0.09</v>
      </c>
      <c r="S1185" s="8">
        <v>25623932</v>
      </c>
      <c r="T1185" s="8" t="s">
        <v>41</v>
      </c>
      <c r="U1185" s="8" t="s">
        <v>25</v>
      </c>
    </row>
    <row r="1186" spans="1:21">
      <c r="A1186" s="8" t="s">
        <v>7071</v>
      </c>
      <c r="B1186" s="8" t="s">
        <v>7735</v>
      </c>
      <c r="C1186" s="8">
        <v>1415</v>
      </c>
      <c r="D1186" s="8" t="s">
        <v>197</v>
      </c>
      <c r="E1186" s="8">
        <v>25623933</v>
      </c>
      <c r="F1186" s="8">
        <v>25623933</v>
      </c>
      <c r="G1186" s="8" t="s">
        <v>46</v>
      </c>
      <c r="H1186" s="8" t="s">
        <v>24</v>
      </c>
      <c r="I1186" s="8" t="s">
        <v>23</v>
      </c>
      <c r="J1186" s="8" t="s">
        <v>7736</v>
      </c>
      <c r="K1186" s="8" t="s">
        <v>7738</v>
      </c>
      <c r="L1186" s="8" t="s">
        <v>19</v>
      </c>
      <c r="M1186" s="8">
        <v>335</v>
      </c>
      <c r="N1186" s="8" t="s">
        <v>810</v>
      </c>
      <c r="O1186" s="8">
        <v>96</v>
      </c>
      <c r="P1186" s="8" t="s">
        <v>7740</v>
      </c>
      <c r="Q1186" s="8" t="s">
        <v>4262</v>
      </c>
      <c r="R1186" s="8">
        <v>8.3000000000000004E-2</v>
      </c>
      <c r="S1186" s="8">
        <v>25623933</v>
      </c>
      <c r="T1186" s="8" t="s">
        <v>46</v>
      </c>
      <c r="U1186" s="8" t="s">
        <v>24</v>
      </c>
    </row>
    <row r="1187" spans="1:21">
      <c r="A1187" s="8" t="s">
        <v>7071</v>
      </c>
      <c r="B1187" s="8" t="s">
        <v>7741</v>
      </c>
      <c r="C1187" s="8">
        <v>6525</v>
      </c>
      <c r="D1187" s="8" t="s">
        <v>197</v>
      </c>
      <c r="E1187" s="8">
        <v>31485947</v>
      </c>
      <c r="F1187" s="8">
        <v>31485947</v>
      </c>
      <c r="G1187" s="8" t="s">
        <v>24</v>
      </c>
      <c r="H1187" s="8" t="s">
        <v>41</v>
      </c>
      <c r="I1187" s="8" t="s">
        <v>23</v>
      </c>
      <c r="J1187" s="8" t="s">
        <v>7742</v>
      </c>
      <c r="K1187" s="8" t="s">
        <v>7744</v>
      </c>
      <c r="L1187" s="8" t="s">
        <v>19</v>
      </c>
      <c r="M1187" s="8">
        <v>957</v>
      </c>
      <c r="N1187" s="8" t="s">
        <v>2954</v>
      </c>
      <c r="O1187" s="8">
        <v>299</v>
      </c>
      <c r="P1187" s="8" t="s">
        <v>7743</v>
      </c>
      <c r="Q1187" s="8" t="s">
        <v>4262</v>
      </c>
      <c r="R1187" s="8">
        <v>0.39100000000000001</v>
      </c>
      <c r="S1187" s="8">
        <v>31485947</v>
      </c>
      <c r="T1187" s="8" t="s">
        <v>24</v>
      </c>
      <c r="U1187" s="8" t="s">
        <v>41</v>
      </c>
    </row>
    <row r="1188" spans="1:21">
      <c r="A1188" s="8" t="s">
        <v>7071</v>
      </c>
      <c r="B1188" s="8" t="s">
        <v>7745</v>
      </c>
      <c r="C1188" s="8">
        <v>9681</v>
      </c>
      <c r="D1188" s="8" t="s">
        <v>197</v>
      </c>
      <c r="E1188" s="8">
        <v>32200206</v>
      </c>
      <c r="F1188" s="8">
        <v>32200206</v>
      </c>
      <c r="G1188" s="8" t="s">
        <v>46</v>
      </c>
      <c r="H1188" s="8" t="s">
        <v>24</v>
      </c>
      <c r="I1188" s="8" t="s">
        <v>23</v>
      </c>
      <c r="J1188" s="8" t="s">
        <v>7746</v>
      </c>
      <c r="K1188" s="8" t="s">
        <v>7747</v>
      </c>
      <c r="L1188" s="8" t="s">
        <v>19</v>
      </c>
      <c r="M1188" s="8">
        <v>1342</v>
      </c>
      <c r="N1188" s="8" t="s">
        <v>347</v>
      </c>
      <c r="O1188" s="8">
        <v>380</v>
      </c>
      <c r="P1188" s="8" t="s">
        <v>7725</v>
      </c>
      <c r="Q1188" s="8" t="s">
        <v>4262</v>
      </c>
      <c r="R1188" s="8">
        <v>0.13500000000000001</v>
      </c>
      <c r="S1188" s="8">
        <v>32200206</v>
      </c>
      <c r="T1188" s="8" t="s">
        <v>46</v>
      </c>
      <c r="U1188" s="8" t="s">
        <v>24</v>
      </c>
    </row>
    <row r="1189" spans="1:21">
      <c r="A1189" s="8" t="s">
        <v>7071</v>
      </c>
      <c r="B1189" s="8" t="s">
        <v>7748</v>
      </c>
      <c r="C1189" s="8">
        <v>27350</v>
      </c>
      <c r="D1189" s="8" t="s">
        <v>197</v>
      </c>
      <c r="E1189" s="8">
        <v>39413922</v>
      </c>
      <c r="F1189" s="8">
        <v>39413922</v>
      </c>
      <c r="G1189" s="8" t="s">
        <v>46</v>
      </c>
      <c r="H1189" s="8" t="s">
        <v>25</v>
      </c>
      <c r="I1189" s="8" t="s">
        <v>23</v>
      </c>
      <c r="J1189" s="8" t="s">
        <v>7749</v>
      </c>
      <c r="K1189" s="8" t="s">
        <v>7751</v>
      </c>
      <c r="L1189" s="8" t="s">
        <v>19</v>
      </c>
      <c r="M1189" s="8">
        <v>429</v>
      </c>
      <c r="N1189" s="8" t="s">
        <v>3048</v>
      </c>
      <c r="O1189" s="8">
        <v>109</v>
      </c>
      <c r="P1189" s="8" t="s">
        <v>7750</v>
      </c>
      <c r="Q1189" s="8" t="s">
        <v>4262</v>
      </c>
      <c r="R1189" s="8">
        <v>0.2</v>
      </c>
      <c r="S1189" s="8">
        <v>39413922</v>
      </c>
      <c r="T1189" s="8" t="s">
        <v>46</v>
      </c>
      <c r="U1189" s="8" t="s">
        <v>25</v>
      </c>
    </row>
    <row r="1190" spans="1:21">
      <c r="A1190" s="8" t="s">
        <v>7071</v>
      </c>
      <c r="B1190" s="8" t="s">
        <v>7752</v>
      </c>
      <c r="C1190" s="8">
        <v>10454</v>
      </c>
      <c r="D1190" s="8" t="s">
        <v>197</v>
      </c>
      <c r="E1190" s="8">
        <v>39824185</v>
      </c>
      <c r="F1190" s="8">
        <v>39824185</v>
      </c>
      <c r="G1190" s="8" t="s">
        <v>46</v>
      </c>
      <c r="H1190" s="8" t="s">
        <v>41</v>
      </c>
      <c r="I1190" s="8" t="s">
        <v>23</v>
      </c>
      <c r="J1190" s="8" t="s">
        <v>7753</v>
      </c>
      <c r="K1190" s="8" t="s">
        <v>7755</v>
      </c>
      <c r="L1190" s="8" t="s">
        <v>19</v>
      </c>
      <c r="M1190" s="8">
        <v>1353</v>
      </c>
      <c r="N1190" s="8" t="s">
        <v>1325</v>
      </c>
      <c r="O1190" s="8">
        <v>435</v>
      </c>
      <c r="P1190" s="8" t="s">
        <v>7754</v>
      </c>
      <c r="Q1190" s="8" t="s">
        <v>4262</v>
      </c>
      <c r="R1190" s="8">
        <v>0.23300000000000001</v>
      </c>
      <c r="S1190" s="8">
        <v>39824185</v>
      </c>
      <c r="T1190" s="8" t="s">
        <v>46</v>
      </c>
      <c r="U1190" s="8" t="s">
        <v>41</v>
      </c>
    </row>
    <row r="1191" spans="1:21">
      <c r="A1191" s="8" t="s">
        <v>7071</v>
      </c>
      <c r="B1191" s="8" t="s">
        <v>3415</v>
      </c>
      <c r="C1191" s="8">
        <v>57477</v>
      </c>
      <c r="D1191" s="8" t="s">
        <v>418</v>
      </c>
      <c r="E1191" s="8">
        <v>50377722</v>
      </c>
      <c r="F1191" s="8">
        <v>50377722</v>
      </c>
      <c r="G1191" s="8" t="s">
        <v>24</v>
      </c>
      <c r="H1191" s="8" t="s">
        <v>41</v>
      </c>
      <c r="I1191" s="8" t="s">
        <v>23</v>
      </c>
      <c r="J1191" s="8" t="s">
        <v>3416</v>
      </c>
      <c r="K1191" s="8" t="s">
        <v>7757</v>
      </c>
      <c r="L1191" s="8" t="s">
        <v>19</v>
      </c>
      <c r="M1191" s="8">
        <v>1377</v>
      </c>
      <c r="N1191" s="8" t="s">
        <v>2925</v>
      </c>
      <c r="O1191" s="8">
        <v>451</v>
      </c>
      <c r="P1191" s="8" t="s">
        <v>7756</v>
      </c>
      <c r="Q1191" s="8" t="s">
        <v>4262</v>
      </c>
      <c r="R1191" s="8">
        <v>0.52500000000000002</v>
      </c>
      <c r="S1191" s="8">
        <v>50377722</v>
      </c>
      <c r="T1191" s="8" t="s">
        <v>24</v>
      </c>
      <c r="U1191" s="8" t="s">
        <v>41</v>
      </c>
    </row>
    <row r="1192" spans="1:21">
      <c r="A1192" s="8" t="s">
        <v>7071</v>
      </c>
      <c r="B1192" s="8" t="s">
        <v>3417</v>
      </c>
      <c r="C1192" s="8">
        <v>139285</v>
      </c>
      <c r="D1192" s="8" t="s">
        <v>418</v>
      </c>
      <c r="E1192" s="8">
        <v>63412467</v>
      </c>
      <c r="F1192" s="8">
        <v>63412467</v>
      </c>
      <c r="G1192" s="8" t="s">
        <v>46</v>
      </c>
      <c r="H1192" s="8" t="s">
        <v>25</v>
      </c>
      <c r="I1192" s="8" t="s">
        <v>23</v>
      </c>
      <c r="J1192" s="8" t="s">
        <v>3418</v>
      </c>
      <c r="K1192" s="8" t="s">
        <v>7759</v>
      </c>
      <c r="L1192" s="8" t="s">
        <v>19</v>
      </c>
      <c r="M1192" s="8">
        <v>973</v>
      </c>
      <c r="N1192" s="8" t="s">
        <v>256</v>
      </c>
      <c r="O1192" s="8">
        <v>234</v>
      </c>
      <c r="P1192" s="8" t="s">
        <v>7758</v>
      </c>
      <c r="Q1192" s="8" t="s">
        <v>4262</v>
      </c>
      <c r="R1192" s="8">
        <v>0.58299999999999996</v>
      </c>
      <c r="S1192" s="8">
        <v>63412467</v>
      </c>
      <c r="T1192" s="8" t="s">
        <v>46</v>
      </c>
      <c r="U1192" s="8" t="s">
        <v>25</v>
      </c>
    </row>
    <row r="1193" spans="1:21">
      <c r="A1193" s="8" t="s">
        <v>7071</v>
      </c>
      <c r="B1193" s="8" t="s">
        <v>7760</v>
      </c>
      <c r="C1193" s="8">
        <v>27328</v>
      </c>
      <c r="D1193" s="8" t="s">
        <v>418</v>
      </c>
      <c r="E1193" s="8">
        <v>91873775</v>
      </c>
      <c r="F1193" s="8">
        <v>91873775</v>
      </c>
      <c r="G1193" s="8" t="s">
        <v>46</v>
      </c>
      <c r="H1193" s="8" t="s">
        <v>41</v>
      </c>
      <c r="I1193" s="8" t="s">
        <v>23</v>
      </c>
      <c r="J1193" s="8" t="s">
        <v>7761</v>
      </c>
      <c r="K1193" s="8" t="s">
        <v>7763</v>
      </c>
      <c r="L1193" s="8" t="s">
        <v>76</v>
      </c>
      <c r="M1193" s="8">
        <v>3813</v>
      </c>
      <c r="N1193" s="8" t="s">
        <v>371</v>
      </c>
      <c r="O1193" s="8">
        <v>1257</v>
      </c>
      <c r="P1193" s="8" t="s">
        <v>7762</v>
      </c>
      <c r="Q1193" s="8" t="s">
        <v>4262</v>
      </c>
      <c r="R1193" s="8">
        <v>0.42599999999999999</v>
      </c>
      <c r="S1193" s="8">
        <v>91873775</v>
      </c>
      <c r="T1193" s="8" t="s">
        <v>46</v>
      </c>
      <c r="U1193" s="8" t="s">
        <v>41</v>
      </c>
    </row>
    <row r="1194" spans="1:21">
      <c r="A1194" s="8" t="s">
        <v>7071</v>
      </c>
      <c r="B1194" s="8" t="s">
        <v>419</v>
      </c>
      <c r="C1194" s="8">
        <v>1260</v>
      </c>
      <c r="D1194" s="8" t="s">
        <v>418</v>
      </c>
      <c r="E1194" s="8">
        <v>150911711</v>
      </c>
      <c r="F1194" s="8">
        <v>150911711</v>
      </c>
      <c r="G1194" s="8" t="s">
        <v>46</v>
      </c>
      <c r="H1194" s="8" t="s">
        <v>41</v>
      </c>
      <c r="I1194" s="8" t="s">
        <v>23</v>
      </c>
      <c r="J1194" s="8" t="s">
        <v>420</v>
      </c>
      <c r="K1194" s="8" t="s">
        <v>7765</v>
      </c>
      <c r="L1194" s="8" t="s">
        <v>19</v>
      </c>
      <c r="M1194" s="8">
        <v>960</v>
      </c>
      <c r="N1194" s="8" t="s">
        <v>560</v>
      </c>
      <c r="O1194" s="8">
        <v>246</v>
      </c>
      <c r="P1194" s="8" t="s">
        <v>7764</v>
      </c>
      <c r="Q1194" s="8" t="s">
        <v>4262</v>
      </c>
      <c r="R1194" s="8">
        <v>0.432</v>
      </c>
      <c r="S1194" s="8">
        <v>150911711</v>
      </c>
      <c r="T1194" s="8" t="s">
        <v>46</v>
      </c>
      <c r="U1194" s="8" t="s">
        <v>41</v>
      </c>
    </row>
    <row r="1195" spans="1:21">
      <c r="A1195" s="8" t="s">
        <v>7071</v>
      </c>
      <c r="B1195" s="8" t="s">
        <v>7766</v>
      </c>
      <c r="C1195" s="8">
        <v>25878</v>
      </c>
      <c r="D1195" s="8" t="s">
        <v>418</v>
      </c>
      <c r="E1195" s="8">
        <v>3228268</v>
      </c>
      <c r="F1195" s="8">
        <v>3228268</v>
      </c>
      <c r="G1195" s="8" t="s">
        <v>46</v>
      </c>
      <c r="H1195" s="8" t="s">
        <v>25</v>
      </c>
      <c r="I1195" s="8" t="s">
        <v>23</v>
      </c>
      <c r="J1195" s="8" t="s">
        <v>7767</v>
      </c>
      <c r="K1195" s="8" t="s">
        <v>7769</v>
      </c>
      <c r="L1195" s="8" t="s">
        <v>19</v>
      </c>
      <c r="M1195" s="8">
        <v>8133</v>
      </c>
      <c r="N1195" s="8" t="s">
        <v>2922</v>
      </c>
      <c r="O1195" s="8">
        <v>2659</v>
      </c>
      <c r="P1195" s="8" t="s">
        <v>7768</v>
      </c>
      <c r="Q1195" s="8" t="s">
        <v>4262</v>
      </c>
      <c r="R1195" s="8">
        <v>0.125</v>
      </c>
      <c r="S1195" s="8">
        <v>3228268</v>
      </c>
      <c r="T1195" s="8" t="s">
        <v>46</v>
      </c>
      <c r="U1195" s="8" t="s">
        <v>25</v>
      </c>
    </row>
    <row r="1196" spans="1:21">
      <c r="A1196" s="8" t="s">
        <v>7774</v>
      </c>
      <c r="B1196" s="8" t="s">
        <v>7770</v>
      </c>
      <c r="C1196" s="8">
        <v>79739</v>
      </c>
      <c r="D1196" s="8" t="s">
        <v>22</v>
      </c>
      <c r="E1196" s="8">
        <v>84403634</v>
      </c>
      <c r="F1196" s="8">
        <v>84403634</v>
      </c>
      <c r="G1196" s="8" t="s">
        <v>25</v>
      </c>
      <c r="H1196" s="8" t="s">
        <v>41</v>
      </c>
      <c r="I1196" s="8" t="s">
        <v>23</v>
      </c>
      <c r="J1196" s="8" t="s">
        <v>7771</v>
      </c>
      <c r="K1196" s="8" t="s">
        <v>7773</v>
      </c>
      <c r="L1196" s="8" t="s">
        <v>19</v>
      </c>
      <c r="M1196" s="8">
        <v>1185</v>
      </c>
      <c r="N1196" s="8" t="s">
        <v>690</v>
      </c>
      <c r="O1196" s="8">
        <v>263</v>
      </c>
      <c r="P1196" s="8" t="s">
        <v>7772</v>
      </c>
      <c r="Q1196" s="8" t="s">
        <v>4262</v>
      </c>
      <c r="R1196" s="8">
        <v>0.72099999999999997</v>
      </c>
      <c r="S1196" s="8">
        <v>84403634</v>
      </c>
      <c r="T1196" s="8" t="s">
        <v>25</v>
      </c>
      <c r="U1196" s="8" t="s">
        <v>41</v>
      </c>
    </row>
    <row r="1197" spans="1:21">
      <c r="A1197" s="8" t="s">
        <v>7774</v>
      </c>
      <c r="B1197" s="8" t="s">
        <v>7775</v>
      </c>
      <c r="C1197" s="8">
        <v>910</v>
      </c>
      <c r="D1197" s="8" t="s">
        <v>22</v>
      </c>
      <c r="E1197" s="8">
        <v>158299183</v>
      </c>
      <c r="F1197" s="8">
        <v>158299183</v>
      </c>
      <c r="G1197" s="8" t="s">
        <v>46</v>
      </c>
      <c r="H1197" s="8" t="s">
        <v>25</v>
      </c>
      <c r="I1197" s="8" t="s">
        <v>23</v>
      </c>
      <c r="J1197" s="8" t="s">
        <v>7776</v>
      </c>
      <c r="K1197" s="8" t="s">
        <v>7779</v>
      </c>
      <c r="L1197" s="8" t="s">
        <v>19</v>
      </c>
      <c r="M1197" s="8">
        <v>971</v>
      </c>
      <c r="N1197" s="8" t="s">
        <v>710</v>
      </c>
      <c r="O1197" s="8">
        <v>288</v>
      </c>
      <c r="P1197" s="8" t="s">
        <v>7777</v>
      </c>
      <c r="Q1197" s="8" t="s">
        <v>7778</v>
      </c>
      <c r="R1197" s="8">
        <v>0.18099999999999999</v>
      </c>
      <c r="S1197" s="8">
        <v>158299183</v>
      </c>
      <c r="T1197" s="8" t="s">
        <v>46</v>
      </c>
      <c r="U1197" s="8" t="s">
        <v>25</v>
      </c>
    </row>
    <row r="1198" spans="1:21">
      <c r="A1198" s="8" t="s">
        <v>7774</v>
      </c>
      <c r="B1198" s="8" t="s">
        <v>7780</v>
      </c>
      <c r="C1198" s="8">
        <v>1122</v>
      </c>
      <c r="D1198" s="8" t="s">
        <v>22</v>
      </c>
      <c r="E1198" s="8">
        <v>241798807</v>
      </c>
      <c r="F1198" s="8">
        <v>241798807</v>
      </c>
      <c r="G1198" s="8" t="s">
        <v>41</v>
      </c>
      <c r="H1198" s="8" t="s">
        <v>46</v>
      </c>
      <c r="I1198" s="8" t="s">
        <v>23</v>
      </c>
      <c r="J1198" s="8" t="s">
        <v>7781</v>
      </c>
      <c r="K1198" s="8" t="s">
        <v>7783</v>
      </c>
      <c r="L1198" s="8" t="s">
        <v>19</v>
      </c>
      <c r="M1198" s="8">
        <v>426</v>
      </c>
      <c r="N1198" s="8" t="s">
        <v>1160</v>
      </c>
      <c r="O1198" s="8">
        <v>88</v>
      </c>
      <c r="P1198" s="8" t="s">
        <v>7782</v>
      </c>
      <c r="Q1198" s="8" t="s">
        <v>4262</v>
      </c>
      <c r="R1198" s="8">
        <v>0.24099999999999999</v>
      </c>
      <c r="S1198" s="8">
        <v>241798807</v>
      </c>
      <c r="T1198" s="8" t="s">
        <v>41</v>
      </c>
      <c r="U1198" s="8" t="s">
        <v>46</v>
      </c>
    </row>
    <row r="1199" spans="1:21">
      <c r="A1199" s="8" t="s">
        <v>7774</v>
      </c>
      <c r="B1199" s="8" t="s">
        <v>7784</v>
      </c>
      <c r="C1199" s="8">
        <v>27249</v>
      </c>
      <c r="D1199" s="8" t="s">
        <v>172</v>
      </c>
      <c r="E1199" s="8">
        <v>150426534</v>
      </c>
      <c r="F1199" s="8">
        <v>150426534</v>
      </c>
      <c r="G1199" s="8" t="s">
        <v>41</v>
      </c>
      <c r="H1199" s="8" t="s">
        <v>25</v>
      </c>
      <c r="I1199" s="8" t="s">
        <v>23</v>
      </c>
      <c r="J1199" s="8" t="s">
        <v>7785</v>
      </c>
      <c r="K1199" s="8" t="s">
        <v>7787</v>
      </c>
      <c r="L1199" s="8" t="s">
        <v>19</v>
      </c>
      <c r="M1199" s="8">
        <v>1050</v>
      </c>
      <c r="N1199" s="8" t="s">
        <v>3549</v>
      </c>
      <c r="O1199" s="8">
        <v>282</v>
      </c>
      <c r="P1199" s="8" t="s">
        <v>7786</v>
      </c>
      <c r="Q1199" s="8" t="s">
        <v>4262</v>
      </c>
      <c r="R1199" s="8">
        <v>0.28699999999999998</v>
      </c>
      <c r="S1199" s="8">
        <v>150426534</v>
      </c>
      <c r="T1199" s="8" t="s">
        <v>41</v>
      </c>
      <c r="U1199" s="8" t="s">
        <v>25</v>
      </c>
    </row>
    <row r="1200" spans="1:21">
      <c r="A1200" s="8" t="s">
        <v>7774</v>
      </c>
      <c r="B1200" s="8" t="s">
        <v>7788</v>
      </c>
      <c r="C1200" s="8">
        <v>8708</v>
      </c>
      <c r="D1200" s="8" t="s">
        <v>172</v>
      </c>
      <c r="E1200" s="8">
        <v>168726285</v>
      </c>
      <c r="F1200" s="8">
        <v>168726285</v>
      </c>
      <c r="G1200" s="8" t="s">
        <v>24</v>
      </c>
      <c r="H1200" s="8" t="s">
        <v>25</v>
      </c>
      <c r="I1200" s="8" t="s">
        <v>23</v>
      </c>
      <c r="J1200" s="8" t="s">
        <v>7789</v>
      </c>
      <c r="K1200" s="8" t="s">
        <v>7791</v>
      </c>
      <c r="L1200" s="8" t="s">
        <v>19</v>
      </c>
      <c r="M1200" s="8">
        <v>1087</v>
      </c>
      <c r="N1200" s="8" t="s">
        <v>557</v>
      </c>
      <c r="O1200" s="8">
        <v>246</v>
      </c>
      <c r="P1200" s="8" t="s">
        <v>7790</v>
      </c>
      <c r="Q1200" s="8" t="s">
        <v>4262</v>
      </c>
      <c r="R1200" s="8">
        <v>0.17699999999999999</v>
      </c>
      <c r="S1200" s="8">
        <v>168726285</v>
      </c>
      <c r="T1200" s="8" t="s">
        <v>24</v>
      </c>
      <c r="U1200" s="8" t="s">
        <v>25</v>
      </c>
    </row>
    <row r="1201" spans="1:21">
      <c r="A1201" s="8" t="s">
        <v>7774</v>
      </c>
      <c r="B1201" s="8" t="s">
        <v>2908</v>
      </c>
      <c r="C1201" s="8">
        <v>79675</v>
      </c>
      <c r="D1201" s="8" t="s">
        <v>172</v>
      </c>
      <c r="E1201" s="8">
        <v>170402807</v>
      </c>
      <c r="F1201" s="8">
        <v>170402807</v>
      </c>
      <c r="G1201" s="8" t="s">
        <v>24</v>
      </c>
      <c r="H1201" s="8" t="s">
        <v>46</v>
      </c>
      <c r="I1201" s="8" t="s">
        <v>23</v>
      </c>
      <c r="J1201" s="8" t="s">
        <v>2909</v>
      </c>
      <c r="K1201" s="8" t="s">
        <v>7793</v>
      </c>
      <c r="L1201" s="8" t="s">
        <v>19</v>
      </c>
      <c r="M1201" s="8">
        <v>2010</v>
      </c>
      <c r="N1201" s="8" t="s">
        <v>435</v>
      </c>
      <c r="O1201" s="8">
        <v>541</v>
      </c>
      <c r="P1201" s="8" t="s">
        <v>7792</v>
      </c>
      <c r="Q1201" s="8" t="s">
        <v>4262</v>
      </c>
      <c r="R1201" s="8">
        <v>0.17199999999999999</v>
      </c>
      <c r="S1201" s="8">
        <v>170402807</v>
      </c>
      <c r="T1201" s="8" t="s">
        <v>24</v>
      </c>
      <c r="U1201" s="8" t="s">
        <v>46</v>
      </c>
    </row>
    <row r="1202" spans="1:21">
      <c r="A1202" s="8" t="s">
        <v>7774</v>
      </c>
      <c r="B1202" s="8" t="s">
        <v>7794</v>
      </c>
      <c r="C1202" s="8">
        <v>3344</v>
      </c>
      <c r="D1202" s="8" t="s">
        <v>172</v>
      </c>
      <c r="E1202" s="8">
        <v>48573431</v>
      </c>
      <c r="F1202" s="8">
        <v>48573431</v>
      </c>
      <c r="G1202" s="8" t="s">
        <v>24</v>
      </c>
      <c r="H1202" s="8" t="s">
        <v>41</v>
      </c>
      <c r="I1202" s="8" t="s">
        <v>23</v>
      </c>
      <c r="J1202" s="8" t="s">
        <v>7795</v>
      </c>
      <c r="K1202" s="8" t="s">
        <v>7797</v>
      </c>
      <c r="L1202" s="8" t="s">
        <v>19</v>
      </c>
      <c r="M1202" s="8">
        <v>393</v>
      </c>
      <c r="N1202" s="8" t="s">
        <v>251</v>
      </c>
      <c r="O1202" s="8">
        <v>26</v>
      </c>
      <c r="P1202" s="8" t="s">
        <v>7796</v>
      </c>
      <c r="Q1202" s="8" t="s">
        <v>4262</v>
      </c>
      <c r="R1202" s="8">
        <v>0.252</v>
      </c>
      <c r="S1202" s="8">
        <v>48573431</v>
      </c>
      <c r="T1202" s="8" t="s">
        <v>24</v>
      </c>
      <c r="U1202" s="8" t="s">
        <v>41</v>
      </c>
    </row>
    <row r="1203" spans="1:21">
      <c r="A1203" s="8" t="s">
        <v>7774</v>
      </c>
      <c r="B1203" s="8" t="s">
        <v>3147</v>
      </c>
      <c r="C1203" s="8">
        <v>55799</v>
      </c>
      <c r="D1203" s="8" t="s">
        <v>201</v>
      </c>
      <c r="E1203" s="8">
        <v>54676165</v>
      </c>
      <c r="F1203" s="8">
        <v>54676165</v>
      </c>
      <c r="G1203" s="8" t="s">
        <v>46</v>
      </c>
      <c r="H1203" s="8" t="s">
        <v>41</v>
      </c>
      <c r="I1203" s="8" t="s">
        <v>23</v>
      </c>
      <c r="J1203" s="8" t="s">
        <v>3148</v>
      </c>
      <c r="K1203" s="8" t="s">
        <v>7799</v>
      </c>
      <c r="L1203" s="8" t="s">
        <v>19</v>
      </c>
      <c r="M1203" s="8">
        <v>1112</v>
      </c>
      <c r="N1203" s="8" t="s">
        <v>741</v>
      </c>
      <c r="O1203" s="8">
        <v>355</v>
      </c>
      <c r="P1203" s="8" t="s">
        <v>7798</v>
      </c>
      <c r="Q1203" s="8" t="s">
        <v>4262</v>
      </c>
      <c r="R1203" s="8">
        <v>0.36099999999999999</v>
      </c>
      <c r="S1203" s="8">
        <v>54676165</v>
      </c>
      <c r="T1203" s="8" t="s">
        <v>46</v>
      </c>
      <c r="U1203" s="8" t="s">
        <v>41</v>
      </c>
    </row>
    <row r="1204" spans="1:21">
      <c r="A1204" s="8" t="s">
        <v>7774</v>
      </c>
      <c r="B1204" s="8" t="s">
        <v>7800</v>
      </c>
      <c r="C1204" s="8">
        <v>100131827</v>
      </c>
      <c r="D1204" s="8" t="s">
        <v>201</v>
      </c>
      <c r="E1204" s="8">
        <v>75790824</v>
      </c>
      <c r="F1204" s="8">
        <v>75790824</v>
      </c>
      <c r="G1204" s="8" t="s">
        <v>46</v>
      </c>
      <c r="H1204" s="8" t="s">
        <v>41</v>
      </c>
      <c r="I1204" s="8" t="s">
        <v>23</v>
      </c>
      <c r="J1204" s="8" t="s">
        <v>7801</v>
      </c>
      <c r="K1204" s="8" t="s">
        <v>7804</v>
      </c>
      <c r="L1204" s="8" t="s">
        <v>19</v>
      </c>
      <c r="M1204" s="8">
        <v>444</v>
      </c>
      <c r="N1204" s="8" t="s">
        <v>557</v>
      </c>
      <c r="O1204" s="8">
        <v>41</v>
      </c>
      <c r="P1204" s="8" t="s">
        <v>7802</v>
      </c>
      <c r="Q1204" s="8" t="s">
        <v>7803</v>
      </c>
      <c r="R1204" s="8">
        <v>0.06</v>
      </c>
      <c r="S1204" s="8">
        <v>75790824</v>
      </c>
      <c r="T1204" s="8" t="s">
        <v>46</v>
      </c>
      <c r="U1204" s="8" t="s">
        <v>41</v>
      </c>
    </row>
    <row r="1205" spans="1:21">
      <c r="A1205" s="8" t="s">
        <v>7774</v>
      </c>
      <c r="B1205" s="8" t="s">
        <v>7805</v>
      </c>
      <c r="C1205" s="8">
        <v>55211</v>
      </c>
      <c r="D1205" s="8" t="s">
        <v>201</v>
      </c>
      <c r="E1205" s="8">
        <v>109050756</v>
      </c>
      <c r="F1205" s="8">
        <v>109050756</v>
      </c>
      <c r="G1205" s="8" t="s">
        <v>46</v>
      </c>
      <c r="H1205" s="8" t="s">
        <v>24</v>
      </c>
      <c r="I1205" s="8" t="s">
        <v>23</v>
      </c>
      <c r="J1205" s="8" t="s">
        <v>7806</v>
      </c>
      <c r="K1205" s="8" t="s">
        <v>7808</v>
      </c>
      <c r="L1205" s="8" t="s">
        <v>19</v>
      </c>
      <c r="M1205" s="8">
        <v>356</v>
      </c>
      <c r="N1205" s="8" t="s">
        <v>582</v>
      </c>
      <c r="O1205" s="8">
        <v>101</v>
      </c>
      <c r="P1205" s="8" t="s">
        <v>7807</v>
      </c>
      <c r="Q1205" s="8" t="s">
        <v>4262</v>
      </c>
      <c r="R1205" s="8">
        <v>0.16</v>
      </c>
      <c r="S1205" s="8">
        <v>109050756</v>
      </c>
      <c r="T1205" s="8" t="s">
        <v>46</v>
      </c>
      <c r="U1205" s="8" t="s">
        <v>24</v>
      </c>
    </row>
    <row r="1206" spans="1:21">
      <c r="A1206" s="8" t="s">
        <v>7774</v>
      </c>
      <c r="B1206" s="8" t="s">
        <v>3145</v>
      </c>
      <c r="C1206" s="8">
        <v>152273</v>
      </c>
      <c r="D1206" s="8" t="s">
        <v>201</v>
      </c>
      <c r="E1206" s="8">
        <v>14941948</v>
      </c>
      <c r="F1206" s="8">
        <v>14941948</v>
      </c>
      <c r="G1206" s="8" t="s">
        <v>24</v>
      </c>
      <c r="H1206" s="8" t="s">
        <v>25</v>
      </c>
      <c r="I1206" s="8" t="s">
        <v>23</v>
      </c>
      <c r="J1206" s="8" t="s">
        <v>3146</v>
      </c>
      <c r="K1206" s="8" t="s">
        <v>4587</v>
      </c>
      <c r="L1206" s="8" t="s">
        <v>19</v>
      </c>
      <c r="M1206" s="8">
        <v>3303</v>
      </c>
      <c r="N1206" s="8" t="s">
        <v>485</v>
      </c>
      <c r="O1206" s="8">
        <v>1065</v>
      </c>
      <c r="P1206" s="8" t="s">
        <v>7809</v>
      </c>
      <c r="Q1206" s="8" t="s">
        <v>4262</v>
      </c>
      <c r="R1206" s="8">
        <v>0.438</v>
      </c>
      <c r="S1206" s="8">
        <v>14941948</v>
      </c>
      <c r="T1206" s="8" t="s">
        <v>24</v>
      </c>
      <c r="U1206" s="8" t="s">
        <v>25</v>
      </c>
    </row>
    <row r="1207" spans="1:21">
      <c r="A1207" s="8" t="s">
        <v>7774</v>
      </c>
      <c r="B1207" s="8" t="s">
        <v>1664</v>
      </c>
      <c r="C1207" s="8">
        <v>23284</v>
      </c>
      <c r="D1207" s="8" t="s">
        <v>220</v>
      </c>
      <c r="E1207" s="8">
        <v>62936131</v>
      </c>
      <c r="F1207" s="8">
        <v>62936131</v>
      </c>
      <c r="G1207" s="8" t="s">
        <v>41</v>
      </c>
      <c r="H1207" s="8" t="s">
        <v>24</v>
      </c>
      <c r="I1207" s="8" t="s">
        <v>23</v>
      </c>
      <c r="J1207" s="8" t="s">
        <v>7810</v>
      </c>
      <c r="K1207" s="8" t="s">
        <v>7812</v>
      </c>
      <c r="L1207" s="8" t="s">
        <v>19</v>
      </c>
      <c r="M1207" s="8">
        <v>4088</v>
      </c>
      <c r="N1207" s="8" t="s">
        <v>324</v>
      </c>
      <c r="O1207" s="8">
        <v>1305</v>
      </c>
      <c r="P1207" s="8" t="s">
        <v>7811</v>
      </c>
      <c r="Q1207" s="8" t="s">
        <v>4262</v>
      </c>
      <c r="R1207" s="8">
        <v>0.45500000000000002</v>
      </c>
      <c r="S1207" s="8">
        <v>62936131</v>
      </c>
      <c r="T1207" s="8" t="s">
        <v>41</v>
      </c>
      <c r="U1207" s="8" t="s">
        <v>24</v>
      </c>
    </row>
    <row r="1208" spans="1:21">
      <c r="A1208" s="8" t="s">
        <v>7774</v>
      </c>
      <c r="B1208" s="8" t="s">
        <v>7813</v>
      </c>
      <c r="C1208" s="8">
        <v>5161</v>
      </c>
      <c r="D1208" s="8" t="s">
        <v>220</v>
      </c>
      <c r="E1208" s="8">
        <v>96761311</v>
      </c>
      <c r="F1208" s="8">
        <v>96761311</v>
      </c>
      <c r="G1208" s="8" t="s">
        <v>24</v>
      </c>
      <c r="H1208" s="8" t="s">
        <v>25</v>
      </c>
      <c r="I1208" s="8" t="s">
        <v>23</v>
      </c>
      <c r="J1208" s="8" t="s">
        <v>7814</v>
      </c>
      <c r="K1208" s="8" t="s">
        <v>7816</v>
      </c>
      <c r="L1208" s="8" t="s">
        <v>19</v>
      </c>
      <c r="M1208" s="8">
        <v>73</v>
      </c>
      <c r="N1208" s="8" t="s">
        <v>155</v>
      </c>
      <c r="O1208" s="8">
        <v>4</v>
      </c>
      <c r="P1208" s="8" t="s">
        <v>7815</v>
      </c>
      <c r="Q1208" s="8" t="s">
        <v>4262</v>
      </c>
      <c r="R1208" s="8">
        <v>0.14799999999999999</v>
      </c>
      <c r="S1208" s="8">
        <v>96761311</v>
      </c>
      <c r="T1208" s="8" t="s">
        <v>24</v>
      </c>
      <c r="U1208" s="8" t="s">
        <v>25</v>
      </c>
    </row>
    <row r="1209" spans="1:21">
      <c r="A1209" s="8" t="s">
        <v>7774</v>
      </c>
      <c r="B1209" s="8" t="s">
        <v>3149</v>
      </c>
      <c r="C1209" s="8">
        <v>2151</v>
      </c>
      <c r="D1209" s="8" t="s">
        <v>226</v>
      </c>
      <c r="E1209" s="8">
        <v>75914378</v>
      </c>
      <c r="F1209" s="8">
        <v>75914378</v>
      </c>
      <c r="G1209" s="8" t="s">
        <v>24</v>
      </c>
      <c r="H1209" s="8" t="s">
        <v>41</v>
      </c>
      <c r="I1209" s="8" t="s">
        <v>23</v>
      </c>
      <c r="J1209" s="8" t="s">
        <v>7817</v>
      </c>
      <c r="K1209" s="8" t="s">
        <v>7819</v>
      </c>
      <c r="L1209" s="8" t="s">
        <v>19</v>
      </c>
      <c r="M1209" s="8">
        <v>339</v>
      </c>
      <c r="N1209" s="8" t="s">
        <v>3150</v>
      </c>
      <c r="O1209" s="8">
        <v>52</v>
      </c>
      <c r="P1209" s="8" t="s">
        <v>7818</v>
      </c>
      <c r="Q1209" s="8" t="s">
        <v>4262</v>
      </c>
      <c r="R1209" s="8">
        <v>0.49399999999999999</v>
      </c>
      <c r="S1209" s="8">
        <v>75914378</v>
      </c>
      <c r="T1209" s="8" t="s">
        <v>24</v>
      </c>
      <c r="U1209" s="8" t="s">
        <v>41</v>
      </c>
    </row>
    <row r="1210" spans="1:21">
      <c r="A1210" s="8" t="s">
        <v>7774</v>
      </c>
      <c r="B1210" s="8" t="s">
        <v>7820</v>
      </c>
      <c r="C1210" s="8">
        <v>133482</v>
      </c>
      <c r="D1210" s="8" t="s">
        <v>226</v>
      </c>
      <c r="E1210" s="8">
        <v>101726730</v>
      </c>
      <c r="F1210" s="8">
        <v>101726730</v>
      </c>
      <c r="G1210" s="8" t="s">
        <v>24</v>
      </c>
      <c r="H1210" s="8" t="s">
        <v>25</v>
      </c>
      <c r="I1210" s="8" t="s">
        <v>23</v>
      </c>
      <c r="J1210" s="8" t="s">
        <v>7821</v>
      </c>
      <c r="K1210" s="8" t="s">
        <v>7823</v>
      </c>
      <c r="L1210" s="8" t="s">
        <v>19</v>
      </c>
      <c r="M1210" s="8">
        <v>2006</v>
      </c>
      <c r="N1210" s="8" t="s">
        <v>614</v>
      </c>
      <c r="O1210" s="8">
        <v>612</v>
      </c>
      <c r="P1210" s="8" t="s">
        <v>7822</v>
      </c>
      <c r="Q1210" s="8" t="s">
        <v>4262</v>
      </c>
      <c r="R1210" s="8">
        <v>0.30299999999999999</v>
      </c>
      <c r="S1210" s="8">
        <v>101726730</v>
      </c>
      <c r="T1210" s="8" t="s">
        <v>24</v>
      </c>
      <c r="U1210" s="8" t="s">
        <v>25</v>
      </c>
    </row>
    <row r="1211" spans="1:21">
      <c r="A1211" s="8" t="s">
        <v>7774</v>
      </c>
      <c r="B1211" s="8" t="s">
        <v>7824</v>
      </c>
      <c r="C1211" s="8">
        <v>7738</v>
      </c>
      <c r="D1211" s="8" t="s">
        <v>237</v>
      </c>
      <c r="E1211" s="8">
        <v>27419125</v>
      </c>
      <c r="F1211" s="8">
        <v>27419125</v>
      </c>
      <c r="G1211" s="8" t="s">
        <v>46</v>
      </c>
      <c r="H1211" s="8" t="s">
        <v>41</v>
      </c>
      <c r="I1211" s="8" t="s">
        <v>23</v>
      </c>
      <c r="J1211" s="8" t="s">
        <v>7825</v>
      </c>
      <c r="K1211" s="8" t="s">
        <v>7827</v>
      </c>
      <c r="L1211" s="8" t="s">
        <v>19</v>
      </c>
      <c r="M1211" s="8">
        <v>2498</v>
      </c>
      <c r="N1211" s="8" t="s">
        <v>73</v>
      </c>
      <c r="O1211" s="8">
        <v>738</v>
      </c>
      <c r="P1211" s="8" t="s">
        <v>7826</v>
      </c>
      <c r="Q1211" s="8" t="s">
        <v>4262</v>
      </c>
      <c r="R1211" s="8">
        <v>0.17599999999999999</v>
      </c>
      <c r="S1211" s="8">
        <v>27419125</v>
      </c>
      <c r="T1211" s="8" t="s">
        <v>46</v>
      </c>
      <c r="U1211" s="8" t="s">
        <v>41</v>
      </c>
    </row>
    <row r="1212" spans="1:21">
      <c r="A1212" s="8" t="s">
        <v>7774</v>
      </c>
      <c r="B1212" s="8" t="s">
        <v>1534</v>
      </c>
      <c r="C1212" s="8">
        <v>1769</v>
      </c>
      <c r="D1212" s="8" t="s">
        <v>237</v>
      </c>
      <c r="E1212" s="8">
        <v>38998046</v>
      </c>
      <c r="F1212" s="8">
        <v>38998046</v>
      </c>
      <c r="G1212" s="8" t="s">
        <v>46</v>
      </c>
      <c r="H1212" s="8" t="s">
        <v>25</v>
      </c>
      <c r="I1212" s="8" t="s">
        <v>23</v>
      </c>
      <c r="J1212" s="8" t="s">
        <v>1535</v>
      </c>
      <c r="K1212" s="8" t="s">
        <v>4682</v>
      </c>
      <c r="L1212" s="8" t="s">
        <v>19</v>
      </c>
      <c r="M1212" s="8">
        <v>14111</v>
      </c>
      <c r="N1212" s="8" t="s">
        <v>1005</v>
      </c>
      <c r="O1212" s="8">
        <v>4668</v>
      </c>
      <c r="P1212" s="8" t="s">
        <v>7828</v>
      </c>
      <c r="Q1212" s="8" t="s">
        <v>4262</v>
      </c>
      <c r="R1212" s="8">
        <v>0.13</v>
      </c>
      <c r="S1212" s="8">
        <v>38998046</v>
      </c>
      <c r="T1212" s="8" t="s">
        <v>46</v>
      </c>
      <c r="U1212" s="8" t="s">
        <v>25</v>
      </c>
    </row>
    <row r="1213" spans="1:21">
      <c r="A1213" s="8" t="s">
        <v>7774</v>
      </c>
      <c r="B1213" s="8" t="s">
        <v>1875</v>
      </c>
      <c r="C1213" s="8">
        <v>27012</v>
      </c>
      <c r="D1213" s="8" t="s">
        <v>279</v>
      </c>
      <c r="E1213" s="8">
        <v>110986277</v>
      </c>
      <c r="F1213" s="8">
        <v>110986277</v>
      </c>
      <c r="G1213" s="8" t="s">
        <v>25</v>
      </c>
      <c r="H1213" s="8" t="s">
        <v>24</v>
      </c>
      <c r="I1213" s="8" t="s">
        <v>23</v>
      </c>
      <c r="J1213" s="8" t="s">
        <v>3151</v>
      </c>
      <c r="K1213" s="8" t="s">
        <v>7830</v>
      </c>
      <c r="L1213" s="8" t="s">
        <v>19</v>
      </c>
      <c r="M1213" s="8">
        <v>683</v>
      </c>
      <c r="N1213" s="8" t="s">
        <v>3026</v>
      </c>
      <c r="O1213" s="8">
        <v>114</v>
      </c>
      <c r="P1213" s="8" t="s">
        <v>7829</v>
      </c>
      <c r="Q1213" s="8" t="s">
        <v>4262</v>
      </c>
      <c r="R1213" s="8">
        <v>0.36399999999999999</v>
      </c>
      <c r="S1213" s="8">
        <v>110986277</v>
      </c>
      <c r="T1213" s="8" t="s">
        <v>25</v>
      </c>
      <c r="U1213" s="8" t="s">
        <v>24</v>
      </c>
    </row>
    <row r="1214" spans="1:21">
      <c r="A1214" s="8" t="s">
        <v>7774</v>
      </c>
      <c r="B1214" s="8" t="s">
        <v>2200</v>
      </c>
      <c r="C1214" s="8">
        <v>5339</v>
      </c>
      <c r="D1214" s="8" t="s">
        <v>279</v>
      </c>
      <c r="E1214" s="8">
        <v>144994174</v>
      </c>
      <c r="F1214" s="8">
        <v>144994174</v>
      </c>
      <c r="G1214" s="8" t="s">
        <v>46</v>
      </c>
      <c r="H1214" s="8" t="s">
        <v>41</v>
      </c>
      <c r="I1214" s="8" t="s">
        <v>23</v>
      </c>
      <c r="J1214" s="8" t="s">
        <v>7831</v>
      </c>
      <c r="K1214" s="8" t="s">
        <v>7833</v>
      </c>
      <c r="L1214" s="8" t="s">
        <v>19</v>
      </c>
      <c r="M1214" s="8">
        <v>10396</v>
      </c>
      <c r="N1214" s="8" t="s">
        <v>297</v>
      </c>
      <c r="O1214" s="8">
        <v>3409</v>
      </c>
      <c r="P1214" s="8" t="s">
        <v>7832</v>
      </c>
      <c r="Q1214" s="8" t="s">
        <v>4262</v>
      </c>
      <c r="R1214" s="8">
        <v>0.20799999999999999</v>
      </c>
      <c r="S1214" s="8">
        <v>144994174</v>
      </c>
      <c r="T1214" s="8" t="s">
        <v>46</v>
      </c>
      <c r="U1214" s="8" t="s">
        <v>41</v>
      </c>
    </row>
    <row r="1215" spans="1:21">
      <c r="A1215" s="8" t="s">
        <v>7774</v>
      </c>
      <c r="B1215" s="8" t="s">
        <v>7834</v>
      </c>
      <c r="C1215" s="8">
        <v>7993</v>
      </c>
      <c r="D1215" s="8" t="s">
        <v>279</v>
      </c>
      <c r="E1215" s="8">
        <v>30601795</v>
      </c>
      <c r="F1215" s="8">
        <v>30601795</v>
      </c>
      <c r="G1215" s="8" t="s">
        <v>24</v>
      </c>
      <c r="H1215" s="8" t="s">
        <v>25</v>
      </c>
      <c r="I1215" s="8" t="s">
        <v>23</v>
      </c>
      <c r="J1215" s="8" t="s">
        <v>7835</v>
      </c>
      <c r="K1215" s="8" t="s">
        <v>7836</v>
      </c>
      <c r="L1215" s="8" t="s">
        <v>68</v>
      </c>
      <c r="M1215" s="8">
        <v>0</v>
      </c>
      <c r="N1215" s="8" t="s">
        <v>35</v>
      </c>
      <c r="O1215" s="8">
        <v>0</v>
      </c>
      <c r="P1215" s="8" t="s">
        <v>35</v>
      </c>
      <c r="Q1215" s="8" t="s">
        <v>4262</v>
      </c>
      <c r="R1215" s="8">
        <v>0.19700000000000001</v>
      </c>
      <c r="S1215" s="8">
        <v>30601795</v>
      </c>
      <c r="T1215" s="8" t="s">
        <v>24</v>
      </c>
      <c r="U1215" s="8" t="s">
        <v>25</v>
      </c>
    </row>
    <row r="1216" spans="1:21">
      <c r="A1216" s="8" t="s">
        <v>7774</v>
      </c>
      <c r="B1216" s="8" t="s">
        <v>3152</v>
      </c>
      <c r="C1216" s="8">
        <v>158399</v>
      </c>
      <c r="D1216" s="8" t="s">
        <v>292</v>
      </c>
      <c r="E1216" s="8">
        <v>114304236</v>
      </c>
      <c r="F1216" s="8">
        <v>114304236</v>
      </c>
      <c r="G1216" s="8" t="s">
        <v>41</v>
      </c>
      <c r="H1216" s="8" t="s">
        <v>46</v>
      </c>
      <c r="I1216" s="8" t="s">
        <v>23</v>
      </c>
      <c r="J1216" s="8" t="s">
        <v>3153</v>
      </c>
      <c r="K1216" s="8" t="s">
        <v>7838</v>
      </c>
      <c r="L1216" s="8" t="s">
        <v>19</v>
      </c>
      <c r="M1216" s="8">
        <v>1245</v>
      </c>
      <c r="N1216" s="8" t="s">
        <v>200</v>
      </c>
      <c r="O1216" s="8">
        <v>341</v>
      </c>
      <c r="P1216" s="8" t="s">
        <v>7837</v>
      </c>
      <c r="Q1216" s="8" t="s">
        <v>4262</v>
      </c>
      <c r="R1216" s="8">
        <v>0.375</v>
      </c>
      <c r="S1216" s="8">
        <v>114304236</v>
      </c>
      <c r="T1216" s="8" t="s">
        <v>41</v>
      </c>
      <c r="U1216" s="8" t="s">
        <v>46</v>
      </c>
    </row>
    <row r="1217" spans="1:21">
      <c r="A1217" s="8" t="s">
        <v>7774</v>
      </c>
      <c r="B1217" s="8" t="s">
        <v>7839</v>
      </c>
      <c r="C1217" s="8">
        <v>22876</v>
      </c>
      <c r="D1217" s="8" t="s">
        <v>69</v>
      </c>
      <c r="E1217" s="8">
        <v>121557006</v>
      </c>
      <c r="F1217" s="8">
        <v>121557006</v>
      </c>
      <c r="G1217" s="8" t="s">
        <v>25</v>
      </c>
      <c r="H1217" s="8" t="s">
        <v>24</v>
      </c>
      <c r="I1217" s="8" t="s">
        <v>23</v>
      </c>
      <c r="J1217" s="8" t="s">
        <v>7840</v>
      </c>
      <c r="K1217" s="8" t="s">
        <v>7842</v>
      </c>
      <c r="L1217" s="8" t="s">
        <v>19</v>
      </c>
      <c r="M1217" s="8">
        <v>1068</v>
      </c>
      <c r="N1217" s="8" t="s">
        <v>955</v>
      </c>
      <c r="O1217" s="8">
        <v>301</v>
      </c>
      <c r="P1217" s="8" t="s">
        <v>7841</v>
      </c>
      <c r="Q1217" s="8" t="s">
        <v>4262</v>
      </c>
      <c r="R1217" s="8">
        <v>0.81200000000000006</v>
      </c>
      <c r="S1217" s="8">
        <v>121557006</v>
      </c>
      <c r="T1217" s="8" t="s">
        <v>25</v>
      </c>
      <c r="U1217" s="8" t="s">
        <v>24</v>
      </c>
    </row>
    <row r="1218" spans="1:21">
      <c r="A1218" s="8" t="s">
        <v>7774</v>
      </c>
      <c r="B1218" s="8" t="s">
        <v>7843</v>
      </c>
      <c r="C1218" s="8">
        <v>54949</v>
      </c>
      <c r="D1218" s="8" t="s">
        <v>83</v>
      </c>
      <c r="E1218" s="8">
        <v>61197619</v>
      </c>
      <c r="F1218" s="8">
        <v>61197619</v>
      </c>
      <c r="G1218" s="8" t="s">
        <v>25</v>
      </c>
      <c r="H1218" s="8" t="s">
        <v>24</v>
      </c>
      <c r="I1218" s="8" t="s">
        <v>23</v>
      </c>
      <c r="J1218" s="8" t="s">
        <v>7844</v>
      </c>
      <c r="K1218" s="8" t="s">
        <v>7845</v>
      </c>
      <c r="L1218" s="8" t="s">
        <v>19</v>
      </c>
      <c r="M1218" s="8">
        <v>23</v>
      </c>
      <c r="N1218" s="8" t="s">
        <v>974</v>
      </c>
      <c r="O1218" s="8">
        <v>1</v>
      </c>
      <c r="P1218" s="8" t="s">
        <v>6165</v>
      </c>
      <c r="Q1218" s="8" t="s">
        <v>4262</v>
      </c>
      <c r="R1218" s="8">
        <v>0.81799999999999995</v>
      </c>
      <c r="S1218" s="8">
        <v>61197619</v>
      </c>
      <c r="T1218" s="8" t="s">
        <v>25</v>
      </c>
      <c r="U1218" s="8" t="s">
        <v>24</v>
      </c>
    </row>
    <row r="1219" spans="1:21">
      <c r="A1219" s="8" t="s">
        <v>7774</v>
      </c>
      <c r="B1219" s="8" t="s">
        <v>323</v>
      </c>
      <c r="C1219" s="8">
        <v>53942</v>
      </c>
      <c r="D1219" s="8" t="s">
        <v>83</v>
      </c>
      <c r="E1219" s="8">
        <v>99932039</v>
      </c>
      <c r="F1219" s="8">
        <v>99932039</v>
      </c>
      <c r="G1219" s="8" t="s">
        <v>41</v>
      </c>
      <c r="H1219" s="8" t="s">
        <v>46</v>
      </c>
      <c r="I1219" s="8" t="s">
        <v>23</v>
      </c>
      <c r="J1219" s="8" t="s">
        <v>7846</v>
      </c>
      <c r="K1219" s="8" t="s">
        <v>7848</v>
      </c>
      <c r="L1219" s="8" t="s">
        <v>19</v>
      </c>
      <c r="M1219" s="8">
        <v>1415</v>
      </c>
      <c r="N1219" s="8" t="s">
        <v>5447</v>
      </c>
      <c r="O1219" s="8">
        <v>359</v>
      </c>
      <c r="P1219" s="8" t="s">
        <v>7847</v>
      </c>
      <c r="Q1219" s="8" t="s">
        <v>4262</v>
      </c>
      <c r="R1219" s="8">
        <v>0.22</v>
      </c>
      <c r="S1219" s="8">
        <v>99932039</v>
      </c>
      <c r="T1219" s="8" t="s">
        <v>41</v>
      </c>
      <c r="U1219" s="8" t="s">
        <v>46</v>
      </c>
    </row>
    <row r="1220" spans="1:21">
      <c r="A1220" s="8" t="s">
        <v>7774</v>
      </c>
      <c r="B1220" s="8" t="s">
        <v>6748</v>
      </c>
      <c r="C1220" s="8">
        <v>1464</v>
      </c>
      <c r="D1220" s="8" t="s">
        <v>120</v>
      </c>
      <c r="E1220" s="8">
        <v>75968409</v>
      </c>
      <c r="F1220" s="8">
        <v>75968409</v>
      </c>
      <c r="G1220" s="8" t="s">
        <v>46</v>
      </c>
      <c r="H1220" s="8" t="s">
        <v>25</v>
      </c>
      <c r="I1220" s="8" t="s">
        <v>23</v>
      </c>
      <c r="J1220" s="8" t="s">
        <v>6749</v>
      </c>
      <c r="K1220" s="8" t="s">
        <v>6751</v>
      </c>
      <c r="L1220" s="8" t="s">
        <v>19</v>
      </c>
      <c r="M1220" s="8">
        <v>6544</v>
      </c>
      <c r="N1220" s="8" t="s">
        <v>162</v>
      </c>
      <c r="O1220" s="8">
        <v>2151</v>
      </c>
      <c r="P1220" s="8" t="s">
        <v>7849</v>
      </c>
      <c r="Q1220" s="8" t="s">
        <v>4262</v>
      </c>
      <c r="R1220" s="8">
        <v>1</v>
      </c>
      <c r="S1220" s="8">
        <v>75968409</v>
      </c>
      <c r="T1220" s="8" t="s">
        <v>46</v>
      </c>
      <c r="U1220" s="8" t="s">
        <v>25</v>
      </c>
    </row>
    <row r="1221" spans="1:21">
      <c r="A1221" s="8" t="s">
        <v>7774</v>
      </c>
      <c r="B1221" s="8" t="s">
        <v>1066</v>
      </c>
      <c r="C1221" s="8">
        <v>23269</v>
      </c>
      <c r="D1221" s="8" t="s">
        <v>120</v>
      </c>
      <c r="E1221" s="8">
        <v>42041459</v>
      </c>
      <c r="F1221" s="8">
        <v>42041459</v>
      </c>
      <c r="G1221" s="8" t="s">
        <v>46</v>
      </c>
      <c r="H1221" s="8" t="s">
        <v>25</v>
      </c>
      <c r="I1221" s="8" t="s">
        <v>23</v>
      </c>
      <c r="J1221" s="8" t="s">
        <v>7591</v>
      </c>
      <c r="K1221" s="8" t="s">
        <v>7593</v>
      </c>
      <c r="L1221" s="8" t="s">
        <v>76</v>
      </c>
      <c r="M1221" s="8">
        <v>5835</v>
      </c>
      <c r="N1221" s="8" t="s">
        <v>609</v>
      </c>
      <c r="O1221" s="8">
        <v>1885</v>
      </c>
      <c r="P1221" s="8" t="s">
        <v>7850</v>
      </c>
      <c r="Q1221" s="8" t="s">
        <v>4262</v>
      </c>
      <c r="R1221" s="8">
        <v>0.84499999999999997</v>
      </c>
      <c r="S1221" s="8">
        <v>42041459</v>
      </c>
      <c r="T1221" s="8" t="s">
        <v>46</v>
      </c>
      <c r="U1221" s="8" t="s">
        <v>25</v>
      </c>
    </row>
    <row r="1222" spans="1:21">
      <c r="A1222" s="8" t="s">
        <v>7774</v>
      </c>
      <c r="B1222" s="8"/>
      <c r="C1222" s="8">
        <v>100289090</v>
      </c>
      <c r="D1222" s="8" t="s">
        <v>120</v>
      </c>
      <c r="E1222" s="8">
        <v>42187513</v>
      </c>
      <c r="F1222" s="8">
        <v>42187513</v>
      </c>
      <c r="G1222" s="8" t="s">
        <v>24</v>
      </c>
      <c r="H1222" s="8" t="s">
        <v>25</v>
      </c>
      <c r="I1222" s="8" t="s">
        <v>23</v>
      </c>
      <c r="J1222" s="8" t="s">
        <v>7851</v>
      </c>
      <c r="K1222" s="8" t="s">
        <v>7853</v>
      </c>
      <c r="L1222" s="8" t="s">
        <v>19</v>
      </c>
      <c r="M1222" s="8">
        <v>511</v>
      </c>
      <c r="N1222" s="8" t="s">
        <v>155</v>
      </c>
      <c r="O1222" s="8">
        <v>171</v>
      </c>
      <c r="P1222" s="8" t="s">
        <v>7852</v>
      </c>
      <c r="Q1222" s="8" t="s">
        <v>4262</v>
      </c>
      <c r="R1222" s="8">
        <v>0.93100000000000005</v>
      </c>
      <c r="S1222" s="8">
        <v>42187513</v>
      </c>
      <c r="T1222" s="8" t="s">
        <v>24</v>
      </c>
      <c r="U1222" s="8" t="s">
        <v>25</v>
      </c>
    </row>
    <row r="1223" spans="1:21">
      <c r="A1223" s="8" t="s">
        <v>7774</v>
      </c>
      <c r="B1223" s="8" t="s">
        <v>7854</v>
      </c>
      <c r="C1223" s="8">
        <v>124535</v>
      </c>
      <c r="D1223" s="8" t="s">
        <v>133</v>
      </c>
      <c r="E1223" s="8">
        <v>56565457</v>
      </c>
      <c r="F1223" s="8">
        <v>56565457</v>
      </c>
      <c r="G1223" s="8" t="s">
        <v>46</v>
      </c>
      <c r="H1223" s="8" t="s">
        <v>25</v>
      </c>
      <c r="I1223" s="8" t="s">
        <v>23</v>
      </c>
      <c r="J1223" s="8" t="s">
        <v>7855</v>
      </c>
      <c r="K1223" s="8" t="s">
        <v>7857</v>
      </c>
      <c r="L1223" s="8" t="s">
        <v>19</v>
      </c>
      <c r="M1223" s="8">
        <v>303</v>
      </c>
      <c r="N1223" s="8" t="s">
        <v>710</v>
      </c>
      <c r="O1223" s="8">
        <v>60</v>
      </c>
      <c r="P1223" s="8" t="s">
        <v>7856</v>
      </c>
      <c r="Q1223" s="8" t="s">
        <v>4262</v>
      </c>
      <c r="R1223" s="8">
        <v>0.625</v>
      </c>
      <c r="S1223" s="8">
        <v>56565457</v>
      </c>
      <c r="T1223" s="8" t="s">
        <v>46</v>
      </c>
      <c r="U1223" s="8" t="s">
        <v>25</v>
      </c>
    </row>
    <row r="1224" spans="1:21">
      <c r="A1224" s="8" t="s">
        <v>7774</v>
      </c>
      <c r="B1224" s="8" t="s">
        <v>2559</v>
      </c>
      <c r="C1224" s="8">
        <v>6329</v>
      </c>
      <c r="D1224" s="8" t="s">
        <v>133</v>
      </c>
      <c r="E1224" s="8">
        <v>62029130</v>
      </c>
      <c r="F1224" s="8">
        <v>62029130</v>
      </c>
      <c r="G1224" s="8" t="s">
        <v>24</v>
      </c>
      <c r="H1224" s="8" t="s">
        <v>25</v>
      </c>
      <c r="I1224" s="8" t="s">
        <v>23</v>
      </c>
      <c r="J1224" s="8" t="s">
        <v>2560</v>
      </c>
      <c r="K1224" s="8" t="s">
        <v>7859</v>
      </c>
      <c r="L1224" s="8" t="s">
        <v>19</v>
      </c>
      <c r="M1224" s="8">
        <v>2584</v>
      </c>
      <c r="N1224" s="8" t="s">
        <v>1421</v>
      </c>
      <c r="O1224" s="8">
        <v>836</v>
      </c>
      <c r="P1224" s="8" t="s">
        <v>7858</v>
      </c>
      <c r="Q1224" s="8" t="s">
        <v>4262</v>
      </c>
      <c r="R1224" s="8">
        <v>0.32400000000000001</v>
      </c>
      <c r="S1224" s="8">
        <v>62029130</v>
      </c>
      <c r="T1224" s="8" t="s">
        <v>24</v>
      </c>
      <c r="U1224" s="8" t="s">
        <v>25</v>
      </c>
    </row>
    <row r="1225" spans="1:21">
      <c r="A1225" s="8" t="s">
        <v>7774</v>
      </c>
      <c r="B1225" s="8" t="s">
        <v>7860</v>
      </c>
      <c r="C1225" s="8">
        <v>57532</v>
      </c>
      <c r="D1225" s="8" t="s">
        <v>133</v>
      </c>
      <c r="E1225" s="8">
        <v>27613562</v>
      </c>
      <c r="F1225" s="8">
        <v>27613562</v>
      </c>
      <c r="G1225" s="8" t="s">
        <v>41</v>
      </c>
      <c r="H1225" s="8" t="s">
        <v>25</v>
      </c>
      <c r="I1225" s="8" t="s">
        <v>23</v>
      </c>
      <c r="J1225" s="8" t="s">
        <v>7861</v>
      </c>
      <c r="K1225" s="8" t="s">
        <v>7863</v>
      </c>
      <c r="L1225" s="8" t="s">
        <v>19</v>
      </c>
      <c r="M1225" s="8">
        <v>1539</v>
      </c>
      <c r="N1225" s="8" t="s">
        <v>1030</v>
      </c>
      <c r="O1225" s="8">
        <v>484</v>
      </c>
      <c r="P1225" s="8" t="s">
        <v>7862</v>
      </c>
      <c r="Q1225" s="8" t="s">
        <v>4262</v>
      </c>
      <c r="R1225" s="8">
        <v>0.23899999999999999</v>
      </c>
      <c r="S1225" s="8">
        <v>27613562</v>
      </c>
      <c r="T1225" s="8" t="s">
        <v>41</v>
      </c>
      <c r="U1225" s="8" t="s">
        <v>25</v>
      </c>
    </row>
    <row r="1226" spans="1:21">
      <c r="A1226" s="8" t="s">
        <v>7774</v>
      </c>
      <c r="B1226" s="8" t="s">
        <v>3134</v>
      </c>
      <c r="C1226" s="8">
        <v>83900</v>
      </c>
      <c r="D1226" s="8" t="s">
        <v>133</v>
      </c>
      <c r="E1226" s="8">
        <v>39389190</v>
      </c>
      <c r="F1226" s="8">
        <v>39389190</v>
      </c>
      <c r="G1226" s="8" t="s">
        <v>25</v>
      </c>
      <c r="H1226" s="8" t="s">
        <v>41</v>
      </c>
      <c r="I1226" s="8" t="s">
        <v>23</v>
      </c>
      <c r="J1226" s="8" t="s">
        <v>3135</v>
      </c>
      <c r="K1226" s="8" t="s">
        <v>7865</v>
      </c>
      <c r="L1226" s="8" t="s">
        <v>19</v>
      </c>
      <c r="M1226" s="8">
        <v>476</v>
      </c>
      <c r="N1226" s="8" t="s">
        <v>3136</v>
      </c>
      <c r="O1226" s="8">
        <v>146</v>
      </c>
      <c r="P1226" s="8" t="s">
        <v>7864</v>
      </c>
      <c r="Q1226" s="8" t="s">
        <v>4262</v>
      </c>
      <c r="R1226" s="8">
        <v>0.36099999999999999</v>
      </c>
      <c r="S1226" s="8">
        <v>39389190</v>
      </c>
      <c r="T1226" s="8" t="s">
        <v>25</v>
      </c>
      <c r="U1226" s="8" t="s">
        <v>41</v>
      </c>
    </row>
    <row r="1227" spans="1:21">
      <c r="A1227" s="8" t="s">
        <v>7774</v>
      </c>
      <c r="B1227" s="8" t="s">
        <v>3137</v>
      </c>
      <c r="C1227" s="8">
        <v>9097</v>
      </c>
      <c r="D1227" s="8" t="s">
        <v>135</v>
      </c>
      <c r="E1227" s="8">
        <v>211159</v>
      </c>
      <c r="F1227" s="8">
        <v>211159</v>
      </c>
      <c r="G1227" s="8" t="s">
        <v>25</v>
      </c>
      <c r="H1227" s="8" t="s">
        <v>24</v>
      </c>
      <c r="I1227" s="8" t="s">
        <v>23</v>
      </c>
      <c r="J1227" s="8" t="s">
        <v>7866</v>
      </c>
      <c r="K1227" s="8" t="s">
        <v>7868</v>
      </c>
      <c r="L1227" s="8" t="s">
        <v>19</v>
      </c>
      <c r="M1227" s="8">
        <v>1576</v>
      </c>
      <c r="N1227" s="8" t="s">
        <v>3138</v>
      </c>
      <c r="O1227" s="8">
        <v>454</v>
      </c>
      <c r="P1227" s="8" t="s">
        <v>7867</v>
      </c>
      <c r="Q1227" s="8" t="s">
        <v>4262</v>
      </c>
      <c r="R1227" s="8">
        <v>0.38500000000000001</v>
      </c>
      <c r="S1227" s="8">
        <v>211159</v>
      </c>
      <c r="T1227" s="8" t="s">
        <v>25</v>
      </c>
      <c r="U1227" s="8" t="s">
        <v>24</v>
      </c>
    </row>
    <row r="1228" spans="1:21">
      <c r="A1228" s="8" t="s">
        <v>7774</v>
      </c>
      <c r="B1228" s="8" t="s">
        <v>3141</v>
      </c>
      <c r="C1228" s="8">
        <v>7593</v>
      </c>
      <c r="D1228" s="8" t="s">
        <v>139</v>
      </c>
      <c r="E1228" s="8">
        <v>59081783</v>
      </c>
      <c r="F1228" s="8">
        <v>59081783</v>
      </c>
      <c r="G1228" s="8" t="s">
        <v>24</v>
      </c>
      <c r="H1228" s="8" t="s">
        <v>46</v>
      </c>
      <c r="I1228" s="8" t="s">
        <v>23</v>
      </c>
      <c r="J1228" s="8" t="s">
        <v>7869</v>
      </c>
      <c r="K1228" s="8" t="s">
        <v>7871</v>
      </c>
      <c r="L1228" s="8" t="s">
        <v>19</v>
      </c>
      <c r="M1228" s="8">
        <v>751</v>
      </c>
      <c r="N1228" s="8" t="s">
        <v>1549</v>
      </c>
      <c r="O1228" s="8">
        <v>170</v>
      </c>
      <c r="P1228" s="8" t="s">
        <v>7870</v>
      </c>
      <c r="Q1228" s="8" t="s">
        <v>4262</v>
      </c>
      <c r="R1228" s="8">
        <v>0.373</v>
      </c>
      <c r="S1228" s="8">
        <v>59081783</v>
      </c>
      <c r="T1228" s="8" t="s">
        <v>24</v>
      </c>
      <c r="U1228" s="8" t="s">
        <v>46</v>
      </c>
    </row>
    <row r="1229" spans="1:21">
      <c r="A1229" s="8" t="s">
        <v>7774</v>
      </c>
      <c r="B1229" s="8" t="s">
        <v>3139</v>
      </c>
      <c r="C1229" s="8">
        <v>342897</v>
      </c>
      <c r="D1229" s="8" t="s">
        <v>139</v>
      </c>
      <c r="E1229" s="8">
        <v>39691009</v>
      </c>
      <c r="F1229" s="8">
        <v>39691009</v>
      </c>
      <c r="G1229" s="8" t="s">
        <v>46</v>
      </c>
      <c r="H1229" s="8" t="s">
        <v>41</v>
      </c>
      <c r="I1229" s="8" t="s">
        <v>23</v>
      </c>
      <c r="J1229" s="8" t="s">
        <v>3140</v>
      </c>
      <c r="K1229" s="8" t="s">
        <v>7873</v>
      </c>
      <c r="L1229" s="8" t="s">
        <v>19</v>
      </c>
      <c r="M1229" s="8">
        <v>591</v>
      </c>
      <c r="N1229" s="8" t="s">
        <v>230</v>
      </c>
      <c r="O1229" s="8">
        <v>191</v>
      </c>
      <c r="P1229" s="8" t="s">
        <v>7872</v>
      </c>
      <c r="Q1229" s="8" t="s">
        <v>4262</v>
      </c>
      <c r="R1229" s="8">
        <v>0.35599999999999998</v>
      </c>
      <c r="S1229" s="8">
        <v>39691009</v>
      </c>
      <c r="T1229" s="8" t="s">
        <v>46</v>
      </c>
      <c r="U1229" s="8" t="s">
        <v>41</v>
      </c>
    </row>
    <row r="1230" spans="1:21">
      <c r="A1230" s="8" t="s">
        <v>7774</v>
      </c>
      <c r="B1230" s="8" t="s">
        <v>3562</v>
      </c>
      <c r="C1230" s="8">
        <v>3755</v>
      </c>
      <c r="D1230" s="8" t="s">
        <v>188</v>
      </c>
      <c r="E1230" s="8">
        <v>49626736</v>
      </c>
      <c r="F1230" s="8">
        <v>49626736</v>
      </c>
      <c r="G1230" s="8" t="s">
        <v>46</v>
      </c>
      <c r="H1230" s="8" t="s">
        <v>41</v>
      </c>
      <c r="I1230" s="8" t="s">
        <v>23</v>
      </c>
      <c r="J1230" s="8" t="s">
        <v>3563</v>
      </c>
      <c r="K1230" s="8" t="s">
        <v>6591</v>
      </c>
      <c r="L1230" s="8" t="s">
        <v>19</v>
      </c>
      <c r="M1230" s="8">
        <v>435</v>
      </c>
      <c r="N1230" s="8" t="s">
        <v>61</v>
      </c>
      <c r="O1230" s="8">
        <v>47</v>
      </c>
      <c r="P1230" s="8" t="s">
        <v>7874</v>
      </c>
      <c r="Q1230" s="8" t="s">
        <v>4262</v>
      </c>
      <c r="R1230" s="8">
        <v>0.185</v>
      </c>
      <c r="S1230" s="8">
        <v>49626736</v>
      </c>
      <c r="T1230" s="8" t="s">
        <v>46</v>
      </c>
      <c r="U1230" s="8" t="s">
        <v>41</v>
      </c>
    </row>
    <row r="1231" spans="1:21">
      <c r="A1231" s="8" t="s">
        <v>7774</v>
      </c>
      <c r="B1231" s="8" t="s">
        <v>3142</v>
      </c>
      <c r="C1231" s="8">
        <v>23544</v>
      </c>
      <c r="D1231" s="8" t="s">
        <v>197</v>
      </c>
      <c r="E1231" s="8">
        <v>26761479</v>
      </c>
      <c r="F1231" s="8">
        <v>26761479</v>
      </c>
      <c r="G1231" s="8" t="s">
        <v>24</v>
      </c>
      <c r="H1231" s="8" t="s">
        <v>25</v>
      </c>
      <c r="I1231" s="8" t="s">
        <v>23</v>
      </c>
      <c r="J1231" s="8" t="s">
        <v>7875</v>
      </c>
      <c r="K1231" s="8" t="s">
        <v>7877</v>
      </c>
      <c r="L1231" s="8" t="s">
        <v>19</v>
      </c>
      <c r="M1231" s="8">
        <v>2937</v>
      </c>
      <c r="N1231" s="8" t="s">
        <v>73</v>
      </c>
      <c r="O1231" s="8">
        <v>914</v>
      </c>
      <c r="P1231" s="8" t="s">
        <v>7876</v>
      </c>
      <c r="Q1231" s="8" t="s">
        <v>4262</v>
      </c>
      <c r="R1231" s="8">
        <v>0.373</v>
      </c>
      <c r="S1231" s="8">
        <v>26761479</v>
      </c>
      <c r="T1231" s="8" t="s">
        <v>24</v>
      </c>
      <c r="U1231" s="8" t="s">
        <v>25</v>
      </c>
    </row>
    <row r="1232" spans="1:21">
      <c r="A1232" s="8" t="s">
        <v>7774</v>
      </c>
      <c r="B1232" s="8" t="s">
        <v>3143</v>
      </c>
      <c r="C1232" s="8">
        <v>6942</v>
      </c>
      <c r="D1232" s="8" t="s">
        <v>197</v>
      </c>
      <c r="E1232" s="8">
        <v>42610453</v>
      </c>
      <c r="F1232" s="8">
        <v>42610453</v>
      </c>
      <c r="G1232" s="8" t="s">
        <v>24</v>
      </c>
      <c r="H1232" s="8" t="s">
        <v>41</v>
      </c>
      <c r="I1232" s="8" t="s">
        <v>23</v>
      </c>
      <c r="J1232" s="8" t="s">
        <v>7878</v>
      </c>
      <c r="K1232" s="8" t="s">
        <v>7880</v>
      </c>
      <c r="L1232" s="8" t="s">
        <v>19</v>
      </c>
      <c r="M1232" s="8">
        <v>993</v>
      </c>
      <c r="N1232" s="8" t="s">
        <v>3144</v>
      </c>
      <c r="O1232" s="8">
        <v>287</v>
      </c>
      <c r="P1232" s="8" t="s">
        <v>7879</v>
      </c>
      <c r="Q1232" s="8" t="s">
        <v>4262</v>
      </c>
      <c r="R1232" s="8">
        <v>0.59299999999999997</v>
      </c>
      <c r="S1232" s="8">
        <v>42610453</v>
      </c>
      <c r="T1232" s="8" t="s">
        <v>24</v>
      </c>
      <c r="U1232" s="8" t="s">
        <v>41</v>
      </c>
    </row>
    <row r="1233" spans="1:21">
      <c r="A1233" s="8" t="s">
        <v>7774</v>
      </c>
      <c r="B1233" s="8" t="s">
        <v>3154</v>
      </c>
      <c r="C1233" s="8">
        <v>79057</v>
      </c>
      <c r="D1233" s="8" t="s">
        <v>418</v>
      </c>
      <c r="E1233" s="8">
        <v>150869169</v>
      </c>
      <c r="F1233" s="8">
        <v>150869169</v>
      </c>
      <c r="G1233" s="8" t="s">
        <v>46</v>
      </c>
      <c r="H1233" s="8" t="s">
        <v>25</v>
      </c>
      <c r="I1233" s="8" t="s">
        <v>23</v>
      </c>
      <c r="J1233" s="8" t="s">
        <v>3155</v>
      </c>
      <c r="K1233" s="8" t="s">
        <v>7882</v>
      </c>
      <c r="L1233" s="8" t="s">
        <v>76</v>
      </c>
      <c r="M1233" s="8">
        <v>409</v>
      </c>
      <c r="N1233" s="8" t="s">
        <v>747</v>
      </c>
      <c r="O1233" s="8">
        <v>120</v>
      </c>
      <c r="P1233" s="8" t="s">
        <v>7881</v>
      </c>
      <c r="Q1233" s="8" t="s">
        <v>4262</v>
      </c>
      <c r="R1233" s="8">
        <v>0.63400000000000001</v>
      </c>
      <c r="S1233" s="8">
        <v>150869169</v>
      </c>
      <c r="T1233" s="8" t="s">
        <v>46</v>
      </c>
      <c r="U1233" s="8" t="s">
        <v>25</v>
      </c>
    </row>
    <row r="1234" spans="1:21">
      <c r="A1234" s="8" t="s">
        <v>7885</v>
      </c>
      <c r="B1234" s="8" t="s">
        <v>1926</v>
      </c>
      <c r="C1234" s="8">
        <v>3075</v>
      </c>
      <c r="D1234" s="8" t="s">
        <v>22</v>
      </c>
      <c r="E1234" s="8">
        <v>196714950</v>
      </c>
      <c r="F1234" s="8">
        <v>196714950</v>
      </c>
      <c r="G1234" s="8" t="s">
        <v>46</v>
      </c>
      <c r="H1234" s="8" t="s">
        <v>24</v>
      </c>
      <c r="I1234" s="8" t="s">
        <v>23</v>
      </c>
      <c r="J1234" s="8" t="s">
        <v>3044</v>
      </c>
      <c r="K1234" s="8" t="s">
        <v>7884</v>
      </c>
      <c r="L1234" s="8" t="s">
        <v>19</v>
      </c>
      <c r="M1234" s="8">
        <v>3554</v>
      </c>
      <c r="N1234" s="8" t="s">
        <v>435</v>
      </c>
      <c r="O1234" s="8">
        <v>1105</v>
      </c>
      <c r="P1234" s="8" t="s">
        <v>7883</v>
      </c>
      <c r="Q1234" s="8" t="s">
        <v>4262</v>
      </c>
      <c r="R1234" s="8">
        <v>0.17499999999999999</v>
      </c>
      <c r="S1234" s="8">
        <v>196714950</v>
      </c>
      <c r="T1234" s="8" t="s">
        <v>46</v>
      </c>
      <c r="U1234" s="8" t="s">
        <v>24</v>
      </c>
    </row>
    <row r="1235" spans="1:21">
      <c r="A1235" s="8" t="s">
        <v>7885</v>
      </c>
      <c r="B1235" s="8" t="s">
        <v>7174</v>
      </c>
      <c r="C1235" s="8">
        <v>3676</v>
      </c>
      <c r="D1235" s="8" t="s">
        <v>172</v>
      </c>
      <c r="E1235" s="8">
        <v>182347317</v>
      </c>
      <c r="F1235" s="8">
        <v>182347317</v>
      </c>
      <c r="G1235" s="8" t="s">
        <v>46</v>
      </c>
      <c r="H1235" s="8" t="s">
        <v>41</v>
      </c>
      <c r="I1235" s="8" t="s">
        <v>23</v>
      </c>
      <c r="J1235" s="8" t="s">
        <v>7175</v>
      </c>
      <c r="K1235" s="8" t="s">
        <v>7176</v>
      </c>
      <c r="L1235" s="8" t="s">
        <v>19</v>
      </c>
      <c r="M1235" s="8">
        <v>1743</v>
      </c>
      <c r="N1235" s="8" t="s">
        <v>417</v>
      </c>
      <c r="O1235" s="8">
        <v>327</v>
      </c>
      <c r="P1235" s="8" t="s">
        <v>7886</v>
      </c>
      <c r="Q1235" s="8" t="s">
        <v>4262</v>
      </c>
      <c r="R1235" s="8">
        <v>0.16600000000000001</v>
      </c>
      <c r="S1235" s="8">
        <v>182347317</v>
      </c>
      <c r="T1235" s="8" t="s">
        <v>46</v>
      </c>
      <c r="U1235" s="8" t="s">
        <v>41</v>
      </c>
    </row>
    <row r="1236" spans="1:21">
      <c r="A1236" s="8" t="s">
        <v>7885</v>
      </c>
      <c r="B1236" s="8" t="s">
        <v>7887</v>
      </c>
      <c r="C1236" s="8">
        <v>3797</v>
      </c>
      <c r="D1236" s="8" t="s">
        <v>172</v>
      </c>
      <c r="E1236" s="8">
        <v>26203628</v>
      </c>
      <c r="F1236" s="8">
        <v>26203628</v>
      </c>
      <c r="G1236" s="8" t="s">
        <v>41</v>
      </c>
      <c r="H1236" s="8" t="s">
        <v>25</v>
      </c>
      <c r="I1236" s="8" t="s">
        <v>23</v>
      </c>
      <c r="J1236" s="8" t="s">
        <v>7888</v>
      </c>
      <c r="K1236" s="8" t="s">
        <v>7890</v>
      </c>
      <c r="L1236" s="8" t="s">
        <v>19</v>
      </c>
      <c r="M1236" s="8">
        <v>1816</v>
      </c>
      <c r="N1236" s="8" t="s">
        <v>3850</v>
      </c>
      <c r="O1236" s="8">
        <v>387</v>
      </c>
      <c r="P1236" s="8" t="s">
        <v>7889</v>
      </c>
      <c r="Q1236" s="8" t="s">
        <v>4262</v>
      </c>
      <c r="R1236" s="8">
        <v>0.31</v>
      </c>
      <c r="S1236" s="8">
        <v>26203628</v>
      </c>
      <c r="T1236" s="8" t="s">
        <v>41</v>
      </c>
      <c r="U1236" s="8" t="s">
        <v>25</v>
      </c>
    </row>
    <row r="1237" spans="1:21">
      <c r="A1237" s="8" t="s">
        <v>7885</v>
      </c>
      <c r="B1237" s="8" t="s">
        <v>7891</v>
      </c>
      <c r="C1237" s="8">
        <v>64240</v>
      </c>
      <c r="D1237" s="8" t="s">
        <v>172</v>
      </c>
      <c r="E1237" s="8">
        <v>44052064</v>
      </c>
      <c r="F1237" s="8">
        <v>44052064</v>
      </c>
      <c r="G1237" s="8" t="s">
        <v>24</v>
      </c>
      <c r="H1237" s="8" t="s">
        <v>25</v>
      </c>
      <c r="I1237" s="8" t="s">
        <v>23</v>
      </c>
      <c r="J1237" s="8" t="s">
        <v>7892</v>
      </c>
      <c r="K1237" s="8" t="s">
        <v>7894</v>
      </c>
      <c r="L1237" s="8" t="s">
        <v>19</v>
      </c>
      <c r="M1237" s="8">
        <v>1008</v>
      </c>
      <c r="N1237" s="8" t="s">
        <v>415</v>
      </c>
      <c r="O1237" s="8">
        <v>290</v>
      </c>
      <c r="P1237" s="8" t="s">
        <v>7893</v>
      </c>
      <c r="Q1237" s="8" t="s">
        <v>4262</v>
      </c>
      <c r="R1237" s="8">
        <v>0.13</v>
      </c>
      <c r="S1237" s="8">
        <v>44052064</v>
      </c>
      <c r="T1237" s="8" t="s">
        <v>24</v>
      </c>
      <c r="U1237" s="8" t="s">
        <v>25</v>
      </c>
    </row>
    <row r="1238" spans="1:21">
      <c r="A1238" s="8" t="s">
        <v>7885</v>
      </c>
      <c r="B1238" s="8" t="s">
        <v>7895</v>
      </c>
      <c r="C1238" s="8">
        <v>11086</v>
      </c>
      <c r="D1238" s="8" t="s">
        <v>220</v>
      </c>
      <c r="E1238" s="8">
        <v>175898918</v>
      </c>
      <c r="F1238" s="8">
        <v>175898918</v>
      </c>
      <c r="G1238" s="8" t="s">
        <v>41</v>
      </c>
      <c r="H1238" s="8" t="s">
        <v>46</v>
      </c>
      <c r="I1238" s="8" t="s">
        <v>23</v>
      </c>
      <c r="J1238" s="8" t="s">
        <v>7896</v>
      </c>
      <c r="K1238" s="8" t="s">
        <v>7898</v>
      </c>
      <c r="L1238" s="8" t="s">
        <v>19</v>
      </c>
      <c r="M1238" s="8">
        <v>2725</v>
      </c>
      <c r="N1238" s="8" t="s">
        <v>300</v>
      </c>
      <c r="O1238" s="8">
        <v>748</v>
      </c>
      <c r="P1238" s="8" t="s">
        <v>7897</v>
      </c>
      <c r="Q1238" s="8" t="s">
        <v>4262</v>
      </c>
      <c r="R1238" s="8">
        <v>7.8E-2</v>
      </c>
      <c r="S1238" s="8">
        <v>175898918</v>
      </c>
      <c r="T1238" s="8" t="s">
        <v>41</v>
      </c>
      <c r="U1238" s="8" t="s">
        <v>46</v>
      </c>
    </row>
    <row r="1239" spans="1:21">
      <c r="A1239" s="8" t="s">
        <v>7885</v>
      </c>
      <c r="B1239" s="8" t="s">
        <v>7899</v>
      </c>
      <c r="C1239" s="8">
        <v>9794</v>
      </c>
      <c r="D1239" s="8" t="s">
        <v>226</v>
      </c>
      <c r="E1239" s="8">
        <v>179200917</v>
      </c>
      <c r="F1239" s="8">
        <v>179200917</v>
      </c>
      <c r="G1239" s="8" t="s">
        <v>24</v>
      </c>
      <c r="H1239" s="8" t="s">
        <v>25</v>
      </c>
      <c r="I1239" s="8" t="s">
        <v>23</v>
      </c>
      <c r="J1239" s="8" t="s">
        <v>7900</v>
      </c>
      <c r="K1239" s="8" t="s">
        <v>7902</v>
      </c>
      <c r="L1239" s="8" t="s">
        <v>19</v>
      </c>
      <c r="M1239" s="8">
        <v>2353</v>
      </c>
      <c r="N1239" s="8" t="s">
        <v>205</v>
      </c>
      <c r="O1239" s="8">
        <v>697</v>
      </c>
      <c r="P1239" s="8" t="s">
        <v>7901</v>
      </c>
      <c r="Q1239" s="8" t="s">
        <v>4262</v>
      </c>
      <c r="R1239" s="8">
        <v>4.2999999999999997E-2</v>
      </c>
      <c r="S1239" s="8">
        <v>179200917</v>
      </c>
      <c r="T1239" s="8" t="s">
        <v>24</v>
      </c>
      <c r="U1239" s="8" t="s">
        <v>25</v>
      </c>
    </row>
    <row r="1240" spans="1:21">
      <c r="A1240" s="8" t="s">
        <v>7885</v>
      </c>
      <c r="B1240" s="8" t="s">
        <v>7903</v>
      </c>
      <c r="C1240" s="8">
        <v>27145</v>
      </c>
      <c r="D1240" s="8" t="s">
        <v>237</v>
      </c>
      <c r="E1240" s="8">
        <v>76024706</v>
      </c>
      <c r="F1240" s="8">
        <v>76024706</v>
      </c>
      <c r="G1240" s="8" t="s">
        <v>41</v>
      </c>
      <c r="H1240" s="8" t="s">
        <v>46</v>
      </c>
      <c r="I1240" s="8" t="s">
        <v>23</v>
      </c>
      <c r="J1240" s="8" t="s">
        <v>7904</v>
      </c>
      <c r="K1240" s="8" t="s">
        <v>7906</v>
      </c>
      <c r="L1240" s="8" t="s">
        <v>19</v>
      </c>
      <c r="M1240" s="8">
        <v>1215</v>
      </c>
      <c r="N1240" s="8" t="s">
        <v>908</v>
      </c>
      <c r="O1240" s="8">
        <v>281</v>
      </c>
      <c r="P1240" s="8" t="s">
        <v>7905</v>
      </c>
      <c r="Q1240" s="8" t="s">
        <v>4262</v>
      </c>
      <c r="R1240" s="8">
        <v>4.2999999999999997E-2</v>
      </c>
      <c r="S1240" s="8">
        <v>76024706</v>
      </c>
      <c r="T1240" s="8" t="s">
        <v>41</v>
      </c>
      <c r="U1240" s="8" t="s">
        <v>46</v>
      </c>
    </row>
    <row r="1241" spans="1:21">
      <c r="A1241" s="8" t="s">
        <v>7885</v>
      </c>
      <c r="B1241" s="8" t="s">
        <v>3054</v>
      </c>
      <c r="C1241" s="8">
        <v>6492</v>
      </c>
      <c r="D1241" s="8" t="s">
        <v>237</v>
      </c>
      <c r="E1241" s="8">
        <v>100897511</v>
      </c>
      <c r="F1241" s="8">
        <v>100897511</v>
      </c>
      <c r="G1241" s="8" t="s">
        <v>24</v>
      </c>
      <c r="H1241" s="8" t="s">
        <v>25</v>
      </c>
      <c r="I1241" s="8" t="s">
        <v>23</v>
      </c>
      <c r="J1241" s="8" t="s">
        <v>3055</v>
      </c>
      <c r="K1241" s="8" t="s">
        <v>6890</v>
      </c>
      <c r="L1241" s="8" t="s">
        <v>19</v>
      </c>
      <c r="M1241" s="8">
        <v>620</v>
      </c>
      <c r="N1241" s="8" t="s">
        <v>230</v>
      </c>
      <c r="O1241" s="8">
        <v>138</v>
      </c>
      <c r="P1241" s="8" t="s">
        <v>7907</v>
      </c>
      <c r="Q1241" s="8" t="s">
        <v>4262</v>
      </c>
      <c r="R1241" s="8">
        <v>0.155</v>
      </c>
      <c r="S1241" s="8">
        <v>100897511</v>
      </c>
      <c r="T1241" s="8" t="s">
        <v>24</v>
      </c>
      <c r="U1241" s="8" t="s">
        <v>25</v>
      </c>
    </row>
    <row r="1242" spans="1:21">
      <c r="A1242" s="8" t="s">
        <v>7885</v>
      </c>
      <c r="B1242" s="8" t="s">
        <v>7908</v>
      </c>
      <c r="C1242" s="8">
        <v>25870</v>
      </c>
      <c r="D1242" s="8" t="s">
        <v>257</v>
      </c>
      <c r="E1242" s="8">
        <v>56147401</v>
      </c>
      <c r="F1242" s="8">
        <v>56147401</v>
      </c>
      <c r="G1242" s="8" t="s">
        <v>46</v>
      </c>
      <c r="H1242" s="8" t="s">
        <v>25</v>
      </c>
      <c r="I1242" s="8" t="s">
        <v>23</v>
      </c>
      <c r="J1242" s="8" t="s">
        <v>7909</v>
      </c>
      <c r="K1242" s="8" t="s">
        <v>7911</v>
      </c>
      <c r="L1242" s="8" t="s">
        <v>19</v>
      </c>
      <c r="M1242" s="8">
        <v>945</v>
      </c>
      <c r="N1242" s="8" t="s">
        <v>3048</v>
      </c>
      <c r="O1242" s="8">
        <v>305</v>
      </c>
      <c r="P1242" s="8" t="s">
        <v>7910</v>
      </c>
      <c r="Q1242" s="8" t="s">
        <v>4262</v>
      </c>
      <c r="R1242" s="8">
        <v>9.5000000000000001E-2</v>
      </c>
      <c r="S1242" s="8">
        <v>56147401</v>
      </c>
      <c r="T1242" s="8" t="s">
        <v>46</v>
      </c>
      <c r="U1242" s="8" t="s">
        <v>25</v>
      </c>
    </row>
    <row r="1243" spans="1:21">
      <c r="A1243" s="8" t="s">
        <v>7885</v>
      </c>
      <c r="B1243" s="8" t="s">
        <v>7912</v>
      </c>
      <c r="C1243" s="8">
        <v>56829</v>
      </c>
      <c r="D1243" s="8" t="s">
        <v>257</v>
      </c>
      <c r="E1243" s="8">
        <v>138764918</v>
      </c>
      <c r="F1243" s="8">
        <v>138764918</v>
      </c>
      <c r="G1243" s="8" t="s">
        <v>41</v>
      </c>
      <c r="H1243" s="8" t="s">
        <v>25</v>
      </c>
      <c r="I1243" s="8" t="s">
        <v>23</v>
      </c>
      <c r="J1243" s="8" t="s">
        <v>7913</v>
      </c>
      <c r="K1243" s="8" t="s">
        <v>7915</v>
      </c>
      <c r="L1243" s="8" t="s">
        <v>19</v>
      </c>
      <c r="M1243" s="8">
        <v>1157</v>
      </c>
      <c r="N1243" s="8" t="s">
        <v>1030</v>
      </c>
      <c r="O1243" s="8">
        <v>257</v>
      </c>
      <c r="P1243" s="8" t="s">
        <v>7914</v>
      </c>
      <c r="Q1243" s="8" t="s">
        <v>4262</v>
      </c>
      <c r="R1243" s="8">
        <v>0.13200000000000001</v>
      </c>
      <c r="S1243" s="8">
        <v>138764918</v>
      </c>
      <c r="T1243" s="8" t="s">
        <v>41</v>
      </c>
      <c r="U1243" s="8" t="s">
        <v>25</v>
      </c>
    </row>
    <row r="1244" spans="1:21">
      <c r="A1244" s="8" t="s">
        <v>7885</v>
      </c>
      <c r="B1244" s="8" t="s">
        <v>7916</v>
      </c>
      <c r="C1244" s="8">
        <v>774</v>
      </c>
      <c r="D1244" s="8" t="s">
        <v>292</v>
      </c>
      <c r="E1244" s="8">
        <v>140777194</v>
      </c>
      <c r="F1244" s="8">
        <v>140777194</v>
      </c>
      <c r="G1244" s="8" t="s">
        <v>25</v>
      </c>
      <c r="H1244" s="8" t="s">
        <v>41</v>
      </c>
      <c r="I1244" s="8" t="s">
        <v>23</v>
      </c>
      <c r="J1244" s="8" t="s">
        <v>7917</v>
      </c>
      <c r="K1244" s="8" t="s">
        <v>7918</v>
      </c>
      <c r="L1244" s="8" t="s">
        <v>68</v>
      </c>
      <c r="M1244" s="8">
        <v>0</v>
      </c>
      <c r="N1244" s="8" t="s">
        <v>35</v>
      </c>
      <c r="O1244" s="8">
        <v>0</v>
      </c>
      <c r="P1244" s="8" t="s">
        <v>35</v>
      </c>
      <c r="Q1244" s="8" t="s">
        <v>4262</v>
      </c>
      <c r="R1244" s="8">
        <v>6.8000000000000005E-2</v>
      </c>
      <c r="S1244" s="8">
        <v>140777194</v>
      </c>
      <c r="T1244" s="8" t="s">
        <v>25</v>
      </c>
      <c r="U1244" s="8" t="s">
        <v>41</v>
      </c>
    </row>
    <row r="1245" spans="1:21">
      <c r="A1245" s="8" t="s">
        <v>7885</v>
      </c>
      <c r="B1245" s="8" t="s">
        <v>7919</v>
      </c>
      <c r="C1245" s="8">
        <v>85450</v>
      </c>
      <c r="D1245" s="8" t="s">
        <v>69</v>
      </c>
      <c r="E1245" s="8">
        <v>106075739</v>
      </c>
      <c r="F1245" s="8">
        <v>106075739</v>
      </c>
      <c r="G1245" s="8" t="s">
        <v>24</v>
      </c>
      <c r="H1245" s="8" t="s">
        <v>25</v>
      </c>
      <c r="I1245" s="8" t="s">
        <v>23</v>
      </c>
      <c r="J1245" s="8" t="s">
        <v>7920</v>
      </c>
      <c r="K1245" s="8" t="s">
        <v>7922</v>
      </c>
      <c r="L1245" s="8" t="s">
        <v>19</v>
      </c>
      <c r="M1245" s="8">
        <v>524</v>
      </c>
      <c r="N1245" s="8" t="s">
        <v>365</v>
      </c>
      <c r="O1245" s="8">
        <v>24</v>
      </c>
      <c r="P1245" s="8" t="s">
        <v>7921</v>
      </c>
      <c r="Q1245" s="8" t="s">
        <v>4262</v>
      </c>
      <c r="R1245" s="8">
        <v>0.125</v>
      </c>
      <c r="S1245" s="8">
        <v>106075739</v>
      </c>
      <c r="T1245" s="8" t="s">
        <v>24</v>
      </c>
      <c r="U1245" s="8" t="s">
        <v>25</v>
      </c>
    </row>
    <row r="1246" spans="1:21">
      <c r="A1246" s="8" t="s">
        <v>7885</v>
      </c>
      <c r="B1246" s="8" t="s">
        <v>7923</v>
      </c>
      <c r="C1246" s="8">
        <v>57689</v>
      </c>
      <c r="D1246" s="8" t="s">
        <v>83</v>
      </c>
      <c r="E1246" s="8">
        <v>40136669</v>
      </c>
      <c r="F1246" s="8">
        <v>40136669</v>
      </c>
      <c r="G1246" s="8" t="s">
        <v>41</v>
      </c>
      <c r="H1246" s="8" t="s">
        <v>46</v>
      </c>
      <c r="I1246" s="8" t="s">
        <v>23</v>
      </c>
      <c r="J1246" s="8" t="s">
        <v>7924</v>
      </c>
      <c r="K1246" s="8" t="s">
        <v>7926</v>
      </c>
      <c r="L1246" s="8" t="s">
        <v>19</v>
      </c>
      <c r="M1246" s="8">
        <v>3138</v>
      </c>
      <c r="N1246" s="8" t="s">
        <v>319</v>
      </c>
      <c r="O1246" s="8">
        <v>392</v>
      </c>
      <c r="P1246" s="8" t="s">
        <v>7925</v>
      </c>
      <c r="Q1246" s="8" t="s">
        <v>4262</v>
      </c>
      <c r="R1246" s="8">
        <v>7.5999999999999998E-2</v>
      </c>
      <c r="S1246" s="8">
        <v>40136669</v>
      </c>
      <c r="T1246" s="8" t="s">
        <v>41</v>
      </c>
      <c r="U1246" s="8" t="s">
        <v>46</v>
      </c>
    </row>
    <row r="1247" spans="1:21">
      <c r="A1247" s="8" t="s">
        <v>7885</v>
      </c>
      <c r="B1247" s="8" t="s">
        <v>1773</v>
      </c>
      <c r="C1247" s="8">
        <v>1975</v>
      </c>
      <c r="D1247" s="8" t="s">
        <v>104</v>
      </c>
      <c r="E1247" s="8">
        <v>53431207</v>
      </c>
      <c r="F1247" s="8">
        <v>53431207</v>
      </c>
      <c r="G1247" s="8" t="s">
        <v>24</v>
      </c>
      <c r="H1247" s="8" t="s">
        <v>25</v>
      </c>
      <c r="I1247" s="8" t="s">
        <v>23</v>
      </c>
      <c r="J1247" s="8" t="s">
        <v>3049</v>
      </c>
      <c r="K1247" s="8" t="s">
        <v>7928</v>
      </c>
      <c r="L1247" s="8" t="s">
        <v>19</v>
      </c>
      <c r="M1247" s="8">
        <v>1527</v>
      </c>
      <c r="N1247" s="8" t="s">
        <v>166</v>
      </c>
      <c r="O1247" s="8">
        <v>441</v>
      </c>
      <c r="P1247" s="8" t="s">
        <v>7927</v>
      </c>
      <c r="Q1247" s="8" t="s">
        <v>4262</v>
      </c>
      <c r="R1247" s="8">
        <v>0.14599999999999999</v>
      </c>
      <c r="S1247" s="8">
        <v>53431207</v>
      </c>
      <c r="T1247" s="8" t="s">
        <v>24</v>
      </c>
      <c r="U1247" s="8" t="s">
        <v>25</v>
      </c>
    </row>
    <row r="1248" spans="1:21">
      <c r="A1248" s="8" t="s">
        <v>7885</v>
      </c>
      <c r="B1248" s="8" t="s">
        <v>3050</v>
      </c>
      <c r="C1248" s="8">
        <v>6445</v>
      </c>
      <c r="D1248" s="8" t="s">
        <v>339</v>
      </c>
      <c r="E1248" s="8">
        <v>23777925</v>
      </c>
      <c r="F1248" s="8">
        <v>23777925</v>
      </c>
      <c r="G1248" s="8" t="s">
        <v>24</v>
      </c>
      <c r="H1248" s="8" t="s">
        <v>41</v>
      </c>
      <c r="I1248" s="8" t="s">
        <v>23</v>
      </c>
      <c r="J1248" s="8" t="s">
        <v>3051</v>
      </c>
      <c r="K1248" s="8" t="s">
        <v>7930</v>
      </c>
      <c r="L1248" s="8" t="s">
        <v>19</v>
      </c>
      <c r="M1248" s="8">
        <v>247</v>
      </c>
      <c r="N1248" s="8" t="s">
        <v>2963</v>
      </c>
      <c r="O1248" s="8">
        <v>31</v>
      </c>
      <c r="P1248" s="8" t="s">
        <v>7929</v>
      </c>
      <c r="Q1248" s="8" t="s">
        <v>4262</v>
      </c>
      <c r="R1248" s="8">
        <v>0.35599999999999998</v>
      </c>
      <c r="S1248" s="8">
        <v>23777925</v>
      </c>
      <c r="T1248" s="8" t="s">
        <v>24</v>
      </c>
      <c r="U1248" s="8" t="s">
        <v>41</v>
      </c>
    </row>
    <row r="1249" spans="1:21">
      <c r="A1249" s="8" t="s">
        <v>7885</v>
      </c>
      <c r="B1249" s="8" t="s">
        <v>5773</v>
      </c>
      <c r="C1249" s="8">
        <v>374618</v>
      </c>
      <c r="D1249" s="8" t="s">
        <v>120</v>
      </c>
      <c r="E1249" s="8">
        <v>56683511</v>
      </c>
      <c r="F1249" s="8">
        <v>56683511</v>
      </c>
      <c r="G1249" s="8" t="s">
        <v>41</v>
      </c>
      <c r="H1249" s="8" t="s">
        <v>25</v>
      </c>
      <c r="I1249" s="8" t="s">
        <v>23</v>
      </c>
      <c r="J1249" s="8" t="s">
        <v>5774</v>
      </c>
      <c r="K1249" s="8" t="s">
        <v>5776</v>
      </c>
      <c r="L1249" s="8" t="s">
        <v>19</v>
      </c>
      <c r="M1249" s="8">
        <v>471</v>
      </c>
      <c r="N1249" s="8" t="s">
        <v>7739</v>
      </c>
      <c r="O1249" s="8">
        <v>156</v>
      </c>
      <c r="P1249" s="8" t="s">
        <v>7931</v>
      </c>
      <c r="Q1249" s="8" t="s">
        <v>4262</v>
      </c>
      <c r="R1249" s="8">
        <v>0.13800000000000001</v>
      </c>
      <c r="S1249" s="8">
        <v>56683511</v>
      </c>
      <c r="T1249" s="8" t="s">
        <v>41</v>
      </c>
      <c r="U1249" s="8" t="s">
        <v>25</v>
      </c>
    </row>
    <row r="1250" spans="1:21">
      <c r="A1250" s="8" t="s">
        <v>7885</v>
      </c>
      <c r="B1250" s="8" t="s">
        <v>7932</v>
      </c>
      <c r="C1250" s="8">
        <v>80205</v>
      </c>
      <c r="D1250" s="8" t="s">
        <v>129</v>
      </c>
      <c r="E1250" s="8">
        <v>53243488</v>
      </c>
      <c r="F1250" s="8">
        <v>53243488</v>
      </c>
      <c r="G1250" s="8" t="s">
        <v>25</v>
      </c>
      <c r="H1250" s="8" t="s">
        <v>24</v>
      </c>
      <c r="I1250" s="8" t="s">
        <v>23</v>
      </c>
      <c r="J1250" s="8" t="s">
        <v>7933</v>
      </c>
      <c r="K1250" s="8" t="s">
        <v>7935</v>
      </c>
      <c r="L1250" s="8" t="s">
        <v>19</v>
      </c>
      <c r="M1250" s="8">
        <v>1756</v>
      </c>
      <c r="N1250" s="8" t="s">
        <v>908</v>
      </c>
      <c r="O1250" s="8">
        <v>516</v>
      </c>
      <c r="P1250" s="8" t="s">
        <v>7934</v>
      </c>
      <c r="Q1250" s="8" t="s">
        <v>4262</v>
      </c>
      <c r="R1250" s="8">
        <v>0.16500000000000001</v>
      </c>
      <c r="S1250" s="8">
        <v>53243488</v>
      </c>
      <c r="T1250" s="8" t="s">
        <v>25</v>
      </c>
      <c r="U1250" s="8" t="s">
        <v>24</v>
      </c>
    </row>
    <row r="1251" spans="1:21">
      <c r="A1251" s="8" t="s">
        <v>7885</v>
      </c>
      <c r="B1251" s="8" t="s">
        <v>1797</v>
      </c>
      <c r="C1251" s="8">
        <v>54715</v>
      </c>
      <c r="D1251" s="8" t="s">
        <v>129</v>
      </c>
      <c r="E1251" s="8">
        <v>7568236</v>
      </c>
      <c r="F1251" s="8">
        <v>7568236</v>
      </c>
      <c r="G1251" s="8" t="s">
        <v>24</v>
      </c>
      <c r="H1251" s="8" t="s">
        <v>25</v>
      </c>
      <c r="I1251" s="8" t="s">
        <v>23</v>
      </c>
      <c r="J1251" s="8" t="s">
        <v>7936</v>
      </c>
      <c r="K1251" s="8" t="s">
        <v>7938</v>
      </c>
      <c r="L1251" s="8" t="s">
        <v>19</v>
      </c>
      <c r="M1251" s="8">
        <v>427</v>
      </c>
      <c r="N1251" s="8" t="s">
        <v>941</v>
      </c>
      <c r="O1251" s="8">
        <v>59</v>
      </c>
      <c r="P1251" s="8" t="s">
        <v>7937</v>
      </c>
      <c r="Q1251" s="8" t="s">
        <v>4262</v>
      </c>
      <c r="R1251" s="8">
        <v>0.124</v>
      </c>
      <c r="S1251" s="8">
        <v>7568236</v>
      </c>
      <c r="T1251" s="8" t="s">
        <v>24</v>
      </c>
      <c r="U1251" s="8" t="s">
        <v>25</v>
      </c>
    </row>
    <row r="1252" spans="1:21">
      <c r="A1252" s="8" t="s">
        <v>7885</v>
      </c>
      <c r="B1252" s="8"/>
      <c r="C1252" s="8">
        <v>100134091</v>
      </c>
      <c r="D1252" s="8" t="s">
        <v>188</v>
      </c>
      <c r="E1252" s="8">
        <v>29628245</v>
      </c>
      <c r="F1252" s="8">
        <v>29628245</v>
      </c>
      <c r="G1252" s="8" t="s">
        <v>24</v>
      </c>
      <c r="H1252" s="8" t="s">
        <v>25</v>
      </c>
      <c r="I1252" s="8" t="s">
        <v>23</v>
      </c>
      <c r="J1252" s="8" t="s">
        <v>6580</v>
      </c>
      <c r="K1252" s="8" t="s">
        <v>6582</v>
      </c>
      <c r="L1252" s="8" t="s">
        <v>19</v>
      </c>
      <c r="M1252" s="8">
        <v>85</v>
      </c>
      <c r="N1252" s="8" t="s">
        <v>155</v>
      </c>
      <c r="O1252" s="8">
        <v>29</v>
      </c>
      <c r="P1252" s="8" t="s">
        <v>7939</v>
      </c>
      <c r="Q1252" s="8" t="s">
        <v>4262</v>
      </c>
      <c r="R1252" s="8">
        <v>2.7E-2</v>
      </c>
      <c r="S1252" s="8">
        <v>29628245</v>
      </c>
      <c r="T1252" s="8" t="s">
        <v>24</v>
      </c>
      <c r="U1252" s="8" t="s">
        <v>25</v>
      </c>
    </row>
    <row r="1253" spans="1:21">
      <c r="A1253" s="8" t="s">
        <v>7885</v>
      </c>
      <c r="B1253" s="8" t="s">
        <v>7940</v>
      </c>
      <c r="C1253" s="8">
        <v>58494</v>
      </c>
      <c r="D1253" s="8" t="s">
        <v>193</v>
      </c>
      <c r="E1253" s="8">
        <v>27056225</v>
      </c>
      <c r="F1253" s="8">
        <v>27056225</v>
      </c>
      <c r="G1253" s="8" t="s">
        <v>25</v>
      </c>
      <c r="H1253" s="8" t="s">
        <v>46</v>
      </c>
      <c r="I1253" s="8" t="s">
        <v>23</v>
      </c>
      <c r="J1253" s="8" t="s">
        <v>7941</v>
      </c>
      <c r="K1253" s="8" t="s">
        <v>7943</v>
      </c>
      <c r="L1253" s="8" t="s">
        <v>19</v>
      </c>
      <c r="M1253" s="8">
        <v>643</v>
      </c>
      <c r="N1253" s="8" t="s">
        <v>828</v>
      </c>
      <c r="O1253" s="8">
        <v>33</v>
      </c>
      <c r="P1253" s="8" t="s">
        <v>7942</v>
      </c>
      <c r="Q1253" s="8" t="s">
        <v>4262</v>
      </c>
      <c r="R1253" s="8">
        <v>9.0999999999999998E-2</v>
      </c>
      <c r="S1253" s="8">
        <v>27056225</v>
      </c>
      <c r="T1253" s="8" t="s">
        <v>25</v>
      </c>
      <c r="U1253" s="8" t="s">
        <v>46</v>
      </c>
    </row>
    <row r="1254" spans="1:21">
      <c r="A1254" s="8" t="s">
        <v>7885</v>
      </c>
      <c r="B1254" s="8" t="s">
        <v>3057</v>
      </c>
      <c r="C1254" s="8">
        <v>9737</v>
      </c>
      <c r="D1254" s="8" t="s">
        <v>418</v>
      </c>
      <c r="E1254" s="8">
        <v>101911396</v>
      </c>
      <c r="F1254" s="8">
        <v>101911396</v>
      </c>
      <c r="G1254" s="8" t="s">
        <v>46</v>
      </c>
      <c r="H1254" s="8" t="s">
        <v>25</v>
      </c>
      <c r="I1254" s="8" t="s">
        <v>23</v>
      </c>
      <c r="J1254" s="8" t="s">
        <v>7944</v>
      </c>
      <c r="K1254" s="8" t="s">
        <v>7946</v>
      </c>
      <c r="L1254" s="8" t="s">
        <v>19</v>
      </c>
      <c r="M1254" s="8">
        <v>3197</v>
      </c>
      <c r="N1254" s="8" t="s">
        <v>3048</v>
      </c>
      <c r="O1254" s="8">
        <v>852</v>
      </c>
      <c r="P1254" s="8" t="s">
        <v>7945</v>
      </c>
      <c r="Q1254" s="8" t="s">
        <v>4262</v>
      </c>
      <c r="R1254" s="8">
        <v>0.124</v>
      </c>
      <c r="S1254" s="8">
        <v>101911396</v>
      </c>
      <c r="T1254" s="8" t="s">
        <v>46</v>
      </c>
      <c r="U1254" s="8" t="s">
        <v>25</v>
      </c>
    </row>
    <row r="1255" spans="1:21">
      <c r="A1255" s="8" t="s">
        <v>7885</v>
      </c>
      <c r="B1255" s="8" t="s">
        <v>7947</v>
      </c>
      <c r="C1255" s="8">
        <v>8266</v>
      </c>
      <c r="D1255" s="8" t="s">
        <v>418</v>
      </c>
      <c r="E1255" s="8">
        <v>153713960</v>
      </c>
      <c r="F1255" s="8">
        <v>153713960</v>
      </c>
      <c r="G1255" s="8" t="s">
        <v>24</v>
      </c>
      <c r="H1255" s="8" t="s">
        <v>41</v>
      </c>
      <c r="I1255" s="8" t="s">
        <v>23</v>
      </c>
      <c r="J1255" s="8" t="s">
        <v>7948</v>
      </c>
      <c r="K1255" s="8" t="s">
        <v>7950</v>
      </c>
      <c r="L1255" s="8" t="s">
        <v>19</v>
      </c>
      <c r="M1255" s="8">
        <v>401</v>
      </c>
      <c r="N1255" s="8" t="s">
        <v>1304</v>
      </c>
      <c r="O1255" s="8">
        <v>131</v>
      </c>
      <c r="P1255" s="8" t="s">
        <v>7949</v>
      </c>
      <c r="Q1255" s="8" t="s">
        <v>4262</v>
      </c>
      <c r="R1255" s="8">
        <v>0.158</v>
      </c>
      <c r="S1255" s="8">
        <v>153713960</v>
      </c>
      <c r="T1255" s="8" t="s">
        <v>24</v>
      </c>
      <c r="U1255" s="8" t="s">
        <v>41</v>
      </c>
    </row>
    <row r="1256" spans="1:21">
      <c r="A1256" s="8" t="s">
        <v>7953</v>
      </c>
      <c r="B1256" s="8" t="s">
        <v>1960</v>
      </c>
      <c r="C1256" s="8">
        <v>722</v>
      </c>
      <c r="D1256" s="8" t="s">
        <v>22</v>
      </c>
      <c r="E1256" s="8">
        <v>207305053</v>
      </c>
      <c r="F1256" s="8">
        <v>207305053</v>
      </c>
      <c r="G1256" s="8" t="s">
        <v>25</v>
      </c>
      <c r="H1256" s="8" t="s">
        <v>46</v>
      </c>
      <c r="I1256" s="8" t="s">
        <v>23</v>
      </c>
      <c r="J1256" s="8" t="s">
        <v>2412</v>
      </c>
      <c r="K1256" s="8" t="s">
        <v>7952</v>
      </c>
      <c r="L1256" s="8" t="s">
        <v>19</v>
      </c>
      <c r="M1256" s="8">
        <v>1246</v>
      </c>
      <c r="N1256" s="8" t="s">
        <v>994</v>
      </c>
      <c r="O1256" s="8">
        <v>351</v>
      </c>
      <c r="P1256" s="8" t="s">
        <v>7951</v>
      </c>
      <c r="Q1256" s="8" t="s">
        <v>4262</v>
      </c>
      <c r="R1256" s="8">
        <v>0.92200000000000004</v>
      </c>
      <c r="S1256" s="8">
        <v>207305053</v>
      </c>
      <c r="T1256" s="8" t="s">
        <v>25</v>
      </c>
      <c r="U1256" s="8" t="s">
        <v>46</v>
      </c>
    </row>
    <row r="1257" spans="1:21">
      <c r="A1257" s="8" t="s">
        <v>7953</v>
      </c>
      <c r="B1257" s="8" t="s">
        <v>1960</v>
      </c>
      <c r="C1257" s="8">
        <v>722</v>
      </c>
      <c r="D1257" s="8" t="s">
        <v>22</v>
      </c>
      <c r="E1257" s="8">
        <v>207305055</v>
      </c>
      <c r="F1257" s="8">
        <v>207305055</v>
      </c>
      <c r="G1257" s="8" t="s">
        <v>41</v>
      </c>
      <c r="H1257" s="8" t="s">
        <v>24</v>
      </c>
      <c r="I1257" s="8" t="s">
        <v>23</v>
      </c>
      <c r="J1257" s="8" t="s">
        <v>2412</v>
      </c>
      <c r="K1257" s="8" t="s">
        <v>7952</v>
      </c>
      <c r="L1257" s="8" t="s">
        <v>19</v>
      </c>
      <c r="M1257" s="8">
        <v>1248</v>
      </c>
      <c r="N1257" s="8" t="s">
        <v>7955</v>
      </c>
      <c r="O1257" s="8">
        <v>352</v>
      </c>
      <c r="P1257" s="8" t="s">
        <v>7954</v>
      </c>
      <c r="Q1257" s="8" t="s">
        <v>4262</v>
      </c>
      <c r="R1257" s="8">
        <v>0.92</v>
      </c>
      <c r="S1257" s="8">
        <v>207305055</v>
      </c>
      <c r="T1257" s="8" t="s">
        <v>41</v>
      </c>
      <c r="U1257" s="8" t="s">
        <v>24</v>
      </c>
    </row>
    <row r="1258" spans="1:21">
      <c r="A1258" s="8" t="s">
        <v>7953</v>
      </c>
      <c r="B1258" s="8" t="s">
        <v>3592</v>
      </c>
      <c r="C1258" s="8">
        <v>7399</v>
      </c>
      <c r="D1258" s="8" t="s">
        <v>22</v>
      </c>
      <c r="E1258" s="8">
        <v>216462621</v>
      </c>
      <c r="F1258" s="8">
        <v>216462621</v>
      </c>
      <c r="G1258" s="8" t="s">
        <v>46</v>
      </c>
      <c r="H1258" s="8" t="s">
        <v>41</v>
      </c>
      <c r="I1258" s="8" t="s">
        <v>23</v>
      </c>
      <c r="J1258" s="8" t="s">
        <v>3593</v>
      </c>
      <c r="K1258" s="8" t="s">
        <v>4464</v>
      </c>
      <c r="L1258" s="8" t="s">
        <v>68</v>
      </c>
      <c r="M1258" s="8">
        <v>0</v>
      </c>
      <c r="N1258" s="8" t="s">
        <v>35</v>
      </c>
      <c r="O1258" s="8">
        <v>0</v>
      </c>
      <c r="P1258" s="8" t="s">
        <v>35</v>
      </c>
      <c r="Q1258" s="8" t="s">
        <v>4262</v>
      </c>
      <c r="R1258" s="8">
        <v>0.28899999999999998</v>
      </c>
      <c r="S1258" s="8">
        <v>216462621</v>
      </c>
      <c r="T1258" s="8" t="s">
        <v>46</v>
      </c>
      <c r="U1258" s="8" t="s">
        <v>41</v>
      </c>
    </row>
    <row r="1259" spans="1:21">
      <c r="A1259" s="8" t="s">
        <v>7953</v>
      </c>
      <c r="B1259" s="8" t="s">
        <v>7956</v>
      </c>
      <c r="C1259" s="8">
        <v>8289</v>
      </c>
      <c r="D1259" s="8" t="s">
        <v>22</v>
      </c>
      <c r="E1259" s="8">
        <v>27057725</v>
      </c>
      <c r="F1259" s="8">
        <v>27057725</v>
      </c>
      <c r="G1259" s="8" t="s">
        <v>46</v>
      </c>
      <c r="H1259" s="8" t="s">
        <v>41</v>
      </c>
      <c r="I1259" s="8" t="s">
        <v>23</v>
      </c>
      <c r="J1259" s="8" t="s">
        <v>7957</v>
      </c>
      <c r="K1259" s="8" t="s">
        <v>7959</v>
      </c>
      <c r="L1259" s="8" t="s">
        <v>19</v>
      </c>
      <c r="M1259" s="8">
        <v>1806</v>
      </c>
      <c r="N1259" s="8" t="s">
        <v>1140</v>
      </c>
      <c r="O1259" s="8">
        <v>478</v>
      </c>
      <c r="P1259" s="8" t="s">
        <v>7958</v>
      </c>
      <c r="Q1259" s="8" t="s">
        <v>4262</v>
      </c>
      <c r="R1259" s="8">
        <v>0.27700000000000002</v>
      </c>
      <c r="S1259" s="8">
        <v>27057725</v>
      </c>
      <c r="T1259" s="8" t="s">
        <v>46</v>
      </c>
      <c r="U1259" s="8" t="s">
        <v>41</v>
      </c>
    </row>
    <row r="1260" spans="1:21">
      <c r="A1260" s="8" t="s">
        <v>7953</v>
      </c>
      <c r="B1260" s="8" t="s">
        <v>1807</v>
      </c>
      <c r="C1260" s="8">
        <v>200523</v>
      </c>
      <c r="D1260" s="8" t="s">
        <v>172</v>
      </c>
      <c r="E1260" s="8">
        <v>88828832</v>
      </c>
      <c r="F1260" s="8">
        <v>88828832</v>
      </c>
      <c r="G1260" s="8" t="s">
        <v>25</v>
      </c>
      <c r="H1260" s="8" t="s">
        <v>41</v>
      </c>
      <c r="I1260" s="8" t="s">
        <v>23</v>
      </c>
      <c r="J1260" s="8" t="s">
        <v>7960</v>
      </c>
      <c r="K1260" s="8" t="s">
        <v>7962</v>
      </c>
      <c r="L1260" s="8" t="s">
        <v>19</v>
      </c>
      <c r="M1260" s="8">
        <v>525</v>
      </c>
      <c r="N1260" s="8" t="s">
        <v>3136</v>
      </c>
      <c r="O1260" s="8">
        <v>128</v>
      </c>
      <c r="P1260" s="8" t="s">
        <v>7961</v>
      </c>
      <c r="Q1260" s="8" t="s">
        <v>4262</v>
      </c>
      <c r="R1260" s="8">
        <v>0.32800000000000001</v>
      </c>
      <c r="S1260" s="8">
        <v>88828832</v>
      </c>
      <c r="T1260" s="8" t="s">
        <v>25</v>
      </c>
      <c r="U1260" s="8" t="s">
        <v>41</v>
      </c>
    </row>
    <row r="1261" spans="1:21">
      <c r="A1261" s="8" t="s">
        <v>7953</v>
      </c>
      <c r="B1261" s="8" t="s">
        <v>7963</v>
      </c>
      <c r="C1261" s="8">
        <v>9486</v>
      </c>
      <c r="D1261" s="8" t="s">
        <v>172</v>
      </c>
      <c r="E1261" s="8">
        <v>101009821</v>
      </c>
      <c r="F1261" s="8">
        <v>101009821</v>
      </c>
      <c r="G1261" s="8" t="s">
        <v>46</v>
      </c>
      <c r="H1261" s="8" t="s">
        <v>24</v>
      </c>
      <c r="I1261" s="8" t="s">
        <v>23</v>
      </c>
      <c r="J1261" s="8" t="s">
        <v>7964</v>
      </c>
      <c r="K1261" s="8" t="s">
        <v>7967</v>
      </c>
      <c r="L1261" s="8" t="s">
        <v>19</v>
      </c>
      <c r="M1261" s="8">
        <v>1355</v>
      </c>
      <c r="N1261" s="8" t="s">
        <v>851</v>
      </c>
      <c r="O1261" s="8">
        <v>319</v>
      </c>
      <c r="P1261" s="8" t="s">
        <v>7965</v>
      </c>
      <c r="Q1261" s="8" t="s">
        <v>7966</v>
      </c>
      <c r="R1261" s="8">
        <v>0.3</v>
      </c>
      <c r="S1261" s="8">
        <v>101009821</v>
      </c>
      <c r="T1261" s="8" t="s">
        <v>46</v>
      </c>
      <c r="U1261" s="8" t="s">
        <v>24</v>
      </c>
    </row>
    <row r="1262" spans="1:21">
      <c r="A1262" s="8" t="s">
        <v>7953</v>
      </c>
      <c r="B1262" s="8" t="s">
        <v>7968</v>
      </c>
      <c r="C1262" s="8">
        <v>51454</v>
      </c>
      <c r="D1262" s="8" t="s">
        <v>172</v>
      </c>
      <c r="E1262" s="8">
        <v>189458701</v>
      </c>
      <c r="F1262" s="8">
        <v>189458701</v>
      </c>
      <c r="G1262" s="8" t="s">
        <v>46</v>
      </c>
      <c r="H1262" s="8" t="s">
        <v>41</v>
      </c>
      <c r="I1262" s="8" t="s">
        <v>23</v>
      </c>
      <c r="J1262" s="8" t="s">
        <v>7969</v>
      </c>
      <c r="K1262" s="8" t="s">
        <v>7971</v>
      </c>
      <c r="L1262" s="8" t="s">
        <v>19</v>
      </c>
      <c r="M1262" s="8">
        <v>1499</v>
      </c>
      <c r="N1262" s="8" t="s">
        <v>364</v>
      </c>
      <c r="O1262" s="8">
        <v>293</v>
      </c>
      <c r="P1262" s="8" t="s">
        <v>7970</v>
      </c>
      <c r="Q1262" s="8" t="s">
        <v>4262</v>
      </c>
      <c r="R1262" s="8">
        <v>0.34899999999999998</v>
      </c>
      <c r="S1262" s="8">
        <v>189458701</v>
      </c>
      <c r="T1262" s="8" t="s">
        <v>46</v>
      </c>
      <c r="U1262" s="8" t="s">
        <v>41</v>
      </c>
    </row>
    <row r="1263" spans="1:21">
      <c r="A1263" s="8" t="s">
        <v>7953</v>
      </c>
      <c r="B1263" s="8" t="s">
        <v>3106</v>
      </c>
      <c r="C1263" s="8">
        <v>3628</v>
      </c>
      <c r="D1263" s="8" t="s">
        <v>172</v>
      </c>
      <c r="E1263" s="8">
        <v>191236042</v>
      </c>
      <c r="F1263" s="8">
        <v>191236042</v>
      </c>
      <c r="G1263" s="8" t="s">
        <v>46</v>
      </c>
      <c r="H1263" s="8" t="s">
        <v>41</v>
      </c>
      <c r="I1263" s="8" t="s">
        <v>23</v>
      </c>
      <c r="J1263" s="8" t="s">
        <v>7972</v>
      </c>
      <c r="K1263" s="8" t="s">
        <v>7974</v>
      </c>
      <c r="L1263" s="8" t="s">
        <v>19</v>
      </c>
      <c r="M1263" s="8">
        <v>1670</v>
      </c>
      <c r="N1263" s="8" t="s">
        <v>58</v>
      </c>
      <c r="O1263" s="8">
        <v>372</v>
      </c>
      <c r="P1263" s="8" t="s">
        <v>7973</v>
      </c>
      <c r="Q1263" s="8" t="s">
        <v>4262</v>
      </c>
      <c r="R1263" s="8">
        <v>0.48099999999999998</v>
      </c>
      <c r="S1263" s="8">
        <v>191236042</v>
      </c>
      <c r="T1263" s="8" t="s">
        <v>46</v>
      </c>
      <c r="U1263" s="8" t="s">
        <v>41</v>
      </c>
    </row>
    <row r="1264" spans="1:21">
      <c r="A1264" s="8" t="s">
        <v>7953</v>
      </c>
      <c r="B1264" s="8" t="s">
        <v>7975</v>
      </c>
      <c r="C1264" s="8">
        <v>92935</v>
      </c>
      <c r="D1264" s="8" t="s">
        <v>172</v>
      </c>
      <c r="E1264" s="8">
        <v>198570524</v>
      </c>
      <c r="F1264" s="8">
        <v>198570524</v>
      </c>
      <c r="G1264" s="8" t="s">
        <v>24</v>
      </c>
      <c r="H1264" s="8" t="s">
        <v>41</v>
      </c>
      <c r="I1264" s="8" t="s">
        <v>23</v>
      </c>
      <c r="J1264" s="8" t="s">
        <v>7976</v>
      </c>
      <c r="K1264" s="8" t="s">
        <v>7978</v>
      </c>
      <c r="L1264" s="8" t="s">
        <v>19</v>
      </c>
      <c r="M1264" s="8">
        <v>497</v>
      </c>
      <c r="N1264" s="8" t="s">
        <v>2922</v>
      </c>
      <c r="O1264" s="8">
        <v>132</v>
      </c>
      <c r="P1264" s="8" t="s">
        <v>7977</v>
      </c>
      <c r="Q1264" s="8" t="s">
        <v>4262</v>
      </c>
      <c r="R1264" s="8">
        <v>0.317</v>
      </c>
      <c r="S1264" s="8">
        <v>198570524</v>
      </c>
      <c r="T1264" s="8" t="s">
        <v>24</v>
      </c>
      <c r="U1264" s="8" t="s">
        <v>41</v>
      </c>
    </row>
    <row r="1265" spans="1:21">
      <c r="A1265" s="8" t="s">
        <v>7953</v>
      </c>
      <c r="B1265" s="8" t="s">
        <v>7979</v>
      </c>
      <c r="C1265" s="8">
        <v>129450</v>
      </c>
      <c r="D1265" s="8" t="s">
        <v>172</v>
      </c>
      <c r="E1265" s="8">
        <v>200804847</v>
      </c>
      <c r="F1265" s="8">
        <v>200804847</v>
      </c>
      <c r="G1265" s="8" t="s">
        <v>25</v>
      </c>
      <c r="H1265" s="8" t="s">
        <v>46</v>
      </c>
      <c r="I1265" s="8" t="s">
        <v>23</v>
      </c>
      <c r="J1265" s="8" t="s">
        <v>7980</v>
      </c>
      <c r="K1265" s="8" t="s">
        <v>7982</v>
      </c>
      <c r="L1265" s="8" t="s">
        <v>19</v>
      </c>
      <c r="M1265" s="8">
        <v>579</v>
      </c>
      <c r="N1265" s="8" t="s">
        <v>5127</v>
      </c>
      <c r="O1265" s="8">
        <v>105</v>
      </c>
      <c r="P1265" s="8" t="s">
        <v>7981</v>
      </c>
      <c r="Q1265" s="8" t="s">
        <v>4262</v>
      </c>
      <c r="R1265" s="8">
        <v>0.25600000000000001</v>
      </c>
      <c r="S1265" s="8">
        <v>200804847</v>
      </c>
      <c r="T1265" s="8" t="s">
        <v>25</v>
      </c>
      <c r="U1265" s="8" t="s">
        <v>46</v>
      </c>
    </row>
    <row r="1266" spans="1:21">
      <c r="A1266" s="8" t="s">
        <v>7953</v>
      </c>
      <c r="B1266" s="8" t="s">
        <v>7979</v>
      </c>
      <c r="C1266" s="8">
        <v>129450</v>
      </c>
      <c r="D1266" s="8" t="s">
        <v>172</v>
      </c>
      <c r="E1266" s="8">
        <v>200804849</v>
      </c>
      <c r="F1266" s="8">
        <v>200804849</v>
      </c>
      <c r="G1266" s="8" t="s">
        <v>41</v>
      </c>
      <c r="H1266" s="8" t="s">
        <v>24</v>
      </c>
      <c r="I1266" s="8" t="s">
        <v>23</v>
      </c>
      <c r="J1266" s="8" t="s">
        <v>7980</v>
      </c>
      <c r="K1266" s="8" t="s">
        <v>7982</v>
      </c>
      <c r="L1266" s="8" t="s">
        <v>19</v>
      </c>
      <c r="M1266" s="8">
        <v>577</v>
      </c>
      <c r="N1266" s="8" t="s">
        <v>828</v>
      </c>
      <c r="O1266" s="8">
        <v>104</v>
      </c>
      <c r="P1266" s="8" t="s">
        <v>7983</v>
      </c>
      <c r="Q1266" s="8" t="s">
        <v>4262</v>
      </c>
      <c r="R1266" s="8">
        <v>0.245</v>
      </c>
      <c r="S1266" s="8">
        <v>200804849</v>
      </c>
      <c r="T1266" s="8" t="s">
        <v>41</v>
      </c>
      <c r="U1266" s="8" t="s">
        <v>24</v>
      </c>
    </row>
    <row r="1267" spans="1:21">
      <c r="A1267" s="8" t="s">
        <v>7953</v>
      </c>
      <c r="B1267" s="8" t="s">
        <v>7979</v>
      </c>
      <c r="C1267" s="8">
        <v>129450</v>
      </c>
      <c r="D1267" s="8" t="s">
        <v>172</v>
      </c>
      <c r="E1267" s="8">
        <v>200804852</v>
      </c>
      <c r="F1267" s="8">
        <v>200804852</v>
      </c>
      <c r="G1267" s="8" t="s">
        <v>41</v>
      </c>
      <c r="H1267" s="8" t="s">
        <v>24</v>
      </c>
      <c r="I1267" s="8" t="s">
        <v>23</v>
      </c>
      <c r="J1267" s="8" t="s">
        <v>7980</v>
      </c>
      <c r="K1267" s="8" t="s">
        <v>7982</v>
      </c>
      <c r="L1267" s="8" t="s">
        <v>19</v>
      </c>
      <c r="M1267" s="8">
        <v>574</v>
      </c>
      <c r="N1267" s="8" t="s">
        <v>4625</v>
      </c>
      <c r="O1267" s="8">
        <v>103</v>
      </c>
      <c r="P1267" s="8" t="s">
        <v>7984</v>
      </c>
      <c r="Q1267" s="8" t="s">
        <v>4262</v>
      </c>
      <c r="R1267" s="8">
        <v>0.24099999999999999</v>
      </c>
      <c r="S1267" s="8">
        <v>200804852</v>
      </c>
      <c r="T1267" s="8" t="s">
        <v>41</v>
      </c>
      <c r="U1267" s="8" t="s">
        <v>24</v>
      </c>
    </row>
    <row r="1268" spans="1:21">
      <c r="A1268" s="8" t="s">
        <v>7953</v>
      </c>
      <c r="B1268" s="8" t="s">
        <v>3107</v>
      </c>
      <c r="C1268" s="8">
        <v>130271</v>
      </c>
      <c r="D1268" s="8" t="s">
        <v>172</v>
      </c>
      <c r="E1268" s="8">
        <v>43953574</v>
      </c>
      <c r="F1268" s="8">
        <v>43953574</v>
      </c>
      <c r="G1268" s="8" t="s">
        <v>24</v>
      </c>
      <c r="H1268" s="8" t="s">
        <v>41</v>
      </c>
      <c r="I1268" s="8" t="s">
        <v>23</v>
      </c>
      <c r="J1268" s="8" t="s">
        <v>3108</v>
      </c>
      <c r="K1268" s="8" t="s">
        <v>7986</v>
      </c>
      <c r="L1268" s="8" t="s">
        <v>19</v>
      </c>
      <c r="M1268" s="8">
        <v>2788</v>
      </c>
      <c r="N1268" s="8" t="s">
        <v>780</v>
      </c>
      <c r="O1268" s="8">
        <v>902</v>
      </c>
      <c r="P1268" s="8" t="s">
        <v>7985</v>
      </c>
      <c r="Q1268" s="8" t="s">
        <v>4262</v>
      </c>
      <c r="R1268" s="8">
        <v>0.55100000000000005</v>
      </c>
      <c r="S1268" s="8">
        <v>43953574</v>
      </c>
      <c r="T1268" s="8" t="s">
        <v>24</v>
      </c>
      <c r="U1268" s="8" t="s">
        <v>41</v>
      </c>
    </row>
    <row r="1269" spans="1:21">
      <c r="A1269" s="8" t="s">
        <v>7953</v>
      </c>
      <c r="B1269" s="8" t="s">
        <v>6836</v>
      </c>
      <c r="C1269" s="8">
        <v>9515</v>
      </c>
      <c r="D1269" s="8" t="s">
        <v>201</v>
      </c>
      <c r="E1269" s="8">
        <v>120969575</v>
      </c>
      <c r="F1269" s="8">
        <v>120969575</v>
      </c>
      <c r="G1269" s="8" t="s">
        <v>46</v>
      </c>
      <c r="H1269" s="8" t="s">
        <v>25</v>
      </c>
      <c r="I1269" s="8" t="s">
        <v>23</v>
      </c>
      <c r="J1269" s="8" t="s">
        <v>6837</v>
      </c>
      <c r="K1269" s="8" t="s">
        <v>6839</v>
      </c>
      <c r="L1269" s="8" t="s">
        <v>19</v>
      </c>
      <c r="M1269" s="8">
        <v>1546</v>
      </c>
      <c r="N1269" s="8" t="s">
        <v>1617</v>
      </c>
      <c r="O1269" s="8">
        <v>469</v>
      </c>
      <c r="P1269" s="8" t="s">
        <v>7987</v>
      </c>
      <c r="Q1269" s="8" t="s">
        <v>4262</v>
      </c>
      <c r="R1269" s="8">
        <v>0.32</v>
      </c>
      <c r="S1269" s="8">
        <v>120969575</v>
      </c>
      <c r="T1269" s="8" t="s">
        <v>46</v>
      </c>
      <c r="U1269" s="8" t="s">
        <v>25</v>
      </c>
    </row>
    <row r="1270" spans="1:21">
      <c r="A1270" s="8" t="s">
        <v>7953</v>
      </c>
      <c r="B1270" s="8" t="s">
        <v>3112</v>
      </c>
      <c r="C1270" s="8">
        <v>83850</v>
      </c>
      <c r="D1270" s="8" t="s">
        <v>201</v>
      </c>
      <c r="E1270" s="8">
        <v>138186990</v>
      </c>
      <c r="F1270" s="8">
        <v>138186990</v>
      </c>
      <c r="G1270" s="8" t="s">
        <v>24</v>
      </c>
      <c r="H1270" s="8" t="s">
        <v>25</v>
      </c>
      <c r="I1270" s="8" t="s">
        <v>23</v>
      </c>
      <c r="J1270" s="8" t="s">
        <v>3113</v>
      </c>
      <c r="K1270" s="8" t="s">
        <v>7989</v>
      </c>
      <c r="L1270" s="8" t="s">
        <v>19</v>
      </c>
      <c r="M1270" s="8">
        <v>1488</v>
      </c>
      <c r="N1270" s="8" t="s">
        <v>61</v>
      </c>
      <c r="O1270" s="8">
        <v>421</v>
      </c>
      <c r="P1270" s="8" t="s">
        <v>7988</v>
      </c>
      <c r="Q1270" s="8" t="s">
        <v>4262</v>
      </c>
      <c r="R1270" s="8">
        <v>0.42899999999999999</v>
      </c>
      <c r="S1270" s="8">
        <v>138186990</v>
      </c>
      <c r="T1270" s="8" t="s">
        <v>24</v>
      </c>
      <c r="U1270" s="8" t="s">
        <v>25</v>
      </c>
    </row>
    <row r="1271" spans="1:21">
      <c r="A1271" s="8" t="s">
        <v>7953</v>
      </c>
      <c r="B1271" s="8" t="s">
        <v>3114</v>
      </c>
      <c r="C1271" s="8">
        <v>23350</v>
      </c>
      <c r="D1271" s="8" t="s">
        <v>201</v>
      </c>
      <c r="E1271" s="8">
        <v>142731143</v>
      </c>
      <c r="F1271" s="8">
        <v>142731143</v>
      </c>
      <c r="G1271" s="8" t="s">
        <v>25</v>
      </c>
      <c r="H1271" s="8" t="s">
        <v>24</v>
      </c>
      <c r="I1271" s="8" t="s">
        <v>23</v>
      </c>
      <c r="J1271" s="8" t="s">
        <v>3115</v>
      </c>
      <c r="K1271" s="8" t="s">
        <v>7991</v>
      </c>
      <c r="L1271" s="8" t="s">
        <v>19</v>
      </c>
      <c r="M1271" s="8">
        <v>269</v>
      </c>
      <c r="N1271" s="8" t="s">
        <v>955</v>
      </c>
      <c r="O1271" s="8">
        <v>57</v>
      </c>
      <c r="P1271" s="8" t="s">
        <v>7990</v>
      </c>
      <c r="Q1271" s="8" t="s">
        <v>4262</v>
      </c>
      <c r="R1271" s="8">
        <v>0.42399999999999999</v>
      </c>
      <c r="S1271" s="8">
        <v>142731143</v>
      </c>
      <c r="T1271" s="8" t="s">
        <v>25</v>
      </c>
      <c r="U1271" s="8" t="s">
        <v>24</v>
      </c>
    </row>
    <row r="1272" spans="1:21">
      <c r="A1272" s="8" t="s">
        <v>7953</v>
      </c>
      <c r="B1272" s="8" t="s">
        <v>7992</v>
      </c>
      <c r="C1272" s="8">
        <v>1359</v>
      </c>
      <c r="D1272" s="8" t="s">
        <v>201</v>
      </c>
      <c r="E1272" s="8">
        <v>148600299</v>
      </c>
      <c r="F1272" s="8">
        <v>148600299</v>
      </c>
      <c r="G1272" s="8" t="s">
        <v>41</v>
      </c>
      <c r="H1272" s="8" t="s">
        <v>46</v>
      </c>
      <c r="I1272" s="8" t="s">
        <v>23</v>
      </c>
      <c r="J1272" s="8" t="s">
        <v>7993</v>
      </c>
      <c r="K1272" s="8" t="s">
        <v>7995</v>
      </c>
      <c r="L1272" s="8" t="s">
        <v>19</v>
      </c>
      <c r="M1272" s="8">
        <v>747</v>
      </c>
      <c r="N1272" s="8" t="s">
        <v>3156</v>
      </c>
      <c r="O1272" s="8">
        <v>232</v>
      </c>
      <c r="P1272" s="8" t="s">
        <v>7994</v>
      </c>
      <c r="Q1272" s="8" t="s">
        <v>4262</v>
      </c>
      <c r="R1272" s="8">
        <v>0.20399999999999999</v>
      </c>
      <c r="S1272" s="8">
        <v>148600299</v>
      </c>
      <c r="T1272" s="8" t="s">
        <v>41</v>
      </c>
      <c r="U1272" s="8" t="s">
        <v>46</v>
      </c>
    </row>
    <row r="1273" spans="1:21">
      <c r="A1273" s="8" t="s">
        <v>7953</v>
      </c>
      <c r="B1273" s="8" t="s">
        <v>4297</v>
      </c>
      <c r="C1273" s="8">
        <v>4585</v>
      </c>
      <c r="D1273" s="8" t="s">
        <v>201</v>
      </c>
      <c r="E1273" s="8">
        <v>195511582</v>
      </c>
      <c r="F1273" s="8">
        <v>195511582</v>
      </c>
      <c r="G1273" s="8" t="s">
        <v>24</v>
      </c>
      <c r="H1273" s="8" t="s">
        <v>41</v>
      </c>
      <c r="I1273" s="8" t="s">
        <v>23</v>
      </c>
      <c r="J1273" s="8" t="s">
        <v>4298</v>
      </c>
      <c r="K1273" s="8" t="s">
        <v>4300</v>
      </c>
      <c r="L1273" s="8" t="s">
        <v>19</v>
      </c>
      <c r="M1273" s="8">
        <v>7025</v>
      </c>
      <c r="N1273" s="8" t="s">
        <v>622</v>
      </c>
      <c r="O1273" s="8">
        <v>2290</v>
      </c>
      <c r="P1273" s="8" t="s">
        <v>7996</v>
      </c>
      <c r="Q1273" s="8" t="s">
        <v>4262</v>
      </c>
      <c r="R1273" s="8">
        <v>3.4000000000000002E-2</v>
      </c>
      <c r="S1273" s="8">
        <v>195511582</v>
      </c>
      <c r="T1273" s="8" t="s">
        <v>24</v>
      </c>
      <c r="U1273" s="8" t="s">
        <v>41</v>
      </c>
    </row>
    <row r="1274" spans="1:21">
      <c r="A1274" s="8" t="s">
        <v>7953</v>
      </c>
      <c r="B1274" s="8" t="s">
        <v>3117</v>
      </c>
      <c r="C1274" s="8">
        <v>23517</v>
      </c>
      <c r="D1274" s="8" t="s">
        <v>226</v>
      </c>
      <c r="E1274" s="8">
        <v>54624534</v>
      </c>
      <c r="F1274" s="8">
        <v>54624534</v>
      </c>
      <c r="G1274" s="8" t="s">
        <v>46</v>
      </c>
      <c r="H1274" s="8" t="s">
        <v>41</v>
      </c>
      <c r="I1274" s="8" t="s">
        <v>23</v>
      </c>
      <c r="J1274" s="8" t="s">
        <v>3118</v>
      </c>
      <c r="K1274" s="8" t="s">
        <v>7998</v>
      </c>
      <c r="L1274" s="8" t="s">
        <v>19</v>
      </c>
      <c r="M1274" s="8">
        <v>676</v>
      </c>
      <c r="N1274" s="8" t="s">
        <v>365</v>
      </c>
      <c r="O1274" s="8">
        <v>137</v>
      </c>
      <c r="P1274" s="8" t="s">
        <v>7997</v>
      </c>
      <c r="Q1274" s="8" t="s">
        <v>4262</v>
      </c>
      <c r="R1274" s="8">
        <v>0.42299999999999999</v>
      </c>
      <c r="S1274" s="8">
        <v>54624534</v>
      </c>
      <c r="T1274" s="8" t="s">
        <v>46</v>
      </c>
      <c r="U1274" s="8" t="s">
        <v>41</v>
      </c>
    </row>
    <row r="1275" spans="1:21">
      <c r="A1275" s="8" t="s">
        <v>7953</v>
      </c>
      <c r="B1275" s="8" t="s">
        <v>3119</v>
      </c>
      <c r="C1275" s="8">
        <v>153129</v>
      </c>
      <c r="D1275" s="8" t="s">
        <v>226</v>
      </c>
      <c r="E1275" s="8">
        <v>54965145</v>
      </c>
      <c r="F1275" s="8">
        <v>54965145</v>
      </c>
      <c r="G1275" s="8" t="s">
        <v>46</v>
      </c>
      <c r="H1275" s="8" t="s">
        <v>25</v>
      </c>
      <c r="I1275" s="8" t="s">
        <v>23</v>
      </c>
      <c r="J1275" s="8" t="s">
        <v>7999</v>
      </c>
      <c r="K1275" s="8" t="s">
        <v>8001</v>
      </c>
      <c r="L1275" s="8" t="s">
        <v>19</v>
      </c>
      <c r="M1275" s="8">
        <v>638</v>
      </c>
      <c r="N1275" s="8" t="s">
        <v>780</v>
      </c>
      <c r="O1275" s="8">
        <v>146</v>
      </c>
      <c r="P1275" s="8" t="s">
        <v>8000</v>
      </c>
      <c r="Q1275" s="8" t="s">
        <v>4262</v>
      </c>
      <c r="R1275" s="8">
        <v>0.46400000000000002</v>
      </c>
      <c r="S1275" s="8">
        <v>54965145</v>
      </c>
      <c r="T1275" s="8" t="s">
        <v>46</v>
      </c>
      <c r="U1275" s="8" t="s">
        <v>25</v>
      </c>
    </row>
    <row r="1276" spans="1:21">
      <c r="A1276" s="8" t="s">
        <v>7953</v>
      </c>
      <c r="B1276" s="8" t="s">
        <v>3120</v>
      </c>
      <c r="C1276" s="8">
        <v>3156</v>
      </c>
      <c r="D1276" s="8" t="s">
        <v>226</v>
      </c>
      <c r="E1276" s="8">
        <v>74647330</v>
      </c>
      <c r="F1276" s="8">
        <v>74647330</v>
      </c>
      <c r="G1276" s="8" t="s">
        <v>25</v>
      </c>
      <c r="H1276" s="8" t="s">
        <v>24</v>
      </c>
      <c r="I1276" s="8" t="s">
        <v>23</v>
      </c>
      <c r="J1276" s="8" t="s">
        <v>8002</v>
      </c>
      <c r="K1276" s="8" t="s">
        <v>8004</v>
      </c>
      <c r="L1276" s="8" t="s">
        <v>19</v>
      </c>
      <c r="M1276" s="8">
        <v>1427</v>
      </c>
      <c r="N1276" s="8" t="s">
        <v>1033</v>
      </c>
      <c r="O1276" s="8">
        <v>424</v>
      </c>
      <c r="P1276" s="8" t="s">
        <v>8003</v>
      </c>
      <c r="Q1276" s="8" t="s">
        <v>4262</v>
      </c>
      <c r="R1276" s="8">
        <v>0.49299999999999999</v>
      </c>
      <c r="S1276" s="8">
        <v>74647330</v>
      </c>
      <c r="T1276" s="8" t="s">
        <v>25</v>
      </c>
      <c r="U1276" s="8" t="s">
        <v>24</v>
      </c>
    </row>
    <row r="1277" spans="1:21">
      <c r="A1277" s="8" t="s">
        <v>7953</v>
      </c>
      <c r="B1277" s="8" t="s">
        <v>8005</v>
      </c>
      <c r="C1277" s="8">
        <v>5921</v>
      </c>
      <c r="D1277" s="8" t="s">
        <v>226</v>
      </c>
      <c r="E1277" s="8">
        <v>86670721</v>
      </c>
      <c r="F1277" s="8">
        <v>86670721</v>
      </c>
      <c r="G1277" s="8" t="s">
        <v>24</v>
      </c>
      <c r="H1277" s="8" t="s">
        <v>41</v>
      </c>
      <c r="I1277" s="8" t="s">
        <v>23</v>
      </c>
      <c r="J1277" s="8" t="s">
        <v>8006</v>
      </c>
      <c r="K1277" s="8" t="s">
        <v>8008</v>
      </c>
      <c r="L1277" s="8" t="s">
        <v>19</v>
      </c>
      <c r="M1277" s="8">
        <v>2117</v>
      </c>
      <c r="N1277" s="8" t="s">
        <v>883</v>
      </c>
      <c r="O1277" s="8">
        <v>667</v>
      </c>
      <c r="P1277" s="8" t="s">
        <v>8007</v>
      </c>
      <c r="Q1277" s="8" t="s">
        <v>4262</v>
      </c>
      <c r="R1277" s="8">
        <v>9.6000000000000002E-2</v>
      </c>
      <c r="S1277" s="8">
        <v>86670721</v>
      </c>
      <c r="T1277" s="8" t="s">
        <v>24</v>
      </c>
      <c r="U1277" s="8" t="s">
        <v>41</v>
      </c>
    </row>
    <row r="1278" spans="1:21">
      <c r="A1278" s="8" t="s">
        <v>7953</v>
      </c>
      <c r="B1278" s="8" t="s">
        <v>3116</v>
      </c>
      <c r="C1278" s="8">
        <v>56147</v>
      </c>
      <c r="D1278" s="8" t="s">
        <v>226</v>
      </c>
      <c r="E1278" s="8">
        <v>140167302</v>
      </c>
      <c r="F1278" s="8">
        <v>140167302</v>
      </c>
      <c r="G1278" s="8" t="s">
        <v>46</v>
      </c>
      <c r="H1278" s="8" t="s">
        <v>41</v>
      </c>
      <c r="I1278" s="8" t="s">
        <v>23</v>
      </c>
      <c r="J1278" s="8" t="s">
        <v>8009</v>
      </c>
      <c r="K1278" s="8" t="s">
        <v>8011</v>
      </c>
      <c r="L1278" s="8" t="s">
        <v>19</v>
      </c>
      <c r="M1278" s="8">
        <v>1427</v>
      </c>
      <c r="N1278" s="8" t="s">
        <v>741</v>
      </c>
      <c r="O1278" s="8">
        <v>476</v>
      </c>
      <c r="P1278" s="8" t="s">
        <v>8010</v>
      </c>
      <c r="Q1278" s="8" t="s">
        <v>4262</v>
      </c>
      <c r="R1278" s="8">
        <v>0.39600000000000002</v>
      </c>
      <c r="S1278" s="8">
        <v>140167302</v>
      </c>
      <c r="T1278" s="8" t="s">
        <v>46</v>
      </c>
      <c r="U1278" s="8" t="s">
        <v>41</v>
      </c>
    </row>
    <row r="1279" spans="1:21">
      <c r="A1279" s="8" t="s">
        <v>7953</v>
      </c>
      <c r="B1279" s="8" t="s">
        <v>3122</v>
      </c>
      <c r="C1279" s="8">
        <v>1310</v>
      </c>
      <c r="D1279" s="8" t="s">
        <v>237</v>
      </c>
      <c r="E1279" s="8">
        <v>70871838</v>
      </c>
      <c r="F1279" s="8">
        <v>70871838</v>
      </c>
      <c r="G1279" s="8" t="s">
        <v>24</v>
      </c>
      <c r="H1279" s="8" t="s">
        <v>46</v>
      </c>
      <c r="I1279" s="8" t="s">
        <v>23</v>
      </c>
      <c r="J1279" s="8" t="s">
        <v>3123</v>
      </c>
      <c r="K1279" s="8" t="s">
        <v>8013</v>
      </c>
      <c r="L1279" s="8" t="s">
        <v>19</v>
      </c>
      <c r="M1279" s="8">
        <v>2456</v>
      </c>
      <c r="N1279" s="8" t="s">
        <v>426</v>
      </c>
      <c r="O1279" s="8">
        <v>780</v>
      </c>
      <c r="P1279" s="8" t="s">
        <v>8012</v>
      </c>
      <c r="Q1279" s="8" t="s">
        <v>4262</v>
      </c>
      <c r="R1279" s="8">
        <v>0.59</v>
      </c>
      <c r="S1279" s="8">
        <v>70871838</v>
      </c>
      <c r="T1279" s="8" t="s">
        <v>24</v>
      </c>
      <c r="U1279" s="8" t="s">
        <v>46</v>
      </c>
    </row>
    <row r="1280" spans="1:21">
      <c r="A1280" s="8" t="s">
        <v>7953</v>
      </c>
      <c r="B1280" s="8" t="s">
        <v>3121</v>
      </c>
      <c r="C1280" s="8">
        <v>2037</v>
      </c>
      <c r="D1280" s="8" t="s">
        <v>237</v>
      </c>
      <c r="E1280" s="8">
        <v>131191142</v>
      </c>
      <c r="F1280" s="8">
        <v>131191142</v>
      </c>
      <c r="G1280" s="8" t="s">
        <v>25</v>
      </c>
      <c r="H1280" s="8" t="s">
        <v>24</v>
      </c>
      <c r="I1280" s="8" t="s">
        <v>23</v>
      </c>
      <c r="J1280" s="8" t="s">
        <v>8014</v>
      </c>
      <c r="K1280" s="8" t="s">
        <v>8016</v>
      </c>
      <c r="L1280" s="8" t="s">
        <v>19</v>
      </c>
      <c r="M1280" s="8">
        <v>2350</v>
      </c>
      <c r="N1280" s="8" t="s">
        <v>429</v>
      </c>
      <c r="O1280" s="8">
        <v>723</v>
      </c>
      <c r="P1280" s="8" t="s">
        <v>8015</v>
      </c>
      <c r="Q1280" s="8" t="s">
        <v>4262</v>
      </c>
      <c r="R1280" s="8">
        <v>0.89500000000000002</v>
      </c>
      <c r="S1280" s="8">
        <v>131191142</v>
      </c>
      <c r="T1280" s="8" t="s">
        <v>25</v>
      </c>
      <c r="U1280" s="8" t="s">
        <v>24</v>
      </c>
    </row>
    <row r="1281" spans="1:21">
      <c r="A1281" s="8" t="s">
        <v>7953</v>
      </c>
      <c r="B1281" s="8" t="s">
        <v>8017</v>
      </c>
      <c r="C1281" s="8">
        <v>221687</v>
      </c>
      <c r="D1281" s="8" t="s">
        <v>237</v>
      </c>
      <c r="E1281" s="8">
        <v>13977987</v>
      </c>
      <c r="F1281" s="8">
        <v>13977987</v>
      </c>
      <c r="G1281" s="8" t="s">
        <v>24</v>
      </c>
      <c r="H1281" s="8" t="s">
        <v>25</v>
      </c>
      <c r="I1281" s="8" t="s">
        <v>23</v>
      </c>
      <c r="J1281" s="8" t="s">
        <v>8018</v>
      </c>
      <c r="K1281" s="8" t="s">
        <v>8020</v>
      </c>
      <c r="L1281" s="8" t="s">
        <v>19</v>
      </c>
      <c r="M1281" s="8">
        <v>1022</v>
      </c>
      <c r="N1281" s="8" t="s">
        <v>21</v>
      </c>
      <c r="O1281" s="8">
        <v>213</v>
      </c>
      <c r="P1281" s="8" t="s">
        <v>8019</v>
      </c>
      <c r="Q1281" s="8" t="s">
        <v>4262</v>
      </c>
      <c r="R1281" s="8">
        <v>0.25700000000000001</v>
      </c>
      <c r="S1281" s="8">
        <v>13977987</v>
      </c>
      <c r="T1281" s="8" t="s">
        <v>24</v>
      </c>
      <c r="U1281" s="8" t="s">
        <v>25</v>
      </c>
    </row>
    <row r="1282" spans="1:21">
      <c r="A1282" s="8" t="s">
        <v>7953</v>
      </c>
      <c r="B1282" s="8" t="s">
        <v>8017</v>
      </c>
      <c r="C1282" s="8">
        <v>221687</v>
      </c>
      <c r="D1282" s="8" t="s">
        <v>237</v>
      </c>
      <c r="E1282" s="8">
        <v>13978003</v>
      </c>
      <c r="F1282" s="8">
        <v>13978003</v>
      </c>
      <c r="G1282" s="8" t="s">
        <v>41</v>
      </c>
      <c r="H1282" s="8" t="s">
        <v>25</v>
      </c>
      <c r="I1282" s="8" t="s">
        <v>23</v>
      </c>
      <c r="J1282" s="8" t="s">
        <v>8018</v>
      </c>
      <c r="K1282" s="8" t="s">
        <v>8020</v>
      </c>
      <c r="L1282" s="8" t="s">
        <v>19</v>
      </c>
      <c r="M1282" s="8">
        <v>1038</v>
      </c>
      <c r="N1282" s="8" t="s">
        <v>1096</v>
      </c>
      <c r="O1282" s="8">
        <v>218</v>
      </c>
      <c r="P1282" s="8" t="s">
        <v>8021</v>
      </c>
      <c r="Q1282" s="8" t="s">
        <v>4262</v>
      </c>
      <c r="R1282" s="8">
        <v>0.27400000000000002</v>
      </c>
      <c r="S1282" s="8">
        <v>13978003</v>
      </c>
      <c r="T1282" s="8" t="s">
        <v>41</v>
      </c>
      <c r="U1282" s="8" t="s">
        <v>25</v>
      </c>
    </row>
    <row r="1283" spans="1:21">
      <c r="A1283" s="8" t="s">
        <v>7953</v>
      </c>
      <c r="B1283" s="8" t="s">
        <v>8022</v>
      </c>
      <c r="C1283" s="8">
        <v>9749</v>
      </c>
      <c r="D1283" s="8" t="s">
        <v>237</v>
      </c>
      <c r="E1283" s="8">
        <v>144086805</v>
      </c>
      <c r="F1283" s="8">
        <v>144086805</v>
      </c>
      <c r="G1283" s="8" t="s">
        <v>24</v>
      </c>
      <c r="H1283" s="8" t="s">
        <v>25</v>
      </c>
      <c r="I1283" s="8" t="s">
        <v>23</v>
      </c>
      <c r="J1283" s="8" t="s">
        <v>8023</v>
      </c>
      <c r="K1283" s="8" t="s">
        <v>8026</v>
      </c>
      <c r="L1283" s="8" t="s">
        <v>19</v>
      </c>
      <c r="M1283" s="8">
        <v>1301</v>
      </c>
      <c r="N1283" s="8" t="s">
        <v>21</v>
      </c>
      <c r="O1283" s="8">
        <v>368</v>
      </c>
      <c r="P1283" s="8" t="s">
        <v>8024</v>
      </c>
      <c r="Q1283" s="8" t="s">
        <v>8025</v>
      </c>
      <c r="R1283" s="8">
        <v>0.77900000000000003</v>
      </c>
      <c r="S1283" s="8">
        <v>144086805</v>
      </c>
      <c r="T1283" s="8" t="s">
        <v>24</v>
      </c>
      <c r="U1283" s="8" t="s">
        <v>25</v>
      </c>
    </row>
    <row r="1284" spans="1:21">
      <c r="A1284" s="8" t="s">
        <v>7953</v>
      </c>
      <c r="B1284" s="8" t="s">
        <v>8027</v>
      </c>
      <c r="C1284" s="8">
        <v>7941</v>
      </c>
      <c r="D1284" s="8" t="s">
        <v>237</v>
      </c>
      <c r="E1284" s="8">
        <v>46684750</v>
      </c>
      <c r="F1284" s="8">
        <v>46684750</v>
      </c>
      <c r="G1284" s="8" t="s">
        <v>46</v>
      </c>
      <c r="H1284" s="8" t="s">
        <v>25</v>
      </c>
      <c r="I1284" s="8" t="s">
        <v>23</v>
      </c>
      <c r="J1284" s="8" t="s">
        <v>8028</v>
      </c>
      <c r="K1284" s="8" t="s">
        <v>8030</v>
      </c>
      <c r="L1284" s="8" t="s">
        <v>19</v>
      </c>
      <c r="M1284" s="8">
        <v>371</v>
      </c>
      <c r="N1284" s="8" t="s">
        <v>3804</v>
      </c>
      <c r="O1284" s="8">
        <v>65</v>
      </c>
      <c r="P1284" s="8" t="s">
        <v>8029</v>
      </c>
      <c r="Q1284" s="8" t="s">
        <v>4262</v>
      </c>
      <c r="R1284" s="8">
        <v>0.36099999999999999</v>
      </c>
      <c r="S1284" s="8">
        <v>46684750</v>
      </c>
      <c r="T1284" s="8" t="s">
        <v>46</v>
      </c>
      <c r="U1284" s="8" t="s">
        <v>25</v>
      </c>
    </row>
    <row r="1285" spans="1:21">
      <c r="A1285" s="8" t="s">
        <v>7953</v>
      </c>
      <c r="B1285" s="8" t="s">
        <v>3127</v>
      </c>
      <c r="C1285" s="8">
        <v>57786</v>
      </c>
      <c r="D1285" s="8" t="s">
        <v>257</v>
      </c>
      <c r="E1285" s="8">
        <v>5104025</v>
      </c>
      <c r="F1285" s="8">
        <v>5104025</v>
      </c>
      <c r="G1285" s="8" t="s">
        <v>25</v>
      </c>
      <c r="H1285" s="8" t="s">
        <v>41</v>
      </c>
      <c r="I1285" s="8" t="s">
        <v>23</v>
      </c>
      <c r="J1285" s="8" t="s">
        <v>8031</v>
      </c>
      <c r="K1285" s="8" t="s">
        <v>8033</v>
      </c>
      <c r="L1285" s="8" t="s">
        <v>19</v>
      </c>
      <c r="M1285" s="8">
        <v>1457</v>
      </c>
      <c r="N1285" s="8" t="s">
        <v>1115</v>
      </c>
      <c r="O1285" s="8">
        <v>313</v>
      </c>
      <c r="P1285" s="8" t="s">
        <v>8032</v>
      </c>
      <c r="Q1285" s="8" t="s">
        <v>4262</v>
      </c>
      <c r="R1285" s="8">
        <v>0.5</v>
      </c>
      <c r="S1285" s="8">
        <v>5104025</v>
      </c>
      <c r="T1285" s="8" t="s">
        <v>25</v>
      </c>
      <c r="U1285" s="8" t="s">
        <v>41</v>
      </c>
    </row>
    <row r="1286" spans="1:21">
      <c r="A1286" s="8" t="s">
        <v>7953</v>
      </c>
      <c r="B1286" s="8" t="s">
        <v>1970</v>
      </c>
      <c r="C1286" s="8">
        <v>27102</v>
      </c>
      <c r="D1286" s="8" t="s">
        <v>257</v>
      </c>
      <c r="E1286" s="8">
        <v>6068265</v>
      </c>
      <c r="F1286" s="8">
        <v>6068265</v>
      </c>
      <c r="G1286" s="8" t="s">
        <v>46</v>
      </c>
      <c r="H1286" s="8" t="s">
        <v>25</v>
      </c>
      <c r="I1286" s="8" t="s">
        <v>23</v>
      </c>
      <c r="J1286" s="8" t="s">
        <v>8034</v>
      </c>
      <c r="K1286" s="8" t="s">
        <v>8036</v>
      </c>
      <c r="L1286" s="8" t="s">
        <v>19</v>
      </c>
      <c r="M1286" s="8">
        <v>1657</v>
      </c>
      <c r="N1286" s="8" t="s">
        <v>780</v>
      </c>
      <c r="O1286" s="8">
        <v>504</v>
      </c>
      <c r="P1286" s="8" t="s">
        <v>8035</v>
      </c>
      <c r="Q1286" s="8" t="s">
        <v>4262</v>
      </c>
      <c r="R1286" s="8">
        <v>0.42499999999999999</v>
      </c>
      <c r="S1286" s="8">
        <v>6068265</v>
      </c>
      <c r="T1286" s="8" t="s">
        <v>46</v>
      </c>
      <c r="U1286" s="8" t="s">
        <v>25</v>
      </c>
    </row>
    <row r="1287" spans="1:21">
      <c r="A1287" s="8" t="s">
        <v>7953</v>
      </c>
      <c r="B1287" s="8" t="s">
        <v>3124</v>
      </c>
      <c r="C1287" s="8">
        <v>196</v>
      </c>
      <c r="D1287" s="8" t="s">
        <v>257</v>
      </c>
      <c r="E1287" s="8">
        <v>17379304</v>
      </c>
      <c r="F1287" s="8">
        <v>17379304</v>
      </c>
      <c r="G1287" s="8" t="s">
        <v>46</v>
      </c>
      <c r="H1287" s="8" t="s">
        <v>24</v>
      </c>
      <c r="I1287" s="8" t="s">
        <v>23</v>
      </c>
      <c r="J1287" s="8" t="s">
        <v>3125</v>
      </c>
      <c r="K1287" s="8" t="s">
        <v>8038</v>
      </c>
      <c r="L1287" s="8" t="s">
        <v>19</v>
      </c>
      <c r="M1287" s="8">
        <v>2468</v>
      </c>
      <c r="N1287" s="8" t="s">
        <v>3126</v>
      </c>
      <c r="O1287" s="8">
        <v>619</v>
      </c>
      <c r="P1287" s="8" t="s">
        <v>8037</v>
      </c>
      <c r="Q1287" s="8" t="s">
        <v>4262</v>
      </c>
      <c r="R1287" s="8">
        <v>0.43099999999999999</v>
      </c>
      <c r="S1287" s="8">
        <v>17379304</v>
      </c>
      <c r="T1287" s="8" t="s">
        <v>46</v>
      </c>
      <c r="U1287" s="8" t="s">
        <v>24</v>
      </c>
    </row>
    <row r="1288" spans="1:21">
      <c r="A1288" s="8" t="s">
        <v>7953</v>
      </c>
      <c r="B1288" s="8" t="s">
        <v>8039</v>
      </c>
      <c r="C1288" s="8">
        <v>9603</v>
      </c>
      <c r="D1288" s="8" t="s">
        <v>257</v>
      </c>
      <c r="E1288" s="8">
        <v>26224313</v>
      </c>
      <c r="F1288" s="8">
        <v>26224313</v>
      </c>
      <c r="G1288" s="8" t="s">
        <v>46</v>
      </c>
      <c r="H1288" s="8" t="s">
        <v>41</v>
      </c>
      <c r="I1288" s="8" t="s">
        <v>23</v>
      </c>
      <c r="J1288" s="8" t="s">
        <v>8040</v>
      </c>
      <c r="K1288" s="8" t="s">
        <v>8043</v>
      </c>
      <c r="L1288" s="8" t="s">
        <v>19</v>
      </c>
      <c r="M1288" s="8">
        <v>1267</v>
      </c>
      <c r="N1288" s="8" t="s">
        <v>364</v>
      </c>
      <c r="O1288" s="8">
        <v>332</v>
      </c>
      <c r="P1288" s="8" t="s">
        <v>8041</v>
      </c>
      <c r="Q1288" s="8" t="s">
        <v>8042</v>
      </c>
      <c r="R1288" s="8">
        <v>5.8000000000000003E-2</v>
      </c>
      <c r="S1288" s="8">
        <v>26224313</v>
      </c>
      <c r="T1288" s="8" t="s">
        <v>46</v>
      </c>
      <c r="U1288" s="8" t="s">
        <v>41</v>
      </c>
    </row>
    <row r="1289" spans="1:21">
      <c r="A1289" s="8" t="s">
        <v>7953</v>
      </c>
      <c r="B1289" s="8" t="s">
        <v>2248</v>
      </c>
      <c r="C1289" s="8">
        <v>26986</v>
      </c>
      <c r="D1289" s="8" t="s">
        <v>279</v>
      </c>
      <c r="E1289" s="8">
        <v>101725005</v>
      </c>
      <c r="F1289" s="8">
        <v>101725005</v>
      </c>
      <c r="G1289" s="8" t="s">
        <v>41</v>
      </c>
      <c r="H1289" s="8" t="s">
        <v>46</v>
      </c>
      <c r="I1289" s="8" t="s">
        <v>23</v>
      </c>
      <c r="J1289" s="8" t="s">
        <v>3128</v>
      </c>
      <c r="K1289" s="8" t="s">
        <v>8045</v>
      </c>
      <c r="L1289" s="8" t="s">
        <v>19</v>
      </c>
      <c r="M1289" s="8">
        <v>1255</v>
      </c>
      <c r="N1289" s="8" t="s">
        <v>974</v>
      </c>
      <c r="O1289" s="8">
        <v>251</v>
      </c>
      <c r="P1289" s="8" t="s">
        <v>8044</v>
      </c>
      <c r="Q1289" s="8" t="s">
        <v>4262</v>
      </c>
      <c r="R1289" s="8">
        <v>0.68100000000000005</v>
      </c>
      <c r="S1289" s="8">
        <v>101725005</v>
      </c>
      <c r="T1289" s="8" t="s">
        <v>41</v>
      </c>
      <c r="U1289" s="8" t="s">
        <v>46</v>
      </c>
    </row>
    <row r="1290" spans="1:21">
      <c r="A1290" s="8" t="s">
        <v>7953</v>
      </c>
      <c r="B1290" s="8" t="s">
        <v>8046</v>
      </c>
      <c r="C1290" s="8">
        <v>441452</v>
      </c>
      <c r="D1290" s="8" t="s">
        <v>292</v>
      </c>
      <c r="E1290" s="8">
        <v>90534210</v>
      </c>
      <c r="F1290" s="8">
        <v>90534210</v>
      </c>
      <c r="G1290" s="8" t="s">
        <v>46</v>
      </c>
      <c r="H1290" s="8" t="s">
        <v>25</v>
      </c>
      <c r="I1290" s="8" t="s">
        <v>23</v>
      </c>
      <c r="J1290" s="8" t="s">
        <v>8047</v>
      </c>
      <c r="K1290" s="8" t="s">
        <v>8049</v>
      </c>
      <c r="L1290" s="8" t="s">
        <v>19</v>
      </c>
      <c r="M1290" s="8">
        <v>259</v>
      </c>
      <c r="N1290" s="8" t="s">
        <v>900</v>
      </c>
      <c r="O1290" s="8">
        <v>77</v>
      </c>
      <c r="P1290" s="8" t="s">
        <v>8048</v>
      </c>
      <c r="Q1290" s="8" t="s">
        <v>4262</v>
      </c>
      <c r="R1290" s="8">
        <v>6.8000000000000005E-2</v>
      </c>
      <c r="S1290" s="8">
        <v>90534210</v>
      </c>
      <c r="T1290" s="8" t="s">
        <v>46</v>
      </c>
      <c r="U1290" s="8" t="s">
        <v>25</v>
      </c>
    </row>
    <row r="1291" spans="1:21">
      <c r="A1291" s="8" t="s">
        <v>7953</v>
      </c>
      <c r="B1291" s="8" t="s">
        <v>3129</v>
      </c>
      <c r="C1291" s="8">
        <v>138474</v>
      </c>
      <c r="D1291" s="8" t="s">
        <v>292</v>
      </c>
      <c r="E1291" s="8">
        <v>32633288</v>
      </c>
      <c r="F1291" s="8">
        <v>32633288</v>
      </c>
      <c r="G1291" s="8" t="s">
        <v>41</v>
      </c>
      <c r="H1291" s="8" t="s">
        <v>25</v>
      </c>
      <c r="I1291" s="8" t="s">
        <v>23</v>
      </c>
      <c r="J1291" s="8" t="s">
        <v>3130</v>
      </c>
      <c r="K1291" s="8" t="s">
        <v>4761</v>
      </c>
      <c r="L1291" s="8" t="s">
        <v>19</v>
      </c>
      <c r="M1291" s="8">
        <v>2380</v>
      </c>
      <c r="N1291" s="8" t="s">
        <v>3131</v>
      </c>
      <c r="O1291" s="8">
        <v>764</v>
      </c>
      <c r="P1291" s="8" t="s">
        <v>8050</v>
      </c>
      <c r="Q1291" s="8" t="s">
        <v>4262</v>
      </c>
      <c r="R1291" s="8">
        <v>0.88400000000000001</v>
      </c>
      <c r="S1291" s="8">
        <v>32633288</v>
      </c>
      <c r="T1291" s="8" t="s">
        <v>41</v>
      </c>
      <c r="U1291" s="8" t="s">
        <v>25</v>
      </c>
    </row>
    <row r="1292" spans="1:21">
      <c r="A1292" s="8" t="s">
        <v>7953</v>
      </c>
      <c r="B1292" s="8" t="s">
        <v>2468</v>
      </c>
      <c r="C1292" s="8">
        <v>390167</v>
      </c>
      <c r="D1292" s="8" t="s">
        <v>83</v>
      </c>
      <c r="E1292" s="8">
        <v>56344900</v>
      </c>
      <c r="F1292" s="8">
        <v>56344900</v>
      </c>
      <c r="G1292" s="8" t="s">
        <v>24</v>
      </c>
      <c r="H1292" s="8" t="s">
        <v>41</v>
      </c>
      <c r="I1292" s="8" t="s">
        <v>23</v>
      </c>
      <c r="J1292" s="8" t="s">
        <v>2469</v>
      </c>
      <c r="K1292" s="8" t="s">
        <v>8052</v>
      </c>
      <c r="L1292" s="8" t="s">
        <v>19</v>
      </c>
      <c r="M1292" s="8">
        <v>298</v>
      </c>
      <c r="N1292" s="8" t="s">
        <v>54</v>
      </c>
      <c r="O1292" s="8">
        <v>100</v>
      </c>
      <c r="P1292" s="8" t="s">
        <v>8051</v>
      </c>
      <c r="Q1292" s="8" t="s">
        <v>4262</v>
      </c>
      <c r="R1292" s="8">
        <v>0.36899999999999999</v>
      </c>
      <c r="S1292" s="8">
        <v>56344900</v>
      </c>
      <c r="T1292" s="8" t="s">
        <v>24</v>
      </c>
      <c r="U1292" s="8" t="s">
        <v>41</v>
      </c>
    </row>
    <row r="1293" spans="1:21">
      <c r="A1293" s="8" t="s">
        <v>7953</v>
      </c>
      <c r="B1293" s="8" t="s">
        <v>3087</v>
      </c>
      <c r="C1293" s="8">
        <v>79864</v>
      </c>
      <c r="D1293" s="8" t="s">
        <v>83</v>
      </c>
      <c r="E1293" s="8">
        <v>122774688</v>
      </c>
      <c r="F1293" s="8">
        <v>122774688</v>
      </c>
      <c r="G1293" s="8" t="s">
        <v>25</v>
      </c>
      <c r="H1293" s="8" t="s">
        <v>24</v>
      </c>
      <c r="I1293" s="8" t="s">
        <v>23</v>
      </c>
      <c r="J1293" s="8" t="s">
        <v>8053</v>
      </c>
      <c r="K1293" s="8" t="s">
        <v>8055</v>
      </c>
      <c r="L1293" s="8" t="s">
        <v>19</v>
      </c>
      <c r="M1293" s="8">
        <v>697</v>
      </c>
      <c r="N1293" s="8" t="s">
        <v>1209</v>
      </c>
      <c r="O1293" s="8">
        <v>134</v>
      </c>
      <c r="P1293" s="8" t="s">
        <v>8054</v>
      </c>
      <c r="Q1293" s="8" t="s">
        <v>4262</v>
      </c>
      <c r="R1293" s="8">
        <v>0.46</v>
      </c>
      <c r="S1293" s="8">
        <v>122774688</v>
      </c>
      <c r="T1293" s="8" t="s">
        <v>25</v>
      </c>
      <c r="U1293" s="8" t="s">
        <v>24</v>
      </c>
    </row>
    <row r="1294" spans="1:21">
      <c r="A1294" s="8" t="s">
        <v>7953</v>
      </c>
      <c r="B1294" s="8" t="s">
        <v>3088</v>
      </c>
      <c r="C1294" s="8">
        <v>55226</v>
      </c>
      <c r="D1294" s="8" t="s">
        <v>83</v>
      </c>
      <c r="E1294" s="8">
        <v>34144109</v>
      </c>
      <c r="F1294" s="8">
        <v>34144109</v>
      </c>
      <c r="G1294" s="8" t="s">
        <v>24</v>
      </c>
      <c r="H1294" s="8" t="s">
        <v>41</v>
      </c>
      <c r="I1294" s="8" t="s">
        <v>23</v>
      </c>
      <c r="J1294" s="8" t="s">
        <v>8056</v>
      </c>
      <c r="K1294" s="8" t="s">
        <v>8058</v>
      </c>
      <c r="L1294" s="8" t="s">
        <v>19</v>
      </c>
      <c r="M1294" s="8">
        <v>1128</v>
      </c>
      <c r="N1294" s="8" t="s">
        <v>780</v>
      </c>
      <c r="O1294" s="8">
        <v>295</v>
      </c>
      <c r="P1294" s="8" t="s">
        <v>8057</v>
      </c>
      <c r="Q1294" s="8" t="s">
        <v>4262</v>
      </c>
      <c r="R1294" s="8">
        <v>0.52</v>
      </c>
      <c r="S1294" s="8">
        <v>34144109</v>
      </c>
      <c r="T1294" s="8" t="s">
        <v>24</v>
      </c>
      <c r="U1294" s="8" t="s">
        <v>41</v>
      </c>
    </row>
    <row r="1295" spans="1:21">
      <c r="A1295" s="8" t="s">
        <v>7953</v>
      </c>
      <c r="B1295" s="8" t="s">
        <v>1897</v>
      </c>
      <c r="C1295" s="8">
        <v>57522</v>
      </c>
      <c r="D1295" s="8" t="s">
        <v>104</v>
      </c>
      <c r="E1295" s="8">
        <v>64472849</v>
      </c>
      <c r="F1295" s="8">
        <v>64472849</v>
      </c>
      <c r="G1295" s="8" t="s">
        <v>24</v>
      </c>
      <c r="H1295" s="8" t="s">
        <v>25</v>
      </c>
      <c r="I1295" s="8" t="s">
        <v>23</v>
      </c>
      <c r="J1295" s="8" t="s">
        <v>3092</v>
      </c>
      <c r="K1295" s="8" t="s">
        <v>8060</v>
      </c>
      <c r="L1295" s="8" t="s">
        <v>19</v>
      </c>
      <c r="M1295" s="8">
        <v>1332</v>
      </c>
      <c r="N1295" s="8" t="s">
        <v>155</v>
      </c>
      <c r="O1295" s="8">
        <v>426</v>
      </c>
      <c r="P1295" s="8" t="s">
        <v>8059</v>
      </c>
      <c r="Q1295" s="8" t="s">
        <v>4262</v>
      </c>
      <c r="R1295" s="8">
        <v>0.46899999999999997</v>
      </c>
      <c r="S1295" s="8">
        <v>64472849</v>
      </c>
      <c r="T1295" s="8" t="s">
        <v>24</v>
      </c>
      <c r="U1295" s="8" t="s">
        <v>25</v>
      </c>
    </row>
    <row r="1296" spans="1:21">
      <c r="A1296" s="8" t="s">
        <v>7953</v>
      </c>
      <c r="B1296" s="8" t="s">
        <v>3093</v>
      </c>
      <c r="C1296" s="8">
        <v>11213</v>
      </c>
      <c r="D1296" s="8" t="s">
        <v>104</v>
      </c>
      <c r="E1296" s="8">
        <v>66620506</v>
      </c>
      <c r="F1296" s="8">
        <v>66620506</v>
      </c>
      <c r="G1296" s="8" t="s">
        <v>41</v>
      </c>
      <c r="H1296" s="8" t="s">
        <v>24</v>
      </c>
      <c r="I1296" s="8" t="s">
        <v>23</v>
      </c>
      <c r="J1296" s="8" t="s">
        <v>8061</v>
      </c>
      <c r="K1296" s="8" t="s">
        <v>8063</v>
      </c>
      <c r="L1296" s="8" t="s">
        <v>19</v>
      </c>
      <c r="M1296" s="8">
        <v>759</v>
      </c>
      <c r="N1296" s="8" t="s">
        <v>633</v>
      </c>
      <c r="O1296" s="8">
        <v>219</v>
      </c>
      <c r="P1296" s="8" t="s">
        <v>8062</v>
      </c>
      <c r="Q1296" s="8" t="s">
        <v>4262</v>
      </c>
      <c r="R1296" s="8">
        <v>0.46899999999999997</v>
      </c>
      <c r="S1296" s="8">
        <v>66620506</v>
      </c>
      <c r="T1296" s="8" t="s">
        <v>41</v>
      </c>
      <c r="U1296" s="8" t="s">
        <v>24</v>
      </c>
    </row>
    <row r="1297" spans="1:21">
      <c r="A1297" s="8" t="s">
        <v>7953</v>
      </c>
      <c r="B1297" s="8" t="s">
        <v>451</v>
      </c>
      <c r="C1297" s="8">
        <v>283310</v>
      </c>
      <c r="D1297" s="8" t="s">
        <v>104</v>
      </c>
      <c r="E1297" s="8">
        <v>80665557</v>
      </c>
      <c r="F1297" s="8">
        <v>80665557</v>
      </c>
      <c r="G1297" s="8" t="s">
        <v>46</v>
      </c>
      <c r="H1297" s="8" t="s">
        <v>41</v>
      </c>
      <c r="I1297" s="8" t="s">
        <v>23</v>
      </c>
      <c r="J1297" s="8" t="s">
        <v>452</v>
      </c>
      <c r="K1297" s="8" t="s">
        <v>4847</v>
      </c>
      <c r="L1297" s="8" t="s">
        <v>19</v>
      </c>
      <c r="M1297" s="8">
        <v>2627</v>
      </c>
      <c r="N1297" s="8" t="s">
        <v>2694</v>
      </c>
      <c r="O1297" s="8">
        <v>874</v>
      </c>
      <c r="P1297" s="8" t="s">
        <v>8064</v>
      </c>
      <c r="Q1297" s="8" t="s">
        <v>4262</v>
      </c>
      <c r="R1297" s="8">
        <v>0.39100000000000001</v>
      </c>
      <c r="S1297" s="8">
        <v>80665557</v>
      </c>
      <c r="T1297" s="8" t="s">
        <v>46</v>
      </c>
      <c r="U1297" s="8" t="s">
        <v>41</v>
      </c>
    </row>
    <row r="1298" spans="1:21">
      <c r="A1298" s="8" t="s">
        <v>7953</v>
      </c>
      <c r="B1298" s="8" t="s">
        <v>8065</v>
      </c>
      <c r="C1298" s="8">
        <v>55010</v>
      </c>
      <c r="D1298" s="8" t="s">
        <v>104</v>
      </c>
      <c r="E1298" s="8">
        <v>102559626</v>
      </c>
      <c r="F1298" s="8">
        <v>102559626</v>
      </c>
      <c r="G1298" s="8" t="s">
        <v>25</v>
      </c>
      <c r="H1298" s="8" t="s">
        <v>46</v>
      </c>
      <c r="I1298" s="8" t="s">
        <v>23</v>
      </c>
      <c r="J1298" s="8" t="s">
        <v>8066</v>
      </c>
      <c r="K1298" s="8" t="s">
        <v>8068</v>
      </c>
      <c r="L1298" s="8" t="s">
        <v>19</v>
      </c>
      <c r="M1298" s="8">
        <v>898</v>
      </c>
      <c r="N1298" s="8" t="s">
        <v>236</v>
      </c>
      <c r="O1298" s="8">
        <v>262</v>
      </c>
      <c r="P1298" s="8" t="s">
        <v>8067</v>
      </c>
      <c r="Q1298" s="8" t="s">
        <v>4262</v>
      </c>
      <c r="R1298" s="8">
        <v>0.41799999999999998</v>
      </c>
      <c r="S1298" s="8">
        <v>102559626</v>
      </c>
      <c r="T1298" s="8" t="s">
        <v>25</v>
      </c>
      <c r="U1298" s="8" t="s">
        <v>46</v>
      </c>
    </row>
    <row r="1299" spans="1:21">
      <c r="A1299" s="8" t="s">
        <v>7953</v>
      </c>
      <c r="B1299" s="8" t="s">
        <v>3089</v>
      </c>
      <c r="C1299" s="8">
        <v>1840</v>
      </c>
      <c r="D1299" s="8" t="s">
        <v>104</v>
      </c>
      <c r="E1299" s="8">
        <v>113534640</v>
      </c>
      <c r="F1299" s="8">
        <v>113534640</v>
      </c>
      <c r="G1299" s="8" t="s">
        <v>24</v>
      </c>
      <c r="H1299" s="8" t="s">
        <v>46</v>
      </c>
      <c r="I1299" s="8" t="s">
        <v>23</v>
      </c>
      <c r="J1299" s="8" t="s">
        <v>3090</v>
      </c>
      <c r="K1299" s="8" t="s">
        <v>8070</v>
      </c>
      <c r="L1299" s="8" t="s">
        <v>19</v>
      </c>
      <c r="M1299" s="8">
        <v>2095</v>
      </c>
      <c r="N1299" s="8" t="s">
        <v>3091</v>
      </c>
      <c r="O1299" s="8">
        <v>587</v>
      </c>
      <c r="P1299" s="8" t="s">
        <v>8069</v>
      </c>
      <c r="Q1299" s="8" t="s">
        <v>4262</v>
      </c>
      <c r="R1299" s="8">
        <v>0.45200000000000001</v>
      </c>
      <c r="S1299" s="8">
        <v>113534640</v>
      </c>
      <c r="T1299" s="8" t="s">
        <v>24</v>
      </c>
      <c r="U1299" s="8" t="s">
        <v>46</v>
      </c>
    </row>
    <row r="1300" spans="1:21">
      <c r="A1300" s="8" t="s">
        <v>7953</v>
      </c>
      <c r="B1300" s="8" t="s">
        <v>3094</v>
      </c>
      <c r="C1300" s="8">
        <v>9870</v>
      </c>
      <c r="D1300" s="8" t="s">
        <v>118</v>
      </c>
      <c r="E1300" s="8">
        <v>75143436</v>
      </c>
      <c r="F1300" s="8">
        <v>75143436</v>
      </c>
      <c r="G1300" s="8" t="s">
        <v>46</v>
      </c>
      <c r="H1300" s="8" t="s">
        <v>25</v>
      </c>
      <c r="I1300" s="8" t="s">
        <v>23</v>
      </c>
      <c r="J1300" s="8" t="s">
        <v>3095</v>
      </c>
      <c r="K1300" s="8" t="s">
        <v>6179</v>
      </c>
      <c r="L1300" s="8" t="s">
        <v>19</v>
      </c>
      <c r="M1300" s="8">
        <v>1006</v>
      </c>
      <c r="N1300" s="8" t="s">
        <v>490</v>
      </c>
      <c r="O1300" s="8">
        <v>167</v>
      </c>
      <c r="P1300" s="8" t="s">
        <v>8071</v>
      </c>
      <c r="Q1300" s="8" t="s">
        <v>4262</v>
      </c>
      <c r="R1300" s="8">
        <v>0.50700000000000001</v>
      </c>
      <c r="S1300" s="8">
        <v>75143436</v>
      </c>
      <c r="T1300" s="8" t="s">
        <v>46</v>
      </c>
      <c r="U1300" s="8" t="s">
        <v>25</v>
      </c>
    </row>
    <row r="1301" spans="1:21">
      <c r="A1301" s="8" t="s">
        <v>7953</v>
      </c>
      <c r="B1301" s="8" t="s">
        <v>3096</v>
      </c>
      <c r="C1301" s="8">
        <v>55671</v>
      </c>
      <c r="D1301" s="8" t="s">
        <v>118</v>
      </c>
      <c r="E1301" s="8">
        <v>91937307</v>
      </c>
      <c r="F1301" s="8">
        <v>91937307</v>
      </c>
      <c r="G1301" s="8" t="s">
        <v>46</v>
      </c>
      <c r="H1301" s="8" t="s">
        <v>24</v>
      </c>
      <c r="I1301" s="8" t="s">
        <v>23</v>
      </c>
      <c r="J1301" s="8" t="s">
        <v>3097</v>
      </c>
      <c r="K1301" s="8" t="s">
        <v>8073</v>
      </c>
      <c r="L1301" s="8" t="s">
        <v>19</v>
      </c>
      <c r="M1301" s="8">
        <v>1778</v>
      </c>
      <c r="N1301" s="8" t="s">
        <v>1612</v>
      </c>
      <c r="O1301" s="8">
        <v>499</v>
      </c>
      <c r="P1301" s="8" t="s">
        <v>8072</v>
      </c>
      <c r="Q1301" s="8" t="s">
        <v>4262</v>
      </c>
      <c r="R1301" s="8">
        <v>0.439</v>
      </c>
      <c r="S1301" s="8">
        <v>91937307</v>
      </c>
      <c r="T1301" s="8" t="s">
        <v>46</v>
      </c>
      <c r="U1301" s="8" t="s">
        <v>24</v>
      </c>
    </row>
    <row r="1302" spans="1:21">
      <c r="A1302" s="8" t="s">
        <v>7953</v>
      </c>
      <c r="B1302" s="8" t="s">
        <v>6193</v>
      </c>
      <c r="C1302" s="8">
        <v>1138</v>
      </c>
      <c r="D1302" s="8" t="s">
        <v>120</v>
      </c>
      <c r="E1302" s="8">
        <v>78882821</v>
      </c>
      <c r="F1302" s="8">
        <v>78882821</v>
      </c>
      <c r="G1302" s="8" t="s">
        <v>41</v>
      </c>
      <c r="H1302" s="8" t="s">
        <v>46</v>
      </c>
      <c r="I1302" s="8" t="s">
        <v>23</v>
      </c>
      <c r="J1302" s="8" t="s">
        <v>6194</v>
      </c>
      <c r="K1302" s="8" t="s">
        <v>6196</v>
      </c>
      <c r="L1302" s="8" t="s">
        <v>19</v>
      </c>
      <c r="M1302" s="8">
        <v>1288</v>
      </c>
      <c r="N1302" s="8" t="s">
        <v>3026</v>
      </c>
      <c r="O1302" s="8">
        <v>363</v>
      </c>
      <c r="P1302" s="8" t="s">
        <v>8074</v>
      </c>
      <c r="Q1302" s="8" t="s">
        <v>8075</v>
      </c>
      <c r="R1302" s="8">
        <v>0.378</v>
      </c>
      <c r="S1302" s="8">
        <v>78882821</v>
      </c>
      <c r="T1302" s="8" t="s">
        <v>41</v>
      </c>
      <c r="U1302" s="8" t="s">
        <v>46</v>
      </c>
    </row>
    <row r="1303" spans="1:21">
      <c r="A1303" s="8" t="s">
        <v>7953</v>
      </c>
      <c r="B1303" s="8" t="s">
        <v>3856</v>
      </c>
      <c r="C1303" s="8">
        <v>8120</v>
      </c>
      <c r="D1303" s="8" t="s">
        <v>120</v>
      </c>
      <c r="E1303" s="8">
        <v>83345332</v>
      </c>
      <c r="F1303" s="8">
        <v>83345332</v>
      </c>
      <c r="G1303" s="8" t="s">
        <v>24</v>
      </c>
      <c r="H1303" s="8" t="s">
        <v>41</v>
      </c>
      <c r="I1303" s="8" t="s">
        <v>23</v>
      </c>
      <c r="J1303" s="8" t="s">
        <v>3857</v>
      </c>
      <c r="K1303" s="8" t="s">
        <v>8077</v>
      </c>
      <c r="L1303" s="8" t="s">
        <v>19</v>
      </c>
      <c r="M1303" s="8">
        <v>1723</v>
      </c>
      <c r="N1303" s="8" t="s">
        <v>3150</v>
      </c>
      <c r="O1303" s="8">
        <v>516</v>
      </c>
      <c r="P1303" s="8" t="s">
        <v>8076</v>
      </c>
      <c r="Q1303" s="8" t="s">
        <v>4262</v>
      </c>
      <c r="R1303" s="8">
        <v>0.34699999999999998</v>
      </c>
      <c r="S1303" s="8">
        <v>83345332</v>
      </c>
      <c r="T1303" s="8" t="s">
        <v>24</v>
      </c>
      <c r="U1303" s="8" t="s">
        <v>41</v>
      </c>
    </row>
    <row r="1304" spans="1:21">
      <c r="A1304" s="8" t="s">
        <v>7953</v>
      </c>
      <c r="B1304" s="8" t="s">
        <v>1726</v>
      </c>
      <c r="C1304" s="8">
        <v>161725</v>
      </c>
      <c r="D1304" s="8" t="s">
        <v>120</v>
      </c>
      <c r="E1304" s="8">
        <v>31819422</v>
      </c>
      <c r="F1304" s="8">
        <v>31819422</v>
      </c>
      <c r="G1304" s="8" t="s">
        <v>24</v>
      </c>
      <c r="H1304" s="8" t="s">
        <v>25</v>
      </c>
      <c r="I1304" s="8" t="s">
        <v>23</v>
      </c>
      <c r="J1304" s="8" t="s">
        <v>8078</v>
      </c>
      <c r="K1304" s="8" t="s">
        <v>8079</v>
      </c>
      <c r="L1304" s="8" t="s">
        <v>19</v>
      </c>
      <c r="M1304" s="8">
        <v>835</v>
      </c>
      <c r="N1304" s="8" t="s">
        <v>92</v>
      </c>
      <c r="O1304" s="8">
        <v>248</v>
      </c>
      <c r="P1304" s="8" t="s">
        <v>7160</v>
      </c>
      <c r="Q1304" s="8" t="s">
        <v>4262</v>
      </c>
      <c r="R1304" s="8">
        <v>0.221</v>
      </c>
      <c r="S1304" s="8">
        <v>31819422</v>
      </c>
      <c r="T1304" s="8" t="s">
        <v>24</v>
      </c>
      <c r="U1304" s="8" t="s">
        <v>25</v>
      </c>
    </row>
    <row r="1305" spans="1:21">
      <c r="A1305" s="8" t="s">
        <v>7953</v>
      </c>
      <c r="B1305" s="8" t="s">
        <v>6203</v>
      </c>
      <c r="C1305" s="8">
        <v>9716</v>
      </c>
      <c r="D1305" s="8" t="s">
        <v>120</v>
      </c>
      <c r="E1305" s="8">
        <v>35189136</v>
      </c>
      <c r="F1305" s="8">
        <v>35189136</v>
      </c>
      <c r="G1305" s="8" t="s">
        <v>46</v>
      </c>
      <c r="H1305" s="8" t="s">
        <v>41</v>
      </c>
      <c r="I1305" s="8" t="s">
        <v>23</v>
      </c>
      <c r="J1305" s="8" t="s">
        <v>6204</v>
      </c>
      <c r="K1305" s="8" t="s">
        <v>6206</v>
      </c>
      <c r="L1305" s="8" t="s">
        <v>19</v>
      </c>
      <c r="M1305" s="8">
        <v>2603</v>
      </c>
      <c r="N1305" s="8" t="s">
        <v>758</v>
      </c>
      <c r="O1305" s="8">
        <v>808</v>
      </c>
      <c r="P1305" s="8" t="s">
        <v>8080</v>
      </c>
      <c r="Q1305" s="8" t="s">
        <v>4262</v>
      </c>
      <c r="R1305" s="8">
        <v>0.377</v>
      </c>
      <c r="S1305" s="8">
        <v>35189136</v>
      </c>
      <c r="T1305" s="8" t="s">
        <v>46</v>
      </c>
      <c r="U1305" s="8" t="s">
        <v>41</v>
      </c>
    </row>
    <row r="1306" spans="1:21">
      <c r="A1306" s="8" t="s">
        <v>7953</v>
      </c>
      <c r="B1306" s="8" t="s">
        <v>3098</v>
      </c>
      <c r="C1306" s="8">
        <v>124220</v>
      </c>
      <c r="D1306" s="8" t="s">
        <v>129</v>
      </c>
      <c r="E1306" s="8">
        <v>2881887</v>
      </c>
      <c r="F1306" s="8">
        <v>2881887</v>
      </c>
      <c r="G1306" s="8" t="s">
        <v>46</v>
      </c>
      <c r="H1306" s="8" t="s">
        <v>25</v>
      </c>
      <c r="I1306" s="8" t="s">
        <v>23</v>
      </c>
      <c r="J1306" s="8" t="s">
        <v>3099</v>
      </c>
      <c r="K1306" s="8" t="s">
        <v>8082</v>
      </c>
      <c r="L1306" s="8" t="s">
        <v>76</v>
      </c>
      <c r="M1306" s="8">
        <v>430</v>
      </c>
      <c r="N1306" s="8" t="s">
        <v>747</v>
      </c>
      <c r="O1306" s="8">
        <v>118</v>
      </c>
      <c r="P1306" s="8" t="s">
        <v>8081</v>
      </c>
      <c r="Q1306" s="8" t="s">
        <v>4262</v>
      </c>
      <c r="R1306" s="8">
        <v>0.41399999999999998</v>
      </c>
      <c r="S1306" s="8">
        <v>2881887</v>
      </c>
      <c r="T1306" s="8" t="s">
        <v>46</v>
      </c>
      <c r="U1306" s="8" t="s">
        <v>25</v>
      </c>
    </row>
    <row r="1307" spans="1:21">
      <c r="A1307" s="8" t="s">
        <v>7953</v>
      </c>
      <c r="B1307" s="8" t="s">
        <v>3102</v>
      </c>
      <c r="C1307" s="8">
        <v>84669</v>
      </c>
      <c r="D1307" s="8" t="s">
        <v>133</v>
      </c>
      <c r="E1307" s="8">
        <v>58329776</v>
      </c>
      <c r="F1307" s="8">
        <v>58329776</v>
      </c>
      <c r="G1307" s="8" t="s">
        <v>24</v>
      </c>
      <c r="H1307" s="8" t="s">
        <v>41</v>
      </c>
      <c r="I1307" s="8" t="s">
        <v>23</v>
      </c>
      <c r="J1307" s="8" t="s">
        <v>3103</v>
      </c>
      <c r="K1307" s="8" t="s">
        <v>8084</v>
      </c>
      <c r="L1307" s="8" t="s">
        <v>19</v>
      </c>
      <c r="M1307" s="8">
        <v>1388</v>
      </c>
      <c r="N1307" s="8" t="s">
        <v>379</v>
      </c>
      <c r="O1307" s="8">
        <v>368</v>
      </c>
      <c r="P1307" s="8" t="s">
        <v>8083</v>
      </c>
      <c r="Q1307" s="8" t="s">
        <v>4262</v>
      </c>
      <c r="R1307" s="8">
        <v>0.60199999999999998</v>
      </c>
      <c r="S1307" s="8">
        <v>58329776</v>
      </c>
      <c r="T1307" s="8" t="s">
        <v>24</v>
      </c>
      <c r="U1307" s="8" t="s">
        <v>41</v>
      </c>
    </row>
    <row r="1308" spans="1:21">
      <c r="A1308" s="8" t="s">
        <v>7953</v>
      </c>
      <c r="B1308" s="8" t="s">
        <v>3104</v>
      </c>
      <c r="C1308" s="8">
        <v>974</v>
      </c>
      <c r="D1308" s="8" t="s">
        <v>133</v>
      </c>
      <c r="E1308" s="8">
        <v>62007439</v>
      </c>
      <c r="F1308" s="8">
        <v>62007439</v>
      </c>
      <c r="G1308" s="8" t="s">
        <v>25</v>
      </c>
      <c r="H1308" s="8" t="s">
        <v>41</v>
      </c>
      <c r="I1308" s="8" t="s">
        <v>23</v>
      </c>
      <c r="J1308" s="8" t="s">
        <v>8085</v>
      </c>
      <c r="K1308" s="8" t="s">
        <v>8087</v>
      </c>
      <c r="L1308" s="8" t="s">
        <v>19</v>
      </c>
      <c r="M1308" s="8">
        <v>511</v>
      </c>
      <c r="N1308" s="8" t="s">
        <v>3105</v>
      </c>
      <c r="O1308" s="8">
        <v>143</v>
      </c>
      <c r="P1308" s="8" t="s">
        <v>8086</v>
      </c>
      <c r="Q1308" s="8" t="s">
        <v>4262</v>
      </c>
      <c r="R1308" s="8">
        <v>0.40500000000000003</v>
      </c>
      <c r="S1308" s="8">
        <v>62007439</v>
      </c>
      <c r="T1308" s="8" t="s">
        <v>25</v>
      </c>
      <c r="U1308" s="8" t="s">
        <v>41</v>
      </c>
    </row>
    <row r="1309" spans="1:21">
      <c r="A1309" s="8" t="s">
        <v>7953</v>
      </c>
      <c r="B1309" s="8" t="s">
        <v>8088</v>
      </c>
      <c r="C1309" s="8">
        <v>55852</v>
      </c>
      <c r="D1309" s="8" t="s">
        <v>133</v>
      </c>
      <c r="E1309" s="8">
        <v>62238195</v>
      </c>
      <c r="F1309" s="8">
        <v>62238195</v>
      </c>
      <c r="G1309" s="8" t="s">
        <v>46</v>
      </c>
      <c r="H1309" s="8" t="s">
        <v>41</v>
      </c>
      <c r="I1309" s="8" t="s">
        <v>23</v>
      </c>
      <c r="J1309" s="8" t="s">
        <v>8089</v>
      </c>
      <c r="K1309" s="8" t="s">
        <v>8091</v>
      </c>
      <c r="L1309" s="8" t="s">
        <v>19</v>
      </c>
      <c r="M1309" s="8">
        <v>2942</v>
      </c>
      <c r="N1309" s="8" t="s">
        <v>758</v>
      </c>
      <c r="O1309" s="8">
        <v>931</v>
      </c>
      <c r="P1309" s="8" t="s">
        <v>8090</v>
      </c>
      <c r="Q1309" s="8" t="s">
        <v>4262</v>
      </c>
      <c r="R1309" s="8">
        <v>0.33300000000000002</v>
      </c>
      <c r="S1309" s="8">
        <v>62238195</v>
      </c>
      <c r="T1309" s="8" t="s">
        <v>46</v>
      </c>
      <c r="U1309" s="8" t="s">
        <v>41</v>
      </c>
    </row>
    <row r="1310" spans="1:21">
      <c r="A1310" s="8" t="s">
        <v>7953</v>
      </c>
      <c r="B1310" s="8" t="s">
        <v>8092</v>
      </c>
      <c r="C1310" s="8">
        <v>64118</v>
      </c>
      <c r="D1310" s="8" t="s">
        <v>133</v>
      </c>
      <c r="E1310" s="8">
        <v>80016682</v>
      </c>
      <c r="F1310" s="8">
        <v>80016682</v>
      </c>
      <c r="G1310" s="8" t="s">
        <v>41</v>
      </c>
      <c r="H1310" s="8" t="s">
        <v>24</v>
      </c>
      <c r="I1310" s="8" t="s">
        <v>23</v>
      </c>
      <c r="J1310" s="8" t="s">
        <v>8093</v>
      </c>
      <c r="K1310" s="8" t="s">
        <v>8095</v>
      </c>
      <c r="L1310" s="8" t="s">
        <v>19</v>
      </c>
      <c r="M1310" s="8">
        <v>1383</v>
      </c>
      <c r="N1310" s="8" t="s">
        <v>2989</v>
      </c>
      <c r="O1310" s="8">
        <v>394</v>
      </c>
      <c r="P1310" s="8" t="s">
        <v>8094</v>
      </c>
      <c r="Q1310" s="8" t="s">
        <v>4262</v>
      </c>
      <c r="R1310" s="8">
        <v>0.30299999999999999</v>
      </c>
      <c r="S1310" s="8">
        <v>80016682</v>
      </c>
      <c r="T1310" s="8" t="s">
        <v>41</v>
      </c>
      <c r="U1310" s="8" t="s">
        <v>24</v>
      </c>
    </row>
    <row r="1311" spans="1:21">
      <c r="A1311" s="8" t="s">
        <v>7953</v>
      </c>
      <c r="B1311" s="8" t="s">
        <v>3100</v>
      </c>
      <c r="C1311" s="8">
        <v>162394</v>
      </c>
      <c r="D1311" s="8" t="s">
        <v>133</v>
      </c>
      <c r="E1311" s="8">
        <v>33591871</v>
      </c>
      <c r="F1311" s="8">
        <v>33591871</v>
      </c>
      <c r="G1311" s="8" t="s">
        <v>46</v>
      </c>
      <c r="H1311" s="8" t="s">
        <v>41</v>
      </c>
      <c r="I1311" s="8" t="s">
        <v>23</v>
      </c>
      <c r="J1311" s="8" t="s">
        <v>3101</v>
      </c>
      <c r="K1311" s="8" t="s">
        <v>8097</v>
      </c>
      <c r="L1311" s="8" t="s">
        <v>19</v>
      </c>
      <c r="M1311" s="8">
        <v>1925</v>
      </c>
      <c r="N1311" s="8" t="s">
        <v>365</v>
      </c>
      <c r="O1311" s="8">
        <v>603</v>
      </c>
      <c r="P1311" s="8" t="s">
        <v>8096</v>
      </c>
      <c r="Q1311" s="8" t="s">
        <v>4262</v>
      </c>
      <c r="R1311" s="8">
        <v>0.504</v>
      </c>
      <c r="S1311" s="8">
        <v>33591871</v>
      </c>
      <c r="T1311" s="8" t="s">
        <v>46</v>
      </c>
      <c r="U1311" s="8" t="s">
        <v>41</v>
      </c>
    </row>
    <row r="1312" spans="1:21">
      <c r="A1312" s="8" t="s">
        <v>7953</v>
      </c>
      <c r="B1312" s="8" t="s">
        <v>8098</v>
      </c>
      <c r="C1312" s="8">
        <v>100506736</v>
      </c>
      <c r="D1312" s="8" t="s">
        <v>133</v>
      </c>
      <c r="E1312" s="8">
        <v>33802046</v>
      </c>
      <c r="F1312" s="8">
        <v>33802046</v>
      </c>
      <c r="G1312" s="8" t="s">
        <v>46</v>
      </c>
      <c r="H1312" s="8" t="s">
        <v>25</v>
      </c>
      <c r="I1312" s="8" t="s">
        <v>23</v>
      </c>
      <c r="J1312" s="8" t="s">
        <v>8099</v>
      </c>
      <c r="K1312" s="8" t="s">
        <v>8101</v>
      </c>
      <c r="L1312" s="8" t="s">
        <v>19</v>
      </c>
      <c r="M1312" s="8">
        <v>1663</v>
      </c>
      <c r="N1312" s="8" t="s">
        <v>256</v>
      </c>
      <c r="O1312" s="8">
        <v>555</v>
      </c>
      <c r="P1312" s="8" t="s">
        <v>8100</v>
      </c>
      <c r="Q1312" s="8" t="s">
        <v>4262</v>
      </c>
      <c r="R1312" s="8">
        <v>0.4</v>
      </c>
      <c r="S1312" s="8">
        <v>33802046</v>
      </c>
      <c r="T1312" s="8" t="s">
        <v>46</v>
      </c>
      <c r="U1312" s="8" t="s">
        <v>25</v>
      </c>
    </row>
    <row r="1313" spans="1:21">
      <c r="A1313" s="8" t="s">
        <v>7953</v>
      </c>
      <c r="B1313" s="8" t="s">
        <v>8098</v>
      </c>
      <c r="C1313" s="8">
        <v>100506736</v>
      </c>
      <c r="D1313" s="8" t="s">
        <v>133</v>
      </c>
      <c r="E1313" s="8">
        <v>33802047</v>
      </c>
      <c r="F1313" s="8">
        <v>33802047</v>
      </c>
      <c r="G1313" s="8" t="s">
        <v>46</v>
      </c>
      <c r="H1313" s="8" t="s">
        <v>25</v>
      </c>
      <c r="I1313" s="8" t="s">
        <v>23</v>
      </c>
      <c r="J1313" s="8" t="s">
        <v>8099</v>
      </c>
      <c r="K1313" s="8" t="s">
        <v>8101</v>
      </c>
      <c r="L1313" s="8" t="s">
        <v>19</v>
      </c>
      <c r="M1313" s="8">
        <v>1662</v>
      </c>
      <c r="N1313" s="8" t="s">
        <v>490</v>
      </c>
      <c r="O1313" s="8">
        <v>554</v>
      </c>
      <c r="P1313" s="8" t="s">
        <v>8102</v>
      </c>
      <c r="Q1313" s="8" t="s">
        <v>4262</v>
      </c>
      <c r="R1313" s="8">
        <v>0.4</v>
      </c>
      <c r="S1313" s="8">
        <v>33802047</v>
      </c>
      <c r="T1313" s="8" t="s">
        <v>46</v>
      </c>
      <c r="U1313" s="8" t="s">
        <v>25</v>
      </c>
    </row>
    <row r="1314" spans="1:21">
      <c r="A1314" s="8" t="s">
        <v>7953</v>
      </c>
      <c r="B1314" s="8" t="s">
        <v>2552</v>
      </c>
      <c r="C1314" s="8">
        <v>8714</v>
      </c>
      <c r="D1314" s="8" t="s">
        <v>133</v>
      </c>
      <c r="E1314" s="8">
        <v>48761047</v>
      </c>
      <c r="F1314" s="8">
        <v>48761047</v>
      </c>
      <c r="G1314" s="8" t="s">
        <v>46</v>
      </c>
      <c r="H1314" s="8" t="s">
        <v>24</v>
      </c>
      <c r="I1314" s="8" t="s">
        <v>23</v>
      </c>
      <c r="J1314" s="8" t="s">
        <v>2553</v>
      </c>
      <c r="K1314" s="8" t="s">
        <v>4945</v>
      </c>
      <c r="L1314" s="8" t="s">
        <v>19</v>
      </c>
      <c r="M1314" s="8">
        <v>3964</v>
      </c>
      <c r="N1314" s="8" t="s">
        <v>435</v>
      </c>
      <c r="O1314" s="8">
        <v>1295</v>
      </c>
      <c r="P1314" s="8" t="s">
        <v>8103</v>
      </c>
      <c r="Q1314" s="8" t="s">
        <v>4262</v>
      </c>
      <c r="R1314" s="8">
        <v>0.41299999999999998</v>
      </c>
      <c r="S1314" s="8">
        <v>48761047</v>
      </c>
      <c r="T1314" s="8" t="s">
        <v>46</v>
      </c>
      <c r="U1314" s="8" t="s">
        <v>24</v>
      </c>
    </row>
    <row r="1315" spans="1:21">
      <c r="A1315" s="8" t="s">
        <v>7953</v>
      </c>
      <c r="B1315" s="8" t="s">
        <v>8104</v>
      </c>
      <c r="C1315" s="8">
        <v>199713</v>
      </c>
      <c r="D1315" s="8" t="s">
        <v>139</v>
      </c>
      <c r="E1315" s="8">
        <v>55450611</v>
      </c>
      <c r="F1315" s="8">
        <v>55450611</v>
      </c>
      <c r="G1315" s="8" t="s">
        <v>46</v>
      </c>
      <c r="H1315" s="8" t="s">
        <v>41</v>
      </c>
      <c r="I1315" s="8" t="s">
        <v>23</v>
      </c>
      <c r="J1315" s="8" t="s">
        <v>8105</v>
      </c>
      <c r="K1315" s="8" t="s">
        <v>8107</v>
      </c>
      <c r="L1315" s="8" t="s">
        <v>19</v>
      </c>
      <c r="M1315" s="8">
        <v>1652</v>
      </c>
      <c r="N1315" s="8" t="s">
        <v>768</v>
      </c>
      <c r="O1315" s="8">
        <v>526</v>
      </c>
      <c r="P1315" s="8" t="s">
        <v>8106</v>
      </c>
      <c r="Q1315" s="8" t="s">
        <v>4262</v>
      </c>
      <c r="R1315" s="8">
        <v>0.312</v>
      </c>
      <c r="S1315" s="8">
        <v>55450611</v>
      </c>
      <c r="T1315" s="8" t="s">
        <v>46</v>
      </c>
      <c r="U1315" s="8" t="s">
        <v>41</v>
      </c>
    </row>
    <row r="1316" spans="1:21">
      <c r="A1316" s="8" t="s">
        <v>7953</v>
      </c>
      <c r="B1316" s="8" t="s">
        <v>8108</v>
      </c>
      <c r="C1316" s="8">
        <v>730051</v>
      </c>
      <c r="D1316" s="8" t="s">
        <v>139</v>
      </c>
      <c r="E1316" s="8">
        <v>58385748</v>
      </c>
      <c r="F1316" s="8">
        <v>58385748</v>
      </c>
      <c r="G1316" s="8" t="s">
        <v>24</v>
      </c>
      <c r="H1316" s="8" t="s">
        <v>25</v>
      </c>
      <c r="I1316" s="8" t="s">
        <v>23</v>
      </c>
      <c r="J1316" s="8" t="s">
        <v>8109</v>
      </c>
      <c r="K1316" s="8" t="s">
        <v>8112</v>
      </c>
      <c r="L1316" s="8" t="s">
        <v>19</v>
      </c>
      <c r="M1316" s="8">
        <v>1282</v>
      </c>
      <c r="N1316" s="8" t="s">
        <v>389</v>
      </c>
      <c r="O1316" s="8">
        <v>337</v>
      </c>
      <c r="P1316" s="8" t="s">
        <v>8110</v>
      </c>
      <c r="Q1316" s="8" t="s">
        <v>8111</v>
      </c>
      <c r="R1316" s="8">
        <v>0.42599999999999999</v>
      </c>
      <c r="S1316" s="8">
        <v>58385748</v>
      </c>
      <c r="T1316" s="8" t="s">
        <v>24</v>
      </c>
      <c r="U1316" s="8" t="s">
        <v>25</v>
      </c>
    </row>
    <row r="1317" spans="1:21">
      <c r="A1317" s="8" t="s">
        <v>7953</v>
      </c>
      <c r="B1317" s="8" t="s">
        <v>8113</v>
      </c>
      <c r="C1317" s="8">
        <v>6511</v>
      </c>
      <c r="D1317" s="8" t="s">
        <v>139</v>
      </c>
      <c r="E1317" s="8">
        <v>15083521</v>
      </c>
      <c r="F1317" s="8">
        <v>15083521</v>
      </c>
      <c r="G1317" s="8" t="s">
        <v>41</v>
      </c>
      <c r="H1317" s="8" t="s">
        <v>25</v>
      </c>
      <c r="I1317" s="8" t="s">
        <v>23</v>
      </c>
      <c r="J1317" s="8" t="s">
        <v>8114</v>
      </c>
      <c r="K1317" s="8" t="s">
        <v>8116</v>
      </c>
      <c r="L1317" s="8" t="s">
        <v>19</v>
      </c>
      <c r="M1317" s="8">
        <v>210</v>
      </c>
      <c r="N1317" s="8" t="s">
        <v>3850</v>
      </c>
      <c r="O1317" s="8">
        <v>68</v>
      </c>
      <c r="P1317" s="8" t="s">
        <v>8115</v>
      </c>
      <c r="Q1317" s="8" t="s">
        <v>4262</v>
      </c>
      <c r="R1317" s="8">
        <v>0.317</v>
      </c>
      <c r="S1317" s="8">
        <v>15083521</v>
      </c>
      <c r="T1317" s="8" t="s">
        <v>41</v>
      </c>
      <c r="U1317" s="8" t="s">
        <v>25</v>
      </c>
    </row>
    <row r="1318" spans="1:21">
      <c r="A1318" s="8" t="s">
        <v>7953</v>
      </c>
      <c r="B1318" s="8" t="s">
        <v>3109</v>
      </c>
      <c r="C1318" s="8">
        <v>57169</v>
      </c>
      <c r="D1318" s="8" t="s">
        <v>188</v>
      </c>
      <c r="E1318" s="8">
        <v>47864507</v>
      </c>
      <c r="F1318" s="8">
        <v>47864507</v>
      </c>
      <c r="G1318" s="8" t="s">
        <v>25</v>
      </c>
      <c r="H1318" s="8" t="s">
        <v>46</v>
      </c>
      <c r="I1318" s="8" t="s">
        <v>23</v>
      </c>
      <c r="J1318" s="8" t="s">
        <v>3110</v>
      </c>
      <c r="K1318" s="8" t="s">
        <v>7726</v>
      </c>
      <c r="L1318" s="8" t="s">
        <v>76</v>
      </c>
      <c r="M1318" s="8">
        <v>5301</v>
      </c>
      <c r="N1318" s="8" t="s">
        <v>3111</v>
      </c>
      <c r="O1318" s="8">
        <v>1685</v>
      </c>
      <c r="P1318" s="8" t="s">
        <v>8117</v>
      </c>
      <c r="Q1318" s="8" t="s">
        <v>4262</v>
      </c>
      <c r="R1318" s="8">
        <v>0.40899999999999997</v>
      </c>
      <c r="S1318" s="8">
        <v>47864507</v>
      </c>
      <c r="T1318" s="8" t="s">
        <v>25</v>
      </c>
      <c r="U1318" s="8" t="s">
        <v>46</v>
      </c>
    </row>
    <row r="1319" spans="1:21">
      <c r="A1319" s="8" t="s">
        <v>7953</v>
      </c>
      <c r="B1319" s="8" t="s">
        <v>3132</v>
      </c>
      <c r="C1319" s="8">
        <v>3358</v>
      </c>
      <c r="D1319" s="8" t="s">
        <v>418</v>
      </c>
      <c r="E1319" s="8">
        <v>114141517</v>
      </c>
      <c r="F1319" s="8">
        <v>114141517</v>
      </c>
      <c r="G1319" s="8" t="s">
        <v>24</v>
      </c>
      <c r="H1319" s="8" t="s">
        <v>46</v>
      </c>
      <c r="I1319" s="8" t="s">
        <v>23</v>
      </c>
      <c r="J1319" s="8" t="s">
        <v>8118</v>
      </c>
      <c r="K1319" s="8" t="s">
        <v>8120</v>
      </c>
      <c r="L1319" s="8" t="s">
        <v>19</v>
      </c>
      <c r="M1319" s="8">
        <v>1644</v>
      </c>
      <c r="N1319" s="8" t="s">
        <v>564</v>
      </c>
      <c r="O1319" s="8">
        <v>306</v>
      </c>
      <c r="P1319" s="8" t="s">
        <v>8119</v>
      </c>
      <c r="Q1319" s="8" t="s">
        <v>4262</v>
      </c>
      <c r="R1319" s="8">
        <v>0.872</v>
      </c>
      <c r="S1319" s="8">
        <v>114141517</v>
      </c>
      <c r="T1319" s="8" t="s">
        <v>24</v>
      </c>
      <c r="U1319" s="8" t="s">
        <v>46</v>
      </c>
    </row>
    <row r="1320" spans="1:21">
      <c r="A1320" s="8" t="s">
        <v>7953</v>
      </c>
      <c r="B1320" s="8" t="s">
        <v>8121</v>
      </c>
      <c r="C1320" s="8">
        <v>5634</v>
      </c>
      <c r="D1320" s="8" t="s">
        <v>418</v>
      </c>
      <c r="E1320" s="8">
        <v>12828249</v>
      </c>
      <c r="F1320" s="8">
        <v>12828249</v>
      </c>
      <c r="G1320" s="8" t="s">
        <v>24</v>
      </c>
      <c r="H1320" s="8" t="s">
        <v>41</v>
      </c>
      <c r="I1320" s="8" t="s">
        <v>23</v>
      </c>
      <c r="J1320" s="8" t="s">
        <v>8122</v>
      </c>
      <c r="K1320" s="8" t="s">
        <v>8124</v>
      </c>
      <c r="L1320" s="8" t="s">
        <v>19</v>
      </c>
      <c r="M1320" s="8">
        <v>657</v>
      </c>
      <c r="N1320" s="8" t="s">
        <v>124</v>
      </c>
      <c r="O1320" s="8">
        <v>172</v>
      </c>
      <c r="P1320" s="8" t="s">
        <v>8123</v>
      </c>
      <c r="Q1320" s="8" t="s">
        <v>4262</v>
      </c>
      <c r="R1320" s="8">
        <v>0.94099999999999995</v>
      </c>
      <c r="S1320" s="8">
        <v>12828249</v>
      </c>
      <c r="T1320" s="8" t="s">
        <v>24</v>
      </c>
      <c r="U1320" s="8" t="s">
        <v>41</v>
      </c>
    </row>
    <row r="1321" spans="1:21">
      <c r="A1321" s="8" t="s">
        <v>7953</v>
      </c>
      <c r="B1321" s="8" t="s">
        <v>3133</v>
      </c>
      <c r="C1321" s="8">
        <v>7592</v>
      </c>
      <c r="D1321" s="8" t="s">
        <v>418</v>
      </c>
      <c r="E1321" s="8">
        <v>47307881</v>
      </c>
      <c r="F1321" s="8">
        <v>47307881</v>
      </c>
      <c r="G1321" s="8" t="s">
        <v>24</v>
      </c>
      <c r="H1321" s="8" t="s">
        <v>25</v>
      </c>
      <c r="I1321" s="8" t="s">
        <v>23</v>
      </c>
      <c r="J1321" s="8" t="s">
        <v>8125</v>
      </c>
      <c r="K1321" s="8" t="s">
        <v>8127</v>
      </c>
      <c r="L1321" s="8" t="s">
        <v>76</v>
      </c>
      <c r="M1321" s="8">
        <v>1928</v>
      </c>
      <c r="N1321" s="8" t="s">
        <v>371</v>
      </c>
      <c r="O1321" s="8">
        <v>430</v>
      </c>
      <c r="P1321" s="8" t="s">
        <v>8126</v>
      </c>
      <c r="Q1321" s="8" t="s">
        <v>4262</v>
      </c>
      <c r="R1321" s="8">
        <v>0.49199999999999999</v>
      </c>
      <c r="S1321" s="8">
        <v>47307881</v>
      </c>
      <c r="T1321" s="8" t="s">
        <v>24</v>
      </c>
      <c r="U1321" s="8" t="s">
        <v>25</v>
      </c>
    </row>
    <row r="1322" spans="1:21">
      <c r="A1322" s="8" t="s">
        <v>8129</v>
      </c>
      <c r="B1322" s="8" t="s">
        <v>2047</v>
      </c>
      <c r="C1322" s="8">
        <v>9378</v>
      </c>
      <c r="D1322" s="8" t="s">
        <v>172</v>
      </c>
      <c r="E1322" s="8">
        <v>51255225</v>
      </c>
      <c r="F1322" s="8">
        <v>51255225</v>
      </c>
      <c r="G1322" s="8" t="s">
        <v>46</v>
      </c>
      <c r="H1322" s="8" t="s">
        <v>41</v>
      </c>
      <c r="I1322" s="8" t="s">
        <v>23</v>
      </c>
      <c r="J1322" s="8" t="s">
        <v>6624</v>
      </c>
      <c r="K1322" s="8" t="s">
        <v>6626</v>
      </c>
      <c r="L1322" s="8" t="s">
        <v>19</v>
      </c>
      <c r="M1322" s="8">
        <v>1664</v>
      </c>
      <c r="N1322" s="8" t="s">
        <v>155</v>
      </c>
      <c r="O1322" s="8">
        <v>63</v>
      </c>
      <c r="P1322" s="8" t="s">
        <v>8128</v>
      </c>
      <c r="Q1322" s="8" t="s">
        <v>4262</v>
      </c>
      <c r="R1322" s="8">
        <v>0.33300000000000002</v>
      </c>
      <c r="S1322" s="8">
        <v>51255225</v>
      </c>
      <c r="T1322" s="8" t="s">
        <v>46</v>
      </c>
      <c r="U1322" s="8" t="s">
        <v>41</v>
      </c>
    </row>
    <row r="1323" spans="1:21">
      <c r="A1323" s="8" t="s">
        <v>8129</v>
      </c>
      <c r="B1323" s="8" t="s">
        <v>3073</v>
      </c>
      <c r="C1323" s="8">
        <v>56910</v>
      </c>
      <c r="D1323" s="8" t="s">
        <v>172</v>
      </c>
      <c r="E1323" s="8">
        <v>96861189</v>
      </c>
      <c r="F1323" s="8">
        <v>96861189</v>
      </c>
      <c r="G1323" s="8" t="s">
        <v>46</v>
      </c>
      <c r="H1323" s="8" t="s">
        <v>25</v>
      </c>
      <c r="I1323" s="8" t="s">
        <v>23</v>
      </c>
      <c r="J1323" s="8" t="s">
        <v>3074</v>
      </c>
      <c r="K1323" s="8" t="s">
        <v>8130</v>
      </c>
      <c r="L1323" s="8" t="s">
        <v>19</v>
      </c>
      <c r="M1323" s="8">
        <v>790</v>
      </c>
      <c r="N1323" s="8" t="s">
        <v>270</v>
      </c>
      <c r="O1323" s="8">
        <v>130</v>
      </c>
      <c r="P1323" s="8" t="s">
        <v>7684</v>
      </c>
      <c r="Q1323" s="8" t="s">
        <v>4262</v>
      </c>
      <c r="R1323" s="8">
        <v>0.42099999999999999</v>
      </c>
      <c r="S1323" s="8">
        <v>96861189</v>
      </c>
      <c r="T1323" s="8" t="s">
        <v>46</v>
      </c>
      <c r="U1323" s="8" t="s">
        <v>25</v>
      </c>
    </row>
    <row r="1324" spans="1:21">
      <c r="A1324" s="8" t="s">
        <v>8129</v>
      </c>
      <c r="B1324" s="8" t="s">
        <v>7167</v>
      </c>
      <c r="C1324" s="8">
        <v>4703</v>
      </c>
      <c r="D1324" s="8" t="s">
        <v>172</v>
      </c>
      <c r="E1324" s="8">
        <v>152410485</v>
      </c>
      <c r="F1324" s="8">
        <v>152410485</v>
      </c>
      <c r="G1324" s="8" t="s">
        <v>46</v>
      </c>
      <c r="H1324" s="8" t="s">
        <v>41</v>
      </c>
      <c r="I1324" s="8" t="s">
        <v>23</v>
      </c>
      <c r="J1324" s="8" t="s">
        <v>7168</v>
      </c>
      <c r="K1324" s="8" t="s">
        <v>7170</v>
      </c>
      <c r="L1324" s="8" t="s">
        <v>19</v>
      </c>
      <c r="M1324" s="8">
        <v>19686</v>
      </c>
      <c r="N1324" s="8" t="s">
        <v>485</v>
      </c>
      <c r="O1324" s="8">
        <v>6495</v>
      </c>
      <c r="P1324" s="8" t="s">
        <v>8131</v>
      </c>
      <c r="Q1324" s="8" t="s">
        <v>4262</v>
      </c>
      <c r="R1324" s="8">
        <v>0.155</v>
      </c>
      <c r="S1324" s="8">
        <v>152410485</v>
      </c>
      <c r="T1324" s="8" t="s">
        <v>46</v>
      </c>
      <c r="U1324" s="8" t="s">
        <v>41</v>
      </c>
    </row>
    <row r="1325" spans="1:21">
      <c r="A1325" s="8" t="s">
        <v>8129</v>
      </c>
      <c r="B1325" s="8" t="s">
        <v>3071</v>
      </c>
      <c r="C1325" s="8">
        <v>401024</v>
      </c>
      <c r="D1325" s="8" t="s">
        <v>172</v>
      </c>
      <c r="E1325" s="8">
        <v>186658033</v>
      </c>
      <c r="F1325" s="8">
        <v>186658033</v>
      </c>
      <c r="G1325" s="8" t="s">
        <v>25</v>
      </c>
      <c r="H1325" s="8" t="s">
        <v>24</v>
      </c>
      <c r="I1325" s="8" t="s">
        <v>23</v>
      </c>
      <c r="J1325" s="8" t="s">
        <v>3072</v>
      </c>
      <c r="K1325" s="8" t="s">
        <v>6374</v>
      </c>
      <c r="L1325" s="8" t="s">
        <v>19</v>
      </c>
      <c r="M1325" s="8">
        <v>6437</v>
      </c>
      <c r="N1325" s="8" t="s">
        <v>1043</v>
      </c>
      <c r="O1325" s="8">
        <v>2146</v>
      </c>
      <c r="P1325" s="8" t="s">
        <v>8132</v>
      </c>
      <c r="Q1325" s="8" t="s">
        <v>4262</v>
      </c>
      <c r="R1325" s="8">
        <v>0.317</v>
      </c>
      <c r="S1325" s="8">
        <v>186658033</v>
      </c>
      <c r="T1325" s="8" t="s">
        <v>25</v>
      </c>
      <c r="U1325" s="8" t="s">
        <v>24</v>
      </c>
    </row>
    <row r="1326" spans="1:21">
      <c r="A1326" s="8" t="s">
        <v>8129</v>
      </c>
      <c r="B1326" s="8" t="s">
        <v>767</v>
      </c>
      <c r="C1326" s="8">
        <v>132158</v>
      </c>
      <c r="D1326" s="8" t="s">
        <v>201</v>
      </c>
      <c r="E1326" s="8">
        <v>52325821</v>
      </c>
      <c r="F1326" s="8">
        <v>52325821</v>
      </c>
      <c r="G1326" s="8" t="s">
        <v>24</v>
      </c>
      <c r="H1326" s="8" t="s">
        <v>46</v>
      </c>
      <c r="I1326" s="8" t="s">
        <v>23</v>
      </c>
      <c r="J1326" s="8" t="s">
        <v>3079</v>
      </c>
      <c r="K1326" s="8" t="s">
        <v>8134</v>
      </c>
      <c r="L1326" s="8" t="s">
        <v>19</v>
      </c>
      <c r="M1326" s="8">
        <v>684</v>
      </c>
      <c r="N1326" s="8" t="s">
        <v>969</v>
      </c>
      <c r="O1326" s="8">
        <v>196</v>
      </c>
      <c r="P1326" s="8" t="s">
        <v>8133</v>
      </c>
      <c r="Q1326" s="8" t="s">
        <v>4262</v>
      </c>
      <c r="R1326" s="8">
        <v>0.50600000000000001</v>
      </c>
      <c r="S1326" s="8">
        <v>52325821</v>
      </c>
      <c r="T1326" s="8" t="s">
        <v>24</v>
      </c>
      <c r="U1326" s="8" t="s">
        <v>46</v>
      </c>
    </row>
    <row r="1327" spans="1:21">
      <c r="A1327" s="8" t="s">
        <v>8129</v>
      </c>
      <c r="B1327" s="8" t="s">
        <v>767</v>
      </c>
      <c r="C1327" s="8">
        <v>132158</v>
      </c>
      <c r="D1327" s="8" t="s">
        <v>201</v>
      </c>
      <c r="E1327" s="8">
        <v>52325822</v>
      </c>
      <c r="F1327" s="8">
        <v>52325822</v>
      </c>
      <c r="G1327" s="8" t="s">
        <v>25</v>
      </c>
      <c r="H1327" s="8" t="s">
        <v>41</v>
      </c>
      <c r="I1327" s="8" t="s">
        <v>23</v>
      </c>
      <c r="J1327" s="8" t="s">
        <v>3079</v>
      </c>
      <c r="K1327" s="8" t="s">
        <v>8134</v>
      </c>
      <c r="L1327" s="8" t="s">
        <v>19</v>
      </c>
      <c r="M1327" s="8">
        <v>685</v>
      </c>
      <c r="N1327" s="8" t="s">
        <v>685</v>
      </c>
      <c r="O1327" s="8">
        <v>197</v>
      </c>
      <c r="P1327" s="8" t="s">
        <v>8135</v>
      </c>
      <c r="Q1327" s="8" t="s">
        <v>4262</v>
      </c>
      <c r="R1327" s="8">
        <v>0.49399999999999999</v>
      </c>
      <c r="S1327" s="8">
        <v>52325822</v>
      </c>
      <c r="T1327" s="8" t="s">
        <v>25</v>
      </c>
      <c r="U1327" s="8" t="s">
        <v>41</v>
      </c>
    </row>
    <row r="1328" spans="1:21">
      <c r="A1328" s="8" t="s">
        <v>8129</v>
      </c>
      <c r="B1328" s="8" t="s">
        <v>3076</v>
      </c>
      <c r="C1328" s="8">
        <v>80852</v>
      </c>
      <c r="D1328" s="8" t="s">
        <v>201</v>
      </c>
      <c r="E1328" s="8">
        <v>14561912</v>
      </c>
      <c r="F1328" s="8">
        <v>14561912</v>
      </c>
      <c r="G1328" s="8" t="s">
        <v>24</v>
      </c>
      <c r="H1328" s="8" t="s">
        <v>41</v>
      </c>
      <c r="I1328" s="8" t="s">
        <v>23</v>
      </c>
      <c r="J1328" s="8" t="s">
        <v>3077</v>
      </c>
      <c r="K1328" s="8" t="s">
        <v>8137</v>
      </c>
      <c r="L1328" s="8" t="s">
        <v>19</v>
      </c>
      <c r="M1328" s="8">
        <v>1136</v>
      </c>
      <c r="N1328" s="8" t="s">
        <v>3048</v>
      </c>
      <c r="O1328" s="8">
        <v>379</v>
      </c>
      <c r="P1328" s="8" t="s">
        <v>8136</v>
      </c>
      <c r="Q1328" s="8" t="s">
        <v>4262</v>
      </c>
      <c r="R1328" s="8">
        <v>0.47799999999999998</v>
      </c>
      <c r="S1328" s="8">
        <v>14561912</v>
      </c>
      <c r="T1328" s="8" t="s">
        <v>24</v>
      </c>
      <c r="U1328" s="8" t="s">
        <v>41</v>
      </c>
    </row>
    <row r="1329" spans="1:21">
      <c r="A1329" s="8" t="s">
        <v>8129</v>
      </c>
      <c r="B1329" s="8" t="s">
        <v>934</v>
      </c>
      <c r="C1329" s="8">
        <v>1499</v>
      </c>
      <c r="D1329" s="8" t="s">
        <v>201</v>
      </c>
      <c r="E1329" s="8">
        <v>41268766</v>
      </c>
      <c r="F1329" s="8">
        <v>41268766</v>
      </c>
      <c r="G1329" s="8" t="s">
        <v>25</v>
      </c>
      <c r="H1329" s="8" t="s">
        <v>41</v>
      </c>
      <c r="I1329" s="8" t="s">
        <v>23</v>
      </c>
      <c r="J1329" s="8" t="s">
        <v>4607</v>
      </c>
      <c r="K1329" s="8" t="s">
        <v>4610</v>
      </c>
      <c r="L1329" s="8" t="s">
        <v>19</v>
      </c>
      <c r="M1329" s="8">
        <v>1272</v>
      </c>
      <c r="N1329" s="8" t="s">
        <v>3078</v>
      </c>
      <c r="O1329" s="8">
        <v>335</v>
      </c>
      <c r="P1329" s="8" t="s">
        <v>8138</v>
      </c>
      <c r="Q1329" s="8" t="s">
        <v>8139</v>
      </c>
      <c r="R1329" s="8">
        <v>0.48199999999999998</v>
      </c>
      <c r="S1329" s="8">
        <v>41268766</v>
      </c>
      <c r="T1329" s="8" t="s">
        <v>25</v>
      </c>
      <c r="U1329" s="8" t="s">
        <v>41</v>
      </c>
    </row>
    <row r="1330" spans="1:21">
      <c r="A1330" s="8" t="s">
        <v>8129</v>
      </c>
      <c r="B1330" s="8" t="s">
        <v>3080</v>
      </c>
      <c r="C1330" s="8">
        <v>10252</v>
      </c>
      <c r="D1330" s="8" t="s">
        <v>220</v>
      </c>
      <c r="E1330" s="8">
        <v>124323576</v>
      </c>
      <c r="F1330" s="8">
        <v>124323576</v>
      </c>
      <c r="G1330" s="8" t="s">
        <v>25</v>
      </c>
      <c r="H1330" s="8" t="s">
        <v>24</v>
      </c>
      <c r="I1330" s="8" t="s">
        <v>23</v>
      </c>
      <c r="J1330" s="8" t="s">
        <v>8140</v>
      </c>
      <c r="K1330" s="8" t="s">
        <v>8142</v>
      </c>
      <c r="L1330" s="8" t="s">
        <v>19</v>
      </c>
      <c r="M1330" s="8">
        <v>1017</v>
      </c>
      <c r="N1330" s="8" t="s">
        <v>1043</v>
      </c>
      <c r="O1330" s="8">
        <v>277</v>
      </c>
      <c r="P1330" s="8" t="s">
        <v>8141</v>
      </c>
      <c r="Q1330" s="8" t="s">
        <v>4262</v>
      </c>
      <c r="R1330" s="8">
        <v>0.41199999999999998</v>
      </c>
      <c r="S1330" s="8">
        <v>124323576</v>
      </c>
      <c r="T1330" s="8" t="s">
        <v>25</v>
      </c>
      <c r="U1330" s="8" t="s">
        <v>24</v>
      </c>
    </row>
    <row r="1331" spans="1:21">
      <c r="A1331" s="8" t="s">
        <v>8129</v>
      </c>
      <c r="B1331" s="8" t="s">
        <v>3081</v>
      </c>
      <c r="C1331" s="8">
        <v>401124</v>
      </c>
      <c r="D1331" s="8" t="s">
        <v>220</v>
      </c>
      <c r="E1331" s="8">
        <v>36309860</v>
      </c>
      <c r="F1331" s="8">
        <v>36309860</v>
      </c>
      <c r="G1331" s="8" t="s">
        <v>25</v>
      </c>
      <c r="H1331" s="8" t="s">
        <v>24</v>
      </c>
      <c r="I1331" s="8" t="s">
        <v>23</v>
      </c>
      <c r="J1331" s="8" t="s">
        <v>8143</v>
      </c>
      <c r="K1331" s="8" t="s">
        <v>8145</v>
      </c>
      <c r="L1331" s="8" t="s">
        <v>19</v>
      </c>
      <c r="M1331" s="8">
        <v>1523</v>
      </c>
      <c r="N1331" s="8" t="s">
        <v>544</v>
      </c>
      <c r="O1331" s="8">
        <v>489</v>
      </c>
      <c r="P1331" s="8" t="s">
        <v>8144</v>
      </c>
      <c r="Q1331" s="8" t="s">
        <v>4262</v>
      </c>
      <c r="R1331" s="8">
        <v>0.433</v>
      </c>
      <c r="S1331" s="8">
        <v>36309860</v>
      </c>
      <c r="T1331" s="8" t="s">
        <v>25</v>
      </c>
      <c r="U1331" s="8" t="s">
        <v>24</v>
      </c>
    </row>
    <row r="1332" spans="1:21">
      <c r="A1332" s="8" t="s">
        <v>8129</v>
      </c>
      <c r="B1332" s="8" t="s">
        <v>1199</v>
      </c>
      <c r="C1332" s="8">
        <v>60</v>
      </c>
      <c r="D1332" s="8" t="s">
        <v>257</v>
      </c>
      <c r="E1332" s="8">
        <v>5568101</v>
      </c>
      <c r="F1332" s="8">
        <v>5568101</v>
      </c>
      <c r="G1332" s="8" t="s">
        <v>46</v>
      </c>
      <c r="H1332" s="8" t="s">
        <v>41</v>
      </c>
      <c r="I1332" s="8" t="s">
        <v>23</v>
      </c>
      <c r="J1332" s="8" t="s">
        <v>1200</v>
      </c>
      <c r="K1332" s="8" t="s">
        <v>8147</v>
      </c>
      <c r="L1332" s="8" t="s">
        <v>19</v>
      </c>
      <c r="M1332" s="8">
        <v>697</v>
      </c>
      <c r="N1332" s="8" t="s">
        <v>166</v>
      </c>
      <c r="O1332" s="8">
        <v>205</v>
      </c>
      <c r="P1332" s="8" t="s">
        <v>8146</v>
      </c>
      <c r="Q1332" s="8" t="s">
        <v>4262</v>
      </c>
      <c r="R1332" s="8">
        <v>0.218</v>
      </c>
      <c r="S1332" s="8">
        <v>5568101</v>
      </c>
      <c r="T1332" s="8" t="s">
        <v>46</v>
      </c>
      <c r="U1332" s="8" t="s">
        <v>41</v>
      </c>
    </row>
    <row r="1333" spans="1:21">
      <c r="A1333" s="8" t="s">
        <v>8129</v>
      </c>
      <c r="B1333" s="8" t="s">
        <v>3082</v>
      </c>
      <c r="C1333" s="8">
        <v>222865</v>
      </c>
      <c r="D1333" s="8" t="s">
        <v>257</v>
      </c>
      <c r="E1333" s="8">
        <v>98460916</v>
      </c>
      <c r="F1333" s="8">
        <v>98460916</v>
      </c>
      <c r="G1333" s="8" t="s">
        <v>46</v>
      </c>
      <c r="H1333" s="8" t="s">
        <v>41</v>
      </c>
      <c r="I1333" s="8" t="s">
        <v>23</v>
      </c>
      <c r="J1333" s="8" t="s">
        <v>8148</v>
      </c>
      <c r="K1333" s="8" t="s">
        <v>8150</v>
      </c>
      <c r="L1333" s="8" t="s">
        <v>19</v>
      </c>
      <c r="M1333" s="8">
        <v>382</v>
      </c>
      <c r="N1333" s="8" t="s">
        <v>768</v>
      </c>
      <c r="O1333" s="8">
        <v>65</v>
      </c>
      <c r="P1333" s="8" t="s">
        <v>8149</v>
      </c>
      <c r="Q1333" s="8" t="s">
        <v>4262</v>
      </c>
      <c r="R1333" s="8">
        <v>0.5</v>
      </c>
      <c r="S1333" s="8">
        <v>98460916</v>
      </c>
      <c r="T1333" s="8" t="s">
        <v>46</v>
      </c>
      <c r="U1333" s="8" t="s">
        <v>41</v>
      </c>
    </row>
    <row r="1334" spans="1:21">
      <c r="A1334" s="8" t="s">
        <v>8129</v>
      </c>
      <c r="B1334" s="8" t="s">
        <v>3083</v>
      </c>
      <c r="C1334" s="8">
        <v>96764</v>
      </c>
      <c r="D1334" s="8" t="s">
        <v>279</v>
      </c>
      <c r="E1334" s="8">
        <v>56699604</v>
      </c>
      <c r="F1334" s="8">
        <v>56699604</v>
      </c>
      <c r="G1334" s="8" t="s">
        <v>24</v>
      </c>
      <c r="H1334" s="8" t="s">
        <v>25</v>
      </c>
      <c r="I1334" s="8" t="s">
        <v>23</v>
      </c>
      <c r="J1334" s="8" t="s">
        <v>3084</v>
      </c>
      <c r="K1334" s="8" t="s">
        <v>8152</v>
      </c>
      <c r="L1334" s="8" t="s">
        <v>19</v>
      </c>
      <c r="M1334" s="8">
        <v>1534</v>
      </c>
      <c r="N1334" s="8" t="s">
        <v>485</v>
      </c>
      <c r="O1334" s="8">
        <v>383</v>
      </c>
      <c r="P1334" s="8" t="s">
        <v>8151</v>
      </c>
      <c r="Q1334" s="8" t="s">
        <v>4262</v>
      </c>
      <c r="R1334" s="8">
        <v>0.32</v>
      </c>
      <c r="S1334" s="8">
        <v>56699604</v>
      </c>
      <c r="T1334" s="8" t="s">
        <v>24</v>
      </c>
      <c r="U1334" s="8" t="s">
        <v>25</v>
      </c>
    </row>
    <row r="1335" spans="1:21">
      <c r="A1335" s="8" t="s">
        <v>8129</v>
      </c>
      <c r="B1335" s="8" t="s">
        <v>8153</v>
      </c>
      <c r="C1335" s="8">
        <v>9639</v>
      </c>
      <c r="D1335" s="8" t="s">
        <v>279</v>
      </c>
      <c r="E1335" s="8">
        <v>1824829</v>
      </c>
      <c r="F1335" s="8">
        <v>1824829</v>
      </c>
      <c r="G1335" s="8" t="s">
        <v>24</v>
      </c>
      <c r="H1335" s="8" t="s">
        <v>41</v>
      </c>
      <c r="I1335" s="8" t="s">
        <v>23</v>
      </c>
      <c r="J1335" s="8" t="s">
        <v>8154</v>
      </c>
      <c r="K1335" s="8" t="s">
        <v>8156</v>
      </c>
      <c r="L1335" s="8" t="s">
        <v>76</v>
      </c>
      <c r="M1335" s="8">
        <v>950</v>
      </c>
      <c r="N1335" s="8" t="s">
        <v>625</v>
      </c>
      <c r="O1335" s="8">
        <v>258</v>
      </c>
      <c r="P1335" s="8" t="s">
        <v>8155</v>
      </c>
      <c r="Q1335" s="8" t="s">
        <v>4262</v>
      </c>
      <c r="R1335" s="8">
        <v>0.2</v>
      </c>
      <c r="S1335" s="8">
        <v>1824829</v>
      </c>
      <c r="T1335" s="8" t="s">
        <v>24</v>
      </c>
      <c r="U1335" s="8" t="s">
        <v>41</v>
      </c>
    </row>
    <row r="1336" spans="1:21">
      <c r="A1336" s="8" t="s">
        <v>8129</v>
      </c>
      <c r="B1336" s="8" t="s">
        <v>8157</v>
      </c>
      <c r="C1336" s="8">
        <v>2053</v>
      </c>
      <c r="D1336" s="8" t="s">
        <v>279</v>
      </c>
      <c r="E1336" s="8">
        <v>27358502</v>
      </c>
      <c r="F1336" s="8">
        <v>27358502</v>
      </c>
      <c r="G1336" s="8" t="s">
        <v>41</v>
      </c>
      <c r="H1336" s="8" t="s">
        <v>46</v>
      </c>
      <c r="I1336" s="8" t="s">
        <v>23</v>
      </c>
      <c r="J1336" s="8" t="s">
        <v>8158</v>
      </c>
      <c r="K1336" s="8" t="s">
        <v>8160</v>
      </c>
      <c r="L1336" s="8" t="s">
        <v>19</v>
      </c>
      <c r="M1336" s="8">
        <v>242</v>
      </c>
      <c r="N1336" s="8" t="s">
        <v>3156</v>
      </c>
      <c r="O1336" s="8">
        <v>54</v>
      </c>
      <c r="P1336" s="8" t="s">
        <v>8159</v>
      </c>
      <c r="Q1336" s="8" t="s">
        <v>4262</v>
      </c>
      <c r="R1336" s="8">
        <v>0.32800000000000001</v>
      </c>
      <c r="S1336" s="8">
        <v>27358502</v>
      </c>
      <c r="T1336" s="8" t="s">
        <v>41</v>
      </c>
      <c r="U1336" s="8" t="s">
        <v>46</v>
      </c>
    </row>
    <row r="1337" spans="1:21">
      <c r="A1337" s="8" t="s">
        <v>8129</v>
      </c>
      <c r="B1337" s="8" t="s">
        <v>2169</v>
      </c>
      <c r="C1337" s="8">
        <v>120114</v>
      </c>
      <c r="D1337" s="8" t="s">
        <v>83</v>
      </c>
      <c r="E1337" s="8">
        <v>92531548</v>
      </c>
      <c r="F1337" s="8">
        <v>92531548</v>
      </c>
      <c r="G1337" s="8" t="s">
        <v>24</v>
      </c>
      <c r="H1337" s="8" t="s">
        <v>46</v>
      </c>
      <c r="I1337" s="8" t="s">
        <v>23</v>
      </c>
      <c r="J1337" s="8" t="s">
        <v>3608</v>
      </c>
      <c r="K1337" s="8" t="s">
        <v>7485</v>
      </c>
      <c r="L1337" s="8" t="s">
        <v>19</v>
      </c>
      <c r="M1337" s="8">
        <v>5386</v>
      </c>
      <c r="N1337" s="8" t="s">
        <v>2996</v>
      </c>
      <c r="O1337" s="8">
        <v>1790</v>
      </c>
      <c r="P1337" s="8" t="s">
        <v>8161</v>
      </c>
      <c r="Q1337" s="8" t="s">
        <v>4262</v>
      </c>
      <c r="R1337" s="8">
        <v>0.188</v>
      </c>
      <c r="S1337" s="8">
        <v>92531548</v>
      </c>
      <c r="T1337" s="8" t="s">
        <v>24</v>
      </c>
      <c r="U1337" s="8" t="s">
        <v>46</v>
      </c>
    </row>
    <row r="1338" spans="1:21">
      <c r="A1338" s="8" t="s">
        <v>8129</v>
      </c>
      <c r="B1338" s="8" t="s">
        <v>3061</v>
      </c>
      <c r="C1338" s="8">
        <v>23075</v>
      </c>
      <c r="D1338" s="8" t="s">
        <v>83</v>
      </c>
      <c r="E1338" s="8">
        <v>9761878</v>
      </c>
      <c r="F1338" s="8">
        <v>9761878</v>
      </c>
      <c r="G1338" s="8" t="s">
        <v>46</v>
      </c>
      <c r="H1338" s="8" t="s">
        <v>24</v>
      </c>
      <c r="I1338" s="8" t="s">
        <v>23</v>
      </c>
      <c r="J1338" s="8" t="s">
        <v>3062</v>
      </c>
      <c r="K1338" s="8" t="s">
        <v>8163</v>
      </c>
      <c r="L1338" s="8" t="s">
        <v>19</v>
      </c>
      <c r="M1338" s="8">
        <v>1438</v>
      </c>
      <c r="N1338" s="8" t="s">
        <v>667</v>
      </c>
      <c r="O1338" s="8">
        <v>447</v>
      </c>
      <c r="P1338" s="8" t="s">
        <v>8162</v>
      </c>
      <c r="Q1338" s="8" t="s">
        <v>4262</v>
      </c>
      <c r="R1338" s="8">
        <v>0.47599999999999998</v>
      </c>
      <c r="S1338" s="8">
        <v>9761878</v>
      </c>
      <c r="T1338" s="8" t="s">
        <v>46</v>
      </c>
      <c r="U1338" s="8" t="s">
        <v>24</v>
      </c>
    </row>
    <row r="1339" spans="1:21">
      <c r="A1339" s="8" t="s">
        <v>8129</v>
      </c>
      <c r="B1339" s="8" t="s">
        <v>3059</v>
      </c>
      <c r="C1339" s="8">
        <v>117195</v>
      </c>
      <c r="D1339" s="8" t="s">
        <v>83</v>
      </c>
      <c r="E1339" s="8">
        <v>18159156</v>
      </c>
      <c r="F1339" s="8">
        <v>18159156</v>
      </c>
      <c r="G1339" s="8" t="s">
        <v>24</v>
      </c>
      <c r="H1339" s="8" t="s">
        <v>25</v>
      </c>
      <c r="I1339" s="8" t="s">
        <v>23</v>
      </c>
      <c r="J1339" s="8" t="s">
        <v>3060</v>
      </c>
      <c r="K1339" s="8" t="s">
        <v>8166</v>
      </c>
      <c r="L1339" s="8" t="s">
        <v>19</v>
      </c>
      <c r="M1339" s="8">
        <v>768</v>
      </c>
      <c r="N1339" s="8" t="s">
        <v>736</v>
      </c>
      <c r="O1339" s="8">
        <v>136</v>
      </c>
      <c r="P1339" s="8" t="s">
        <v>8164</v>
      </c>
      <c r="Q1339" s="8" t="s">
        <v>8165</v>
      </c>
      <c r="R1339" s="8">
        <v>0.217</v>
      </c>
      <c r="S1339" s="8">
        <v>18159156</v>
      </c>
      <c r="T1339" s="8" t="s">
        <v>24</v>
      </c>
      <c r="U1339" s="8" t="s">
        <v>25</v>
      </c>
    </row>
    <row r="1340" spans="1:21">
      <c r="A1340" s="8" t="s">
        <v>8129</v>
      </c>
      <c r="B1340" s="8" t="s">
        <v>8167</v>
      </c>
      <c r="C1340" s="8">
        <v>81490</v>
      </c>
      <c r="D1340" s="8" t="s">
        <v>83</v>
      </c>
      <c r="E1340" s="8">
        <v>460222</v>
      </c>
      <c r="F1340" s="8">
        <v>460222</v>
      </c>
      <c r="G1340" s="8" t="s">
        <v>46</v>
      </c>
      <c r="H1340" s="8" t="s">
        <v>41</v>
      </c>
      <c r="I1340" s="8" t="s">
        <v>23</v>
      </c>
      <c r="J1340" s="8" t="s">
        <v>8168</v>
      </c>
      <c r="K1340" s="8" t="s">
        <v>8170</v>
      </c>
      <c r="L1340" s="8" t="s">
        <v>19</v>
      </c>
      <c r="M1340" s="8">
        <v>394</v>
      </c>
      <c r="N1340" s="8" t="s">
        <v>1325</v>
      </c>
      <c r="O1340" s="8">
        <v>73</v>
      </c>
      <c r="P1340" s="8" t="s">
        <v>8169</v>
      </c>
      <c r="Q1340" s="8" t="s">
        <v>4262</v>
      </c>
      <c r="R1340" s="8">
        <v>0.17699999999999999</v>
      </c>
      <c r="S1340" s="8">
        <v>460222</v>
      </c>
      <c r="T1340" s="8" t="s">
        <v>46</v>
      </c>
      <c r="U1340" s="8" t="s">
        <v>41</v>
      </c>
    </row>
    <row r="1341" spans="1:21">
      <c r="A1341" s="8" t="s">
        <v>8129</v>
      </c>
      <c r="B1341" s="8" t="s">
        <v>3065</v>
      </c>
      <c r="C1341" s="8">
        <v>360030</v>
      </c>
      <c r="D1341" s="8" t="s">
        <v>104</v>
      </c>
      <c r="E1341" s="8">
        <v>7922578</v>
      </c>
      <c r="F1341" s="8">
        <v>7922578</v>
      </c>
      <c r="G1341" s="8" t="s">
        <v>24</v>
      </c>
      <c r="H1341" s="8" t="s">
        <v>41</v>
      </c>
      <c r="I1341" s="8" t="s">
        <v>23</v>
      </c>
      <c r="J1341" s="8" t="s">
        <v>3066</v>
      </c>
      <c r="K1341" s="8" t="s">
        <v>8171</v>
      </c>
      <c r="L1341" s="8" t="s">
        <v>68</v>
      </c>
      <c r="M1341" s="8">
        <v>0</v>
      </c>
      <c r="N1341" s="8" t="s">
        <v>35</v>
      </c>
      <c r="O1341" s="8">
        <v>0</v>
      </c>
      <c r="P1341" s="8" t="s">
        <v>35</v>
      </c>
      <c r="Q1341" s="8" t="s">
        <v>4262</v>
      </c>
      <c r="R1341" s="8">
        <v>0.38200000000000001</v>
      </c>
      <c r="S1341" s="8">
        <v>7922578</v>
      </c>
      <c r="T1341" s="8" t="s">
        <v>24</v>
      </c>
      <c r="U1341" s="8" t="s">
        <v>41</v>
      </c>
    </row>
    <row r="1342" spans="1:21">
      <c r="A1342" s="8" t="s">
        <v>8129</v>
      </c>
      <c r="B1342" s="8" t="s">
        <v>3063</v>
      </c>
      <c r="C1342" s="8">
        <v>120939</v>
      </c>
      <c r="D1342" s="8" t="s">
        <v>104</v>
      </c>
      <c r="E1342" s="8">
        <v>10342582</v>
      </c>
      <c r="F1342" s="8">
        <v>10342582</v>
      </c>
      <c r="G1342" s="8" t="s">
        <v>41</v>
      </c>
      <c r="H1342" s="8" t="s">
        <v>46</v>
      </c>
      <c r="I1342" s="8" t="s">
        <v>23</v>
      </c>
      <c r="J1342" s="8" t="s">
        <v>3064</v>
      </c>
      <c r="K1342" s="8" t="s">
        <v>8173</v>
      </c>
      <c r="L1342" s="8" t="s">
        <v>19</v>
      </c>
      <c r="M1342" s="8">
        <v>968</v>
      </c>
      <c r="N1342" s="8" t="s">
        <v>329</v>
      </c>
      <c r="O1342" s="8">
        <v>112</v>
      </c>
      <c r="P1342" s="8" t="s">
        <v>8172</v>
      </c>
      <c r="Q1342" s="8" t="s">
        <v>4262</v>
      </c>
      <c r="R1342" s="8">
        <v>0.47</v>
      </c>
      <c r="S1342" s="8">
        <v>10342582</v>
      </c>
      <c r="T1342" s="8" t="s">
        <v>41</v>
      </c>
      <c r="U1342" s="8" t="s">
        <v>46</v>
      </c>
    </row>
    <row r="1343" spans="1:21">
      <c r="A1343" s="8" t="s">
        <v>8129</v>
      </c>
      <c r="B1343" s="8" t="s">
        <v>8174</v>
      </c>
      <c r="C1343" s="8">
        <v>26586</v>
      </c>
      <c r="D1343" s="8" t="s">
        <v>339</v>
      </c>
      <c r="E1343" s="8">
        <v>53035797</v>
      </c>
      <c r="F1343" s="8">
        <v>53035797</v>
      </c>
      <c r="G1343" s="8" t="s">
        <v>46</v>
      </c>
      <c r="H1343" s="8" t="s">
        <v>25</v>
      </c>
      <c r="I1343" s="8" t="s">
        <v>23</v>
      </c>
      <c r="J1343" s="8" t="s">
        <v>8175</v>
      </c>
      <c r="K1343" s="8" t="s">
        <v>8177</v>
      </c>
      <c r="L1343" s="8" t="s">
        <v>19</v>
      </c>
      <c r="M1343" s="8">
        <v>1036</v>
      </c>
      <c r="N1343" s="8" t="s">
        <v>219</v>
      </c>
      <c r="O1343" s="8">
        <v>280</v>
      </c>
      <c r="P1343" s="8" t="s">
        <v>8176</v>
      </c>
      <c r="Q1343" s="8" t="s">
        <v>4262</v>
      </c>
      <c r="R1343" s="8">
        <v>7.0999999999999994E-2</v>
      </c>
      <c r="S1343" s="8">
        <v>53035797</v>
      </c>
      <c r="T1343" s="8" t="s">
        <v>46</v>
      </c>
      <c r="U1343" s="8" t="s">
        <v>25</v>
      </c>
    </row>
    <row r="1344" spans="1:21">
      <c r="A1344" s="8" t="s">
        <v>8129</v>
      </c>
      <c r="B1344" s="8" t="s">
        <v>3067</v>
      </c>
      <c r="C1344" s="8">
        <v>84166</v>
      </c>
      <c r="D1344" s="8" t="s">
        <v>129</v>
      </c>
      <c r="E1344" s="8">
        <v>57104525</v>
      </c>
      <c r="F1344" s="8">
        <v>57104525</v>
      </c>
      <c r="G1344" s="8" t="s">
        <v>24</v>
      </c>
      <c r="H1344" s="8" t="s">
        <v>41</v>
      </c>
      <c r="I1344" s="8" t="s">
        <v>23</v>
      </c>
      <c r="J1344" s="8" t="s">
        <v>3068</v>
      </c>
      <c r="K1344" s="8" t="s">
        <v>8179</v>
      </c>
      <c r="L1344" s="8" t="s">
        <v>19</v>
      </c>
      <c r="M1344" s="8">
        <v>4887</v>
      </c>
      <c r="N1344" s="8" t="s">
        <v>553</v>
      </c>
      <c r="O1344" s="8">
        <v>1554</v>
      </c>
      <c r="P1344" s="8" t="s">
        <v>8178</v>
      </c>
      <c r="Q1344" s="8" t="s">
        <v>4262</v>
      </c>
      <c r="R1344" s="8">
        <v>0.45700000000000002</v>
      </c>
      <c r="S1344" s="8">
        <v>57104525</v>
      </c>
      <c r="T1344" s="8" t="s">
        <v>24</v>
      </c>
      <c r="U1344" s="8" t="s">
        <v>41</v>
      </c>
    </row>
    <row r="1345" spans="1:21">
      <c r="A1345" s="8" t="s">
        <v>8129</v>
      </c>
      <c r="B1345" s="8"/>
      <c r="C1345" s="8">
        <v>100132247</v>
      </c>
      <c r="D1345" s="8" t="s">
        <v>129</v>
      </c>
      <c r="E1345" s="8">
        <v>22545865</v>
      </c>
      <c r="F1345" s="8">
        <v>22545865</v>
      </c>
      <c r="G1345" s="8" t="s">
        <v>24</v>
      </c>
      <c r="H1345" s="8" t="s">
        <v>46</v>
      </c>
      <c r="I1345" s="8" t="s">
        <v>23</v>
      </c>
      <c r="J1345" s="8" t="s">
        <v>8180</v>
      </c>
      <c r="K1345" s="8" t="s">
        <v>8182</v>
      </c>
      <c r="L1345" s="8" t="s">
        <v>19</v>
      </c>
      <c r="M1345" s="8">
        <v>1840</v>
      </c>
      <c r="N1345" s="8" t="s">
        <v>582</v>
      </c>
      <c r="O1345" s="8">
        <v>521</v>
      </c>
      <c r="P1345" s="8" t="s">
        <v>8181</v>
      </c>
      <c r="Q1345" s="8" t="s">
        <v>4262</v>
      </c>
      <c r="R1345" s="8">
        <v>0.32200000000000001</v>
      </c>
      <c r="S1345" s="8">
        <v>22545865</v>
      </c>
      <c r="T1345" s="8" t="s">
        <v>24</v>
      </c>
      <c r="U1345" s="8" t="s">
        <v>46</v>
      </c>
    </row>
    <row r="1346" spans="1:21">
      <c r="A1346" s="8" t="s">
        <v>8129</v>
      </c>
      <c r="B1346" s="8"/>
      <c r="C1346" s="8">
        <v>100132247</v>
      </c>
      <c r="D1346" s="8" t="s">
        <v>129</v>
      </c>
      <c r="E1346" s="8">
        <v>22545899</v>
      </c>
      <c r="F1346" s="8">
        <v>22545899</v>
      </c>
      <c r="G1346" s="8" t="s">
        <v>46</v>
      </c>
      <c r="H1346" s="8" t="s">
        <v>41</v>
      </c>
      <c r="I1346" s="8" t="s">
        <v>23</v>
      </c>
      <c r="J1346" s="8" t="s">
        <v>8180</v>
      </c>
      <c r="K1346" s="8" t="s">
        <v>8182</v>
      </c>
      <c r="L1346" s="8" t="s">
        <v>19</v>
      </c>
      <c r="M1346" s="8">
        <v>1874</v>
      </c>
      <c r="N1346" s="8" t="s">
        <v>364</v>
      </c>
      <c r="O1346" s="8">
        <v>532</v>
      </c>
      <c r="P1346" s="8" t="s">
        <v>8183</v>
      </c>
      <c r="Q1346" s="8" t="s">
        <v>4262</v>
      </c>
      <c r="R1346" s="8">
        <v>0.124</v>
      </c>
      <c r="S1346" s="8">
        <v>22545899</v>
      </c>
      <c r="T1346" s="8" t="s">
        <v>46</v>
      </c>
      <c r="U1346" s="8" t="s">
        <v>41</v>
      </c>
    </row>
    <row r="1347" spans="1:21">
      <c r="A1347" s="8" t="s">
        <v>8129</v>
      </c>
      <c r="B1347" s="8" t="s">
        <v>8184</v>
      </c>
      <c r="C1347" s="8">
        <v>284369</v>
      </c>
      <c r="D1347" s="8" t="s">
        <v>139</v>
      </c>
      <c r="E1347" s="8">
        <v>51769059</v>
      </c>
      <c r="F1347" s="8">
        <v>51769059</v>
      </c>
      <c r="G1347" s="8" t="s">
        <v>46</v>
      </c>
      <c r="H1347" s="8" t="s">
        <v>25</v>
      </c>
      <c r="I1347" s="8" t="s">
        <v>23</v>
      </c>
      <c r="J1347" s="8" t="s">
        <v>8185</v>
      </c>
      <c r="K1347" s="8" t="s">
        <v>8188</v>
      </c>
      <c r="L1347" s="8" t="s">
        <v>19</v>
      </c>
      <c r="M1347" s="8">
        <v>714</v>
      </c>
      <c r="N1347" s="8" t="s">
        <v>326</v>
      </c>
      <c r="O1347" s="8">
        <v>111</v>
      </c>
      <c r="P1347" s="8" t="s">
        <v>8186</v>
      </c>
      <c r="Q1347" s="8" t="s">
        <v>8187</v>
      </c>
      <c r="R1347" s="8">
        <v>0.40400000000000003</v>
      </c>
      <c r="S1347" s="8">
        <v>51769059</v>
      </c>
      <c r="T1347" s="8" t="s">
        <v>46</v>
      </c>
      <c r="U1347" s="8" t="s">
        <v>25</v>
      </c>
    </row>
    <row r="1348" spans="1:21">
      <c r="A1348" s="8" t="s">
        <v>8129</v>
      </c>
      <c r="B1348" s="8" t="s">
        <v>8189</v>
      </c>
      <c r="C1348" s="8">
        <v>400713</v>
      </c>
      <c r="D1348" s="8" t="s">
        <v>139</v>
      </c>
      <c r="E1348" s="8">
        <v>52887236</v>
      </c>
      <c r="F1348" s="8">
        <v>52887236</v>
      </c>
      <c r="G1348" s="8" t="s">
        <v>24</v>
      </c>
      <c r="H1348" s="8" t="s">
        <v>41</v>
      </c>
      <c r="I1348" s="8" t="s">
        <v>23</v>
      </c>
      <c r="J1348" s="8" t="s">
        <v>8190</v>
      </c>
      <c r="K1348" s="8" t="s">
        <v>8192</v>
      </c>
      <c r="L1348" s="8" t="s">
        <v>76</v>
      </c>
      <c r="M1348" s="8">
        <v>452</v>
      </c>
      <c r="N1348" s="8" t="s">
        <v>625</v>
      </c>
      <c r="O1348" s="8">
        <v>135</v>
      </c>
      <c r="P1348" s="8" t="s">
        <v>8191</v>
      </c>
      <c r="Q1348" s="8" t="s">
        <v>4262</v>
      </c>
      <c r="R1348" s="8">
        <v>0.28599999999999998</v>
      </c>
      <c r="S1348" s="8">
        <v>52887236</v>
      </c>
      <c r="T1348" s="8" t="s">
        <v>24</v>
      </c>
      <c r="U1348" s="8" t="s">
        <v>41</v>
      </c>
    </row>
    <row r="1349" spans="1:21">
      <c r="A1349" s="8" t="s">
        <v>8129</v>
      </c>
      <c r="B1349" s="8" t="s">
        <v>3069</v>
      </c>
      <c r="C1349" s="8">
        <v>5178</v>
      </c>
      <c r="D1349" s="8" t="s">
        <v>139</v>
      </c>
      <c r="E1349" s="8">
        <v>57327539</v>
      </c>
      <c r="F1349" s="8">
        <v>57327539</v>
      </c>
      <c r="G1349" s="8" t="s">
        <v>25</v>
      </c>
      <c r="H1349" s="8" t="s">
        <v>46</v>
      </c>
      <c r="I1349" s="8" t="s">
        <v>23</v>
      </c>
      <c r="J1349" s="8" t="s">
        <v>8193</v>
      </c>
      <c r="K1349" s="8" t="s">
        <v>8195</v>
      </c>
      <c r="L1349" s="8" t="s">
        <v>76</v>
      </c>
      <c r="M1349" s="8">
        <v>2589</v>
      </c>
      <c r="N1349" s="8" t="s">
        <v>3070</v>
      </c>
      <c r="O1349" s="8">
        <v>757</v>
      </c>
      <c r="P1349" s="8" t="s">
        <v>8194</v>
      </c>
      <c r="Q1349" s="8" t="s">
        <v>4262</v>
      </c>
      <c r="R1349" s="8">
        <v>0.42099999999999999</v>
      </c>
      <c r="S1349" s="8">
        <v>57327539</v>
      </c>
      <c r="T1349" s="8" t="s">
        <v>25</v>
      </c>
      <c r="U1349" s="8" t="s">
        <v>46</v>
      </c>
    </row>
    <row r="1350" spans="1:21">
      <c r="A1350" s="8" t="s">
        <v>8129</v>
      </c>
      <c r="B1350" s="8" t="s">
        <v>8108</v>
      </c>
      <c r="C1350" s="8">
        <v>730051</v>
      </c>
      <c r="D1350" s="8" t="s">
        <v>139</v>
      </c>
      <c r="E1350" s="8">
        <v>58385748</v>
      </c>
      <c r="F1350" s="8">
        <v>58385748</v>
      </c>
      <c r="G1350" s="8" t="s">
        <v>24</v>
      </c>
      <c r="H1350" s="8" t="s">
        <v>25</v>
      </c>
      <c r="I1350" s="8" t="s">
        <v>23</v>
      </c>
      <c r="J1350" s="8" t="s">
        <v>8109</v>
      </c>
      <c r="K1350" s="8" t="s">
        <v>8112</v>
      </c>
      <c r="L1350" s="8" t="s">
        <v>19</v>
      </c>
      <c r="M1350" s="8">
        <v>1282</v>
      </c>
      <c r="N1350" s="8" t="s">
        <v>389</v>
      </c>
      <c r="O1350" s="8">
        <v>337</v>
      </c>
      <c r="P1350" s="8" t="s">
        <v>8110</v>
      </c>
      <c r="Q1350" s="8" t="s">
        <v>8111</v>
      </c>
      <c r="R1350" s="8">
        <v>0.45300000000000001</v>
      </c>
      <c r="S1350" s="8">
        <v>58385748</v>
      </c>
      <c r="T1350" s="8" t="s">
        <v>24</v>
      </c>
      <c r="U1350" s="8" t="s">
        <v>25</v>
      </c>
    </row>
    <row r="1351" spans="1:21">
      <c r="A1351" s="8" t="s">
        <v>8129</v>
      </c>
      <c r="B1351" s="8" t="s">
        <v>8196</v>
      </c>
      <c r="C1351" s="8">
        <v>148022</v>
      </c>
      <c r="D1351" s="8" t="s">
        <v>139</v>
      </c>
      <c r="E1351" s="8">
        <v>4817206</v>
      </c>
      <c r="F1351" s="8">
        <v>4817206</v>
      </c>
      <c r="G1351" s="8" t="s">
        <v>41</v>
      </c>
      <c r="H1351" s="8" t="s">
        <v>46</v>
      </c>
      <c r="I1351" s="8" t="s">
        <v>23</v>
      </c>
      <c r="J1351" s="8" t="s">
        <v>8197</v>
      </c>
      <c r="K1351" s="8" t="s">
        <v>8199</v>
      </c>
      <c r="L1351" s="8" t="s">
        <v>19</v>
      </c>
      <c r="M1351" s="8">
        <v>1435</v>
      </c>
      <c r="N1351" s="8" t="s">
        <v>1055</v>
      </c>
      <c r="O1351" s="8">
        <v>395</v>
      </c>
      <c r="P1351" s="8" t="s">
        <v>8198</v>
      </c>
      <c r="Q1351" s="8" t="s">
        <v>4262</v>
      </c>
      <c r="R1351" s="8">
        <v>0.19500000000000001</v>
      </c>
      <c r="S1351" s="8">
        <v>4817206</v>
      </c>
      <c r="T1351" s="8" t="s">
        <v>41</v>
      </c>
      <c r="U1351" s="8" t="s">
        <v>46</v>
      </c>
    </row>
    <row r="1352" spans="1:21">
      <c r="A1352" s="8" t="s">
        <v>8129</v>
      </c>
      <c r="B1352" s="8" t="s">
        <v>8200</v>
      </c>
      <c r="C1352" s="8">
        <v>23532</v>
      </c>
      <c r="D1352" s="8" t="s">
        <v>197</v>
      </c>
      <c r="E1352" s="8">
        <v>22893252</v>
      </c>
      <c r="F1352" s="8">
        <v>22893252</v>
      </c>
      <c r="G1352" s="8" t="s">
        <v>25</v>
      </c>
      <c r="H1352" s="8" t="s">
        <v>24</v>
      </c>
      <c r="I1352" s="8" t="s">
        <v>23</v>
      </c>
      <c r="J1352" s="8" t="s">
        <v>8201</v>
      </c>
      <c r="K1352" s="8" t="s">
        <v>8203</v>
      </c>
      <c r="L1352" s="8" t="s">
        <v>19</v>
      </c>
      <c r="M1352" s="8">
        <v>509</v>
      </c>
      <c r="N1352" s="8" t="s">
        <v>3026</v>
      </c>
      <c r="O1352" s="8">
        <v>94</v>
      </c>
      <c r="P1352" s="8" t="s">
        <v>8202</v>
      </c>
      <c r="Q1352" s="8" t="s">
        <v>4262</v>
      </c>
      <c r="R1352" s="8">
        <v>0.188</v>
      </c>
      <c r="S1352" s="8">
        <v>22893252</v>
      </c>
      <c r="T1352" s="8" t="s">
        <v>25</v>
      </c>
      <c r="U1352" s="8" t="s">
        <v>24</v>
      </c>
    </row>
    <row r="1353" spans="1:21">
      <c r="A1353" s="8" t="s">
        <v>8129</v>
      </c>
      <c r="B1353" s="8" t="s">
        <v>2186</v>
      </c>
      <c r="C1353" s="8">
        <v>4627</v>
      </c>
      <c r="D1353" s="8" t="s">
        <v>197</v>
      </c>
      <c r="E1353" s="8">
        <v>36701138</v>
      </c>
      <c r="F1353" s="8">
        <v>36701138</v>
      </c>
      <c r="G1353" s="8" t="s">
        <v>24</v>
      </c>
      <c r="H1353" s="8" t="s">
        <v>46</v>
      </c>
      <c r="I1353" s="8" t="s">
        <v>23</v>
      </c>
      <c r="J1353" s="8" t="s">
        <v>2657</v>
      </c>
      <c r="K1353" s="8" t="s">
        <v>6327</v>
      </c>
      <c r="L1353" s="8" t="s">
        <v>19</v>
      </c>
      <c r="M1353" s="8">
        <v>2401</v>
      </c>
      <c r="N1353" s="8" t="s">
        <v>3075</v>
      </c>
      <c r="O1353" s="8">
        <v>724</v>
      </c>
      <c r="P1353" s="8" t="s">
        <v>8204</v>
      </c>
      <c r="Q1353" s="8" t="s">
        <v>4262</v>
      </c>
      <c r="R1353" s="8">
        <v>0.35599999999999998</v>
      </c>
      <c r="S1353" s="8">
        <v>36701138</v>
      </c>
      <c r="T1353" s="8" t="s">
        <v>24</v>
      </c>
      <c r="U1353" s="8" t="s">
        <v>46</v>
      </c>
    </row>
    <row r="1354" spans="1:21">
      <c r="A1354" s="8" t="s">
        <v>8207</v>
      </c>
      <c r="B1354" s="8" t="s">
        <v>2984</v>
      </c>
      <c r="C1354" s="8">
        <v>90874</v>
      </c>
      <c r="D1354" s="8" t="s">
        <v>22</v>
      </c>
      <c r="E1354" s="8">
        <v>120168566</v>
      </c>
      <c r="F1354" s="8">
        <v>120168566</v>
      </c>
      <c r="G1354" s="8" t="s">
        <v>24</v>
      </c>
      <c r="H1354" s="8" t="s">
        <v>25</v>
      </c>
      <c r="I1354" s="8" t="s">
        <v>23</v>
      </c>
      <c r="J1354" s="8" t="s">
        <v>2985</v>
      </c>
      <c r="K1354" s="8" t="s">
        <v>8206</v>
      </c>
      <c r="L1354" s="8" t="s">
        <v>19</v>
      </c>
      <c r="M1354" s="8">
        <v>272</v>
      </c>
      <c r="N1354" s="8" t="s">
        <v>365</v>
      </c>
      <c r="O1354" s="8">
        <v>53</v>
      </c>
      <c r="P1354" s="8" t="s">
        <v>8205</v>
      </c>
      <c r="Q1354" s="8" t="s">
        <v>4262</v>
      </c>
      <c r="R1354" s="8">
        <v>0.214</v>
      </c>
      <c r="S1354" s="8">
        <v>120168566</v>
      </c>
      <c r="T1354" s="8" t="s">
        <v>24</v>
      </c>
      <c r="U1354" s="8" t="s">
        <v>25</v>
      </c>
    </row>
    <row r="1355" spans="1:21">
      <c r="A1355" s="8" t="s">
        <v>8207</v>
      </c>
      <c r="B1355" s="8" t="s">
        <v>3340</v>
      </c>
      <c r="C1355" s="8">
        <v>7203</v>
      </c>
      <c r="D1355" s="8" t="s">
        <v>22</v>
      </c>
      <c r="E1355" s="8">
        <v>156290775</v>
      </c>
      <c r="F1355" s="8">
        <v>156290775</v>
      </c>
      <c r="G1355" s="8" t="s">
        <v>25</v>
      </c>
      <c r="H1355" s="8" t="s">
        <v>41</v>
      </c>
      <c r="I1355" s="8" t="s">
        <v>23</v>
      </c>
      <c r="J1355" s="8" t="s">
        <v>7091</v>
      </c>
      <c r="K1355" s="8" t="s">
        <v>7093</v>
      </c>
      <c r="L1355" s="8" t="s">
        <v>19</v>
      </c>
      <c r="M1355" s="8">
        <v>695</v>
      </c>
      <c r="N1355" s="8" t="s">
        <v>2867</v>
      </c>
      <c r="O1355" s="8">
        <v>155</v>
      </c>
      <c r="P1355" s="8" t="s">
        <v>8208</v>
      </c>
      <c r="Q1355" s="8" t="s">
        <v>4262</v>
      </c>
      <c r="R1355" s="8">
        <v>0.121</v>
      </c>
      <c r="S1355" s="8">
        <v>156290775</v>
      </c>
      <c r="T1355" s="8" t="s">
        <v>25</v>
      </c>
      <c r="U1355" s="8" t="s">
        <v>41</v>
      </c>
    </row>
    <row r="1356" spans="1:21">
      <c r="A1356" s="8" t="s">
        <v>8207</v>
      </c>
      <c r="B1356" s="8" t="s">
        <v>2986</v>
      </c>
      <c r="C1356" s="8">
        <v>80003</v>
      </c>
      <c r="D1356" s="8" t="s">
        <v>22</v>
      </c>
      <c r="E1356" s="8">
        <v>233394530</v>
      </c>
      <c r="F1356" s="8">
        <v>233394530</v>
      </c>
      <c r="G1356" s="8" t="s">
        <v>46</v>
      </c>
      <c r="H1356" s="8" t="s">
        <v>25</v>
      </c>
      <c r="I1356" s="8" t="s">
        <v>23</v>
      </c>
      <c r="J1356" s="8" t="s">
        <v>2987</v>
      </c>
      <c r="K1356" s="8" t="s">
        <v>8210</v>
      </c>
      <c r="L1356" s="8" t="s">
        <v>19</v>
      </c>
      <c r="M1356" s="8">
        <v>1313</v>
      </c>
      <c r="N1356" s="8" t="s">
        <v>883</v>
      </c>
      <c r="O1356" s="8">
        <v>360</v>
      </c>
      <c r="P1356" s="8" t="s">
        <v>8209</v>
      </c>
      <c r="Q1356" s="8" t="s">
        <v>4262</v>
      </c>
      <c r="R1356" s="8">
        <v>0.184</v>
      </c>
      <c r="S1356" s="8">
        <v>233394530</v>
      </c>
      <c r="T1356" s="8" t="s">
        <v>46</v>
      </c>
      <c r="U1356" s="8" t="s">
        <v>25</v>
      </c>
    </row>
    <row r="1357" spans="1:21">
      <c r="A1357" s="8" t="s">
        <v>8207</v>
      </c>
      <c r="B1357" s="8" t="s">
        <v>2044</v>
      </c>
      <c r="C1357" s="8">
        <v>6262</v>
      </c>
      <c r="D1357" s="8" t="s">
        <v>22</v>
      </c>
      <c r="E1357" s="8">
        <v>237729950</v>
      </c>
      <c r="F1357" s="8">
        <v>237729950</v>
      </c>
      <c r="G1357" s="8" t="s">
        <v>46</v>
      </c>
      <c r="H1357" s="8" t="s">
        <v>41</v>
      </c>
      <c r="I1357" s="8" t="s">
        <v>23</v>
      </c>
      <c r="J1357" s="8" t="s">
        <v>2419</v>
      </c>
      <c r="K1357" s="8" t="s">
        <v>5917</v>
      </c>
      <c r="L1357" s="8" t="s">
        <v>19</v>
      </c>
      <c r="M1357" s="8">
        <v>3418</v>
      </c>
      <c r="N1357" s="8" t="s">
        <v>92</v>
      </c>
      <c r="O1357" s="8">
        <v>1100</v>
      </c>
      <c r="P1357" s="8" t="s">
        <v>8211</v>
      </c>
      <c r="Q1357" s="8" t="s">
        <v>4262</v>
      </c>
      <c r="R1357" s="8">
        <v>0.121</v>
      </c>
      <c r="S1357" s="8">
        <v>237729950</v>
      </c>
      <c r="T1357" s="8" t="s">
        <v>46</v>
      </c>
      <c r="U1357" s="8" t="s">
        <v>41</v>
      </c>
    </row>
    <row r="1358" spans="1:21">
      <c r="A1358" s="8" t="s">
        <v>8207</v>
      </c>
      <c r="B1358" s="8" t="s">
        <v>2044</v>
      </c>
      <c r="C1358" s="8">
        <v>6262</v>
      </c>
      <c r="D1358" s="8" t="s">
        <v>22</v>
      </c>
      <c r="E1358" s="8">
        <v>237890487</v>
      </c>
      <c r="F1358" s="8">
        <v>237890487</v>
      </c>
      <c r="G1358" s="8" t="s">
        <v>25</v>
      </c>
      <c r="H1358" s="8" t="s">
        <v>46</v>
      </c>
      <c r="I1358" s="8" t="s">
        <v>23</v>
      </c>
      <c r="J1358" s="8" t="s">
        <v>2419</v>
      </c>
      <c r="K1358" s="8" t="s">
        <v>5917</v>
      </c>
      <c r="L1358" s="8" t="s">
        <v>19</v>
      </c>
      <c r="M1358" s="8">
        <v>10946</v>
      </c>
      <c r="N1358" s="8" t="s">
        <v>4943</v>
      </c>
      <c r="O1358" s="8">
        <v>3609</v>
      </c>
      <c r="P1358" s="8" t="s">
        <v>8212</v>
      </c>
      <c r="Q1358" s="8" t="s">
        <v>4262</v>
      </c>
      <c r="R1358" s="8">
        <v>7.6999999999999999E-2</v>
      </c>
      <c r="S1358" s="8">
        <v>237890487</v>
      </c>
      <c r="T1358" s="8" t="s">
        <v>25</v>
      </c>
      <c r="U1358" s="8" t="s">
        <v>46</v>
      </c>
    </row>
    <row r="1359" spans="1:21">
      <c r="A1359" s="8" t="s">
        <v>8207</v>
      </c>
      <c r="B1359" s="8" t="s">
        <v>8213</v>
      </c>
      <c r="C1359" s="8">
        <v>55229</v>
      </c>
      <c r="D1359" s="8" t="s">
        <v>22</v>
      </c>
      <c r="E1359" s="8">
        <v>2444349</v>
      </c>
      <c r="F1359" s="8">
        <v>2444349</v>
      </c>
      <c r="G1359" s="8" t="s">
        <v>25</v>
      </c>
      <c r="H1359" s="8" t="s">
        <v>46</v>
      </c>
      <c r="I1359" s="8" t="s">
        <v>23</v>
      </c>
      <c r="J1359" s="8" t="s">
        <v>8214</v>
      </c>
      <c r="K1359" s="8" t="s">
        <v>8216</v>
      </c>
      <c r="L1359" s="8" t="s">
        <v>19</v>
      </c>
      <c r="M1359" s="8">
        <v>1714</v>
      </c>
      <c r="N1359" s="8" t="s">
        <v>82</v>
      </c>
      <c r="O1359" s="8">
        <v>569</v>
      </c>
      <c r="P1359" s="8" t="s">
        <v>8215</v>
      </c>
      <c r="Q1359" s="8" t="s">
        <v>4262</v>
      </c>
      <c r="R1359" s="8">
        <v>8.3000000000000004E-2</v>
      </c>
      <c r="S1359" s="8">
        <v>2444349</v>
      </c>
      <c r="T1359" s="8" t="s">
        <v>25</v>
      </c>
      <c r="U1359" s="8" t="s">
        <v>46</v>
      </c>
    </row>
    <row r="1360" spans="1:21">
      <c r="A1360" s="8" t="s">
        <v>8207</v>
      </c>
      <c r="B1360" s="8" t="s">
        <v>737</v>
      </c>
      <c r="C1360" s="8">
        <v>7273</v>
      </c>
      <c r="D1360" s="8" t="s">
        <v>172</v>
      </c>
      <c r="E1360" s="8">
        <v>179426114</v>
      </c>
      <c r="F1360" s="8">
        <v>179426114</v>
      </c>
      <c r="G1360" s="8" t="s">
        <v>46</v>
      </c>
      <c r="H1360" s="8" t="s">
        <v>25</v>
      </c>
      <c r="I1360" s="8" t="s">
        <v>23</v>
      </c>
      <c r="J1360" s="8" t="s">
        <v>4530</v>
      </c>
      <c r="K1360" s="8" t="s">
        <v>4532</v>
      </c>
      <c r="L1360" s="8" t="s">
        <v>19</v>
      </c>
      <c r="M1360" s="8">
        <v>77266</v>
      </c>
      <c r="N1360" s="8" t="s">
        <v>124</v>
      </c>
      <c r="O1360" s="8">
        <v>25681</v>
      </c>
      <c r="P1360" s="8" t="s">
        <v>8217</v>
      </c>
      <c r="Q1360" s="8" t="s">
        <v>4262</v>
      </c>
      <c r="R1360" s="8">
        <v>6.0999999999999999E-2</v>
      </c>
      <c r="S1360" s="8">
        <v>179426114</v>
      </c>
      <c r="T1360" s="8" t="s">
        <v>46</v>
      </c>
      <c r="U1360" s="8" t="s">
        <v>25</v>
      </c>
    </row>
    <row r="1361" spans="1:21">
      <c r="A1361" s="8" t="s">
        <v>8207</v>
      </c>
      <c r="B1361" s="8" t="s">
        <v>3493</v>
      </c>
      <c r="C1361" s="8">
        <v>91752</v>
      </c>
      <c r="D1361" s="8" t="s">
        <v>172</v>
      </c>
      <c r="E1361" s="8">
        <v>185803743</v>
      </c>
      <c r="F1361" s="8">
        <v>185803743</v>
      </c>
      <c r="G1361" s="8" t="s">
        <v>46</v>
      </c>
      <c r="H1361" s="8" t="s">
        <v>41</v>
      </c>
      <c r="I1361" s="8" t="s">
        <v>23</v>
      </c>
      <c r="J1361" s="8" t="s">
        <v>3494</v>
      </c>
      <c r="K1361" s="8" t="s">
        <v>5955</v>
      </c>
      <c r="L1361" s="8" t="s">
        <v>19</v>
      </c>
      <c r="M1361" s="8">
        <v>4214</v>
      </c>
      <c r="N1361" s="8" t="s">
        <v>1140</v>
      </c>
      <c r="O1361" s="8">
        <v>1207</v>
      </c>
      <c r="P1361" s="8" t="s">
        <v>8218</v>
      </c>
      <c r="Q1361" s="8" t="s">
        <v>4262</v>
      </c>
      <c r="R1361" s="8">
        <v>8.5999999999999993E-2</v>
      </c>
      <c r="S1361" s="8">
        <v>185803743</v>
      </c>
      <c r="T1361" s="8" t="s">
        <v>46</v>
      </c>
      <c r="U1361" s="8" t="s">
        <v>41</v>
      </c>
    </row>
    <row r="1362" spans="1:21">
      <c r="A1362" s="8" t="s">
        <v>8207</v>
      </c>
      <c r="B1362" s="8" t="s">
        <v>8219</v>
      </c>
      <c r="C1362" s="8">
        <v>4133</v>
      </c>
      <c r="D1362" s="8" t="s">
        <v>172</v>
      </c>
      <c r="E1362" s="8">
        <v>210559544</v>
      </c>
      <c r="F1362" s="8">
        <v>210559544</v>
      </c>
      <c r="G1362" s="8" t="s">
        <v>46</v>
      </c>
      <c r="H1362" s="8" t="s">
        <v>25</v>
      </c>
      <c r="I1362" s="8" t="s">
        <v>23</v>
      </c>
      <c r="J1362" s="8" t="s">
        <v>8220</v>
      </c>
      <c r="K1362" s="8" t="s">
        <v>8222</v>
      </c>
      <c r="L1362" s="8" t="s">
        <v>19</v>
      </c>
      <c r="M1362" s="8">
        <v>2898</v>
      </c>
      <c r="N1362" s="8" t="s">
        <v>3144</v>
      </c>
      <c r="O1362" s="8">
        <v>884</v>
      </c>
      <c r="P1362" s="8" t="s">
        <v>8221</v>
      </c>
      <c r="Q1362" s="8" t="s">
        <v>4262</v>
      </c>
      <c r="R1362" s="8">
        <v>5.6000000000000001E-2</v>
      </c>
      <c r="S1362" s="8">
        <v>210559544</v>
      </c>
      <c r="T1362" s="8" t="s">
        <v>46</v>
      </c>
      <c r="U1362" s="8" t="s">
        <v>25</v>
      </c>
    </row>
    <row r="1363" spans="1:21">
      <c r="A1363" s="8" t="s">
        <v>8207</v>
      </c>
      <c r="B1363" s="8" t="s">
        <v>8223</v>
      </c>
      <c r="C1363" s="8">
        <v>1665</v>
      </c>
      <c r="D1363" s="8" t="s">
        <v>220</v>
      </c>
      <c r="E1363" s="8">
        <v>24543564</v>
      </c>
      <c r="F1363" s="8">
        <v>24543564</v>
      </c>
      <c r="G1363" s="8" t="s">
        <v>46</v>
      </c>
      <c r="H1363" s="8" t="s">
        <v>41</v>
      </c>
      <c r="I1363" s="8" t="s">
        <v>23</v>
      </c>
      <c r="J1363" s="8" t="s">
        <v>8224</v>
      </c>
      <c r="K1363" s="8" t="s">
        <v>8226</v>
      </c>
      <c r="L1363" s="8" t="s">
        <v>19</v>
      </c>
      <c r="M1363" s="8">
        <v>1585</v>
      </c>
      <c r="N1363" s="8" t="s">
        <v>768</v>
      </c>
      <c r="O1363" s="8">
        <v>473</v>
      </c>
      <c r="P1363" s="8" t="s">
        <v>8225</v>
      </c>
      <c r="Q1363" s="8" t="s">
        <v>4262</v>
      </c>
      <c r="R1363" s="8">
        <v>0.105</v>
      </c>
      <c r="S1363" s="8">
        <v>24543564</v>
      </c>
      <c r="T1363" s="8" t="s">
        <v>46</v>
      </c>
      <c r="U1363" s="8" t="s">
        <v>41</v>
      </c>
    </row>
    <row r="1364" spans="1:21">
      <c r="A1364" s="8" t="s">
        <v>8207</v>
      </c>
      <c r="B1364" s="8" t="s">
        <v>1857</v>
      </c>
      <c r="C1364" s="8">
        <v>1452</v>
      </c>
      <c r="D1364" s="8" t="s">
        <v>226</v>
      </c>
      <c r="E1364" s="8">
        <v>148886602</v>
      </c>
      <c r="F1364" s="8">
        <v>148886602</v>
      </c>
      <c r="G1364" s="8" t="s">
        <v>46</v>
      </c>
      <c r="H1364" s="8" t="s">
        <v>41</v>
      </c>
      <c r="I1364" s="8" t="s">
        <v>23</v>
      </c>
      <c r="J1364" s="8" t="s">
        <v>8227</v>
      </c>
      <c r="K1364" s="8" t="s">
        <v>8229</v>
      </c>
      <c r="L1364" s="8" t="s">
        <v>19</v>
      </c>
      <c r="M1364" s="8">
        <v>1409</v>
      </c>
      <c r="N1364" s="8" t="s">
        <v>73</v>
      </c>
      <c r="O1364" s="8">
        <v>310</v>
      </c>
      <c r="P1364" s="8" t="s">
        <v>8228</v>
      </c>
      <c r="Q1364" s="8" t="s">
        <v>4262</v>
      </c>
      <c r="R1364" s="8">
        <v>5.8999999999999997E-2</v>
      </c>
      <c r="S1364" s="8">
        <v>148886602</v>
      </c>
      <c r="T1364" s="8" t="s">
        <v>46</v>
      </c>
      <c r="U1364" s="8" t="s">
        <v>41</v>
      </c>
    </row>
    <row r="1365" spans="1:21">
      <c r="A1365" s="8" t="s">
        <v>8207</v>
      </c>
      <c r="B1365" s="8" t="s">
        <v>8230</v>
      </c>
      <c r="C1365" s="8">
        <v>56979</v>
      </c>
      <c r="D1365" s="8" t="s">
        <v>226</v>
      </c>
      <c r="E1365" s="8">
        <v>23526865</v>
      </c>
      <c r="F1365" s="8">
        <v>23526865</v>
      </c>
      <c r="G1365" s="8" t="s">
        <v>24</v>
      </c>
      <c r="H1365" s="8" t="s">
        <v>46</v>
      </c>
      <c r="I1365" s="8" t="s">
        <v>23</v>
      </c>
      <c r="J1365" s="8" t="s">
        <v>8231</v>
      </c>
      <c r="K1365" s="8" t="s">
        <v>8233</v>
      </c>
      <c r="L1365" s="8" t="s">
        <v>19</v>
      </c>
      <c r="M1365" s="8">
        <v>1850</v>
      </c>
      <c r="N1365" s="8" t="s">
        <v>1380</v>
      </c>
      <c r="O1365" s="8">
        <v>556</v>
      </c>
      <c r="P1365" s="8" t="s">
        <v>8232</v>
      </c>
      <c r="Q1365" s="8" t="s">
        <v>4262</v>
      </c>
      <c r="R1365" s="8">
        <v>7.5999999999999998E-2</v>
      </c>
      <c r="S1365" s="8">
        <v>23526865</v>
      </c>
      <c r="T1365" s="8" t="s">
        <v>24</v>
      </c>
      <c r="U1365" s="8" t="s">
        <v>46</v>
      </c>
    </row>
    <row r="1366" spans="1:21">
      <c r="A1366" s="8" t="s">
        <v>8207</v>
      </c>
      <c r="B1366" s="8" t="s">
        <v>2988</v>
      </c>
      <c r="C1366" s="8">
        <v>135228</v>
      </c>
      <c r="D1366" s="8" t="s">
        <v>237</v>
      </c>
      <c r="E1366" s="8">
        <v>74440200</v>
      </c>
      <c r="F1366" s="8">
        <v>74440200</v>
      </c>
      <c r="G1366" s="8" t="s">
        <v>25</v>
      </c>
      <c r="H1366" s="8" t="s">
        <v>46</v>
      </c>
      <c r="I1366" s="8" t="s">
        <v>23</v>
      </c>
      <c r="J1366" s="8" t="s">
        <v>8234</v>
      </c>
      <c r="K1366" s="8" t="s">
        <v>8236</v>
      </c>
      <c r="L1366" s="8" t="s">
        <v>19</v>
      </c>
      <c r="M1366" s="8">
        <v>835</v>
      </c>
      <c r="N1366" s="8" t="s">
        <v>2989</v>
      </c>
      <c r="O1366" s="8">
        <v>137</v>
      </c>
      <c r="P1366" s="8" t="s">
        <v>8235</v>
      </c>
      <c r="Q1366" s="8" t="s">
        <v>4262</v>
      </c>
      <c r="R1366" s="8">
        <v>0.128</v>
      </c>
      <c r="S1366" s="8">
        <v>74440200</v>
      </c>
      <c r="T1366" s="8" t="s">
        <v>25</v>
      </c>
      <c r="U1366" s="8" t="s">
        <v>46</v>
      </c>
    </row>
    <row r="1367" spans="1:21">
      <c r="A1367" s="8" t="s">
        <v>8207</v>
      </c>
      <c r="B1367" s="8" t="s">
        <v>2131</v>
      </c>
      <c r="C1367" s="8">
        <v>29992</v>
      </c>
      <c r="D1367" s="8" t="s">
        <v>257</v>
      </c>
      <c r="E1367" s="8">
        <v>99997414</v>
      </c>
      <c r="F1367" s="8">
        <v>99997414</v>
      </c>
      <c r="G1367" s="8" t="s">
        <v>24</v>
      </c>
      <c r="H1367" s="8" t="s">
        <v>25</v>
      </c>
      <c r="I1367" s="8" t="s">
        <v>23</v>
      </c>
      <c r="J1367" s="8" t="s">
        <v>8237</v>
      </c>
      <c r="K1367" s="8" t="s">
        <v>8239</v>
      </c>
      <c r="L1367" s="8" t="s">
        <v>19</v>
      </c>
      <c r="M1367" s="8">
        <v>1008</v>
      </c>
      <c r="N1367" s="8" t="s">
        <v>536</v>
      </c>
      <c r="O1367" s="8">
        <v>266</v>
      </c>
      <c r="P1367" s="8" t="s">
        <v>8238</v>
      </c>
      <c r="Q1367" s="8" t="s">
        <v>4262</v>
      </c>
      <c r="R1367" s="8">
        <v>8.1000000000000003E-2</v>
      </c>
      <c r="S1367" s="8">
        <v>99997414</v>
      </c>
      <c r="T1367" s="8" t="s">
        <v>24</v>
      </c>
      <c r="U1367" s="8" t="s">
        <v>25</v>
      </c>
    </row>
    <row r="1368" spans="1:21">
      <c r="A1368" s="8" t="s">
        <v>8207</v>
      </c>
      <c r="B1368" s="8" t="s">
        <v>6702</v>
      </c>
      <c r="C1368" s="8">
        <v>9734</v>
      </c>
      <c r="D1368" s="8" t="s">
        <v>257</v>
      </c>
      <c r="E1368" s="8">
        <v>18688275</v>
      </c>
      <c r="F1368" s="8">
        <v>18688275</v>
      </c>
      <c r="G1368" s="8" t="s">
        <v>25</v>
      </c>
      <c r="H1368" s="8" t="s">
        <v>41</v>
      </c>
      <c r="I1368" s="8" t="s">
        <v>23</v>
      </c>
      <c r="J1368" s="8" t="s">
        <v>6703</v>
      </c>
      <c r="K1368" s="8" t="s">
        <v>6705</v>
      </c>
      <c r="L1368" s="8" t="s">
        <v>19</v>
      </c>
      <c r="M1368" s="8">
        <v>1477</v>
      </c>
      <c r="N1368" s="8" t="s">
        <v>457</v>
      </c>
      <c r="O1368" s="8">
        <v>479</v>
      </c>
      <c r="P1368" s="8" t="s">
        <v>8240</v>
      </c>
      <c r="Q1368" s="8" t="s">
        <v>4262</v>
      </c>
      <c r="R1368" s="8">
        <v>3.6999999999999998E-2</v>
      </c>
      <c r="S1368" s="8">
        <v>18688275</v>
      </c>
      <c r="T1368" s="8" t="s">
        <v>25</v>
      </c>
      <c r="U1368" s="8" t="s">
        <v>41</v>
      </c>
    </row>
    <row r="1369" spans="1:21">
      <c r="A1369" s="8" t="s">
        <v>8207</v>
      </c>
      <c r="B1369" s="8" t="s">
        <v>2764</v>
      </c>
      <c r="C1369" s="8">
        <v>273</v>
      </c>
      <c r="D1369" s="8" t="s">
        <v>257</v>
      </c>
      <c r="E1369" s="8">
        <v>38431506</v>
      </c>
      <c r="F1369" s="8">
        <v>38431506</v>
      </c>
      <c r="G1369" s="8" t="s">
        <v>24</v>
      </c>
      <c r="H1369" s="8" t="s">
        <v>25</v>
      </c>
      <c r="I1369" s="8" t="s">
        <v>23</v>
      </c>
      <c r="J1369" s="8" t="s">
        <v>7358</v>
      </c>
      <c r="K1369" s="8" t="s">
        <v>7360</v>
      </c>
      <c r="L1369" s="8" t="s">
        <v>19</v>
      </c>
      <c r="M1369" s="8">
        <v>1937</v>
      </c>
      <c r="N1369" s="8" t="s">
        <v>1140</v>
      </c>
      <c r="O1369" s="8">
        <v>574</v>
      </c>
      <c r="P1369" s="8" t="s">
        <v>8241</v>
      </c>
      <c r="Q1369" s="8" t="s">
        <v>4262</v>
      </c>
      <c r="R1369" s="8">
        <v>0.156</v>
      </c>
      <c r="S1369" s="8">
        <v>38431506</v>
      </c>
      <c r="T1369" s="8" t="s">
        <v>24</v>
      </c>
      <c r="U1369" s="8" t="s">
        <v>25</v>
      </c>
    </row>
    <row r="1370" spans="1:21">
      <c r="A1370" s="8" t="s">
        <v>8207</v>
      </c>
      <c r="B1370" s="8" t="s">
        <v>2767</v>
      </c>
      <c r="C1370" s="8">
        <v>154664</v>
      </c>
      <c r="D1370" s="8" t="s">
        <v>257</v>
      </c>
      <c r="E1370" s="8">
        <v>48315265</v>
      </c>
      <c r="F1370" s="8">
        <v>48315265</v>
      </c>
      <c r="G1370" s="8" t="s">
        <v>25</v>
      </c>
      <c r="H1370" s="8" t="s">
        <v>41</v>
      </c>
      <c r="I1370" s="8" t="s">
        <v>23</v>
      </c>
      <c r="J1370" s="8" t="s">
        <v>2768</v>
      </c>
      <c r="K1370" s="8" t="s">
        <v>4731</v>
      </c>
      <c r="L1370" s="8" t="s">
        <v>19</v>
      </c>
      <c r="M1370" s="8">
        <v>6026</v>
      </c>
      <c r="N1370" s="8" t="s">
        <v>3549</v>
      </c>
      <c r="O1370" s="8">
        <v>2001</v>
      </c>
      <c r="P1370" s="8" t="s">
        <v>8242</v>
      </c>
      <c r="Q1370" s="8" t="s">
        <v>4262</v>
      </c>
      <c r="R1370" s="8">
        <v>7.6999999999999999E-2</v>
      </c>
      <c r="S1370" s="8">
        <v>48315265</v>
      </c>
      <c r="T1370" s="8" t="s">
        <v>25</v>
      </c>
      <c r="U1370" s="8" t="s">
        <v>41</v>
      </c>
    </row>
    <row r="1371" spans="1:21">
      <c r="A1371" s="8" t="s">
        <v>8207</v>
      </c>
      <c r="B1371" s="8" t="s">
        <v>1401</v>
      </c>
      <c r="C1371" s="8">
        <v>23414</v>
      </c>
      <c r="D1371" s="8" t="s">
        <v>279</v>
      </c>
      <c r="E1371" s="8">
        <v>106814664</v>
      </c>
      <c r="F1371" s="8">
        <v>106814664</v>
      </c>
      <c r="G1371" s="8" t="s">
        <v>25</v>
      </c>
      <c r="H1371" s="8" t="s">
        <v>46</v>
      </c>
      <c r="I1371" s="8" t="s">
        <v>23</v>
      </c>
      <c r="J1371" s="8" t="s">
        <v>1402</v>
      </c>
      <c r="K1371" s="8" t="s">
        <v>6065</v>
      </c>
      <c r="L1371" s="8" t="s">
        <v>19</v>
      </c>
      <c r="M1371" s="8">
        <v>2377</v>
      </c>
      <c r="N1371" s="8" t="s">
        <v>3319</v>
      </c>
      <c r="O1371" s="8">
        <v>785</v>
      </c>
      <c r="P1371" s="8" t="s">
        <v>8243</v>
      </c>
      <c r="Q1371" s="8" t="s">
        <v>4262</v>
      </c>
      <c r="R1371" s="8">
        <v>6.8000000000000005E-2</v>
      </c>
      <c r="S1371" s="8">
        <v>106814664</v>
      </c>
      <c r="T1371" s="8" t="s">
        <v>25</v>
      </c>
      <c r="U1371" s="8" t="s">
        <v>46</v>
      </c>
    </row>
    <row r="1372" spans="1:21">
      <c r="A1372" s="8" t="s">
        <v>8207</v>
      </c>
      <c r="B1372" s="8" t="s">
        <v>7916</v>
      </c>
      <c r="C1372" s="8">
        <v>774</v>
      </c>
      <c r="D1372" s="8" t="s">
        <v>292</v>
      </c>
      <c r="E1372" s="8">
        <v>140777194</v>
      </c>
      <c r="F1372" s="8">
        <v>140777194</v>
      </c>
      <c r="G1372" s="8" t="s">
        <v>25</v>
      </c>
      <c r="H1372" s="8" t="s">
        <v>41</v>
      </c>
      <c r="I1372" s="8" t="s">
        <v>23</v>
      </c>
      <c r="J1372" s="8" t="s">
        <v>7917</v>
      </c>
      <c r="K1372" s="8" t="s">
        <v>7918</v>
      </c>
      <c r="L1372" s="8" t="s">
        <v>68</v>
      </c>
      <c r="M1372" s="8">
        <v>0</v>
      </c>
      <c r="N1372" s="8" t="s">
        <v>35</v>
      </c>
      <c r="O1372" s="8">
        <v>0</v>
      </c>
      <c r="P1372" s="8" t="s">
        <v>35</v>
      </c>
      <c r="Q1372" s="8" t="s">
        <v>4262</v>
      </c>
      <c r="R1372" s="8">
        <v>7.8E-2</v>
      </c>
      <c r="S1372" s="8">
        <v>140777194</v>
      </c>
      <c r="T1372" s="8" t="s">
        <v>25</v>
      </c>
      <c r="U1372" s="8" t="s">
        <v>41</v>
      </c>
    </row>
    <row r="1373" spans="1:21">
      <c r="A1373" s="8" t="s">
        <v>8207</v>
      </c>
      <c r="B1373" s="8" t="s">
        <v>8244</v>
      </c>
      <c r="C1373" s="8">
        <v>219988</v>
      </c>
      <c r="D1373" s="8" t="s">
        <v>83</v>
      </c>
      <c r="E1373" s="8">
        <v>59415225</v>
      </c>
      <c r="F1373" s="8">
        <v>59415225</v>
      </c>
      <c r="G1373" s="8" t="s">
        <v>25</v>
      </c>
      <c r="H1373" s="8" t="s">
        <v>41</v>
      </c>
      <c r="I1373" s="8" t="s">
        <v>23</v>
      </c>
      <c r="J1373" s="8" t="s">
        <v>8245</v>
      </c>
      <c r="K1373" s="8" t="s">
        <v>8246</v>
      </c>
      <c r="L1373" s="8" t="s">
        <v>68</v>
      </c>
      <c r="M1373" s="8">
        <v>0</v>
      </c>
      <c r="N1373" s="8" t="s">
        <v>35</v>
      </c>
      <c r="O1373" s="8">
        <v>0</v>
      </c>
      <c r="P1373" s="8" t="s">
        <v>35</v>
      </c>
      <c r="Q1373" s="8" t="s">
        <v>4262</v>
      </c>
      <c r="R1373" s="8">
        <v>7.0999999999999994E-2</v>
      </c>
      <c r="S1373" s="8">
        <v>59415225</v>
      </c>
      <c r="T1373" s="8" t="s">
        <v>25</v>
      </c>
      <c r="U1373" s="8" t="s">
        <v>41</v>
      </c>
    </row>
    <row r="1374" spans="1:21">
      <c r="A1374" s="8" t="s">
        <v>8207</v>
      </c>
      <c r="B1374" s="8"/>
      <c r="C1374" s="8">
        <v>100508736</v>
      </c>
      <c r="D1374" s="8" t="s">
        <v>83</v>
      </c>
      <c r="E1374" s="8">
        <v>31128371</v>
      </c>
      <c r="F1374" s="8">
        <v>31128371</v>
      </c>
      <c r="G1374" s="8" t="s">
        <v>25</v>
      </c>
      <c r="H1374" s="8" t="s">
        <v>41</v>
      </c>
      <c r="I1374" s="8" t="s">
        <v>23</v>
      </c>
      <c r="J1374" s="8" t="s">
        <v>8247</v>
      </c>
      <c r="K1374" s="8" t="s">
        <v>8249</v>
      </c>
      <c r="L1374" s="8" t="s">
        <v>19</v>
      </c>
      <c r="M1374" s="8">
        <v>690</v>
      </c>
      <c r="N1374" s="8" t="s">
        <v>1416</v>
      </c>
      <c r="O1374" s="8">
        <v>191</v>
      </c>
      <c r="P1374" s="8" t="s">
        <v>8248</v>
      </c>
      <c r="Q1374" s="8" t="s">
        <v>4262</v>
      </c>
      <c r="R1374" s="8">
        <v>6.2E-2</v>
      </c>
      <c r="S1374" s="8">
        <v>31128371</v>
      </c>
      <c r="T1374" s="8" t="s">
        <v>25</v>
      </c>
      <c r="U1374" s="8" t="s">
        <v>41</v>
      </c>
    </row>
    <row r="1375" spans="1:21">
      <c r="A1375" s="8" t="s">
        <v>8207</v>
      </c>
      <c r="B1375" s="8" t="s">
        <v>682</v>
      </c>
      <c r="C1375" s="8">
        <v>121278</v>
      </c>
      <c r="D1375" s="8" t="s">
        <v>104</v>
      </c>
      <c r="E1375" s="8">
        <v>72366404</v>
      </c>
      <c r="F1375" s="8">
        <v>72366404</v>
      </c>
      <c r="G1375" s="8" t="s">
        <v>24</v>
      </c>
      <c r="H1375" s="8" t="s">
        <v>41</v>
      </c>
      <c r="I1375" s="8" t="s">
        <v>23</v>
      </c>
      <c r="J1375" s="8" t="s">
        <v>683</v>
      </c>
      <c r="K1375" s="8" t="s">
        <v>8251</v>
      </c>
      <c r="L1375" s="8" t="s">
        <v>19</v>
      </c>
      <c r="M1375" s="8">
        <v>855</v>
      </c>
      <c r="N1375" s="8" t="s">
        <v>1180</v>
      </c>
      <c r="O1375" s="8">
        <v>238</v>
      </c>
      <c r="P1375" s="8" t="s">
        <v>8250</v>
      </c>
      <c r="Q1375" s="8" t="s">
        <v>4262</v>
      </c>
      <c r="R1375" s="8">
        <v>0.09</v>
      </c>
      <c r="S1375" s="8">
        <v>72366404</v>
      </c>
      <c r="T1375" s="8" t="s">
        <v>24</v>
      </c>
      <c r="U1375" s="8" t="s">
        <v>41</v>
      </c>
    </row>
    <row r="1376" spans="1:21">
      <c r="A1376" s="8" t="s">
        <v>8207</v>
      </c>
      <c r="B1376" s="8" t="s">
        <v>691</v>
      </c>
      <c r="C1376" s="8">
        <v>113146</v>
      </c>
      <c r="D1376" s="8" t="s">
        <v>118</v>
      </c>
      <c r="E1376" s="8">
        <v>105412592</v>
      </c>
      <c r="F1376" s="8">
        <v>105412592</v>
      </c>
      <c r="G1376" s="8" t="s">
        <v>41</v>
      </c>
      <c r="H1376" s="8" t="s">
        <v>25</v>
      </c>
      <c r="I1376" s="8" t="s">
        <v>23</v>
      </c>
      <c r="J1376" s="8" t="s">
        <v>692</v>
      </c>
      <c r="K1376" s="8" t="s">
        <v>8253</v>
      </c>
      <c r="L1376" s="8" t="s">
        <v>19</v>
      </c>
      <c r="M1376" s="8">
        <v>9316</v>
      </c>
      <c r="N1376" s="8" t="s">
        <v>792</v>
      </c>
      <c r="O1376" s="8">
        <v>3066</v>
      </c>
      <c r="P1376" s="8" t="s">
        <v>8252</v>
      </c>
      <c r="Q1376" s="8" t="s">
        <v>4262</v>
      </c>
      <c r="R1376" s="8">
        <v>0.08</v>
      </c>
      <c r="S1376" s="8">
        <v>105412592</v>
      </c>
      <c r="T1376" s="8" t="s">
        <v>41</v>
      </c>
      <c r="U1376" s="8" t="s">
        <v>25</v>
      </c>
    </row>
    <row r="1377" spans="1:21">
      <c r="A1377" s="8" t="s">
        <v>8207</v>
      </c>
      <c r="B1377" s="8" t="s">
        <v>2511</v>
      </c>
      <c r="C1377" s="8">
        <v>6263</v>
      </c>
      <c r="D1377" s="8" t="s">
        <v>120</v>
      </c>
      <c r="E1377" s="8">
        <v>33855181</v>
      </c>
      <c r="F1377" s="8">
        <v>33855181</v>
      </c>
      <c r="G1377" s="8" t="s">
        <v>25</v>
      </c>
      <c r="H1377" s="8" t="s">
        <v>46</v>
      </c>
      <c r="I1377" s="8" t="s">
        <v>23</v>
      </c>
      <c r="J1377" s="8" t="s">
        <v>6200</v>
      </c>
      <c r="K1377" s="8" t="s">
        <v>6202</v>
      </c>
      <c r="L1377" s="8" t="s">
        <v>19</v>
      </c>
      <c r="M1377" s="8">
        <v>1186</v>
      </c>
      <c r="N1377" s="8" t="s">
        <v>236</v>
      </c>
      <c r="O1377" s="8">
        <v>372</v>
      </c>
      <c r="P1377" s="8" t="s">
        <v>8254</v>
      </c>
      <c r="Q1377" s="8" t="s">
        <v>4262</v>
      </c>
      <c r="R1377" s="8">
        <v>4.4999999999999998E-2</v>
      </c>
      <c r="S1377" s="8">
        <v>33855181</v>
      </c>
      <c r="T1377" s="8" t="s">
        <v>25</v>
      </c>
      <c r="U1377" s="8" t="s">
        <v>46</v>
      </c>
    </row>
    <row r="1378" spans="1:21">
      <c r="A1378" s="8" t="s">
        <v>8207</v>
      </c>
      <c r="B1378" s="8" t="s">
        <v>3920</v>
      </c>
      <c r="C1378" s="8">
        <v>3687</v>
      </c>
      <c r="D1378" s="8" t="s">
        <v>129</v>
      </c>
      <c r="E1378" s="8">
        <v>31393208</v>
      </c>
      <c r="F1378" s="8">
        <v>31393208</v>
      </c>
      <c r="G1378" s="8" t="s">
        <v>25</v>
      </c>
      <c r="H1378" s="8" t="s">
        <v>24</v>
      </c>
      <c r="I1378" s="8" t="s">
        <v>23</v>
      </c>
      <c r="J1378" s="8" t="s">
        <v>3921</v>
      </c>
      <c r="K1378" s="8" t="s">
        <v>8256</v>
      </c>
      <c r="L1378" s="8" t="s">
        <v>19</v>
      </c>
      <c r="M1378" s="8">
        <v>3539</v>
      </c>
      <c r="N1378" s="8" t="s">
        <v>4409</v>
      </c>
      <c r="O1378" s="8">
        <v>1158</v>
      </c>
      <c r="P1378" s="8" t="s">
        <v>8255</v>
      </c>
      <c r="Q1378" s="8" t="s">
        <v>4262</v>
      </c>
      <c r="R1378" s="8">
        <v>4.7E-2</v>
      </c>
      <c r="S1378" s="8">
        <v>31393208</v>
      </c>
      <c r="T1378" s="8" t="s">
        <v>25</v>
      </c>
      <c r="U1378" s="8" t="s">
        <v>24</v>
      </c>
    </row>
    <row r="1379" spans="1:21">
      <c r="A1379" s="8" t="s">
        <v>8207</v>
      </c>
      <c r="B1379" s="8" t="s">
        <v>3858</v>
      </c>
      <c r="C1379" s="8">
        <v>1387</v>
      </c>
      <c r="D1379" s="8" t="s">
        <v>129</v>
      </c>
      <c r="E1379" s="8">
        <v>3828057</v>
      </c>
      <c r="F1379" s="8">
        <v>3828057</v>
      </c>
      <c r="G1379" s="8" t="s">
        <v>46</v>
      </c>
      <c r="H1379" s="8" t="s">
        <v>24</v>
      </c>
      <c r="I1379" s="8" t="s">
        <v>23</v>
      </c>
      <c r="J1379" s="8" t="s">
        <v>4915</v>
      </c>
      <c r="K1379" s="8" t="s">
        <v>4918</v>
      </c>
      <c r="L1379" s="8" t="s">
        <v>19</v>
      </c>
      <c r="M1379" s="8">
        <v>2272</v>
      </c>
      <c r="N1379" s="8" t="s">
        <v>1075</v>
      </c>
      <c r="O1379" s="8">
        <v>690</v>
      </c>
      <c r="P1379" s="8" t="s">
        <v>8257</v>
      </c>
      <c r="Q1379" s="8" t="s">
        <v>4262</v>
      </c>
      <c r="R1379" s="8">
        <v>3.7999999999999999E-2</v>
      </c>
      <c r="S1379" s="8">
        <v>3828057</v>
      </c>
      <c r="T1379" s="8" t="s">
        <v>46</v>
      </c>
      <c r="U1379" s="8" t="s">
        <v>24</v>
      </c>
    </row>
    <row r="1380" spans="1:21">
      <c r="A1380" s="8" t="s">
        <v>8207</v>
      </c>
      <c r="B1380" s="8" t="s">
        <v>1483</v>
      </c>
      <c r="C1380" s="8">
        <v>1277</v>
      </c>
      <c r="D1380" s="8" t="s">
        <v>133</v>
      </c>
      <c r="E1380" s="8">
        <v>48266120</v>
      </c>
      <c r="F1380" s="8">
        <v>48266120</v>
      </c>
      <c r="G1380" s="8" t="s">
        <v>46</v>
      </c>
      <c r="H1380" s="8" t="s">
        <v>25</v>
      </c>
      <c r="I1380" s="8" t="s">
        <v>23</v>
      </c>
      <c r="J1380" s="8" t="s">
        <v>1484</v>
      </c>
      <c r="K1380" s="8" t="s">
        <v>8260</v>
      </c>
      <c r="L1380" s="8" t="s">
        <v>19</v>
      </c>
      <c r="M1380" s="8">
        <v>3208</v>
      </c>
      <c r="N1380" s="8" t="s">
        <v>1068</v>
      </c>
      <c r="O1380" s="8">
        <v>1028</v>
      </c>
      <c r="P1380" s="8" t="s">
        <v>8258</v>
      </c>
      <c r="Q1380" s="8" t="s">
        <v>8259</v>
      </c>
      <c r="R1380" s="8">
        <v>8.8999999999999996E-2</v>
      </c>
      <c r="S1380" s="8">
        <v>48266120</v>
      </c>
      <c r="T1380" s="8" t="s">
        <v>46</v>
      </c>
      <c r="U1380" s="8" t="s">
        <v>25</v>
      </c>
    </row>
    <row r="1381" spans="1:21">
      <c r="A1381" s="8" t="s">
        <v>8207</v>
      </c>
      <c r="B1381" s="8" t="s">
        <v>2644</v>
      </c>
      <c r="C1381" s="8">
        <v>6614</v>
      </c>
      <c r="D1381" s="8" t="s">
        <v>188</v>
      </c>
      <c r="E1381" s="8">
        <v>3686438</v>
      </c>
      <c r="F1381" s="8">
        <v>3686438</v>
      </c>
      <c r="G1381" s="8" t="s">
        <v>24</v>
      </c>
      <c r="H1381" s="8" t="s">
        <v>25</v>
      </c>
      <c r="I1381" s="8" t="s">
        <v>23</v>
      </c>
      <c r="J1381" s="8" t="s">
        <v>2645</v>
      </c>
      <c r="K1381" s="8" t="s">
        <v>8262</v>
      </c>
      <c r="L1381" s="8" t="s">
        <v>19</v>
      </c>
      <c r="M1381" s="8">
        <v>659</v>
      </c>
      <c r="N1381" s="8" t="s">
        <v>309</v>
      </c>
      <c r="O1381" s="8">
        <v>220</v>
      </c>
      <c r="P1381" s="8" t="s">
        <v>8261</v>
      </c>
      <c r="Q1381" s="8" t="s">
        <v>4262</v>
      </c>
      <c r="R1381" s="8">
        <v>9.0999999999999998E-2</v>
      </c>
      <c r="S1381" s="8">
        <v>3686438</v>
      </c>
      <c r="T1381" s="8" t="s">
        <v>24</v>
      </c>
      <c r="U1381" s="8" t="s">
        <v>25</v>
      </c>
    </row>
    <row r="1382" spans="1:21">
      <c r="A1382" s="8" t="s">
        <v>8207</v>
      </c>
      <c r="B1382" s="8" t="s">
        <v>8263</v>
      </c>
      <c r="C1382" s="8">
        <v>63935</v>
      </c>
      <c r="D1382" s="8" t="s">
        <v>188</v>
      </c>
      <c r="E1382" s="8">
        <v>44576296</v>
      </c>
      <c r="F1382" s="8">
        <v>44576296</v>
      </c>
      <c r="G1382" s="8" t="s">
        <v>25</v>
      </c>
      <c r="H1382" s="8" t="s">
        <v>24</v>
      </c>
      <c r="I1382" s="8" t="s">
        <v>23</v>
      </c>
      <c r="J1382" s="8" t="s">
        <v>8264</v>
      </c>
      <c r="K1382" s="8" t="s">
        <v>8266</v>
      </c>
      <c r="L1382" s="8" t="s">
        <v>19</v>
      </c>
      <c r="M1382" s="8">
        <v>2331</v>
      </c>
      <c r="N1382" s="8" t="s">
        <v>4409</v>
      </c>
      <c r="O1382" s="8">
        <v>673</v>
      </c>
      <c r="P1382" s="8" t="s">
        <v>8265</v>
      </c>
      <c r="Q1382" s="8" t="s">
        <v>4262</v>
      </c>
      <c r="R1382" s="8">
        <v>0.105</v>
      </c>
      <c r="S1382" s="8">
        <v>44576296</v>
      </c>
      <c r="T1382" s="8" t="s">
        <v>25</v>
      </c>
      <c r="U1382" s="8" t="s">
        <v>24</v>
      </c>
    </row>
    <row r="1383" spans="1:21">
      <c r="A1383" s="8" t="s">
        <v>8207</v>
      </c>
      <c r="B1383" s="8" t="s">
        <v>8267</v>
      </c>
      <c r="C1383" s="8">
        <v>51807</v>
      </c>
      <c r="D1383" s="8" t="s">
        <v>197</v>
      </c>
      <c r="E1383" s="8">
        <v>18613727</v>
      </c>
      <c r="F1383" s="8">
        <v>18613727</v>
      </c>
      <c r="G1383" s="8" t="s">
        <v>24</v>
      </c>
      <c r="H1383" s="8" t="s">
        <v>25</v>
      </c>
      <c r="I1383" s="8" t="s">
        <v>23</v>
      </c>
      <c r="J1383" s="8" t="s">
        <v>8268</v>
      </c>
      <c r="K1383" s="8" t="s">
        <v>8270</v>
      </c>
      <c r="L1383" s="8" t="s">
        <v>19</v>
      </c>
      <c r="M1383" s="8">
        <v>1353</v>
      </c>
      <c r="N1383" s="8" t="s">
        <v>485</v>
      </c>
      <c r="O1383" s="8">
        <v>392</v>
      </c>
      <c r="P1383" s="8" t="s">
        <v>8269</v>
      </c>
      <c r="Q1383" s="8" t="s">
        <v>4262</v>
      </c>
      <c r="R1383" s="8">
        <v>0.11899999999999999</v>
      </c>
      <c r="S1383" s="8">
        <v>18613727</v>
      </c>
      <c r="T1383" s="8" t="s">
        <v>24</v>
      </c>
      <c r="U1383" s="8" t="s">
        <v>25</v>
      </c>
    </row>
    <row r="1384" spans="1:21">
      <c r="A1384" s="8" t="s">
        <v>8207</v>
      </c>
      <c r="B1384" s="8" t="s">
        <v>8271</v>
      </c>
      <c r="C1384" s="8">
        <v>85012</v>
      </c>
      <c r="D1384" s="8" t="s">
        <v>418</v>
      </c>
      <c r="E1384" s="8">
        <v>102864269</v>
      </c>
      <c r="F1384" s="8">
        <v>102864269</v>
      </c>
      <c r="G1384" s="8" t="s">
        <v>46</v>
      </c>
      <c r="H1384" s="8" t="s">
        <v>41</v>
      </c>
      <c r="I1384" s="8" t="s">
        <v>23</v>
      </c>
      <c r="J1384" s="8" t="s">
        <v>8272</v>
      </c>
      <c r="K1384" s="8" t="s">
        <v>8274</v>
      </c>
      <c r="L1384" s="8" t="s">
        <v>76</v>
      </c>
      <c r="M1384" s="8">
        <v>527</v>
      </c>
      <c r="N1384" s="8" t="s">
        <v>371</v>
      </c>
      <c r="O1384" s="8">
        <v>93</v>
      </c>
      <c r="P1384" s="8" t="s">
        <v>8273</v>
      </c>
      <c r="Q1384" s="8" t="s">
        <v>4262</v>
      </c>
      <c r="R1384" s="8">
        <v>7.4999999999999997E-2</v>
      </c>
      <c r="S1384" s="8">
        <v>102864269</v>
      </c>
      <c r="T1384" s="8" t="s">
        <v>46</v>
      </c>
      <c r="U1384" s="8" t="s">
        <v>41</v>
      </c>
    </row>
    <row r="1385" spans="1:21">
      <c r="A1385" s="8" t="s">
        <v>8207</v>
      </c>
      <c r="B1385" s="8" t="s">
        <v>2280</v>
      </c>
      <c r="C1385" s="8">
        <v>64743</v>
      </c>
      <c r="D1385" s="8" t="s">
        <v>418</v>
      </c>
      <c r="E1385" s="8">
        <v>48462668</v>
      </c>
      <c r="F1385" s="8">
        <v>48462668</v>
      </c>
      <c r="G1385" s="8" t="s">
        <v>25</v>
      </c>
      <c r="H1385" s="8" t="s">
        <v>24</v>
      </c>
      <c r="I1385" s="8" t="s">
        <v>23</v>
      </c>
      <c r="J1385" s="8" t="s">
        <v>8275</v>
      </c>
      <c r="K1385" s="8" t="s">
        <v>8277</v>
      </c>
      <c r="L1385" s="8" t="s">
        <v>19</v>
      </c>
      <c r="M1385" s="8">
        <v>1668</v>
      </c>
      <c r="N1385" s="8" t="s">
        <v>551</v>
      </c>
      <c r="O1385" s="8">
        <v>388</v>
      </c>
      <c r="P1385" s="8" t="s">
        <v>8276</v>
      </c>
      <c r="Q1385" s="8" t="s">
        <v>4262</v>
      </c>
      <c r="R1385" s="8">
        <v>0.182</v>
      </c>
      <c r="S1385" s="8">
        <v>48462668</v>
      </c>
      <c r="T1385" s="8" t="s">
        <v>25</v>
      </c>
      <c r="U1385" s="8" t="s">
        <v>24</v>
      </c>
    </row>
    <row r="1386" spans="1:21">
      <c r="A1386" s="8" t="s">
        <v>8279</v>
      </c>
      <c r="B1386" s="8" t="s">
        <v>3114</v>
      </c>
      <c r="C1386" s="8">
        <v>23350</v>
      </c>
      <c r="D1386" s="8" t="s">
        <v>201</v>
      </c>
      <c r="E1386" s="8">
        <v>142769800</v>
      </c>
      <c r="F1386" s="8">
        <v>142769800</v>
      </c>
      <c r="G1386" s="8" t="s">
        <v>25</v>
      </c>
      <c r="H1386" s="8" t="s">
        <v>24</v>
      </c>
      <c r="I1386" s="8" t="s">
        <v>23</v>
      </c>
      <c r="J1386" s="8" t="s">
        <v>3115</v>
      </c>
      <c r="K1386" s="8" t="s">
        <v>7991</v>
      </c>
      <c r="L1386" s="8" t="s">
        <v>19</v>
      </c>
      <c r="M1386" s="8">
        <v>2663</v>
      </c>
      <c r="N1386" s="8" t="s">
        <v>386</v>
      </c>
      <c r="O1386" s="8">
        <v>855</v>
      </c>
      <c r="P1386" s="8" t="s">
        <v>8278</v>
      </c>
      <c r="Q1386" s="8" t="s">
        <v>4262</v>
      </c>
      <c r="R1386" s="8">
        <v>8.5000000000000006E-2</v>
      </c>
      <c r="S1386" s="8">
        <v>142769800</v>
      </c>
      <c r="T1386" s="8" t="s">
        <v>25</v>
      </c>
      <c r="U1386" s="8" t="s">
        <v>24</v>
      </c>
    </row>
    <row r="1387" spans="1:21">
      <c r="A1387" s="8" t="s">
        <v>8279</v>
      </c>
      <c r="B1387" s="8" t="s">
        <v>8280</v>
      </c>
      <c r="C1387" s="8">
        <v>27074</v>
      </c>
      <c r="D1387" s="8" t="s">
        <v>201</v>
      </c>
      <c r="E1387" s="8">
        <v>182872140</v>
      </c>
      <c r="F1387" s="8">
        <v>182872140</v>
      </c>
      <c r="G1387" s="8" t="s">
        <v>25</v>
      </c>
      <c r="H1387" s="8" t="s">
        <v>24</v>
      </c>
      <c r="I1387" s="8" t="s">
        <v>23</v>
      </c>
      <c r="J1387" s="8" t="s">
        <v>8281</v>
      </c>
      <c r="K1387" s="8" t="s">
        <v>8283</v>
      </c>
      <c r="L1387" s="8" t="s">
        <v>19</v>
      </c>
      <c r="M1387" s="8">
        <v>313</v>
      </c>
      <c r="N1387" s="8" t="s">
        <v>1235</v>
      </c>
      <c r="O1387" s="8">
        <v>30</v>
      </c>
      <c r="P1387" s="8" t="s">
        <v>8282</v>
      </c>
      <c r="Q1387" s="8" t="s">
        <v>4262</v>
      </c>
      <c r="R1387" s="8">
        <v>0.04</v>
      </c>
      <c r="S1387" s="8">
        <v>182872140</v>
      </c>
      <c r="T1387" s="8" t="s">
        <v>25</v>
      </c>
      <c r="U1387" s="8" t="s">
        <v>24</v>
      </c>
    </row>
    <row r="1388" spans="1:21">
      <c r="A1388" s="8" t="s">
        <v>8279</v>
      </c>
      <c r="B1388" s="8" t="s">
        <v>8284</v>
      </c>
      <c r="C1388" s="8">
        <v>79982</v>
      </c>
      <c r="D1388" s="8" t="s">
        <v>220</v>
      </c>
      <c r="E1388" s="8">
        <v>100825011</v>
      </c>
      <c r="F1388" s="8">
        <v>100825011</v>
      </c>
      <c r="G1388" s="8" t="s">
        <v>25</v>
      </c>
      <c r="H1388" s="8" t="s">
        <v>46</v>
      </c>
      <c r="I1388" s="8" t="s">
        <v>23</v>
      </c>
      <c r="J1388" s="8" t="s">
        <v>8285</v>
      </c>
      <c r="K1388" s="8" t="s">
        <v>8287</v>
      </c>
      <c r="L1388" s="8" t="s">
        <v>19</v>
      </c>
      <c r="M1388" s="8">
        <v>1038</v>
      </c>
      <c r="N1388" s="8" t="s">
        <v>2995</v>
      </c>
      <c r="O1388" s="8">
        <v>296</v>
      </c>
      <c r="P1388" s="8" t="s">
        <v>8286</v>
      </c>
      <c r="Q1388" s="8" t="s">
        <v>4262</v>
      </c>
      <c r="R1388" s="8">
        <v>0.11799999999999999</v>
      </c>
      <c r="S1388" s="8">
        <v>100825011</v>
      </c>
      <c r="T1388" s="8" t="s">
        <v>25</v>
      </c>
      <c r="U1388" s="8" t="s">
        <v>46</v>
      </c>
    </row>
    <row r="1389" spans="1:21">
      <c r="A1389" s="8" t="s">
        <v>8279</v>
      </c>
      <c r="B1389" s="8" t="s">
        <v>2714</v>
      </c>
      <c r="C1389" s="8">
        <v>1657</v>
      </c>
      <c r="D1389" s="8" t="s">
        <v>226</v>
      </c>
      <c r="E1389" s="8">
        <v>118468959</v>
      </c>
      <c r="F1389" s="8">
        <v>118468959</v>
      </c>
      <c r="G1389" s="8" t="s">
        <v>41</v>
      </c>
      <c r="H1389" s="8" t="s">
        <v>24</v>
      </c>
      <c r="I1389" s="8" t="s">
        <v>23</v>
      </c>
      <c r="J1389" s="8" t="s">
        <v>2715</v>
      </c>
      <c r="K1389" s="8" t="s">
        <v>8289</v>
      </c>
      <c r="L1389" s="8" t="s">
        <v>19</v>
      </c>
      <c r="M1389" s="8">
        <v>1629</v>
      </c>
      <c r="N1389" s="8" t="s">
        <v>295</v>
      </c>
      <c r="O1389" s="8">
        <v>483</v>
      </c>
      <c r="P1389" s="8" t="s">
        <v>8288</v>
      </c>
      <c r="Q1389" s="8" t="s">
        <v>4262</v>
      </c>
      <c r="R1389" s="8">
        <v>3.9E-2</v>
      </c>
      <c r="S1389" s="8">
        <v>118468959</v>
      </c>
      <c r="T1389" s="8" t="s">
        <v>41</v>
      </c>
      <c r="U1389" s="8" t="s">
        <v>24</v>
      </c>
    </row>
    <row r="1390" spans="1:21">
      <c r="A1390" s="8" t="s">
        <v>8279</v>
      </c>
      <c r="B1390" s="8" t="s">
        <v>8290</v>
      </c>
      <c r="C1390" s="8">
        <v>9774</v>
      </c>
      <c r="D1390" s="8" t="s">
        <v>237</v>
      </c>
      <c r="E1390" s="8">
        <v>136596980</v>
      </c>
      <c r="F1390" s="8">
        <v>136596980</v>
      </c>
      <c r="G1390" s="8" t="s">
        <v>46</v>
      </c>
      <c r="H1390" s="8" t="s">
        <v>41</v>
      </c>
      <c r="I1390" s="8" t="s">
        <v>23</v>
      </c>
      <c r="J1390" s="8" t="s">
        <v>8291</v>
      </c>
      <c r="K1390" s="8" t="s">
        <v>8292</v>
      </c>
      <c r="L1390" s="8" t="s">
        <v>68</v>
      </c>
      <c r="M1390" s="8">
        <v>0</v>
      </c>
      <c r="N1390" s="8" t="s">
        <v>35</v>
      </c>
      <c r="O1390" s="8">
        <v>0</v>
      </c>
      <c r="P1390" s="8" t="s">
        <v>35</v>
      </c>
      <c r="Q1390" s="8" t="s">
        <v>4262</v>
      </c>
      <c r="R1390" s="8">
        <v>3.3000000000000002E-2</v>
      </c>
      <c r="S1390" s="8">
        <v>136596980</v>
      </c>
      <c r="T1390" s="8" t="s">
        <v>46</v>
      </c>
      <c r="U1390" s="8" t="s">
        <v>41</v>
      </c>
    </row>
    <row r="1391" spans="1:21">
      <c r="A1391" s="8" t="s">
        <v>8279</v>
      </c>
      <c r="B1391" s="8" t="s">
        <v>1979</v>
      </c>
      <c r="C1391" s="8">
        <v>1562</v>
      </c>
      <c r="D1391" s="8" t="s">
        <v>69</v>
      </c>
      <c r="E1391" s="8">
        <v>96480274</v>
      </c>
      <c r="F1391" s="8">
        <v>96480274</v>
      </c>
      <c r="G1391" s="8" t="s">
        <v>41</v>
      </c>
      <c r="H1391" s="8" t="s">
        <v>24</v>
      </c>
      <c r="I1391" s="8" t="s">
        <v>23</v>
      </c>
      <c r="J1391" s="8" t="s">
        <v>8293</v>
      </c>
      <c r="K1391" s="8" t="s">
        <v>8295</v>
      </c>
      <c r="L1391" s="8" t="s">
        <v>19</v>
      </c>
      <c r="M1391" s="8">
        <v>1267</v>
      </c>
      <c r="N1391" s="8" t="s">
        <v>295</v>
      </c>
      <c r="O1391" s="8">
        <v>314</v>
      </c>
      <c r="P1391" s="8" t="s">
        <v>8294</v>
      </c>
      <c r="Q1391" s="8" t="s">
        <v>4262</v>
      </c>
      <c r="R1391" s="8">
        <v>6.8000000000000005E-2</v>
      </c>
      <c r="S1391" s="8">
        <v>96480274</v>
      </c>
      <c r="T1391" s="8" t="s">
        <v>41</v>
      </c>
      <c r="U1391" s="8" t="s">
        <v>24</v>
      </c>
    </row>
    <row r="1392" spans="1:21">
      <c r="A1392" s="8" t="s">
        <v>8279</v>
      </c>
      <c r="B1392" s="8" t="s">
        <v>3045</v>
      </c>
      <c r="C1392" s="8">
        <v>652119</v>
      </c>
      <c r="D1392" s="8" t="s">
        <v>69</v>
      </c>
      <c r="E1392" s="8">
        <v>135490976</v>
      </c>
      <c r="F1392" s="8">
        <v>135490976</v>
      </c>
      <c r="G1392" s="8" t="s">
        <v>25</v>
      </c>
      <c r="H1392" s="8" t="s">
        <v>24</v>
      </c>
      <c r="I1392" s="8" t="s">
        <v>23</v>
      </c>
      <c r="J1392" s="8" t="s">
        <v>3046</v>
      </c>
      <c r="K1392" s="8" t="s">
        <v>8297</v>
      </c>
      <c r="L1392" s="8" t="s">
        <v>19</v>
      </c>
      <c r="M1392" s="8">
        <v>404</v>
      </c>
      <c r="N1392" s="8" t="s">
        <v>574</v>
      </c>
      <c r="O1392" s="8">
        <v>135</v>
      </c>
      <c r="P1392" s="8" t="s">
        <v>8296</v>
      </c>
      <c r="Q1392" s="8" t="s">
        <v>4262</v>
      </c>
      <c r="R1392" s="8">
        <v>0.158</v>
      </c>
      <c r="S1392" s="8">
        <v>135490976</v>
      </c>
      <c r="T1392" s="8" t="s">
        <v>25</v>
      </c>
      <c r="U1392" s="8" t="s">
        <v>24</v>
      </c>
    </row>
    <row r="1393" spans="1:21">
      <c r="A1393" s="8" t="s">
        <v>8279</v>
      </c>
      <c r="B1393" s="8" t="s">
        <v>3058</v>
      </c>
      <c r="C1393" s="8">
        <v>9101</v>
      </c>
      <c r="D1393" s="8" t="s">
        <v>120</v>
      </c>
      <c r="E1393" s="8">
        <v>50751226</v>
      </c>
      <c r="F1393" s="8">
        <v>50751226</v>
      </c>
      <c r="G1393" s="8" t="s">
        <v>41</v>
      </c>
      <c r="H1393" s="8" t="s">
        <v>24</v>
      </c>
      <c r="I1393" s="8" t="s">
        <v>23</v>
      </c>
      <c r="J1393" s="8" t="s">
        <v>8298</v>
      </c>
      <c r="K1393" s="8" t="s">
        <v>8300</v>
      </c>
      <c r="L1393" s="8" t="s">
        <v>19</v>
      </c>
      <c r="M1393" s="8">
        <v>563</v>
      </c>
      <c r="N1393" s="8" t="s">
        <v>886</v>
      </c>
      <c r="O1393" s="8">
        <v>122</v>
      </c>
      <c r="P1393" s="8" t="s">
        <v>8299</v>
      </c>
      <c r="Q1393" s="8" t="s">
        <v>4262</v>
      </c>
      <c r="R1393" s="8">
        <v>0.309</v>
      </c>
      <c r="S1393" s="8">
        <v>50751226</v>
      </c>
      <c r="T1393" s="8" t="s">
        <v>41</v>
      </c>
      <c r="U1393" s="8" t="s">
        <v>24</v>
      </c>
    </row>
    <row r="1394" spans="1:21">
      <c r="A1394" s="8" t="s">
        <v>8279</v>
      </c>
      <c r="B1394" s="8" t="s">
        <v>8301</v>
      </c>
      <c r="C1394" s="8">
        <v>146206</v>
      </c>
      <c r="D1394" s="8" t="s">
        <v>129</v>
      </c>
      <c r="E1394" s="8">
        <v>67688435</v>
      </c>
      <c r="F1394" s="8">
        <v>67688435</v>
      </c>
      <c r="G1394" s="8" t="s">
        <v>24</v>
      </c>
      <c r="H1394" s="8" t="s">
        <v>25</v>
      </c>
      <c r="I1394" s="8" t="s">
        <v>23</v>
      </c>
      <c r="J1394" s="8" t="s">
        <v>8302</v>
      </c>
      <c r="K1394" s="8" t="s">
        <v>8304</v>
      </c>
      <c r="L1394" s="8" t="s">
        <v>19</v>
      </c>
      <c r="M1394" s="8">
        <v>3542</v>
      </c>
      <c r="N1394" s="8" t="s">
        <v>297</v>
      </c>
      <c r="O1394" s="8">
        <v>1141</v>
      </c>
      <c r="P1394" s="8" t="s">
        <v>8303</v>
      </c>
      <c r="Q1394" s="8" t="s">
        <v>4262</v>
      </c>
      <c r="R1394" s="8">
        <v>0.19400000000000001</v>
      </c>
      <c r="S1394" s="8">
        <v>67688435</v>
      </c>
      <c r="T1394" s="8" t="s">
        <v>24</v>
      </c>
      <c r="U1394" s="8" t="s">
        <v>25</v>
      </c>
    </row>
    <row r="1395" spans="1:21">
      <c r="A1395" s="8" t="s">
        <v>8279</v>
      </c>
      <c r="B1395" s="8" t="s">
        <v>8305</v>
      </c>
      <c r="C1395" s="8">
        <v>11276</v>
      </c>
      <c r="D1395" s="8" t="s">
        <v>133</v>
      </c>
      <c r="E1395" s="8">
        <v>35902361</v>
      </c>
      <c r="F1395" s="8">
        <v>35902361</v>
      </c>
      <c r="G1395" s="8" t="s">
        <v>24</v>
      </c>
      <c r="H1395" s="8" t="s">
        <v>25</v>
      </c>
      <c r="I1395" s="8" t="s">
        <v>23</v>
      </c>
      <c r="J1395" s="8" t="s">
        <v>8306</v>
      </c>
      <c r="K1395" s="8" t="s">
        <v>8308</v>
      </c>
      <c r="L1395" s="8" t="s">
        <v>19</v>
      </c>
      <c r="M1395" s="8">
        <v>2998</v>
      </c>
      <c r="N1395" s="8" t="s">
        <v>1140</v>
      </c>
      <c r="O1395" s="8">
        <v>972</v>
      </c>
      <c r="P1395" s="8" t="s">
        <v>8307</v>
      </c>
      <c r="Q1395" s="8" t="s">
        <v>4262</v>
      </c>
      <c r="R1395" s="8">
        <v>3.9E-2</v>
      </c>
      <c r="S1395" s="8">
        <v>35902361</v>
      </c>
      <c r="T1395" s="8" t="s">
        <v>24</v>
      </c>
      <c r="U1395" s="8" t="s">
        <v>25</v>
      </c>
    </row>
    <row r="1396" spans="1:21">
      <c r="A1396" s="8" t="s">
        <v>8279</v>
      </c>
      <c r="B1396" s="8"/>
      <c r="C1396" s="8">
        <v>100134091</v>
      </c>
      <c r="D1396" s="8" t="s">
        <v>188</v>
      </c>
      <c r="E1396" s="8">
        <v>29628233</v>
      </c>
      <c r="F1396" s="8">
        <v>29628233</v>
      </c>
      <c r="G1396" s="8" t="s">
        <v>25</v>
      </c>
      <c r="H1396" s="8" t="s">
        <v>24</v>
      </c>
      <c r="I1396" s="8" t="s">
        <v>23</v>
      </c>
      <c r="J1396" s="8" t="s">
        <v>6580</v>
      </c>
      <c r="K1396" s="8" t="s">
        <v>6582</v>
      </c>
      <c r="L1396" s="8" t="s">
        <v>19</v>
      </c>
      <c r="M1396" s="8">
        <v>73</v>
      </c>
      <c r="N1396" s="8" t="s">
        <v>974</v>
      </c>
      <c r="O1396" s="8">
        <v>25</v>
      </c>
      <c r="P1396" s="8" t="s">
        <v>6777</v>
      </c>
      <c r="Q1396" s="8" t="s">
        <v>4262</v>
      </c>
      <c r="R1396" s="8">
        <v>2.9000000000000001E-2</v>
      </c>
      <c r="S1396" s="8">
        <v>29628233</v>
      </c>
      <c r="T1396" s="8" t="s">
        <v>25</v>
      </c>
      <c r="U1396" s="8" t="s">
        <v>24</v>
      </c>
    </row>
    <row r="1397" spans="1:21">
      <c r="A1397" s="8" t="s">
        <v>8279</v>
      </c>
      <c r="B1397" s="8" t="s">
        <v>2912</v>
      </c>
      <c r="C1397" s="8">
        <v>8204</v>
      </c>
      <c r="D1397" s="8" t="s">
        <v>193</v>
      </c>
      <c r="E1397" s="8">
        <v>16339444</v>
      </c>
      <c r="F1397" s="8">
        <v>16339444</v>
      </c>
      <c r="G1397" s="8" t="s">
        <v>24</v>
      </c>
      <c r="H1397" s="8" t="s">
        <v>25</v>
      </c>
      <c r="I1397" s="8" t="s">
        <v>23</v>
      </c>
      <c r="J1397" s="8" t="s">
        <v>2913</v>
      </c>
      <c r="K1397" s="8" t="s">
        <v>8310</v>
      </c>
      <c r="L1397" s="8" t="s">
        <v>19</v>
      </c>
      <c r="M1397" s="8">
        <v>1668</v>
      </c>
      <c r="N1397" s="8" t="s">
        <v>1140</v>
      </c>
      <c r="O1397" s="8">
        <v>357</v>
      </c>
      <c r="P1397" s="8" t="s">
        <v>8309</v>
      </c>
      <c r="Q1397" s="8" t="s">
        <v>4262</v>
      </c>
      <c r="R1397" s="8">
        <v>2.5999999999999999E-2</v>
      </c>
      <c r="S1397" s="8">
        <v>16339444</v>
      </c>
      <c r="T1397" s="8" t="s">
        <v>24</v>
      </c>
      <c r="U1397" s="8" t="s">
        <v>25</v>
      </c>
    </row>
    <row r="1398" spans="1:21">
      <c r="A1398" s="8" t="s">
        <v>8279</v>
      </c>
      <c r="B1398" s="13">
        <v>40058</v>
      </c>
      <c r="C1398" s="8">
        <v>55964</v>
      </c>
      <c r="D1398" s="8" t="s">
        <v>197</v>
      </c>
      <c r="E1398" s="8">
        <v>42387585</v>
      </c>
      <c r="F1398" s="8">
        <v>42387585</v>
      </c>
      <c r="G1398" s="8" t="s">
        <v>24</v>
      </c>
      <c r="H1398" s="8" t="s">
        <v>46</v>
      </c>
      <c r="I1398" s="8" t="s">
        <v>23</v>
      </c>
      <c r="J1398" s="8" t="s">
        <v>8311</v>
      </c>
      <c r="K1398" s="8" t="s">
        <v>8313</v>
      </c>
      <c r="L1398" s="8" t="s">
        <v>19</v>
      </c>
      <c r="M1398" s="8">
        <v>816</v>
      </c>
      <c r="N1398" s="8" t="s">
        <v>851</v>
      </c>
      <c r="O1398" s="8">
        <v>226</v>
      </c>
      <c r="P1398" s="8" t="s">
        <v>8312</v>
      </c>
      <c r="Q1398" s="8" t="s">
        <v>4262</v>
      </c>
      <c r="R1398" s="8">
        <v>0.27100000000000002</v>
      </c>
      <c r="S1398" s="8">
        <v>42387585</v>
      </c>
      <c r="T1398" s="8" t="s">
        <v>24</v>
      </c>
      <c r="U1398" s="8" t="s">
        <v>46</v>
      </c>
    </row>
    <row r="1399" spans="1:21">
      <c r="A1399" s="8" t="s">
        <v>8279</v>
      </c>
      <c r="B1399" s="8" t="s">
        <v>2990</v>
      </c>
      <c r="C1399" s="8">
        <v>292</v>
      </c>
      <c r="D1399" s="8" t="s">
        <v>418</v>
      </c>
      <c r="E1399" s="8">
        <v>118603742</v>
      </c>
      <c r="F1399" s="8">
        <v>118603742</v>
      </c>
      <c r="G1399" s="8" t="s">
        <v>25</v>
      </c>
      <c r="H1399" s="8" t="s">
        <v>46</v>
      </c>
      <c r="I1399" s="8" t="s">
        <v>23</v>
      </c>
      <c r="J1399" s="8" t="s">
        <v>2991</v>
      </c>
      <c r="K1399" s="8" t="s">
        <v>8316</v>
      </c>
      <c r="L1399" s="8" t="s">
        <v>19</v>
      </c>
      <c r="M1399" s="8">
        <v>346</v>
      </c>
      <c r="N1399" s="8" t="s">
        <v>994</v>
      </c>
      <c r="O1399" s="8">
        <v>77</v>
      </c>
      <c r="P1399" s="8" t="s">
        <v>8314</v>
      </c>
      <c r="Q1399" s="8" t="s">
        <v>8315</v>
      </c>
      <c r="R1399" s="8">
        <v>7.3999999999999996E-2</v>
      </c>
      <c r="S1399" s="8">
        <v>118603742</v>
      </c>
      <c r="T1399" s="8" t="s">
        <v>25</v>
      </c>
      <c r="U1399" s="8" t="s">
        <v>46</v>
      </c>
    </row>
    <row r="1400" spans="1:21">
      <c r="A1400" s="8" t="s">
        <v>8318</v>
      </c>
      <c r="B1400" s="8" t="s">
        <v>3522</v>
      </c>
      <c r="C1400" s="8">
        <v>2312</v>
      </c>
      <c r="D1400" s="8" t="s">
        <v>22</v>
      </c>
      <c r="E1400" s="8">
        <v>152279696</v>
      </c>
      <c r="F1400" s="8">
        <v>152279696</v>
      </c>
      <c r="G1400" s="8" t="s">
        <v>46</v>
      </c>
      <c r="H1400" s="8" t="s">
        <v>25</v>
      </c>
      <c r="I1400" s="8" t="s">
        <v>23</v>
      </c>
      <c r="J1400" s="8" t="s">
        <v>3523</v>
      </c>
      <c r="K1400" s="8" t="s">
        <v>4266</v>
      </c>
      <c r="L1400" s="8" t="s">
        <v>19</v>
      </c>
      <c r="M1400" s="8">
        <v>7702</v>
      </c>
      <c r="N1400" s="8" t="s">
        <v>132</v>
      </c>
      <c r="O1400" s="8">
        <v>2556</v>
      </c>
      <c r="P1400" s="8" t="s">
        <v>8317</v>
      </c>
      <c r="Q1400" s="8" t="s">
        <v>4262</v>
      </c>
      <c r="R1400" s="8">
        <v>6.2E-2</v>
      </c>
      <c r="S1400" s="8">
        <v>152279696</v>
      </c>
      <c r="T1400" s="8" t="s">
        <v>46</v>
      </c>
      <c r="U1400" s="8" t="s">
        <v>25</v>
      </c>
    </row>
    <row r="1401" spans="1:21">
      <c r="A1401" s="8" t="s">
        <v>8318</v>
      </c>
      <c r="B1401" s="8" t="s">
        <v>3553</v>
      </c>
      <c r="C1401" s="8">
        <v>56171</v>
      </c>
      <c r="D1401" s="8" t="s">
        <v>172</v>
      </c>
      <c r="E1401" s="8">
        <v>196753681</v>
      </c>
      <c r="F1401" s="8">
        <v>196753681</v>
      </c>
      <c r="G1401" s="8" t="s">
        <v>25</v>
      </c>
      <c r="H1401" s="8" t="s">
        <v>24</v>
      </c>
      <c r="I1401" s="8" t="s">
        <v>23</v>
      </c>
      <c r="J1401" s="8" t="s">
        <v>3554</v>
      </c>
      <c r="K1401" s="8" t="s">
        <v>6376</v>
      </c>
      <c r="L1401" s="8" t="s">
        <v>19</v>
      </c>
      <c r="M1401" s="8">
        <v>5172</v>
      </c>
      <c r="N1401" s="8" t="s">
        <v>200</v>
      </c>
      <c r="O1401" s="8">
        <v>1691</v>
      </c>
      <c r="P1401" s="8" t="s">
        <v>8319</v>
      </c>
      <c r="Q1401" s="8" t="s">
        <v>4262</v>
      </c>
      <c r="R1401" s="8">
        <v>8.5999999999999993E-2</v>
      </c>
      <c r="S1401" s="8">
        <v>196753681</v>
      </c>
      <c r="T1401" s="8" t="s">
        <v>25</v>
      </c>
      <c r="U1401" s="8" t="s">
        <v>24</v>
      </c>
    </row>
    <row r="1402" spans="1:21">
      <c r="A1402" s="8" t="s">
        <v>8318</v>
      </c>
      <c r="B1402" s="8" t="s">
        <v>1783</v>
      </c>
      <c r="C1402" s="8">
        <v>2243</v>
      </c>
      <c r="D1402" s="8" t="s">
        <v>220</v>
      </c>
      <c r="E1402" s="8">
        <v>155505673</v>
      </c>
      <c r="F1402" s="8">
        <v>155505673</v>
      </c>
      <c r="G1402" s="8" t="s">
        <v>41</v>
      </c>
      <c r="H1402" s="8" t="s">
        <v>24</v>
      </c>
      <c r="I1402" s="8" t="s">
        <v>23</v>
      </c>
      <c r="J1402" s="8" t="s">
        <v>2698</v>
      </c>
      <c r="K1402" s="8" t="s">
        <v>8321</v>
      </c>
      <c r="L1402" s="8" t="s">
        <v>19</v>
      </c>
      <c r="M1402" s="8">
        <v>2262</v>
      </c>
      <c r="N1402" s="8" t="s">
        <v>1271</v>
      </c>
      <c r="O1402" s="8">
        <v>735</v>
      </c>
      <c r="P1402" s="8" t="s">
        <v>8320</v>
      </c>
      <c r="Q1402" s="8" t="s">
        <v>4262</v>
      </c>
      <c r="R1402" s="8">
        <v>9.1999999999999998E-2</v>
      </c>
      <c r="S1402" s="8">
        <v>155505673</v>
      </c>
      <c r="T1402" s="8" t="s">
        <v>41</v>
      </c>
      <c r="U1402" s="8" t="s">
        <v>24</v>
      </c>
    </row>
    <row r="1403" spans="1:21">
      <c r="A1403" s="8" t="s">
        <v>8318</v>
      </c>
      <c r="B1403" s="8" t="s">
        <v>8322</v>
      </c>
      <c r="C1403" s="8">
        <v>64599</v>
      </c>
      <c r="D1403" s="8" t="s">
        <v>257</v>
      </c>
      <c r="E1403" s="8">
        <v>100280051</v>
      </c>
      <c r="F1403" s="8">
        <v>100280051</v>
      </c>
      <c r="G1403" s="8" t="s">
        <v>41</v>
      </c>
      <c r="H1403" s="8" t="s">
        <v>25</v>
      </c>
      <c r="I1403" s="8" t="s">
        <v>23</v>
      </c>
      <c r="J1403" s="8" t="s">
        <v>8323</v>
      </c>
      <c r="K1403" s="8" t="s">
        <v>8325</v>
      </c>
      <c r="L1403" s="8" t="s">
        <v>19</v>
      </c>
      <c r="M1403" s="8">
        <v>3664</v>
      </c>
      <c r="N1403" s="8" t="s">
        <v>801</v>
      </c>
      <c r="O1403" s="8">
        <v>885</v>
      </c>
      <c r="P1403" s="8" t="s">
        <v>8324</v>
      </c>
      <c r="Q1403" s="8" t="s">
        <v>4262</v>
      </c>
      <c r="R1403" s="8">
        <v>0.23499999999999999</v>
      </c>
      <c r="S1403" s="8">
        <v>100280051</v>
      </c>
      <c r="T1403" s="8" t="s">
        <v>41</v>
      </c>
      <c r="U1403" s="8" t="s">
        <v>25</v>
      </c>
    </row>
    <row r="1404" spans="1:21">
      <c r="A1404" s="8" t="s">
        <v>8318</v>
      </c>
      <c r="B1404" s="8" t="s">
        <v>4717</v>
      </c>
      <c r="C1404" s="8">
        <v>8701</v>
      </c>
      <c r="D1404" s="8" t="s">
        <v>257</v>
      </c>
      <c r="E1404" s="8">
        <v>21784132</v>
      </c>
      <c r="F1404" s="8">
        <v>21784132</v>
      </c>
      <c r="G1404" s="8" t="s">
        <v>24</v>
      </c>
      <c r="H1404" s="8" t="s">
        <v>25</v>
      </c>
      <c r="I1404" s="8" t="s">
        <v>23</v>
      </c>
      <c r="J1404" s="8" t="s">
        <v>4718</v>
      </c>
      <c r="K1404" s="8" t="s">
        <v>4720</v>
      </c>
      <c r="L1404" s="8" t="s">
        <v>19</v>
      </c>
      <c r="M1404" s="8">
        <v>8283</v>
      </c>
      <c r="N1404" s="8" t="s">
        <v>297</v>
      </c>
      <c r="O1404" s="8">
        <v>2751</v>
      </c>
      <c r="P1404" s="8" t="s">
        <v>8326</v>
      </c>
      <c r="Q1404" s="8" t="s">
        <v>4262</v>
      </c>
      <c r="R1404" s="8">
        <v>0.06</v>
      </c>
      <c r="S1404" s="8">
        <v>21784132</v>
      </c>
      <c r="T1404" s="8" t="s">
        <v>24</v>
      </c>
      <c r="U1404" s="8" t="s">
        <v>25</v>
      </c>
    </row>
    <row r="1405" spans="1:21">
      <c r="A1405" s="8" t="s">
        <v>8318</v>
      </c>
      <c r="B1405" s="8" t="s">
        <v>8327</v>
      </c>
      <c r="C1405" s="8">
        <v>219432</v>
      </c>
      <c r="D1405" s="8" t="s">
        <v>83</v>
      </c>
      <c r="E1405" s="8">
        <v>55432692</v>
      </c>
      <c r="F1405" s="8">
        <v>55432692</v>
      </c>
      <c r="G1405" s="8" t="s">
        <v>25</v>
      </c>
      <c r="H1405" s="8" t="s">
        <v>24</v>
      </c>
      <c r="I1405" s="8" t="s">
        <v>23</v>
      </c>
      <c r="J1405" s="8" t="s">
        <v>8328</v>
      </c>
      <c r="K1405" s="8" t="s">
        <v>8330</v>
      </c>
      <c r="L1405" s="8" t="s">
        <v>19</v>
      </c>
      <c r="M1405" s="8">
        <v>50</v>
      </c>
      <c r="N1405" s="8" t="s">
        <v>574</v>
      </c>
      <c r="O1405" s="8">
        <v>17</v>
      </c>
      <c r="P1405" s="8" t="s">
        <v>8329</v>
      </c>
      <c r="Q1405" s="8" t="s">
        <v>4262</v>
      </c>
      <c r="R1405" s="8">
        <v>6.3E-2</v>
      </c>
      <c r="S1405" s="8">
        <v>55432692</v>
      </c>
      <c r="T1405" s="8" t="s">
        <v>25</v>
      </c>
      <c r="U1405" s="8" t="s">
        <v>24</v>
      </c>
    </row>
    <row r="1406" spans="1:21">
      <c r="A1406" s="8" t="s">
        <v>8318</v>
      </c>
      <c r="B1406" s="8" t="s">
        <v>8331</v>
      </c>
      <c r="C1406" s="8">
        <v>65117</v>
      </c>
      <c r="D1406" s="8" t="s">
        <v>104</v>
      </c>
      <c r="E1406" s="8">
        <v>123001816</v>
      </c>
      <c r="F1406" s="8">
        <v>123001816</v>
      </c>
      <c r="G1406" s="8" t="s">
        <v>46</v>
      </c>
      <c r="H1406" s="8" t="s">
        <v>41</v>
      </c>
      <c r="I1406" s="8" t="s">
        <v>23</v>
      </c>
      <c r="J1406" s="8" t="s">
        <v>8332</v>
      </c>
      <c r="K1406" s="8" t="s">
        <v>8334</v>
      </c>
      <c r="L1406" s="8" t="s">
        <v>19</v>
      </c>
      <c r="M1406" s="8">
        <v>720</v>
      </c>
      <c r="N1406" s="8" t="s">
        <v>2483</v>
      </c>
      <c r="O1406" s="8">
        <v>187</v>
      </c>
      <c r="P1406" s="8" t="s">
        <v>8333</v>
      </c>
      <c r="Q1406" s="8" t="s">
        <v>4262</v>
      </c>
      <c r="R1406" s="8">
        <v>0.14899999999999999</v>
      </c>
      <c r="S1406" s="8">
        <v>123001816</v>
      </c>
      <c r="T1406" s="8" t="s">
        <v>46</v>
      </c>
      <c r="U1406" s="8" t="s">
        <v>41</v>
      </c>
    </row>
    <row r="1407" spans="1:21">
      <c r="A1407" s="8" t="s">
        <v>8318</v>
      </c>
      <c r="B1407" s="8" t="s">
        <v>2020</v>
      </c>
      <c r="C1407" s="8">
        <v>440279</v>
      </c>
      <c r="D1407" s="8" t="s">
        <v>120</v>
      </c>
      <c r="E1407" s="8">
        <v>54305211</v>
      </c>
      <c r="F1407" s="8">
        <v>54305211</v>
      </c>
      <c r="G1407" s="8" t="s">
        <v>24</v>
      </c>
      <c r="H1407" s="8" t="s">
        <v>46</v>
      </c>
      <c r="I1407" s="8" t="s">
        <v>23</v>
      </c>
      <c r="J1407" s="8" t="s">
        <v>3254</v>
      </c>
      <c r="K1407" s="8" t="s">
        <v>6189</v>
      </c>
      <c r="L1407" s="8" t="s">
        <v>19</v>
      </c>
      <c r="M1407" s="8">
        <v>111</v>
      </c>
      <c r="N1407" s="8" t="s">
        <v>969</v>
      </c>
      <c r="O1407" s="8">
        <v>37</v>
      </c>
      <c r="P1407" s="8" t="s">
        <v>8335</v>
      </c>
      <c r="Q1407" s="8" t="s">
        <v>4262</v>
      </c>
      <c r="R1407" s="8">
        <v>8.8999999999999996E-2</v>
      </c>
      <c r="S1407" s="8">
        <v>54305211</v>
      </c>
      <c r="T1407" s="8" t="s">
        <v>24</v>
      </c>
      <c r="U1407" s="8" t="s">
        <v>46</v>
      </c>
    </row>
    <row r="1408" spans="1:21">
      <c r="A1408" s="8" t="s">
        <v>8318</v>
      </c>
      <c r="B1408" s="8" t="s">
        <v>3964</v>
      </c>
      <c r="C1408" s="8">
        <v>10178</v>
      </c>
      <c r="D1408" s="8" t="s">
        <v>418</v>
      </c>
      <c r="E1408" s="8">
        <v>123518044</v>
      </c>
      <c r="F1408" s="8">
        <v>123518044</v>
      </c>
      <c r="G1408" s="8" t="s">
        <v>41</v>
      </c>
      <c r="H1408" s="8" t="s">
        <v>46</v>
      </c>
      <c r="I1408" s="8" t="s">
        <v>23</v>
      </c>
      <c r="J1408" s="8" t="s">
        <v>6789</v>
      </c>
      <c r="K1408" s="8" t="s">
        <v>6791</v>
      </c>
      <c r="L1408" s="8" t="s">
        <v>19</v>
      </c>
      <c r="M1408" s="8">
        <v>6801</v>
      </c>
      <c r="N1408" s="8" t="s">
        <v>955</v>
      </c>
      <c r="O1408" s="8">
        <v>2246</v>
      </c>
      <c r="P1408" s="8" t="s">
        <v>8336</v>
      </c>
      <c r="Q1408" s="8" t="s">
        <v>4262</v>
      </c>
      <c r="R1408" s="8">
        <v>0.14299999999999999</v>
      </c>
      <c r="S1408" s="8">
        <v>123518044</v>
      </c>
      <c r="T1408" s="8" t="s">
        <v>41</v>
      </c>
      <c r="U1408" s="8" t="s">
        <v>46</v>
      </c>
    </row>
    <row r="1409" spans="1:21">
      <c r="A1409" s="8" t="s">
        <v>8340</v>
      </c>
      <c r="B1409" s="8" t="s">
        <v>1935</v>
      </c>
      <c r="C1409" s="8">
        <v>54206</v>
      </c>
      <c r="D1409" s="8" t="s">
        <v>22</v>
      </c>
      <c r="E1409" s="8">
        <v>8073481</v>
      </c>
      <c r="F1409" s="8">
        <v>8073481</v>
      </c>
      <c r="G1409" s="8" t="s">
        <v>41</v>
      </c>
      <c r="H1409" s="8" t="s">
        <v>46</v>
      </c>
      <c r="I1409" s="8" t="s">
        <v>23</v>
      </c>
      <c r="J1409" s="8" t="s">
        <v>8337</v>
      </c>
      <c r="K1409" s="8" t="s">
        <v>8339</v>
      </c>
      <c r="L1409" s="8" t="s">
        <v>19</v>
      </c>
      <c r="M1409" s="8">
        <v>1427</v>
      </c>
      <c r="N1409" s="8" t="s">
        <v>681</v>
      </c>
      <c r="O1409" s="8">
        <v>393</v>
      </c>
      <c r="P1409" s="8" t="s">
        <v>8338</v>
      </c>
      <c r="Q1409" s="8" t="s">
        <v>4262</v>
      </c>
      <c r="R1409" s="8">
        <v>0.23499999999999999</v>
      </c>
      <c r="S1409" s="8">
        <v>8073481</v>
      </c>
      <c r="T1409" s="8" t="s">
        <v>41</v>
      </c>
      <c r="U1409" s="8" t="s">
        <v>46</v>
      </c>
    </row>
    <row r="1410" spans="1:21">
      <c r="A1410" s="8" t="s">
        <v>8340</v>
      </c>
      <c r="B1410" s="8" t="s">
        <v>8341</v>
      </c>
      <c r="C1410" s="8">
        <v>84230</v>
      </c>
      <c r="D1410" s="8" t="s">
        <v>22</v>
      </c>
      <c r="E1410" s="8">
        <v>90178725</v>
      </c>
      <c r="F1410" s="8">
        <v>90178725</v>
      </c>
      <c r="G1410" s="8" t="s">
        <v>41</v>
      </c>
      <c r="H1410" s="8" t="s">
        <v>46</v>
      </c>
      <c r="I1410" s="8" t="s">
        <v>23</v>
      </c>
      <c r="J1410" s="8" t="s">
        <v>8342</v>
      </c>
      <c r="K1410" s="8" t="s">
        <v>8344</v>
      </c>
      <c r="L1410" s="8" t="s">
        <v>19</v>
      </c>
      <c r="M1410" s="8">
        <v>838</v>
      </c>
      <c r="N1410" s="8" t="s">
        <v>1594</v>
      </c>
      <c r="O1410" s="8">
        <v>199</v>
      </c>
      <c r="P1410" s="8" t="s">
        <v>8343</v>
      </c>
      <c r="Q1410" s="8" t="s">
        <v>4262</v>
      </c>
      <c r="R1410" s="8">
        <v>0.374</v>
      </c>
      <c r="S1410" s="8">
        <v>90178725</v>
      </c>
      <c r="T1410" s="8" t="s">
        <v>41</v>
      </c>
      <c r="U1410" s="8" t="s">
        <v>46</v>
      </c>
    </row>
    <row r="1411" spans="1:21">
      <c r="A1411" s="8" t="s">
        <v>8340</v>
      </c>
      <c r="B1411" s="8" t="s">
        <v>1807</v>
      </c>
      <c r="C1411" s="8">
        <v>200523</v>
      </c>
      <c r="D1411" s="8" t="s">
        <v>172</v>
      </c>
      <c r="E1411" s="8">
        <v>88828888</v>
      </c>
      <c r="F1411" s="8">
        <v>88828888</v>
      </c>
      <c r="G1411" s="8" t="s">
        <v>24</v>
      </c>
      <c r="H1411" s="8" t="s">
        <v>25</v>
      </c>
      <c r="I1411" s="8" t="s">
        <v>23</v>
      </c>
      <c r="J1411" s="8" t="s">
        <v>7960</v>
      </c>
      <c r="K1411" s="8" t="s">
        <v>7962</v>
      </c>
      <c r="L1411" s="8" t="s">
        <v>19</v>
      </c>
      <c r="M1411" s="8">
        <v>581</v>
      </c>
      <c r="N1411" s="8" t="s">
        <v>155</v>
      </c>
      <c r="O1411" s="8">
        <v>147</v>
      </c>
      <c r="P1411" s="8" t="s">
        <v>8345</v>
      </c>
      <c r="Q1411" s="8" t="s">
        <v>4262</v>
      </c>
      <c r="R1411" s="8">
        <v>6.2E-2</v>
      </c>
      <c r="S1411" s="8">
        <v>88828888</v>
      </c>
      <c r="T1411" s="8" t="s">
        <v>24</v>
      </c>
      <c r="U1411" s="8" t="s">
        <v>25</v>
      </c>
    </row>
    <row r="1412" spans="1:21">
      <c r="A1412" s="8" t="s">
        <v>8340</v>
      </c>
      <c r="B1412" s="8" t="s">
        <v>3553</v>
      </c>
      <c r="C1412" s="8">
        <v>56171</v>
      </c>
      <c r="D1412" s="8" t="s">
        <v>172</v>
      </c>
      <c r="E1412" s="8">
        <v>196726479</v>
      </c>
      <c r="F1412" s="8">
        <v>196726479</v>
      </c>
      <c r="G1412" s="8" t="s">
        <v>41</v>
      </c>
      <c r="H1412" s="8" t="s">
        <v>25</v>
      </c>
      <c r="I1412" s="8" t="s">
        <v>23</v>
      </c>
      <c r="J1412" s="8" t="s">
        <v>3554</v>
      </c>
      <c r="K1412" s="8" t="s">
        <v>6376</v>
      </c>
      <c r="L1412" s="8" t="s">
        <v>19</v>
      </c>
      <c r="M1412" s="8">
        <v>7799</v>
      </c>
      <c r="N1412" s="8" t="s">
        <v>3664</v>
      </c>
      <c r="O1412" s="8">
        <v>2566</v>
      </c>
      <c r="P1412" s="8" t="s">
        <v>8346</v>
      </c>
      <c r="Q1412" s="8" t="s">
        <v>4262</v>
      </c>
      <c r="R1412" s="8">
        <v>0.36499999999999999</v>
      </c>
      <c r="S1412" s="8">
        <v>196726479</v>
      </c>
      <c r="T1412" s="8" t="s">
        <v>41</v>
      </c>
      <c r="U1412" s="8" t="s">
        <v>25</v>
      </c>
    </row>
    <row r="1413" spans="1:21">
      <c r="A1413" s="8" t="s">
        <v>8340</v>
      </c>
      <c r="B1413" s="8" t="s">
        <v>8347</v>
      </c>
      <c r="C1413" s="8">
        <v>116931</v>
      </c>
      <c r="D1413" s="8" t="s">
        <v>201</v>
      </c>
      <c r="E1413" s="8">
        <v>151093857</v>
      </c>
      <c r="F1413" s="8">
        <v>151093857</v>
      </c>
      <c r="G1413" s="8" t="s">
        <v>24</v>
      </c>
      <c r="H1413" s="8" t="s">
        <v>41</v>
      </c>
      <c r="I1413" s="8" t="s">
        <v>23</v>
      </c>
      <c r="J1413" s="8" t="s">
        <v>8348</v>
      </c>
      <c r="K1413" s="8" t="s">
        <v>8350</v>
      </c>
      <c r="L1413" s="8" t="s">
        <v>19</v>
      </c>
      <c r="M1413" s="8">
        <v>3841</v>
      </c>
      <c r="N1413" s="8" t="s">
        <v>1126</v>
      </c>
      <c r="O1413" s="8">
        <v>1268</v>
      </c>
      <c r="P1413" s="8" t="s">
        <v>8349</v>
      </c>
      <c r="Q1413" s="8" t="s">
        <v>4262</v>
      </c>
      <c r="R1413" s="8">
        <v>0.35899999999999999</v>
      </c>
      <c r="S1413" s="8">
        <v>151093857</v>
      </c>
      <c r="T1413" s="8" t="s">
        <v>24</v>
      </c>
      <c r="U1413" s="8" t="s">
        <v>41</v>
      </c>
    </row>
    <row r="1414" spans="1:21">
      <c r="A1414" s="8" t="s">
        <v>8340</v>
      </c>
      <c r="B1414" s="8" t="s">
        <v>934</v>
      </c>
      <c r="C1414" s="8">
        <v>1499</v>
      </c>
      <c r="D1414" s="8" t="s">
        <v>201</v>
      </c>
      <c r="E1414" s="8">
        <v>41266101</v>
      </c>
      <c r="F1414" s="8">
        <v>41266101</v>
      </c>
      <c r="G1414" s="8" t="s">
        <v>46</v>
      </c>
      <c r="H1414" s="8" t="s">
        <v>24</v>
      </c>
      <c r="I1414" s="8" t="s">
        <v>23</v>
      </c>
      <c r="J1414" s="8" t="s">
        <v>4607</v>
      </c>
      <c r="K1414" s="8" t="s">
        <v>4610</v>
      </c>
      <c r="L1414" s="8" t="s">
        <v>19</v>
      </c>
      <c r="M1414" s="8">
        <v>366</v>
      </c>
      <c r="N1414" s="8" t="s">
        <v>435</v>
      </c>
      <c r="O1414" s="8">
        <v>33</v>
      </c>
      <c r="P1414" s="8" t="s">
        <v>8351</v>
      </c>
      <c r="Q1414" s="8" t="s">
        <v>8352</v>
      </c>
      <c r="R1414" s="8">
        <v>0.373</v>
      </c>
      <c r="S1414" s="8">
        <v>41266101</v>
      </c>
      <c r="T1414" s="8" t="s">
        <v>46</v>
      </c>
      <c r="U1414" s="8" t="s">
        <v>24</v>
      </c>
    </row>
    <row r="1415" spans="1:21">
      <c r="A1415" s="8" t="s">
        <v>8340</v>
      </c>
      <c r="B1415" s="8" t="s">
        <v>8353</v>
      </c>
      <c r="C1415" s="8">
        <v>7433</v>
      </c>
      <c r="D1415" s="8" t="s">
        <v>201</v>
      </c>
      <c r="E1415" s="8">
        <v>42573757</v>
      </c>
      <c r="F1415" s="8">
        <v>42573757</v>
      </c>
      <c r="G1415" s="8" t="s">
        <v>46</v>
      </c>
      <c r="H1415" s="8" t="s">
        <v>25</v>
      </c>
      <c r="I1415" s="8" t="s">
        <v>23</v>
      </c>
      <c r="J1415" s="8" t="s">
        <v>8354</v>
      </c>
      <c r="K1415" s="8" t="s">
        <v>8356</v>
      </c>
      <c r="L1415" s="8" t="s">
        <v>76</v>
      </c>
      <c r="M1415" s="8">
        <v>1066</v>
      </c>
      <c r="N1415" s="8" t="s">
        <v>209</v>
      </c>
      <c r="O1415" s="8">
        <v>314</v>
      </c>
      <c r="P1415" s="8" t="s">
        <v>8355</v>
      </c>
      <c r="Q1415" s="8" t="s">
        <v>4262</v>
      </c>
      <c r="R1415" s="8">
        <v>0.35399999999999998</v>
      </c>
      <c r="S1415" s="8">
        <v>42573757</v>
      </c>
      <c r="T1415" s="8" t="s">
        <v>46</v>
      </c>
      <c r="U1415" s="8" t="s">
        <v>25</v>
      </c>
    </row>
    <row r="1416" spans="1:21">
      <c r="A1416" s="8" t="s">
        <v>8340</v>
      </c>
      <c r="B1416" s="8" t="s">
        <v>2958</v>
      </c>
      <c r="C1416" s="8">
        <v>7222</v>
      </c>
      <c r="D1416" s="8" t="s">
        <v>220</v>
      </c>
      <c r="E1416" s="8">
        <v>122803566</v>
      </c>
      <c r="F1416" s="8">
        <v>122803566</v>
      </c>
      <c r="G1416" s="8" t="s">
        <v>41</v>
      </c>
      <c r="H1416" s="8" t="s">
        <v>46</v>
      </c>
      <c r="I1416" s="8" t="s">
        <v>23</v>
      </c>
      <c r="J1416" s="8" t="s">
        <v>8357</v>
      </c>
      <c r="K1416" s="8" t="s">
        <v>8359</v>
      </c>
      <c r="L1416" s="8" t="s">
        <v>19</v>
      </c>
      <c r="M1416" s="8">
        <v>2640</v>
      </c>
      <c r="N1416" s="8" t="s">
        <v>99</v>
      </c>
      <c r="O1416" s="8">
        <v>856</v>
      </c>
      <c r="P1416" s="8" t="s">
        <v>8358</v>
      </c>
      <c r="Q1416" s="8" t="s">
        <v>4262</v>
      </c>
      <c r="R1416" s="8">
        <v>0.49099999999999999</v>
      </c>
      <c r="S1416" s="8">
        <v>122803566</v>
      </c>
      <c r="T1416" s="8" t="s">
        <v>41</v>
      </c>
      <c r="U1416" s="8" t="s">
        <v>46</v>
      </c>
    </row>
    <row r="1417" spans="1:21">
      <c r="A1417" s="8" t="s">
        <v>8340</v>
      </c>
      <c r="B1417" s="8" t="s">
        <v>8360</v>
      </c>
      <c r="C1417" s="8">
        <v>3660</v>
      </c>
      <c r="D1417" s="8" t="s">
        <v>220</v>
      </c>
      <c r="E1417" s="8">
        <v>185310078</v>
      </c>
      <c r="F1417" s="8">
        <v>185310078</v>
      </c>
      <c r="G1417" s="8" t="s">
        <v>41</v>
      </c>
      <c r="H1417" s="8" t="s">
        <v>24</v>
      </c>
      <c r="I1417" s="8" t="s">
        <v>23</v>
      </c>
      <c r="J1417" s="8" t="s">
        <v>8361</v>
      </c>
      <c r="K1417" s="8" t="s">
        <v>8363</v>
      </c>
      <c r="L1417" s="8" t="s">
        <v>19</v>
      </c>
      <c r="M1417" s="8">
        <v>1084</v>
      </c>
      <c r="N1417" s="8" t="s">
        <v>4625</v>
      </c>
      <c r="O1417" s="8">
        <v>295</v>
      </c>
      <c r="P1417" s="8" t="s">
        <v>8362</v>
      </c>
      <c r="Q1417" s="8" t="s">
        <v>4262</v>
      </c>
      <c r="R1417" s="8">
        <v>9.2999999999999999E-2</v>
      </c>
      <c r="S1417" s="8">
        <v>185310078</v>
      </c>
      <c r="T1417" s="8" t="s">
        <v>41</v>
      </c>
      <c r="U1417" s="8" t="s">
        <v>24</v>
      </c>
    </row>
    <row r="1418" spans="1:21">
      <c r="A1418" s="8" t="s">
        <v>8340</v>
      </c>
      <c r="B1418" s="8" t="s">
        <v>8364</v>
      </c>
      <c r="C1418" s="8">
        <v>79772</v>
      </c>
      <c r="D1418" s="8" t="s">
        <v>226</v>
      </c>
      <c r="E1418" s="8">
        <v>94206675</v>
      </c>
      <c r="F1418" s="8">
        <v>94206675</v>
      </c>
      <c r="G1418" s="8" t="s">
        <v>24</v>
      </c>
      <c r="H1418" s="8" t="s">
        <v>25</v>
      </c>
      <c r="I1418" s="8" t="s">
        <v>23</v>
      </c>
      <c r="J1418" s="8" t="s">
        <v>8365</v>
      </c>
      <c r="K1418" s="8" t="s">
        <v>8367</v>
      </c>
      <c r="L1418" s="8" t="s">
        <v>76</v>
      </c>
      <c r="M1418" s="8">
        <v>2143</v>
      </c>
      <c r="N1418" s="8" t="s">
        <v>2720</v>
      </c>
      <c r="O1418" s="8">
        <v>715</v>
      </c>
      <c r="P1418" s="8" t="s">
        <v>8366</v>
      </c>
      <c r="Q1418" s="8" t="s">
        <v>4262</v>
      </c>
      <c r="R1418" s="8">
        <v>8.8999999999999996E-2</v>
      </c>
      <c r="S1418" s="8">
        <v>94206675</v>
      </c>
      <c r="T1418" s="8" t="s">
        <v>24</v>
      </c>
      <c r="U1418" s="8" t="s">
        <v>25</v>
      </c>
    </row>
    <row r="1419" spans="1:21">
      <c r="A1419" s="8" t="s">
        <v>8340</v>
      </c>
      <c r="B1419" s="8" t="s">
        <v>2959</v>
      </c>
      <c r="C1419" s="8">
        <v>56110</v>
      </c>
      <c r="D1419" s="8" t="s">
        <v>226</v>
      </c>
      <c r="E1419" s="8">
        <v>140744924</v>
      </c>
      <c r="F1419" s="8">
        <v>140744924</v>
      </c>
      <c r="G1419" s="8" t="s">
        <v>25</v>
      </c>
      <c r="H1419" s="8" t="s">
        <v>24</v>
      </c>
      <c r="I1419" s="8" t="s">
        <v>23</v>
      </c>
      <c r="J1419" s="8" t="s">
        <v>8368</v>
      </c>
      <c r="K1419" s="8" t="s">
        <v>8370</v>
      </c>
      <c r="L1419" s="8" t="s">
        <v>19</v>
      </c>
      <c r="M1419" s="8">
        <v>1027</v>
      </c>
      <c r="N1419" s="8" t="s">
        <v>544</v>
      </c>
      <c r="O1419" s="8">
        <v>343</v>
      </c>
      <c r="P1419" s="8" t="s">
        <v>8369</v>
      </c>
      <c r="Q1419" s="8" t="s">
        <v>4262</v>
      </c>
      <c r="R1419" s="8">
        <v>0.35799999999999998</v>
      </c>
      <c r="S1419" s="8">
        <v>140744924</v>
      </c>
      <c r="T1419" s="8" t="s">
        <v>25</v>
      </c>
      <c r="U1419" s="8" t="s">
        <v>24</v>
      </c>
    </row>
    <row r="1420" spans="1:21">
      <c r="A1420" s="8" t="s">
        <v>8340</v>
      </c>
      <c r="B1420" s="8" t="s">
        <v>2960</v>
      </c>
      <c r="C1420" s="8">
        <v>3161</v>
      </c>
      <c r="D1420" s="8" t="s">
        <v>226</v>
      </c>
      <c r="E1420" s="8">
        <v>162900446</v>
      </c>
      <c r="F1420" s="8">
        <v>162900446</v>
      </c>
      <c r="G1420" s="8" t="s">
        <v>25</v>
      </c>
      <c r="H1420" s="8" t="s">
        <v>41</v>
      </c>
      <c r="I1420" s="8" t="s">
        <v>23</v>
      </c>
      <c r="J1420" s="8" t="s">
        <v>8371</v>
      </c>
      <c r="K1420" s="8" t="s">
        <v>8373</v>
      </c>
      <c r="L1420" s="8" t="s">
        <v>76</v>
      </c>
      <c r="M1420" s="8">
        <v>969</v>
      </c>
      <c r="N1420" s="8" t="s">
        <v>2961</v>
      </c>
      <c r="O1420" s="8">
        <v>263</v>
      </c>
      <c r="P1420" s="8" t="s">
        <v>8372</v>
      </c>
      <c r="Q1420" s="8" t="s">
        <v>4262</v>
      </c>
      <c r="R1420" s="8">
        <v>0.42099999999999999</v>
      </c>
      <c r="S1420" s="8">
        <v>162900446</v>
      </c>
      <c r="T1420" s="8" t="s">
        <v>25</v>
      </c>
      <c r="U1420" s="8" t="s">
        <v>41</v>
      </c>
    </row>
    <row r="1421" spans="1:21">
      <c r="A1421" s="8" t="s">
        <v>8340</v>
      </c>
      <c r="B1421" s="8" t="s">
        <v>2748</v>
      </c>
      <c r="C1421" s="8">
        <v>5269</v>
      </c>
      <c r="D1421" s="8" t="s">
        <v>237</v>
      </c>
      <c r="E1421" s="8">
        <v>2955756</v>
      </c>
      <c r="F1421" s="8">
        <v>2955756</v>
      </c>
      <c r="G1421" s="8" t="s">
        <v>25</v>
      </c>
      <c r="H1421" s="8" t="s">
        <v>46</v>
      </c>
      <c r="I1421" s="8" t="s">
        <v>23</v>
      </c>
      <c r="J1421" s="8" t="s">
        <v>8374</v>
      </c>
      <c r="K1421" s="8" t="s">
        <v>8375</v>
      </c>
      <c r="L1421" s="8" t="s">
        <v>68</v>
      </c>
      <c r="M1421" s="8">
        <v>0</v>
      </c>
      <c r="N1421" s="8" t="s">
        <v>35</v>
      </c>
      <c r="O1421" s="8">
        <v>0</v>
      </c>
      <c r="P1421" s="8" t="s">
        <v>35</v>
      </c>
      <c r="Q1421" s="8" t="s">
        <v>4262</v>
      </c>
      <c r="R1421" s="8">
        <v>0.41899999999999998</v>
      </c>
      <c r="S1421" s="8">
        <v>2955756</v>
      </c>
      <c r="T1421" s="8" t="s">
        <v>25</v>
      </c>
      <c r="U1421" s="8" t="s">
        <v>46</v>
      </c>
    </row>
    <row r="1422" spans="1:21">
      <c r="A1422" s="8" t="s">
        <v>8340</v>
      </c>
      <c r="B1422" s="8" t="s">
        <v>8376</v>
      </c>
      <c r="C1422" s="8">
        <v>1589</v>
      </c>
      <c r="D1422" s="8" t="s">
        <v>237</v>
      </c>
      <c r="E1422" s="8">
        <v>32007952</v>
      </c>
      <c r="F1422" s="8">
        <v>32007952</v>
      </c>
      <c r="G1422" s="8" t="s">
        <v>24</v>
      </c>
      <c r="H1422" s="8" t="s">
        <v>46</v>
      </c>
      <c r="I1422" s="8" t="s">
        <v>23</v>
      </c>
      <c r="J1422" s="8" t="s">
        <v>8377</v>
      </c>
      <c r="K1422" s="8" t="s">
        <v>8380</v>
      </c>
      <c r="L1422" s="8" t="s">
        <v>19</v>
      </c>
      <c r="M1422" s="8">
        <v>1016</v>
      </c>
      <c r="N1422" s="8" t="s">
        <v>192</v>
      </c>
      <c r="O1422" s="8">
        <v>303</v>
      </c>
      <c r="P1422" s="8" t="s">
        <v>8378</v>
      </c>
      <c r="Q1422" s="8" t="s">
        <v>8379</v>
      </c>
      <c r="R1422" s="8">
        <v>0.2</v>
      </c>
      <c r="S1422" s="8">
        <v>32007952</v>
      </c>
      <c r="T1422" s="8" t="s">
        <v>24</v>
      </c>
      <c r="U1422" s="8" t="s">
        <v>46</v>
      </c>
    </row>
    <row r="1423" spans="1:21">
      <c r="A1423" s="8" t="s">
        <v>8340</v>
      </c>
      <c r="B1423" s="8" t="s">
        <v>8381</v>
      </c>
      <c r="C1423" s="8">
        <v>221409</v>
      </c>
      <c r="D1423" s="8" t="s">
        <v>237</v>
      </c>
      <c r="E1423" s="8">
        <v>44344171</v>
      </c>
      <c r="F1423" s="8">
        <v>44344171</v>
      </c>
      <c r="G1423" s="8" t="s">
        <v>46</v>
      </c>
      <c r="H1423" s="8" t="s">
        <v>25</v>
      </c>
      <c r="I1423" s="8" t="s">
        <v>23</v>
      </c>
      <c r="J1423" s="8" t="s">
        <v>8382</v>
      </c>
      <c r="K1423" s="8" t="s">
        <v>8384</v>
      </c>
      <c r="L1423" s="8" t="s">
        <v>19</v>
      </c>
      <c r="M1423" s="8">
        <v>936</v>
      </c>
      <c r="N1423" s="8" t="s">
        <v>54</v>
      </c>
      <c r="O1423" s="8">
        <v>279</v>
      </c>
      <c r="P1423" s="8" t="s">
        <v>8383</v>
      </c>
      <c r="Q1423" s="8" t="s">
        <v>4262</v>
      </c>
      <c r="R1423" s="8">
        <v>0.30599999999999999</v>
      </c>
      <c r="S1423" s="8">
        <v>44344171</v>
      </c>
      <c r="T1423" s="8" t="s">
        <v>46</v>
      </c>
      <c r="U1423" s="8" t="s">
        <v>25</v>
      </c>
    </row>
    <row r="1424" spans="1:21">
      <c r="A1424" s="8" t="s">
        <v>8340</v>
      </c>
      <c r="B1424" s="8" t="s">
        <v>8385</v>
      </c>
      <c r="C1424" s="8">
        <v>10071</v>
      </c>
      <c r="D1424" s="8" t="s">
        <v>257</v>
      </c>
      <c r="E1424" s="8">
        <v>100645755</v>
      </c>
      <c r="F1424" s="8">
        <v>100645755</v>
      </c>
      <c r="G1424" s="8" t="s">
        <v>46</v>
      </c>
      <c r="H1424" s="8" t="s">
        <v>41</v>
      </c>
      <c r="I1424" s="8" t="s">
        <v>23</v>
      </c>
      <c r="J1424" s="8" t="s">
        <v>8386</v>
      </c>
      <c r="K1424" s="8" t="s">
        <v>8388</v>
      </c>
      <c r="L1424" s="8" t="s">
        <v>76</v>
      </c>
      <c r="M1424" s="8">
        <v>11911</v>
      </c>
      <c r="N1424" s="8" t="s">
        <v>2720</v>
      </c>
      <c r="O1424" s="8">
        <v>3971</v>
      </c>
      <c r="P1424" s="8" t="s">
        <v>8387</v>
      </c>
      <c r="Q1424" s="8" t="s">
        <v>4262</v>
      </c>
      <c r="R1424" s="8">
        <v>9.4E-2</v>
      </c>
      <c r="S1424" s="8">
        <v>100645755</v>
      </c>
      <c r="T1424" s="8" t="s">
        <v>46</v>
      </c>
      <c r="U1424" s="8" t="s">
        <v>41</v>
      </c>
    </row>
    <row r="1425" spans="1:21">
      <c r="A1425" s="8" t="s">
        <v>8340</v>
      </c>
      <c r="B1425" s="8" t="s">
        <v>2962</v>
      </c>
      <c r="C1425" s="8">
        <v>1687</v>
      </c>
      <c r="D1425" s="8" t="s">
        <v>257</v>
      </c>
      <c r="E1425" s="8">
        <v>24745880</v>
      </c>
      <c r="F1425" s="8">
        <v>24745880</v>
      </c>
      <c r="G1425" s="8" t="s">
        <v>46</v>
      </c>
      <c r="H1425" s="8" t="s">
        <v>41</v>
      </c>
      <c r="I1425" s="8" t="s">
        <v>23</v>
      </c>
      <c r="J1425" s="8" t="s">
        <v>8389</v>
      </c>
      <c r="K1425" s="8" t="s">
        <v>8391</v>
      </c>
      <c r="L1425" s="8" t="s">
        <v>19</v>
      </c>
      <c r="M1425" s="8">
        <v>1194</v>
      </c>
      <c r="N1425" s="8" t="s">
        <v>796</v>
      </c>
      <c r="O1425" s="8">
        <v>369</v>
      </c>
      <c r="P1425" s="8" t="s">
        <v>8390</v>
      </c>
      <c r="Q1425" s="8" t="s">
        <v>4262</v>
      </c>
      <c r="R1425" s="8">
        <v>0.41699999999999998</v>
      </c>
      <c r="S1425" s="8">
        <v>24745880</v>
      </c>
      <c r="T1425" s="8" t="s">
        <v>46</v>
      </c>
      <c r="U1425" s="8" t="s">
        <v>41</v>
      </c>
    </row>
    <row r="1426" spans="1:21">
      <c r="A1426" s="8" t="s">
        <v>8340</v>
      </c>
      <c r="B1426" s="8" t="s">
        <v>1403</v>
      </c>
      <c r="C1426" s="8">
        <v>55074</v>
      </c>
      <c r="D1426" s="8" t="s">
        <v>279</v>
      </c>
      <c r="E1426" s="8">
        <v>107719257</v>
      </c>
      <c r="F1426" s="8">
        <v>107719257</v>
      </c>
      <c r="G1426" s="8" t="s">
        <v>24</v>
      </c>
      <c r="H1426" s="8" t="s">
        <v>41</v>
      </c>
      <c r="I1426" s="8" t="s">
        <v>23</v>
      </c>
      <c r="J1426" s="8" t="s">
        <v>8392</v>
      </c>
      <c r="K1426" s="8" t="s">
        <v>8394</v>
      </c>
      <c r="L1426" s="8" t="s">
        <v>19</v>
      </c>
      <c r="M1426" s="8">
        <v>1610</v>
      </c>
      <c r="N1426" s="8" t="s">
        <v>1288</v>
      </c>
      <c r="O1426" s="8">
        <v>504</v>
      </c>
      <c r="P1426" s="8" t="s">
        <v>8393</v>
      </c>
      <c r="Q1426" s="8" t="s">
        <v>4262</v>
      </c>
      <c r="R1426" s="8">
        <v>0.39800000000000002</v>
      </c>
      <c r="S1426" s="8">
        <v>107719257</v>
      </c>
      <c r="T1426" s="8" t="s">
        <v>24</v>
      </c>
      <c r="U1426" s="8" t="s">
        <v>41</v>
      </c>
    </row>
    <row r="1427" spans="1:21">
      <c r="A1427" s="8" t="s">
        <v>8340</v>
      </c>
      <c r="B1427" s="8" t="s">
        <v>1889</v>
      </c>
      <c r="C1427" s="8">
        <v>63982</v>
      </c>
      <c r="D1427" s="8" t="s">
        <v>83</v>
      </c>
      <c r="E1427" s="8">
        <v>26559000</v>
      </c>
      <c r="F1427" s="8">
        <v>26559000</v>
      </c>
      <c r="G1427" s="8" t="s">
        <v>46</v>
      </c>
      <c r="H1427" s="8" t="s">
        <v>41</v>
      </c>
      <c r="I1427" s="8" t="s">
        <v>23</v>
      </c>
      <c r="J1427" s="8" t="s">
        <v>6727</v>
      </c>
      <c r="K1427" s="8" t="s">
        <v>6728</v>
      </c>
      <c r="L1427" s="8" t="s">
        <v>19</v>
      </c>
      <c r="M1427" s="8">
        <v>1169</v>
      </c>
      <c r="N1427" s="8" t="s">
        <v>423</v>
      </c>
      <c r="O1427" s="8">
        <v>342</v>
      </c>
      <c r="P1427" s="8" t="s">
        <v>8395</v>
      </c>
      <c r="Q1427" s="8" t="s">
        <v>4262</v>
      </c>
      <c r="R1427" s="8">
        <v>0.36499999999999999</v>
      </c>
      <c r="S1427" s="8">
        <v>26559000</v>
      </c>
      <c r="T1427" s="8" t="s">
        <v>46</v>
      </c>
      <c r="U1427" s="8" t="s">
        <v>41</v>
      </c>
    </row>
    <row r="1428" spans="1:21">
      <c r="A1428" s="8" t="s">
        <v>8340</v>
      </c>
      <c r="B1428" s="8" t="s">
        <v>8396</v>
      </c>
      <c r="C1428" s="8">
        <v>25840</v>
      </c>
      <c r="D1428" s="8" t="s">
        <v>104</v>
      </c>
      <c r="E1428" s="8">
        <v>51323893</v>
      </c>
      <c r="F1428" s="8">
        <v>51323893</v>
      </c>
      <c r="G1428" s="8" t="s">
        <v>25</v>
      </c>
      <c r="H1428" s="8" t="s">
        <v>24</v>
      </c>
      <c r="I1428" s="8" t="s">
        <v>23</v>
      </c>
      <c r="J1428" s="8" t="s">
        <v>8397</v>
      </c>
      <c r="K1428" s="8" t="s">
        <v>8399</v>
      </c>
      <c r="L1428" s="8" t="s">
        <v>19</v>
      </c>
      <c r="M1428" s="8">
        <v>983</v>
      </c>
      <c r="N1428" s="8" t="s">
        <v>574</v>
      </c>
      <c r="O1428" s="8">
        <v>232</v>
      </c>
      <c r="P1428" s="8" t="s">
        <v>8398</v>
      </c>
      <c r="Q1428" s="8" t="s">
        <v>4262</v>
      </c>
      <c r="R1428" s="8">
        <v>0.39200000000000002</v>
      </c>
      <c r="S1428" s="8">
        <v>51323893</v>
      </c>
      <c r="T1428" s="8" t="s">
        <v>25</v>
      </c>
      <c r="U1428" s="8" t="s">
        <v>24</v>
      </c>
    </row>
    <row r="1429" spans="1:21">
      <c r="A1429" s="8" t="s">
        <v>8340</v>
      </c>
      <c r="B1429" s="8" t="s">
        <v>8400</v>
      </c>
      <c r="C1429" s="8">
        <v>4055</v>
      </c>
      <c r="D1429" s="8" t="s">
        <v>104</v>
      </c>
      <c r="E1429" s="8">
        <v>6493829</v>
      </c>
      <c r="F1429" s="8">
        <v>6493829</v>
      </c>
      <c r="G1429" s="8" t="s">
        <v>41</v>
      </c>
      <c r="H1429" s="8" t="s">
        <v>25</v>
      </c>
      <c r="I1429" s="8" t="s">
        <v>23</v>
      </c>
      <c r="J1429" s="8" t="s">
        <v>8401</v>
      </c>
      <c r="K1429" s="8" t="s">
        <v>8403</v>
      </c>
      <c r="L1429" s="8" t="s">
        <v>19</v>
      </c>
      <c r="M1429" s="8">
        <v>340</v>
      </c>
      <c r="N1429" s="8" t="s">
        <v>3260</v>
      </c>
      <c r="O1429" s="8">
        <v>58</v>
      </c>
      <c r="P1429" s="8" t="s">
        <v>8402</v>
      </c>
      <c r="Q1429" s="8" t="s">
        <v>4262</v>
      </c>
      <c r="R1429" s="8">
        <v>0.41899999999999998</v>
      </c>
      <c r="S1429" s="8">
        <v>6493829</v>
      </c>
      <c r="T1429" s="8" t="s">
        <v>41</v>
      </c>
      <c r="U1429" s="8" t="s">
        <v>25</v>
      </c>
    </row>
    <row r="1430" spans="1:21">
      <c r="A1430" s="8" t="s">
        <v>8340</v>
      </c>
      <c r="B1430" s="8" t="s">
        <v>2952</v>
      </c>
      <c r="C1430" s="8">
        <v>144568</v>
      </c>
      <c r="D1430" s="8" t="s">
        <v>104</v>
      </c>
      <c r="E1430" s="8">
        <v>8975846</v>
      </c>
      <c r="F1430" s="8">
        <v>8975846</v>
      </c>
      <c r="G1430" s="8" t="s">
        <v>24</v>
      </c>
      <c r="H1430" s="8" t="s">
        <v>41</v>
      </c>
      <c r="I1430" s="8" t="s">
        <v>23</v>
      </c>
      <c r="J1430" s="8" t="s">
        <v>2953</v>
      </c>
      <c r="K1430" s="8" t="s">
        <v>8405</v>
      </c>
      <c r="L1430" s="8" t="s">
        <v>19</v>
      </c>
      <c r="M1430" s="8">
        <v>229</v>
      </c>
      <c r="N1430" s="8" t="s">
        <v>2954</v>
      </c>
      <c r="O1430" s="8">
        <v>44</v>
      </c>
      <c r="P1430" s="8" t="s">
        <v>8404</v>
      </c>
      <c r="Q1430" s="8" t="s">
        <v>4262</v>
      </c>
      <c r="R1430" s="8">
        <v>0.42199999999999999</v>
      </c>
      <c r="S1430" s="8">
        <v>8975846</v>
      </c>
      <c r="T1430" s="8" t="s">
        <v>24</v>
      </c>
      <c r="U1430" s="8" t="s">
        <v>41</v>
      </c>
    </row>
    <row r="1431" spans="1:21">
      <c r="A1431" s="8" t="s">
        <v>8340</v>
      </c>
      <c r="B1431" s="8" t="s">
        <v>2484</v>
      </c>
      <c r="C1431" s="8">
        <v>6910</v>
      </c>
      <c r="D1431" s="8" t="s">
        <v>104</v>
      </c>
      <c r="E1431" s="8">
        <v>114823309</v>
      </c>
      <c r="F1431" s="8">
        <v>114823309</v>
      </c>
      <c r="G1431" s="8" t="s">
        <v>46</v>
      </c>
      <c r="H1431" s="8" t="s">
        <v>41</v>
      </c>
      <c r="I1431" s="8" t="s">
        <v>23</v>
      </c>
      <c r="J1431" s="8" t="s">
        <v>8406</v>
      </c>
      <c r="K1431" s="8" t="s">
        <v>8409</v>
      </c>
      <c r="L1431" s="8" t="s">
        <v>19</v>
      </c>
      <c r="M1431" s="8">
        <v>1222</v>
      </c>
      <c r="N1431" s="8" t="s">
        <v>166</v>
      </c>
      <c r="O1431" s="8">
        <v>243</v>
      </c>
      <c r="P1431" s="8" t="s">
        <v>8407</v>
      </c>
      <c r="Q1431" s="8" t="s">
        <v>8408</v>
      </c>
      <c r="R1431" s="8">
        <v>0.48299999999999998</v>
      </c>
      <c r="S1431" s="8">
        <v>114823309</v>
      </c>
      <c r="T1431" s="8" t="s">
        <v>46</v>
      </c>
      <c r="U1431" s="8" t="s">
        <v>41</v>
      </c>
    </row>
    <row r="1432" spans="1:21">
      <c r="A1432" s="8" t="s">
        <v>8340</v>
      </c>
      <c r="B1432" s="8" t="s">
        <v>1905</v>
      </c>
      <c r="C1432" s="8">
        <v>114798</v>
      </c>
      <c r="D1432" s="8" t="s">
        <v>339</v>
      </c>
      <c r="E1432" s="8">
        <v>84454064</v>
      </c>
      <c r="F1432" s="8">
        <v>84454064</v>
      </c>
      <c r="G1432" s="8" t="s">
        <v>24</v>
      </c>
      <c r="H1432" s="8" t="s">
        <v>41</v>
      </c>
      <c r="I1432" s="8" t="s">
        <v>23</v>
      </c>
      <c r="J1432" s="8" t="s">
        <v>8410</v>
      </c>
      <c r="K1432" s="8" t="s">
        <v>8412</v>
      </c>
      <c r="L1432" s="8" t="s">
        <v>19</v>
      </c>
      <c r="M1432" s="8">
        <v>2465</v>
      </c>
      <c r="N1432" s="8" t="s">
        <v>2925</v>
      </c>
      <c r="O1432" s="8">
        <v>527</v>
      </c>
      <c r="P1432" s="8" t="s">
        <v>8411</v>
      </c>
      <c r="Q1432" s="8" t="s">
        <v>4262</v>
      </c>
      <c r="R1432" s="8">
        <v>0.32200000000000001</v>
      </c>
      <c r="S1432" s="8">
        <v>84454064</v>
      </c>
      <c r="T1432" s="8" t="s">
        <v>24</v>
      </c>
      <c r="U1432" s="8" t="s">
        <v>41</v>
      </c>
    </row>
    <row r="1433" spans="1:21">
      <c r="A1433" s="8" t="s">
        <v>8340</v>
      </c>
      <c r="B1433" s="8" t="s">
        <v>8413</v>
      </c>
      <c r="C1433" s="8">
        <v>646799</v>
      </c>
      <c r="D1433" s="8" t="s">
        <v>339</v>
      </c>
      <c r="E1433" s="8">
        <v>32885590</v>
      </c>
      <c r="F1433" s="8">
        <v>32885590</v>
      </c>
      <c r="G1433" s="8" t="s">
        <v>24</v>
      </c>
      <c r="H1433" s="8" t="s">
        <v>25</v>
      </c>
      <c r="I1433" s="8" t="s">
        <v>23</v>
      </c>
      <c r="J1433" s="8" t="s">
        <v>8414</v>
      </c>
      <c r="K1433" s="8" t="s">
        <v>8416</v>
      </c>
      <c r="L1433" s="8" t="s">
        <v>19</v>
      </c>
      <c r="M1433" s="8">
        <v>502</v>
      </c>
      <c r="N1433" s="8" t="s">
        <v>365</v>
      </c>
      <c r="O1433" s="8">
        <v>158</v>
      </c>
      <c r="P1433" s="8" t="s">
        <v>8415</v>
      </c>
      <c r="Q1433" s="8" t="s">
        <v>4262</v>
      </c>
      <c r="R1433" s="8">
        <v>0.316</v>
      </c>
      <c r="S1433" s="8">
        <v>32885590</v>
      </c>
      <c r="T1433" s="8" t="s">
        <v>24</v>
      </c>
      <c r="U1433" s="8" t="s">
        <v>25</v>
      </c>
    </row>
    <row r="1434" spans="1:21">
      <c r="A1434" s="8" t="s">
        <v>8340</v>
      </c>
      <c r="B1434" s="8" t="s">
        <v>6989</v>
      </c>
      <c r="C1434" s="8">
        <v>10278</v>
      </c>
      <c r="D1434" s="8" t="s">
        <v>118</v>
      </c>
      <c r="E1434" s="8">
        <v>23828928</v>
      </c>
      <c r="F1434" s="8">
        <v>23828928</v>
      </c>
      <c r="G1434" s="8" t="s">
        <v>24</v>
      </c>
      <c r="H1434" s="8" t="s">
        <v>41</v>
      </c>
      <c r="I1434" s="8" t="s">
        <v>23</v>
      </c>
      <c r="J1434" s="8" t="s">
        <v>6990</v>
      </c>
      <c r="K1434" s="8" t="s">
        <v>6992</v>
      </c>
      <c r="L1434" s="8" t="s">
        <v>76</v>
      </c>
      <c r="M1434" s="8">
        <v>1367</v>
      </c>
      <c r="N1434" s="8" t="s">
        <v>747</v>
      </c>
      <c r="O1434" s="8">
        <v>253</v>
      </c>
      <c r="P1434" s="8" t="s">
        <v>8417</v>
      </c>
      <c r="Q1434" s="8" t="s">
        <v>4262</v>
      </c>
      <c r="R1434" s="8">
        <v>0.24099999999999999</v>
      </c>
      <c r="S1434" s="8">
        <v>23828928</v>
      </c>
      <c r="T1434" s="8" t="s">
        <v>24</v>
      </c>
      <c r="U1434" s="8" t="s">
        <v>41</v>
      </c>
    </row>
    <row r="1435" spans="1:21">
      <c r="A1435" s="8" t="s">
        <v>8340</v>
      </c>
      <c r="B1435" s="8" t="s">
        <v>2955</v>
      </c>
      <c r="C1435" s="8">
        <v>55070</v>
      </c>
      <c r="D1435" s="8" t="s">
        <v>120</v>
      </c>
      <c r="E1435" s="8">
        <v>89074591</v>
      </c>
      <c r="F1435" s="8">
        <v>89074591</v>
      </c>
      <c r="G1435" s="8" t="s">
        <v>41</v>
      </c>
      <c r="H1435" s="8" t="s">
        <v>46</v>
      </c>
      <c r="I1435" s="8" t="s">
        <v>23</v>
      </c>
      <c r="J1435" s="8" t="s">
        <v>8418</v>
      </c>
      <c r="K1435" s="8" t="s">
        <v>8420</v>
      </c>
      <c r="L1435" s="8" t="s">
        <v>19</v>
      </c>
      <c r="M1435" s="8">
        <v>568</v>
      </c>
      <c r="N1435" s="8" t="s">
        <v>673</v>
      </c>
      <c r="O1435" s="8">
        <v>127</v>
      </c>
      <c r="P1435" s="8" t="s">
        <v>8419</v>
      </c>
      <c r="Q1435" s="8" t="s">
        <v>4262</v>
      </c>
      <c r="R1435" s="8">
        <v>0.374</v>
      </c>
      <c r="S1435" s="8">
        <v>89074591</v>
      </c>
      <c r="T1435" s="8" t="s">
        <v>41</v>
      </c>
      <c r="U1435" s="8" t="s">
        <v>46</v>
      </c>
    </row>
    <row r="1436" spans="1:21">
      <c r="A1436" s="8" t="s">
        <v>8340</v>
      </c>
      <c r="B1436" s="8" t="s">
        <v>8421</v>
      </c>
      <c r="C1436" s="8">
        <v>124790</v>
      </c>
      <c r="D1436" s="8" t="s">
        <v>133</v>
      </c>
      <c r="E1436" s="8">
        <v>43246640</v>
      </c>
      <c r="F1436" s="8">
        <v>43246640</v>
      </c>
      <c r="G1436" s="8" t="s">
        <v>25</v>
      </c>
      <c r="H1436" s="8" t="s">
        <v>46</v>
      </c>
      <c r="I1436" s="8" t="s">
        <v>23</v>
      </c>
      <c r="J1436" s="8" t="s">
        <v>8422</v>
      </c>
      <c r="K1436" s="8" t="s">
        <v>8424</v>
      </c>
      <c r="L1436" s="8" t="s">
        <v>19</v>
      </c>
      <c r="M1436" s="8">
        <v>564</v>
      </c>
      <c r="N1436" s="8" t="s">
        <v>3919</v>
      </c>
      <c r="O1436" s="8">
        <v>109</v>
      </c>
      <c r="P1436" s="8" t="s">
        <v>8423</v>
      </c>
      <c r="Q1436" s="8" t="s">
        <v>4262</v>
      </c>
      <c r="R1436" s="8">
        <v>0.34100000000000003</v>
      </c>
      <c r="S1436" s="8">
        <v>43246640</v>
      </c>
      <c r="T1436" s="8" t="s">
        <v>25</v>
      </c>
      <c r="U1436" s="8" t="s">
        <v>46</v>
      </c>
    </row>
    <row r="1437" spans="1:21">
      <c r="A1437" s="8" t="s">
        <v>8340</v>
      </c>
      <c r="B1437" s="8" t="s">
        <v>2551</v>
      </c>
      <c r="C1437" s="8">
        <v>10642</v>
      </c>
      <c r="D1437" s="8" t="s">
        <v>133</v>
      </c>
      <c r="E1437" s="8">
        <v>47121368</v>
      </c>
      <c r="F1437" s="8">
        <v>47121368</v>
      </c>
      <c r="G1437" s="8" t="s">
        <v>24</v>
      </c>
      <c r="H1437" s="8" t="s">
        <v>25</v>
      </c>
      <c r="I1437" s="8" t="s">
        <v>23</v>
      </c>
      <c r="J1437" s="8" t="s">
        <v>8425</v>
      </c>
      <c r="K1437" s="8" t="s">
        <v>8427</v>
      </c>
      <c r="L1437" s="8" t="s">
        <v>19</v>
      </c>
      <c r="M1437" s="8">
        <v>1574</v>
      </c>
      <c r="N1437" s="8" t="s">
        <v>155</v>
      </c>
      <c r="O1437" s="8">
        <v>414</v>
      </c>
      <c r="P1437" s="8" t="s">
        <v>8426</v>
      </c>
      <c r="Q1437" s="8" t="s">
        <v>4262</v>
      </c>
      <c r="R1437" s="8">
        <v>0.377</v>
      </c>
      <c r="S1437" s="8">
        <v>47121368</v>
      </c>
      <c r="T1437" s="8" t="s">
        <v>24</v>
      </c>
      <c r="U1437" s="8" t="s">
        <v>25</v>
      </c>
    </row>
    <row r="1438" spans="1:21">
      <c r="A1438" s="8" t="s">
        <v>8340</v>
      </c>
      <c r="B1438" s="8" t="s">
        <v>8428</v>
      </c>
      <c r="C1438" s="8">
        <v>2865</v>
      </c>
      <c r="D1438" s="8" t="s">
        <v>139</v>
      </c>
      <c r="E1438" s="8">
        <v>35849940</v>
      </c>
      <c r="F1438" s="8">
        <v>35849940</v>
      </c>
      <c r="G1438" s="8" t="s">
        <v>24</v>
      </c>
      <c r="H1438" s="8" t="s">
        <v>25</v>
      </c>
      <c r="I1438" s="8" t="s">
        <v>23</v>
      </c>
      <c r="J1438" s="8" t="s">
        <v>8429</v>
      </c>
      <c r="K1438" s="8" t="s">
        <v>8431</v>
      </c>
      <c r="L1438" s="8" t="s">
        <v>19</v>
      </c>
      <c r="M1438" s="8">
        <v>223</v>
      </c>
      <c r="N1438" s="8" t="s">
        <v>171</v>
      </c>
      <c r="O1438" s="8">
        <v>50</v>
      </c>
      <c r="P1438" s="8" t="s">
        <v>8430</v>
      </c>
      <c r="Q1438" s="8" t="s">
        <v>4262</v>
      </c>
      <c r="R1438" s="8">
        <v>0.26900000000000002</v>
      </c>
      <c r="S1438" s="8">
        <v>35849940</v>
      </c>
      <c r="T1438" s="8" t="s">
        <v>24</v>
      </c>
      <c r="U1438" s="8" t="s">
        <v>25</v>
      </c>
    </row>
    <row r="1439" spans="1:21">
      <c r="A1439" s="8" t="s">
        <v>8340</v>
      </c>
      <c r="B1439" s="8" t="s">
        <v>8432</v>
      </c>
      <c r="C1439" s="8">
        <v>8193</v>
      </c>
      <c r="D1439" s="8" t="s">
        <v>139</v>
      </c>
      <c r="E1439" s="8">
        <v>38706869</v>
      </c>
      <c r="F1439" s="8">
        <v>38706869</v>
      </c>
      <c r="G1439" s="8" t="s">
        <v>24</v>
      </c>
      <c r="H1439" s="8" t="s">
        <v>25</v>
      </c>
      <c r="I1439" s="8" t="s">
        <v>23</v>
      </c>
      <c r="J1439" s="8" t="s">
        <v>8433</v>
      </c>
      <c r="K1439" s="8" t="s">
        <v>8435</v>
      </c>
      <c r="L1439" s="8" t="s">
        <v>19</v>
      </c>
      <c r="M1439" s="8">
        <v>917</v>
      </c>
      <c r="N1439" s="8" t="s">
        <v>333</v>
      </c>
      <c r="O1439" s="8">
        <v>297</v>
      </c>
      <c r="P1439" s="8" t="s">
        <v>8434</v>
      </c>
      <c r="Q1439" s="8" t="s">
        <v>4262</v>
      </c>
      <c r="R1439" s="8">
        <v>0.21099999999999999</v>
      </c>
      <c r="S1439" s="8">
        <v>38706869</v>
      </c>
      <c r="T1439" s="8" t="s">
        <v>24</v>
      </c>
      <c r="U1439" s="8" t="s">
        <v>25</v>
      </c>
    </row>
    <row r="1440" spans="1:21">
      <c r="A1440" s="8" t="s">
        <v>8340</v>
      </c>
      <c r="B1440" s="8" t="s">
        <v>2956</v>
      </c>
      <c r="C1440" s="8">
        <v>23627</v>
      </c>
      <c r="D1440" s="8" t="s">
        <v>188</v>
      </c>
      <c r="E1440" s="8">
        <v>4705607</v>
      </c>
      <c r="F1440" s="8">
        <v>4705607</v>
      </c>
      <c r="G1440" s="8" t="s">
        <v>25</v>
      </c>
      <c r="H1440" s="8" t="s">
        <v>24</v>
      </c>
      <c r="I1440" s="8" t="s">
        <v>23</v>
      </c>
      <c r="J1440" s="8" t="s">
        <v>2957</v>
      </c>
      <c r="K1440" s="8" t="s">
        <v>8437</v>
      </c>
      <c r="L1440" s="8" t="s">
        <v>19</v>
      </c>
      <c r="M1440" s="8">
        <v>481</v>
      </c>
      <c r="N1440" s="8" t="s">
        <v>386</v>
      </c>
      <c r="O1440" s="8">
        <v>137</v>
      </c>
      <c r="P1440" s="8" t="s">
        <v>8436</v>
      </c>
      <c r="Q1440" s="8" t="s">
        <v>4262</v>
      </c>
      <c r="R1440" s="8">
        <v>0.4</v>
      </c>
      <c r="S1440" s="8">
        <v>4705607</v>
      </c>
      <c r="T1440" s="8" t="s">
        <v>25</v>
      </c>
      <c r="U1440" s="8" t="s">
        <v>24</v>
      </c>
    </row>
    <row r="1441" spans="1:21">
      <c r="A1441" s="8" t="s">
        <v>8340</v>
      </c>
      <c r="B1441" s="8" t="s">
        <v>8438</v>
      </c>
      <c r="C1441" s="8">
        <v>23315</v>
      </c>
      <c r="D1441" s="8" t="s">
        <v>188</v>
      </c>
      <c r="E1441" s="8">
        <v>48456132</v>
      </c>
      <c r="F1441" s="8">
        <v>48456132</v>
      </c>
      <c r="G1441" s="8" t="s">
        <v>24</v>
      </c>
      <c r="H1441" s="8" t="s">
        <v>41</v>
      </c>
      <c r="I1441" s="8" t="s">
        <v>23</v>
      </c>
      <c r="J1441" s="8" t="s">
        <v>8439</v>
      </c>
      <c r="K1441" s="8" t="s">
        <v>8441</v>
      </c>
      <c r="L1441" s="8" t="s">
        <v>19</v>
      </c>
      <c r="M1441" s="8">
        <v>554</v>
      </c>
      <c r="N1441" s="8" t="s">
        <v>2963</v>
      </c>
      <c r="O1441" s="8">
        <v>115</v>
      </c>
      <c r="P1441" s="8" t="s">
        <v>8440</v>
      </c>
      <c r="Q1441" s="8" t="s">
        <v>4262</v>
      </c>
      <c r="R1441" s="8">
        <v>0.29399999999999998</v>
      </c>
      <c r="S1441" s="8">
        <v>48456132</v>
      </c>
      <c r="T1441" s="8" t="s">
        <v>24</v>
      </c>
      <c r="U1441" s="8" t="s">
        <v>41</v>
      </c>
    </row>
    <row r="1442" spans="1:21">
      <c r="A1442" s="8" t="s">
        <v>8340</v>
      </c>
      <c r="B1442" s="8" t="s">
        <v>2833</v>
      </c>
      <c r="C1442" s="8">
        <v>2258</v>
      </c>
      <c r="D1442" s="8" t="s">
        <v>418</v>
      </c>
      <c r="E1442" s="8">
        <v>137717713</v>
      </c>
      <c r="F1442" s="8">
        <v>137717713</v>
      </c>
      <c r="G1442" s="8" t="s">
        <v>46</v>
      </c>
      <c r="H1442" s="8" t="s">
        <v>25</v>
      </c>
      <c r="I1442" s="8" t="s">
        <v>23</v>
      </c>
      <c r="J1442" s="8" t="s">
        <v>8442</v>
      </c>
      <c r="K1442" s="8" t="s">
        <v>8444</v>
      </c>
      <c r="L1442" s="8" t="s">
        <v>19</v>
      </c>
      <c r="M1442" s="8">
        <v>803</v>
      </c>
      <c r="N1442" s="8" t="s">
        <v>2963</v>
      </c>
      <c r="O1442" s="8">
        <v>179</v>
      </c>
      <c r="P1442" s="8" t="s">
        <v>8443</v>
      </c>
      <c r="Q1442" s="8" t="s">
        <v>4262</v>
      </c>
      <c r="R1442" s="8">
        <v>0.79400000000000004</v>
      </c>
      <c r="S1442" s="8">
        <v>137717713</v>
      </c>
      <c r="T1442" s="8" t="s">
        <v>46</v>
      </c>
      <c r="U1442" s="8" t="s">
        <v>25</v>
      </c>
    </row>
    <row r="1443" spans="1:21">
      <c r="A1443" s="8" t="s">
        <v>8447</v>
      </c>
      <c r="B1443" s="8" t="s">
        <v>2964</v>
      </c>
      <c r="C1443" s="8">
        <v>284546</v>
      </c>
      <c r="D1443" s="8" t="s">
        <v>22</v>
      </c>
      <c r="E1443" s="8">
        <v>51613225</v>
      </c>
      <c r="F1443" s="8">
        <v>51613225</v>
      </c>
      <c r="G1443" s="8" t="s">
        <v>46</v>
      </c>
      <c r="H1443" s="8" t="s">
        <v>25</v>
      </c>
      <c r="I1443" s="8" t="s">
        <v>23</v>
      </c>
      <c r="J1443" s="8" t="s">
        <v>2965</v>
      </c>
      <c r="K1443" s="8" t="s">
        <v>8446</v>
      </c>
      <c r="L1443" s="8" t="s">
        <v>19</v>
      </c>
      <c r="M1443" s="8">
        <v>382</v>
      </c>
      <c r="N1443" s="8" t="s">
        <v>405</v>
      </c>
      <c r="O1443" s="8">
        <v>128</v>
      </c>
      <c r="P1443" s="8" t="s">
        <v>8445</v>
      </c>
      <c r="Q1443" s="8" t="s">
        <v>4262</v>
      </c>
      <c r="R1443" s="8">
        <v>0.53500000000000003</v>
      </c>
      <c r="S1443" s="8">
        <v>51613225</v>
      </c>
      <c r="T1443" s="8" t="s">
        <v>46</v>
      </c>
      <c r="U1443" s="8" t="s">
        <v>25</v>
      </c>
    </row>
    <row r="1444" spans="1:21">
      <c r="A1444" s="8" t="s">
        <v>8447</v>
      </c>
      <c r="B1444" s="8" t="s">
        <v>2966</v>
      </c>
      <c r="C1444" s="8">
        <v>51253</v>
      </c>
      <c r="D1444" s="8" t="s">
        <v>22</v>
      </c>
      <c r="E1444" s="8">
        <v>54666038</v>
      </c>
      <c r="F1444" s="8">
        <v>54666038</v>
      </c>
      <c r="G1444" s="8" t="s">
        <v>46</v>
      </c>
      <c r="H1444" s="8" t="s">
        <v>24</v>
      </c>
      <c r="I1444" s="8" t="s">
        <v>23</v>
      </c>
      <c r="J1444" s="8" t="s">
        <v>2967</v>
      </c>
      <c r="K1444" s="8" t="s">
        <v>8449</v>
      </c>
      <c r="L1444" s="8" t="s">
        <v>19</v>
      </c>
      <c r="M1444" s="8">
        <v>199</v>
      </c>
      <c r="N1444" s="8" t="s">
        <v>2968</v>
      </c>
      <c r="O1444" s="8">
        <v>41</v>
      </c>
      <c r="P1444" s="8" t="s">
        <v>8448</v>
      </c>
      <c r="Q1444" s="8" t="s">
        <v>4262</v>
      </c>
      <c r="R1444" s="8">
        <v>0.5</v>
      </c>
      <c r="S1444" s="8">
        <v>54666038</v>
      </c>
      <c r="T1444" s="8" t="s">
        <v>46</v>
      </c>
      <c r="U1444" s="8" t="s">
        <v>24</v>
      </c>
    </row>
    <row r="1445" spans="1:21">
      <c r="A1445" s="8" t="s">
        <v>8447</v>
      </c>
      <c r="B1445" s="8" t="s">
        <v>2969</v>
      </c>
      <c r="C1445" s="8">
        <v>164045</v>
      </c>
      <c r="D1445" s="8" t="s">
        <v>22</v>
      </c>
      <c r="E1445" s="8">
        <v>91859866</v>
      </c>
      <c r="F1445" s="8">
        <v>91859866</v>
      </c>
      <c r="G1445" s="8" t="s">
        <v>24</v>
      </c>
      <c r="H1445" s="8" t="s">
        <v>46</v>
      </c>
      <c r="I1445" s="8" t="s">
        <v>23</v>
      </c>
      <c r="J1445" s="8" t="s">
        <v>2970</v>
      </c>
      <c r="K1445" s="8" t="s">
        <v>8451</v>
      </c>
      <c r="L1445" s="8" t="s">
        <v>19</v>
      </c>
      <c r="M1445" s="8">
        <v>377</v>
      </c>
      <c r="N1445" s="8" t="s">
        <v>478</v>
      </c>
      <c r="O1445" s="8">
        <v>93</v>
      </c>
      <c r="P1445" s="8" t="s">
        <v>8450</v>
      </c>
      <c r="Q1445" s="8" t="s">
        <v>4262</v>
      </c>
      <c r="R1445" s="8">
        <v>0.34</v>
      </c>
      <c r="S1445" s="8">
        <v>91859866</v>
      </c>
      <c r="T1445" s="8" t="s">
        <v>24</v>
      </c>
      <c r="U1445" s="8" t="s">
        <v>46</v>
      </c>
    </row>
    <row r="1446" spans="1:21">
      <c r="A1446" s="8" t="s">
        <v>8447</v>
      </c>
      <c r="B1446" s="8" t="s">
        <v>2369</v>
      </c>
      <c r="C1446" s="8">
        <v>6708</v>
      </c>
      <c r="D1446" s="8" t="s">
        <v>22</v>
      </c>
      <c r="E1446" s="8">
        <v>158622424</v>
      </c>
      <c r="F1446" s="8">
        <v>158622424</v>
      </c>
      <c r="G1446" s="8" t="s">
        <v>24</v>
      </c>
      <c r="H1446" s="8" t="s">
        <v>25</v>
      </c>
      <c r="I1446" s="8" t="s">
        <v>23</v>
      </c>
      <c r="J1446" s="8" t="s">
        <v>2370</v>
      </c>
      <c r="K1446" s="8" t="s">
        <v>6803</v>
      </c>
      <c r="L1446" s="8" t="s">
        <v>19</v>
      </c>
      <c r="M1446" s="8">
        <v>3407</v>
      </c>
      <c r="N1446" s="8" t="s">
        <v>92</v>
      </c>
      <c r="O1446" s="8">
        <v>1070</v>
      </c>
      <c r="P1446" s="8" t="s">
        <v>8452</v>
      </c>
      <c r="Q1446" s="8" t="s">
        <v>4262</v>
      </c>
      <c r="R1446" s="8">
        <v>9.0999999999999998E-2</v>
      </c>
      <c r="S1446" s="8">
        <v>158622424</v>
      </c>
      <c r="T1446" s="8" t="s">
        <v>24</v>
      </c>
      <c r="U1446" s="8" t="s">
        <v>25</v>
      </c>
    </row>
    <row r="1447" spans="1:21">
      <c r="A1447" s="8" t="s">
        <v>8447</v>
      </c>
      <c r="B1447" s="8" t="s">
        <v>2977</v>
      </c>
      <c r="C1447" s="8">
        <v>80705</v>
      </c>
      <c r="D1447" s="8" t="s">
        <v>172</v>
      </c>
      <c r="E1447" s="8">
        <v>99636896</v>
      </c>
      <c r="F1447" s="8">
        <v>99636896</v>
      </c>
      <c r="G1447" s="8" t="s">
        <v>46</v>
      </c>
      <c r="H1447" s="8" t="s">
        <v>25</v>
      </c>
      <c r="I1447" s="8" t="s">
        <v>23</v>
      </c>
      <c r="J1447" s="8" t="s">
        <v>8453</v>
      </c>
      <c r="K1447" s="8" t="s">
        <v>8455</v>
      </c>
      <c r="L1447" s="8" t="s">
        <v>19</v>
      </c>
      <c r="M1447" s="8">
        <v>2316</v>
      </c>
      <c r="N1447" s="8" t="s">
        <v>2978</v>
      </c>
      <c r="O1447" s="8">
        <v>555</v>
      </c>
      <c r="P1447" s="8" t="s">
        <v>8454</v>
      </c>
      <c r="Q1447" s="8" t="s">
        <v>4262</v>
      </c>
      <c r="R1447" s="8">
        <v>0.26800000000000002</v>
      </c>
      <c r="S1447" s="8">
        <v>99636896</v>
      </c>
      <c r="T1447" s="8" t="s">
        <v>46</v>
      </c>
      <c r="U1447" s="8" t="s">
        <v>25</v>
      </c>
    </row>
    <row r="1448" spans="1:21">
      <c r="A1448" s="8" t="s">
        <v>8447</v>
      </c>
      <c r="B1448" s="8" t="s">
        <v>8456</v>
      </c>
      <c r="C1448" s="8">
        <v>57683</v>
      </c>
      <c r="D1448" s="8" t="s">
        <v>172</v>
      </c>
      <c r="E1448" s="8">
        <v>207172330</v>
      </c>
      <c r="F1448" s="8">
        <v>207172330</v>
      </c>
      <c r="G1448" s="8" t="s">
        <v>25</v>
      </c>
      <c r="H1448" s="8" t="s">
        <v>41</v>
      </c>
      <c r="I1448" s="8" t="s">
        <v>23</v>
      </c>
      <c r="J1448" s="8" t="s">
        <v>8457</v>
      </c>
      <c r="K1448" s="8" t="s">
        <v>8459</v>
      </c>
      <c r="L1448" s="8" t="s">
        <v>19</v>
      </c>
      <c r="M1448" s="8">
        <v>3328</v>
      </c>
      <c r="N1448" s="8" t="s">
        <v>1231</v>
      </c>
      <c r="O1448" s="8">
        <v>1026</v>
      </c>
      <c r="P1448" s="8" t="s">
        <v>8458</v>
      </c>
      <c r="Q1448" s="8" t="s">
        <v>4262</v>
      </c>
      <c r="R1448" s="8">
        <v>9.5000000000000001E-2</v>
      </c>
      <c r="S1448" s="8">
        <v>207172330</v>
      </c>
      <c r="T1448" s="8" t="s">
        <v>25</v>
      </c>
      <c r="U1448" s="8" t="s">
        <v>41</v>
      </c>
    </row>
    <row r="1449" spans="1:21">
      <c r="A1449" s="8" t="s">
        <v>8447</v>
      </c>
      <c r="B1449" s="8" t="s">
        <v>2979</v>
      </c>
      <c r="C1449" s="8">
        <v>10090</v>
      </c>
      <c r="D1449" s="8" t="s">
        <v>237</v>
      </c>
      <c r="E1449" s="8">
        <v>149262503</v>
      </c>
      <c r="F1449" s="8">
        <v>149262503</v>
      </c>
      <c r="G1449" s="8" t="s">
        <v>25</v>
      </c>
      <c r="H1449" s="8" t="s">
        <v>41</v>
      </c>
      <c r="I1449" s="8" t="s">
        <v>23</v>
      </c>
      <c r="J1449" s="8" t="s">
        <v>2980</v>
      </c>
      <c r="K1449" s="8" t="s">
        <v>8461</v>
      </c>
      <c r="L1449" s="8" t="s">
        <v>19</v>
      </c>
      <c r="M1449" s="8">
        <v>676</v>
      </c>
      <c r="N1449" s="8" t="s">
        <v>1115</v>
      </c>
      <c r="O1449" s="8">
        <v>127</v>
      </c>
      <c r="P1449" s="8" t="s">
        <v>8460</v>
      </c>
      <c r="Q1449" s="8" t="s">
        <v>4262</v>
      </c>
      <c r="R1449" s="8">
        <v>0.45100000000000001</v>
      </c>
      <c r="S1449" s="8">
        <v>149262503</v>
      </c>
      <c r="T1449" s="8" t="s">
        <v>25</v>
      </c>
      <c r="U1449" s="8" t="s">
        <v>41</v>
      </c>
    </row>
    <row r="1450" spans="1:21">
      <c r="A1450" s="8" t="s">
        <v>8447</v>
      </c>
      <c r="B1450" s="8" t="s">
        <v>2199</v>
      </c>
      <c r="C1450" s="8">
        <v>6383</v>
      </c>
      <c r="D1450" s="8" t="s">
        <v>279</v>
      </c>
      <c r="E1450" s="8">
        <v>97621757</v>
      </c>
      <c r="F1450" s="8">
        <v>97621757</v>
      </c>
      <c r="G1450" s="8" t="s">
        <v>46</v>
      </c>
      <c r="H1450" s="8" t="s">
        <v>41</v>
      </c>
      <c r="I1450" s="8" t="s">
        <v>23</v>
      </c>
      <c r="J1450" s="8" t="s">
        <v>2983</v>
      </c>
      <c r="K1450" s="8" t="s">
        <v>8463</v>
      </c>
      <c r="L1450" s="8" t="s">
        <v>19</v>
      </c>
      <c r="M1450" s="8">
        <v>1205</v>
      </c>
      <c r="N1450" s="8" t="s">
        <v>96</v>
      </c>
      <c r="O1450" s="8">
        <v>196</v>
      </c>
      <c r="P1450" s="8" t="s">
        <v>8462</v>
      </c>
      <c r="Q1450" s="8" t="s">
        <v>4262</v>
      </c>
      <c r="R1450" s="8">
        <v>0.51400000000000001</v>
      </c>
      <c r="S1450" s="8">
        <v>97621757</v>
      </c>
      <c r="T1450" s="8" t="s">
        <v>46</v>
      </c>
      <c r="U1450" s="8" t="s">
        <v>41</v>
      </c>
    </row>
    <row r="1451" spans="1:21">
      <c r="A1451" s="8" t="s">
        <v>8447</v>
      </c>
      <c r="B1451" s="8" t="s">
        <v>2136</v>
      </c>
      <c r="C1451" s="8">
        <v>11030</v>
      </c>
      <c r="D1451" s="8" t="s">
        <v>279</v>
      </c>
      <c r="E1451" s="8">
        <v>30404850</v>
      </c>
      <c r="F1451" s="8">
        <v>30404850</v>
      </c>
      <c r="G1451" s="8" t="s">
        <v>41</v>
      </c>
      <c r="H1451" s="8" t="s">
        <v>24</v>
      </c>
      <c r="I1451" s="8" t="s">
        <v>23</v>
      </c>
      <c r="J1451" s="8" t="s">
        <v>2981</v>
      </c>
      <c r="K1451" s="8" t="s">
        <v>8465</v>
      </c>
      <c r="L1451" s="8" t="s">
        <v>19</v>
      </c>
      <c r="M1451" s="8">
        <v>1235</v>
      </c>
      <c r="N1451" s="8" t="s">
        <v>2982</v>
      </c>
      <c r="O1451" s="8">
        <v>190</v>
      </c>
      <c r="P1451" s="8" t="s">
        <v>8464</v>
      </c>
      <c r="Q1451" s="8" t="s">
        <v>4262</v>
      </c>
      <c r="R1451" s="8">
        <v>0.623</v>
      </c>
      <c r="S1451" s="8">
        <v>30404850</v>
      </c>
      <c r="T1451" s="8" t="s">
        <v>41</v>
      </c>
      <c r="U1451" s="8" t="s">
        <v>24</v>
      </c>
    </row>
    <row r="1452" spans="1:21">
      <c r="A1452" s="8" t="s">
        <v>8447</v>
      </c>
      <c r="B1452" s="8" t="s">
        <v>8466</v>
      </c>
      <c r="C1452" s="8">
        <v>3189</v>
      </c>
      <c r="D1452" s="8" t="s">
        <v>69</v>
      </c>
      <c r="E1452" s="8">
        <v>70101776</v>
      </c>
      <c r="F1452" s="8">
        <v>70101776</v>
      </c>
      <c r="G1452" s="8" t="s">
        <v>24</v>
      </c>
      <c r="H1452" s="8" t="s">
        <v>25</v>
      </c>
      <c r="I1452" s="8" t="s">
        <v>23</v>
      </c>
      <c r="J1452" s="8" t="s">
        <v>8467</v>
      </c>
      <c r="K1452" s="8" t="s">
        <v>8469</v>
      </c>
      <c r="L1452" s="8" t="s">
        <v>19</v>
      </c>
      <c r="M1452" s="8">
        <v>1235</v>
      </c>
      <c r="N1452" s="8" t="s">
        <v>536</v>
      </c>
      <c r="O1452" s="8">
        <v>336</v>
      </c>
      <c r="P1452" s="8" t="s">
        <v>8468</v>
      </c>
      <c r="Q1452" s="8" t="s">
        <v>4262</v>
      </c>
      <c r="R1452" s="8">
        <v>0.11799999999999999</v>
      </c>
      <c r="S1452" s="8">
        <v>70101776</v>
      </c>
      <c r="T1452" s="8" t="s">
        <v>24</v>
      </c>
      <c r="U1452" s="8" t="s">
        <v>25</v>
      </c>
    </row>
    <row r="1453" spans="1:21">
      <c r="A1453" s="8" t="s">
        <v>8447</v>
      </c>
      <c r="B1453" s="8" t="s">
        <v>2971</v>
      </c>
      <c r="C1453" s="8">
        <v>953</v>
      </c>
      <c r="D1453" s="8" t="s">
        <v>69</v>
      </c>
      <c r="E1453" s="8">
        <v>97607201</v>
      </c>
      <c r="F1453" s="8">
        <v>97607201</v>
      </c>
      <c r="G1453" s="8" t="s">
        <v>25</v>
      </c>
      <c r="H1453" s="8" t="s">
        <v>41</v>
      </c>
      <c r="I1453" s="8" t="s">
        <v>23</v>
      </c>
      <c r="J1453" s="8" t="s">
        <v>8470</v>
      </c>
      <c r="K1453" s="8" t="s">
        <v>8471</v>
      </c>
      <c r="L1453" s="8" t="s">
        <v>68</v>
      </c>
      <c r="M1453" s="8">
        <v>0</v>
      </c>
      <c r="N1453" s="8" t="s">
        <v>35</v>
      </c>
      <c r="O1453" s="8">
        <v>0</v>
      </c>
      <c r="P1453" s="8" t="s">
        <v>35</v>
      </c>
      <c r="Q1453" s="8" t="s">
        <v>4262</v>
      </c>
      <c r="R1453" s="8">
        <v>0.35199999999999998</v>
      </c>
      <c r="S1453" s="8">
        <v>97607201</v>
      </c>
      <c r="T1453" s="8" t="s">
        <v>25</v>
      </c>
      <c r="U1453" s="8" t="s">
        <v>41</v>
      </c>
    </row>
    <row r="1454" spans="1:21">
      <c r="A1454" s="8" t="s">
        <v>8447</v>
      </c>
      <c r="B1454" s="8" t="s">
        <v>2972</v>
      </c>
      <c r="C1454" s="8">
        <v>84304</v>
      </c>
      <c r="D1454" s="8" t="s">
        <v>83</v>
      </c>
      <c r="E1454" s="8">
        <v>63997398</v>
      </c>
      <c r="F1454" s="8">
        <v>63997398</v>
      </c>
      <c r="G1454" s="8" t="s">
        <v>25</v>
      </c>
      <c r="H1454" s="8" t="s">
        <v>46</v>
      </c>
      <c r="I1454" s="8" t="s">
        <v>23</v>
      </c>
      <c r="J1454" s="8" t="s">
        <v>8472</v>
      </c>
      <c r="K1454" s="8" t="s">
        <v>8474</v>
      </c>
      <c r="L1454" s="8" t="s">
        <v>19</v>
      </c>
      <c r="M1454" s="8">
        <v>898</v>
      </c>
      <c r="N1454" s="8" t="s">
        <v>2973</v>
      </c>
      <c r="O1454" s="8">
        <v>283</v>
      </c>
      <c r="P1454" s="8" t="s">
        <v>8473</v>
      </c>
      <c r="Q1454" s="8" t="s">
        <v>4262</v>
      </c>
      <c r="R1454" s="8">
        <v>0.37</v>
      </c>
      <c r="S1454" s="8">
        <v>63997398</v>
      </c>
      <c r="T1454" s="8" t="s">
        <v>25</v>
      </c>
      <c r="U1454" s="8" t="s">
        <v>46</v>
      </c>
    </row>
    <row r="1455" spans="1:21">
      <c r="A1455" s="8" t="s">
        <v>8447</v>
      </c>
      <c r="B1455" s="8" t="s">
        <v>8475</v>
      </c>
      <c r="C1455" s="8">
        <v>23788</v>
      </c>
      <c r="D1455" s="8" t="s">
        <v>83</v>
      </c>
      <c r="E1455" s="8">
        <v>47640465</v>
      </c>
      <c r="F1455" s="8">
        <v>47640465</v>
      </c>
      <c r="G1455" s="8" t="s">
        <v>41</v>
      </c>
      <c r="H1455" s="8" t="s">
        <v>46</v>
      </c>
      <c r="I1455" s="8" t="s">
        <v>23</v>
      </c>
      <c r="J1455" s="8" t="s">
        <v>8476</v>
      </c>
      <c r="K1455" s="8" t="s">
        <v>8478</v>
      </c>
      <c r="L1455" s="8" t="s">
        <v>19</v>
      </c>
      <c r="M1455" s="8">
        <v>1021</v>
      </c>
      <c r="N1455" s="8" t="s">
        <v>974</v>
      </c>
      <c r="O1455" s="8">
        <v>278</v>
      </c>
      <c r="P1455" s="8" t="s">
        <v>8477</v>
      </c>
      <c r="Q1455" s="8" t="s">
        <v>4262</v>
      </c>
      <c r="R1455" s="8">
        <v>0.33900000000000002</v>
      </c>
      <c r="S1455" s="8">
        <v>47640465</v>
      </c>
      <c r="T1455" s="8" t="s">
        <v>41</v>
      </c>
      <c r="U1455" s="8" t="s">
        <v>46</v>
      </c>
    </row>
    <row r="1456" spans="1:21">
      <c r="A1456" s="8" t="s">
        <v>8447</v>
      </c>
      <c r="B1456" s="8" t="s">
        <v>2974</v>
      </c>
      <c r="C1456" s="8">
        <v>51380</v>
      </c>
      <c r="D1456" s="8" t="s">
        <v>104</v>
      </c>
      <c r="E1456" s="8">
        <v>53554067</v>
      </c>
      <c r="F1456" s="8">
        <v>53554067</v>
      </c>
      <c r="G1456" s="8" t="s">
        <v>25</v>
      </c>
      <c r="H1456" s="8" t="s">
        <v>24</v>
      </c>
      <c r="I1456" s="8" t="s">
        <v>23</v>
      </c>
      <c r="J1456" s="8" t="s">
        <v>8479</v>
      </c>
      <c r="K1456" s="8" t="s">
        <v>8481</v>
      </c>
      <c r="L1456" s="8" t="s">
        <v>19</v>
      </c>
      <c r="M1456" s="8">
        <v>1368</v>
      </c>
      <c r="N1456" s="8" t="s">
        <v>1513</v>
      </c>
      <c r="O1456" s="8">
        <v>362</v>
      </c>
      <c r="P1456" s="8" t="s">
        <v>8480</v>
      </c>
      <c r="Q1456" s="8" t="s">
        <v>4262</v>
      </c>
      <c r="R1456" s="8">
        <v>0.27700000000000002</v>
      </c>
      <c r="S1456" s="8">
        <v>53554067</v>
      </c>
      <c r="T1456" s="8" t="s">
        <v>25</v>
      </c>
      <c r="U1456" s="8" t="s">
        <v>24</v>
      </c>
    </row>
    <row r="1457" spans="1:21">
      <c r="A1457" s="8" t="s">
        <v>8447</v>
      </c>
      <c r="B1457" s="8" t="s">
        <v>8482</v>
      </c>
      <c r="C1457" s="8">
        <v>55359</v>
      </c>
      <c r="D1457" s="8" t="s">
        <v>104</v>
      </c>
      <c r="E1457" s="8">
        <v>10782102</v>
      </c>
      <c r="F1457" s="8">
        <v>10782102</v>
      </c>
      <c r="G1457" s="8" t="s">
        <v>24</v>
      </c>
      <c r="H1457" s="8" t="s">
        <v>25</v>
      </c>
      <c r="I1457" s="8" t="s">
        <v>23</v>
      </c>
      <c r="J1457" s="8" t="s">
        <v>8483</v>
      </c>
      <c r="K1457" s="8" t="s">
        <v>8485</v>
      </c>
      <c r="L1457" s="8" t="s">
        <v>19</v>
      </c>
      <c r="M1457" s="8">
        <v>1144</v>
      </c>
      <c r="N1457" s="8" t="s">
        <v>1325</v>
      </c>
      <c r="O1457" s="8">
        <v>208</v>
      </c>
      <c r="P1457" s="8" t="s">
        <v>8484</v>
      </c>
      <c r="Q1457" s="8" t="s">
        <v>4262</v>
      </c>
      <c r="R1457" s="8">
        <v>0.20399999999999999</v>
      </c>
      <c r="S1457" s="8">
        <v>10782102</v>
      </c>
      <c r="T1457" s="8" t="s">
        <v>24</v>
      </c>
      <c r="U1457" s="8" t="s">
        <v>25</v>
      </c>
    </row>
    <row r="1458" spans="1:21">
      <c r="A1458" s="8" t="s">
        <v>8447</v>
      </c>
      <c r="B1458" s="8" t="s">
        <v>2372</v>
      </c>
      <c r="C1458" s="8">
        <v>2305</v>
      </c>
      <c r="D1458" s="8" t="s">
        <v>104</v>
      </c>
      <c r="E1458" s="8">
        <v>2968330</v>
      </c>
      <c r="F1458" s="8">
        <v>2968330</v>
      </c>
      <c r="G1458" s="8" t="s">
        <v>46</v>
      </c>
      <c r="H1458" s="8" t="s">
        <v>41</v>
      </c>
      <c r="I1458" s="8" t="s">
        <v>23</v>
      </c>
      <c r="J1458" s="8" t="s">
        <v>8486</v>
      </c>
      <c r="K1458" s="8" t="s">
        <v>8488</v>
      </c>
      <c r="L1458" s="8" t="s">
        <v>19</v>
      </c>
      <c r="M1458" s="8">
        <v>2031</v>
      </c>
      <c r="N1458" s="8" t="s">
        <v>708</v>
      </c>
      <c r="O1458" s="8">
        <v>589</v>
      </c>
      <c r="P1458" s="8" t="s">
        <v>8487</v>
      </c>
      <c r="Q1458" s="8" t="s">
        <v>4262</v>
      </c>
      <c r="R1458" s="8">
        <v>0.33300000000000002</v>
      </c>
      <c r="S1458" s="8">
        <v>2968330</v>
      </c>
      <c r="T1458" s="8" t="s">
        <v>46</v>
      </c>
      <c r="U1458" s="8" t="s">
        <v>41</v>
      </c>
    </row>
    <row r="1459" spans="1:21">
      <c r="A1459" s="8" t="s">
        <v>8447</v>
      </c>
      <c r="B1459" s="8" t="s">
        <v>6162</v>
      </c>
      <c r="C1459" s="8">
        <v>196528</v>
      </c>
      <c r="D1459" s="8" t="s">
        <v>104</v>
      </c>
      <c r="E1459" s="8">
        <v>46230671</v>
      </c>
      <c r="F1459" s="8">
        <v>46230671</v>
      </c>
      <c r="G1459" s="8" t="s">
        <v>46</v>
      </c>
      <c r="H1459" s="8" t="s">
        <v>25</v>
      </c>
      <c r="I1459" s="8" t="s">
        <v>23</v>
      </c>
      <c r="J1459" s="8" t="s">
        <v>6163</v>
      </c>
      <c r="K1459" s="8" t="s">
        <v>6164</v>
      </c>
      <c r="L1459" s="8" t="s">
        <v>19</v>
      </c>
      <c r="M1459" s="8">
        <v>920</v>
      </c>
      <c r="N1459" s="8" t="s">
        <v>1617</v>
      </c>
      <c r="O1459" s="8">
        <v>307</v>
      </c>
      <c r="P1459" s="8" t="s">
        <v>8489</v>
      </c>
      <c r="Q1459" s="8" t="s">
        <v>4262</v>
      </c>
      <c r="R1459" s="8">
        <v>0.107</v>
      </c>
      <c r="S1459" s="8">
        <v>46230671</v>
      </c>
      <c r="T1459" s="8" t="s">
        <v>46</v>
      </c>
      <c r="U1459" s="8" t="s">
        <v>25</v>
      </c>
    </row>
    <row r="1460" spans="1:21">
      <c r="A1460" s="8" t="s">
        <v>8447</v>
      </c>
      <c r="B1460" s="8" t="s">
        <v>2975</v>
      </c>
      <c r="C1460" s="8">
        <v>22862</v>
      </c>
      <c r="D1460" s="8" t="s">
        <v>339</v>
      </c>
      <c r="E1460" s="8">
        <v>49710653</v>
      </c>
      <c r="F1460" s="8">
        <v>49710653</v>
      </c>
      <c r="G1460" s="8" t="s">
        <v>25</v>
      </c>
      <c r="H1460" s="8" t="s">
        <v>24</v>
      </c>
      <c r="I1460" s="8" t="s">
        <v>23</v>
      </c>
      <c r="J1460" s="8" t="s">
        <v>8490</v>
      </c>
      <c r="K1460" s="8" t="s">
        <v>8492</v>
      </c>
      <c r="L1460" s="8" t="s">
        <v>19</v>
      </c>
      <c r="M1460" s="8">
        <v>981</v>
      </c>
      <c r="N1460" s="8" t="s">
        <v>2976</v>
      </c>
      <c r="O1460" s="8">
        <v>226</v>
      </c>
      <c r="P1460" s="8" t="s">
        <v>8491</v>
      </c>
      <c r="Q1460" s="8" t="s">
        <v>4262</v>
      </c>
      <c r="R1460" s="8">
        <v>0.49</v>
      </c>
      <c r="S1460" s="8">
        <v>49710653</v>
      </c>
      <c r="T1460" s="8" t="s">
        <v>25</v>
      </c>
      <c r="U1460" s="8" t="s">
        <v>24</v>
      </c>
    </row>
    <row r="1461" spans="1:21">
      <c r="A1461" s="8" t="s">
        <v>8447</v>
      </c>
      <c r="B1461" s="8" t="s">
        <v>2262</v>
      </c>
      <c r="C1461" s="8">
        <v>6400</v>
      </c>
      <c r="D1461" s="8" t="s">
        <v>118</v>
      </c>
      <c r="E1461" s="8">
        <v>81946078</v>
      </c>
      <c r="F1461" s="8">
        <v>81946078</v>
      </c>
      <c r="G1461" s="8" t="s">
        <v>24</v>
      </c>
      <c r="H1461" s="8" t="s">
        <v>41</v>
      </c>
      <c r="I1461" s="8" t="s">
        <v>23</v>
      </c>
      <c r="J1461" s="8" t="s">
        <v>8493</v>
      </c>
      <c r="K1461" s="8" t="s">
        <v>8495</v>
      </c>
      <c r="L1461" s="8" t="s">
        <v>19</v>
      </c>
      <c r="M1461" s="8">
        <v>2170</v>
      </c>
      <c r="N1461" s="8" t="s">
        <v>2925</v>
      </c>
      <c r="O1461" s="8">
        <v>685</v>
      </c>
      <c r="P1461" s="8" t="s">
        <v>8494</v>
      </c>
      <c r="Q1461" s="8" t="s">
        <v>4262</v>
      </c>
      <c r="R1461" s="8">
        <v>0.1</v>
      </c>
      <c r="S1461" s="8">
        <v>81946078</v>
      </c>
      <c r="T1461" s="8" t="s">
        <v>24</v>
      </c>
      <c r="U1461" s="8" t="s">
        <v>41</v>
      </c>
    </row>
    <row r="1462" spans="1:21">
      <c r="A1462" s="8" t="s">
        <v>8447</v>
      </c>
      <c r="B1462" s="8" t="s">
        <v>8496</v>
      </c>
      <c r="C1462" s="8">
        <v>283629</v>
      </c>
      <c r="D1462" s="8" t="s">
        <v>118</v>
      </c>
      <c r="E1462" s="8">
        <v>24675279</v>
      </c>
      <c r="F1462" s="8">
        <v>24675279</v>
      </c>
      <c r="G1462" s="8" t="s">
        <v>24</v>
      </c>
      <c r="H1462" s="8" t="s">
        <v>46</v>
      </c>
      <c r="I1462" s="8" t="s">
        <v>23</v>
      </c>
      <c r="J1462" s="8" t="s">
        <v>8497</v>
      </c>
      <c r="K1462" s="8" t="s">
        <v>8499</v>
      </c>
      <c r="L1462" s="8" t="s">
        <v>19</v>
      </c>
      <c r="M1462" s="8">
        <v>354</v>
      </c>
      <c r="N1462" s="8" t="s">
        <v>3231</v>
      </c>
      <c r="O1462" s="8">
        <v>50</v>
      </c>
      <c r="P1462" s="8" t="s">
        <v>8498</v>
      </c>
      <c r="Q1462" s="8" t="s">
        <v>4262</v>
      </c>
      <c r="R1462" s="8">
        <v>0.14499999999999999</v>
      </c>
      <c r="S1462" s="8">
        <v>24675279</v>
      </c>
      <c r="T1462" s="8" t="s">
        <v>24</v>
      </c>
      <c r="U1462" s="8" t="s">
        <v>46</v>
      </c>
    </row>
    <row r="1463" spans="1:21">
      <c r="A1463" s="8" t="s">
        <v>8447</v>
      </c>
      <c r="B1463" s="8" t="s">
        <v>8500</v>
      </c>
      <c r="C1463" s="8">
        <v>7301</v>
      </c>
      <c r="D1463" s="8" t="s">
        <v>120</v>
      </c>
      <c r="E1463" s="8">
        <v>41863259</v>
      </c>
      <c r="F1463" s="8">
        <v>41863259</v>
      </c>
      <c r="G1463" s="8" t="s">
        <v>24</v>
      </c>
      <c r="H1463" s="8" t="s">
        <v>25</v>
      </c>
      <c r="I1463" s="8" t="s">
        <v>23</v>
      </c>
      <c r="J1463" s="8" t="s">
        <v>8501</v>
      </c>
      <c r="K1463" s="8" t="s">
        <v>8503</v>
      </c>
      <c r="L1463" s="8" t="s">
        <v>19</v>
      </c>
      <c r="M1463" s="8">
        <v>1839</v>
      </c>
      <c r="N1463" s="8" t="s">
        <v>155</v>
      </c>
      <c r="O1463" s="8">
        <v>535</v>
      </c>
      <c r="P1463" s="8" t="s">
        <v>8502</v>
      </c>
      <c r="Q1463" s="8" t="s">
        <v>4262</v>
      </c>
      <c r="R1463" s="8">
        <v>9.4E-2</v>
      </c>
      <c r="S1463" s="8">
        <v>41863259</v>
      </c>
      <c r="T1463" s="8" t="s">
        <v>24</v>
      </c>
      <c r="U1463" s="8" t="s">
        <v>25</v>
      </c>
    </row>
    <row r="1464" spans="1:21">
      <c r="A1464" s="8" t="s">
        <v>8447</v>
      </c>
      <c r="B1464" s="8" t="s">
        <v>8301</v>
      </c>
      <c r="C1464" s="8">
        <v>146206</v>
      </c>
      <c r="D1464" s="8" t="s">
        <v>129</v>
      </c>
      <c r="E1464" s="8">
        <v>67680654</v>
      </c>
      <c r="F1464" s="8">
        <v>67680654</v>
      </c>
      <c r="G1464" s="8" t="s">
        <v>46</v>
      </c>
      <c r="H1464" s="8" t="s">
        <v>24</v>
      </c>
      <c r="I1464" s="8" t="s">
        <v>23</v>
      </c>
      <c r="J1464" s="8" t="s">
        <v>8302</v>
      </c>
      <c r="K1464" s="8" t="s">
        <v>8304</v>
      </c>
      <c r="L1464" s="8" t="s">
        <v>76</v>
      </c>
      <c r="M1464" s="8">
        <v>624</v>
      </c>
      <c r="N1464" s="8" t="s">
        <v>8505</v>
      </c>
      <c r="O1464" s="8">
        <v>168</v>
      </c>
      <c r="P1464" s="8" t="s">
        <v>8504</v>
      </c>
      <c r="Q1464" s="8" t="s">
        <v>4262</v>
      </c>
      <c r="R1464" s="8">
        <v>0.27300000000000002</v>
      </c>
      <c r="S1464" s="8">
        <v>67680654</v>
      </c>
      <c r="T1464" s="8" t="s">
        <v>46</v>
      </c>
      <c r="U1464" s="8" t="s">
        <v>24</v>
      </c>
    </row>
    <row r="1465" spans="1:21">
      <c r="A1465" s="8" t="s">
        <v>8447</v>
      </c>
      <c r="B1465" s="8" t="s">
        <v>8506</v>
      </c>
      <c r="C1465" s="8">
        <v>28987</v>
      </c>
      <c r="D1465" s="8" t="s">
        <v>129</v>
      </c>
      <c r="E1465" s="8">
        <v>69778884</v>
      </c>
      <c r="F1465" s="8">
        <v>69778884</v>
      </c>
      <c r="G1465" s="8" t="s">
        <v>24</v>
      </c>
      <c r="H1465" s="8" t="s">
        <v>41</v>
      </c>
      <c r="I1465" s="8" t="s">
        <v>23</v>
      </c>
      <c r="J1465" s="8" t="s">
        <v>8507</v>
      </c>
      <c r="K1465" s="8" t="s">
        <v>8509</v>
      </c>
      <c r="L1465" s="8" t="s">
        <v>19</v>
      </c>
      <c r="M1465" s="8">
        <v>877</v>
      </c>
      <c r="N1465" s="8" t="s">
        <v>1591</v>
      </c>
      <c r="O1465" s="8">
        <v>287</v>
      </c>
      <c r="P1465" s="8" t="s">
        <v>8508</v>
      </c>
      <c r="Q1465" s="8" t="s">
        <v>4262</v>
      </c>
      <c r="R1465" s="8">
        <v>0.308</v>
      </c>
      <c r="S1465" s="8">
        <v>69778884</v>
      </c>
      <c r="T1465" s="8" t="s">
        <v>24</v>
      </c>
      <c r="U1465" s="8" t="s">
        <v>41</v>
      </c>
    </row>
    <row r="1466" spans="1:21">
      <c r="A1466" s="8" t="s">
        <v>8447</v>
      </c>
      <c r="B1466" s="8" t="s">
        <v>6277</v>
      </c>
      <c r="C1466" s="8">
        <v>80179</v>
      </c>
      <c r="D1466" s="8" t="s">
        <v>133</v>
      </c>
      <c r="E1466" s="8">
        <v>34869330</v>
      </c>
      <c r="F1466" s="8">
        <v>34869330</v>
      </c>
      <c r="G1466" s="8" t="s">
        <v>24</v>
      </c>
      <c r="H1466" s="8" t="s">
        <v>25</v>
      </c>
      <c r="I1466" s="8" t="s">
        <v>23</v>
      </c>
      <c r="J1466" s="8" t="s">
        <v>6278</v>
      </c>
      <c r="K1466" s="8" t="s">
        <v>6280</v>
      </c>
      <c r="L1466" s="8" t="s">
        <v>19</v>
      </c>
      <c r="M1466" s="8">
        <v>1849</v>
      </c>
      <c r="N1466" s="8" t="s">
        <v>1325</v>
      </c>
      <c r="O1466" s="8">
        <v>279</v>
      </c>
      <c r="P1466" s="8" t="s">
        <v>8510</v>
      </c>
      <c r="Q1466" s="8" t="s">
        <v>4262</v>
      </c>
      <c r="R1466" s="8">
        <v>9.7000000000000003E-2</v>
      </c>
      <c r="S1466" s="8">
        <v>34869330</v>
      </c>
      <c r="T1466" s="8" t="s">
        <v>24</v>
      </c>
      <c r="U1466" s="8" t="s">
        <v>25</v>
      </c>
    </row>
    <row r="1467" spans="1:21">
      <c r="A1467" s="8" t="s">
        <v>8447</v>
      </c>
      <c r="B1467" s="8" t="s">
        <v>8511</v>
      </c>
      <c r="C1467" s="8">
        <v>112401</v>
      </c>
      <c r="D1467" s="8" t="s">
        <v>139</v>
      </c>
      <c r="E1467" s="8">
        <v>53793114</v>
      </c>
      <c r="F1467" s="8">
        <v>53793114</v>
      </c>
      <c r="G1467" s="8" t="s">
        <v>41</v>
      </c>
      <c r="H1467" s="8" t="s">
        <v>46</v>
      </c>
      <c r="I1467" s="8" t="s">
        <v>23</v>
      </c>
      <c r="J1467" s="8" t="s">
        <v>8512</v>
      </c>
      <c r="K1467" s="8" t="s">
        <v>8514</v>
      </c>
      <c r="L1467" s="8" t="s">
        <v>19</v>
      </c>
      <c r="M1467" s="8">
        <v>1762</v>
      </c>
      <c r="N1467" s="8" t="s">
        <v>382</v>
      </c>
      <c r="O1467" s="8">
        <v>172</v>
      </c>
      <c r="P1467" s="8" t="s">
        <v>8513</v>
      </c>
      <c r="Q1467" s="8" t="s">
        <v>4262</v>
      </c>
      <c r="R1467" s="8">
        <v>0.111</v>
      </c>
      <c r="S1467" s="8">
        <v>53793114</v>
      </c>
      <c r="T1467" s="8" t="s">
        <v>41</v>
      </c>
      <c r="U1467" s="8" t="s">
        <v>46</v>
      </c>
    </row>
    <row r="1468" spans="1:21">
      <c r="A1468" s="8" t="s">
        <v>8447</v>
      </c>
      <c r="B1468" s="8" t="s">
        <v>8515</v>
      </c>
      <c r="C1468" s="8">
        <v>57731</v>
      </c>
      <c r="D1468" s="8" t="s">
        <v>139</v>
      </c>
      <c r="E1468" s="8">
        <v>41063227</v>
      </c>
      <c r="F1468" s="8">
        <v>41063227</v>
      </c>
      <c r="G1468" s="8" t="s">
        <v>46</v>
      </c>
      <c r="H1468" s="8" t="s">
        <v>41</v>
      </c>
      <c r="I1468" s="8" t="s">
        <v>23</v>
      </c>
      <c r="J1468" s="8" t="s">
        <v>8516</v>
      </c>
      <c r="K1468" s="8" t="s">
        <v>8519</v>
      </c>
      <c r="L1468" s="8" t="s">
        <v>19</v>
      </c>
      <c r="M1468" s="8">
        <v>5690</v>
      </c>
      <c r="N1468" s="8" t="s">
        <v>365</v>
      </c>
      <c r="O1468" s="8">
        <v>1863</v>
      </c>
      <c r="P1468" s="8" t="s">
        <v>8517</v>
      </c>
      <c r="Q1468" s="8" t="s">
        <v>8518</v>
      </c>
      <c r="R1468" s="8">
        <v>0.3</v>
      </c>
      <c r="S1468" s="8">
        <v>41063227</v>
      </c>
      <c r="T1468" s="8" t="s">
        <v>46</v>
      </c>
      <c r="U1468" s="8" t="s">
        <v>41</v>
      </c>
    </row>
    <row r="1469" spans="1:21">
      <c r="A1469" s="8" t="s">
        <v>8447</v>
      </c>
      <c r="B1469" s="8" t="s">
        <v>8520</v>
      </c>
      <c r="C1469" s="8">
        <v>80776</v>
      </c>
      <c r="D1469" s="8" t="s">
        <v>139</v>
      </c>
      <c r="E1469" s="8">
        <v>41860756</v>
      </c>
      <c r="F1469" s="8">
        <v>41860756</v>
      </c>
      <c r="G1469" s="8" t="s">
        <v>24</v>
      </c>
      <c r="H1469" s="8" t="s">
        <v>25</v>
      </c>
      <c r="I1469" s="8" t="s">
        <v>23</v>
      </c>
      <c r="J1469" s="8" t="s">
        <v>8521</v>
      </c>
      <c r="K1469" s="8" t="s">
        <v>8523</v>
      </c>
      <c r="L1469" s="8" t="s">
        <v>19</v>
      </c>
      <c r="M1469" s="8">
        <v>597</v>
      </c>
      <c r="N1469" s="8" t="s">
        <v>389</v>
      </c>
      <c r="O1469" s="8">
        <v>126</v>
      </c>
      <c r="P1469" s="8" t="s">
        <v>8522</v>
      </c>
      <c r="Q1469" s="8" t="s">
        <v>4262</v>
      </c>
      <c r="R1469" s="8">
        <v>0.16300000000000001</v>
      </c>
      <c r="S1469" s="8">
        <v>41860756</v>
      </c>
      <c r="T1469" s="8" t="s">
        <v>24</v>
      </c>
      <c r="U1469" s="8" t="s">
        <v>25</v>
      </c>
    </row>
    <row r="1470" spans="1:21">
      <c r="A1470" s="8" t="s">
        <v>8447</v>
      </c>
      <c r="B1470" s="8" t="s">
        <v>2849</v>
      </c>
      <c r="C1470" s="8">
        <v>5255</v>
      </c>
      <c r="D1470" s="8" t="s">
        <v>418</v>
      </c>
      <c r="E1470" s="8">
        <v>71846843</v>
      </c>
      <c r="F1470" s="8">
        <v>71846843</v>
      </c>
      <c r="G1470" s="8" t="s">
        <v>46</v>
      </c>
      <c r="H1470" s="8" t="s">
        <v>24</v>
      </c>
      <c r="I1470" s="8" t="s">
        <v>23</v>
      </c>
      <c r="J1470" s="8" t="s">
        <v>8524</v>
      </c>
      <c r="K1470" s="8" t="s">
        <v>8526</v>
      </c>
      <c r="L1470" s="8" t="s">
        <v>19</v>
      </c>
      <c r="M1470" s="8">
        <v>2072</v>
      </c>
      <c r="N1470" s="8" t="s">
        <v>1410</v>
      </c>
      <c r="O1470" s="8">
        <v>591</v>
      </c>
      <c r="P1470" s="8" t="s">
        <v>8525</v>
      </c>
      <c r="Q1470" s="8" t="s">
        <v>4262</v>
      </c>
      <c r="R1470" s="8">
        <v>0.69499999999999995</v>
      </c>
      <c r="S1470" s="8">
        <v>71846843</v>
      </c>
      <c r="T1470" s="8" t="s">
        <v>46</v>
      </c>
      <c r="U1470" s="8" t="s">
        <v>24</v>
      </c>
    </row>
    <row r="1471" spans="1:21">
      <c r="A1471" s="8" t="s">
        <v>8531</v>
      </c>
      <c r="B1471" s="8" t="s">
        <v>8527</v>
      </c>
      <c r="C1471" s="8">
        <v>27022</v>
      </c>
      <c r="D1471" s="8" t="s">
        <v>22</v>
      </c>
      <c r="E1471" s="8">
        <v>63789223</v>
      </c>
      <c r="F1471" s="8">
        <v>63789223</v>
      </c>
      <c r="G1471" s="8" t="s">
        <v>24</v>
      </c>
      <c r="H1471" s="8" t="s">
        <v>41</v>
      </c>
      <c r="I1471" s="8" t="s">
        <v>23</v>
      </c>
      <c r="J1471" s="8" t="s">
        <v>8528</v>
      </c>
      <c r="K1471" s="8" t="s">
        <v>8530</v>
      </c>
      <c r="L1471" s="8" t="s">
        <v>19</v>
      </c>
      <c r="M1471" s="8">
        <v>494</v>
      </c>
      <c r="N1471" s="8" t="s">
        <v>2954</v>
      </c>
      <c r="O1471" s="8">
        <v>165</v>
      </c>
      <c r="P1471" s="8" t="s">
        <v>8529</v>
      </c>
      <c r="Q1471" s="8" t="s">
        <v>4262</v>
      </c>
      <c r="R1471" s="8">
        <v>0.17499999999999999</v>
      </c>
      <c r="S1471" s="8">
        <v>63789223</v>
      </c>
      <c r="T1471" s="8" t="s">
        <v>24</v>
      </c>
      <c r="U1471" s="8" t="s">
        <v>41</v>
      </c>
    </row>
    <row r="1472" spans="1:21">
      <c r="A1472" s="8" t="s">
        <v>8531</v>
      </c>
      <c r="B1472" s="8" t="s">
        <v>640</v>
      </c>
      <c r="C1472" s="8">
        <v>127254</v>
      </c>
      <c r="D1472" s="8" t="s">
        <v>22</v>
      </c>
      <c r="E1472" s="8">
        <v>75039074</v>
      </c>
      <c r="F1472" s="8">
        <v>75039074</v>
      </c>
      <c r="G1472" s="8" t="s">
        <v>46</v>
      </c>
      <c r="H1472" s="8" t="s">
        <v>25</v>
      </c>
      <c r="I1472" s="8" t="s">
        <v>23</v>
      </c>
      <c r="J1472" s="8" t="s">
        <v>641</v>
      </c>
      <c r="K1472" s="8" t="s">
        <v>5042</v>
      </c>
      <c r="L1472" s="8" t="s">
        <v>19</v>
      </c>
      <c r="M1472" s="8">
        <v>2539</v>
      </c>
      <c r="N1472" s="8" t="s">
        <v>124</v>
      </c>
      <c r="O1472" s="8">
        <v>774</v>
      </c>
      <c r="P1472" s="8" t="s">
        <v>8532</v>
      </c>
      <c r="Q1472" s="8" t="s">
        <v>4262</v>
      </c>
      <c r="R1472" s="8">
        <v>0.155</v>
      </c>
      <c r="S1472" s="8">
        <v>75039074</v>
      </c>
      <c r="T1472" s="8" t="s">
        <v>46</v>
      </c>
      <c r="U1472" s="8" t="s">
        <v>25</v>
      </c>
    </row>
    <row r="1473" spans="1:21">
      <c r="A1473" s="8" t="s">
        <v>8531</v>
      </c>
      <c r="B1473" s="8" t="s">
        <v>8533</v>
      </c>
      <c r="C1473" s="8">
        <v>23261</v>
      </c>
      <c r="D1473" s="8" t="s">
        <v>22</v>
      </c>
      <c r="E1473" s="8">
        <v>7797556</v>
      </c>
      <c r="F1473" s="8">
        <v>7797556</v>
      </c>
      <c r="G1473" s="8" t="s">
        <v>46</v>
      </c>
      <c r="H1473" s="8" t="s">
        <v>25</v>
      </c>
      <c r="I1473" s="8" t="s">
        <v>23</v>
      </c>
      <c r="J1473" s="8" t="s">
        <v>8534</v>
      </c>
      <c r="K1473" s="8" t="s">
        <v>8536</v>
      </c>
      <c r="L1473" s="8" t="s">
        <v>19</v>
      </c>
      <c r="M1473" s="8">
        <v>3791</v>
      </c>
      <c r="N1473" s="8" t="s">
        <v>3048</v>
      </c>
      <c r="O1473" s="8">
        <v>1195</v>
      </c>
      <c r="P1473" s="8" t="s">
        <v>8535</v>
      </c>
      <c r="Q1473" s="8" t="s">
        <v>4262</v>
      </c>
      <c r="R1473" s="8">
        <v>0.218</v>
      </c>
      <c r="S1473" s="8">
        <v>7797556</v>
      </c>
      <c r="T1473" s="8" t="s">
        <v>46</v>
      </c>
      <c r="U1473" s="8" t="s">
        <v>25</v>
      </c>
    </row>
    <row r="1474" spans="1:21">
      <c r="A1474" s="8" t="s">
        <v>8531</v>
      </c>
      <c r="B1474" s="8" t="s">
        <v>8537</v>
      </c>
      <c r="C1474" s="8">
        <v>100505741</v>
      </c>
      <c r="D1474" s="8" t="s">
        <v>22</v>
      </c>
      <c r="E1474" s="8">
        <v>85014611</v>
      </c>
      <c r="F1474" s="8">
        <v>85014611</v>
      </c>
      <c r="G1474" s="8" t="s">
        <v>24</v>
      </c>
      <c r="H1474" s="8" t="s">
        <v>25</v>
      </c>
      <c r="I1474" s="8" t="s">
        <v>23</v>
      </c>
      <c r="J1474" s="8" t="s">
        <v>8538</v>
      </c>
      <c r="K1474" s="8" t="s">
        <v>8540</v>
      </c>
      <c r="L1474" s="8" t="s">
        <v>19</v>
      </c>
      <c r="M1474" s="8">
        <v>1248</v>
      </c>
      <c r="N1474" s="8" t="s">
        <v>2439</v>
      </c>
      <c r="O1474" s="8">
        <v>385</v>
      </c>
      <c r="P1474" s="8" t="s">
        <v>8539</v>
      </c>
      <c r="Q1474" s="8" t="s">
        <v>4262</v>
      </c>
      <c r="R1474" s="8">
        <v>0.114</v>
      </c>
      <c r="S1474" s="8">
        <v>85014611</v>
      </c>
      <c r="T1474" s="8" t="s">
        <v>24</v>
      </c>
      <c r="U1474" s="8" t="s">
        <v>25</v>
      </c>
    </row>
    <row r="1475" spans="1:21">
      <c r="A1475" s="8" t="s">
        <v>8531</v>
      </c>
      <c r="B1475" s="8" t="s">
        <v>3227</v>
      </c>
      <c r="C1475" s="8">
        <v>388646</v>
      </c>
      <c r="D1475" s="8" t="s">
        <v>22</v>
      </c>
      <c r="E1475" s="8">
        <v>89630497</v>
      </c>
      <c r="F1475" s="8">
        <v>89630497</v>
      </c>
      <c r="G1475" s="8" t="s">
        <v>25</v>
      </c>
      <c r="H1475" s="8" t="s">
        <v>41</v>
      </c>
      <c r="I1475" s="8" t="s">
        <v>23</v>
      </c>
      <c r="J1475" s="8" t="s">
        <v>3228</v>
      </c>
      <c r="K1475" s="8" t="s">
        <v>4426</v>
      </c>
      <c r="L1475" s="8" t="s">
        <v>19</v>
      </c>
      <c r="M1475" s="8">
        <v>374</v>
      </c>
      <c r="N1475" s="8" t="s">
        <v>40</v>
      </c>
      <c r="O1475" s="8">
        <v>79</v>
      </c>
      <c r="P1475" s="8" t="s">
        <v>8541</v>
      </c>
      <c r="Q1475" s="8" t="s">
        <v>4262</v>
      </c>
      <c r="R1475" s="8">
        <v>0.25900000000000001</v>
      </c>
      <c r="S1475" s="8">
        <v>89630497</v>
      </c>
      <c r="T1475" s="8" t="s">
        <v>25</v>
      </c>
      <c r="U1475" s="8" t="s">
        <v>41</v>
      </c>
    </row>
    <row r="1476" spans="1:21">
      <c r="A1476" s="8" t="s">
        <v>8531</v>
      </c>
      <c r="B1476" s="8" t="s">
        <v>2969</v>
      </c>
      <c r="C1476" s="8">
        <v>164045</v>
      </c>
      <c r="D1476" s="8" t="s">
        <v>22</v>
      </c>
      <c r="E1476" s="8">
        <v>91781371</v>
      </c>
      <c r="F1476" s="8">
        <v>91781371</v>
      </c>
      <c r="G1476" s="8" t="s">
        <v>46</v>
      </c>
      <c r="H1476" s="8" t="s">
        <v>41</v>
      </c>
      <c r="I1476" s="8" t="s">
        <v>23</v>
      </c>
      <c r="J1476" s="8" t="s">
        <v>2970</v>
      </c>
      <c r="K1476" s="8" t="s">
        <v>8451</v>
      </c>
      <c r="L1476" s="8" t="s">
        <v>68</v>
      </c>
      <c r="M1476" s="8">
        <v>0</v>
      </c>
      <c r="N1476" s="8" t="s">
        <v>35</v>
      </c>
      <c r="O1476" s="8">
        <v>0</v>
      </c>
      <c r="P1476" s="8" t="s">
        <v>35</v>
      </c>
      <c r="Q1476" s="8" t="s">
        <v>4262</v>
      </c>
      <c r="R1476" s="8">
        <v>0.109</v>
      </c>
      <c r="S1476" s="8">
        <v>91781371</v>
      </c>
      <c r="T1476" s="8" t="s">
        <v>46</v>
      </c>
      <c r="U1476" s="8" t="s">
        <v>41</v>
      </c>
    </row>
    <row r="1477" spans="1:21">
      <c r="A1477" s="8" t="s">
        <v>8531</v>
      </c>
      <c r="B1477" s="8" t="s">
        <v>8542</v>
      </c>
      <c r="C1477" s="8">
        <v>199953</v>
      </c>
      <c r="D1477" s="8" t="s">
        <v>22</v>
      </c>
      <c r="E1477" s="8">
        <v>9658585</v>
      </c>
      <c r="F1477" s="8">
        <v>9658585</v>
      </c>
      <c r="G1477" s="8" t="s">
        <v>24</v>
      </c>
      <c r="H1477" s="8" t="s">
        <v>41</v>
      </c>
      <c r="I1477" s="8" t="s">
        <v>23</v>
      </c>
      <c r="J1477" s="8" t="s">
        <v>8543</v>
      </c>
      <c r="K1477" s="8" t="s">
        <v>8545</v>
      </c>
      <c r="L1477" s="8" t="s">
        <v>19</v>
      </c>
      <c r="M1477" s="8">
        <v>565</v>
      </c>
      <c r="N1477" s="8" t="s">
        <v>481</v>
      </c>
      <c r="O1477" s="8">
        <v>170</v>
      </c>
      <c r="P1477" s="8" t="s">
        <v>8544</v>
      </c>
      <c r="Q1477" s="8" t="s">
        <v>4262</v>
      </c>
      <c r="R1477" s="8">
        <v>0.2</v>
      </c>
      <c r="S1477" s="8">
        <v>9658585</v>
      </c>
      <c r="T1477" s="8" t="s">
        <v>24</v>
      </c>
      <c r="U1477" s="8" t="s">
        <v>41</v>
      </c>
    </row>
    <row r="1478" spans="1:21">
      <c r="A1478" s="8" t="s">
        <v>8531</v>
      </c>
      <c r="B1478" s="8" t="s">
        <v>8546</v>
      </c>
      <c r="C1478" s="8">
        <v>58155</v>
      </c>
      <c r="D1478" s="8" t="s">
        <v>22</v>
      </c>
      <c r="E1478" s="8">
        <v>97189124</v>
      </c>
      <c r="F1478" s="8">
        <v>97189124</v>
      </c>
      <c r="G1478" s="8" t="s">
        <v>24</v>
      </c>
      <c r="H1478" s="8" t="s">
        <v>46</v>
      </c>
      <c r="I1478" s="8" t="s">
        <v>23</v>
      </c>
      <c r="J1478" s="8" t="s">
        <v>8547</v>
      </c>
      <c r="K1478" s="8" t="s">
        <v>8549</v>
      </c>
      <c r="L1478" s="8" t="s">
        <v>19</v>
      </c>
      <c r="M1478" s="8">
        <v>259</v>
      </c>
      <c r="N1478" s="8" t="s">
        <v>915</v>
      </c>
      <c r="O1478" s="8">
        <v>5</v>
      </c>
      <c r="P1478" s="8" t="s">
        <v>8548</v>
      </c>
      <c r="Q1478" s="8" t="s">
        <v>4262</v>
      </c>
      <c r="R1478" s="8">
        <v>0.13</v>
      </c>
      <c r="S1478" s="8">
        <v>97189124</v>
      </c>
      <c r="T1478" s="8" t="s">
        <v>24</v>
      </c>
      <c r="U1478" s="8" t="s">
        <v>46</v>
      </c>
    </row>
    <row r="1479" spans="1:21">
      <c r="A1479" s="8" t="s">
        <v>8531</v>
      </c>
      <c r="B1479" s="8" t="s">
        <v>867</v>
      </c>
      <c r="C1479" s="8">
        <v>1301</v>
      </c>
      <c r="D1479" s="8" t="s">
        <v>22</v>
      </c>
      <c r="E1479" s="8">
        <v>103491388</v>
      </c>
      <c r="F1479" s="8">
        <v>103491388</v>
      </c>
      <c r="G1479" s="8" t="s">
        <v>24</v>
      </c>
      <c r="H1479" s="8" t="s">
        <v>25</v>
      </c>
      <c r="I1479" s="8" t="s">
        <v>23</v>
      </c>
      <c r="J1479" s="8" t="s">
        <v>8550</v>
      </c>
      <c r="K1479" s="8" t="s">
        <v>8552</v>
      </c>
      <c r="L1479" s="8" t="s">
        <v>76</v>
      </c>
      <c r="M1479" s="8">
        <v>1219</v>
      </c>
      <c r="N1479" s="8" t="s">
        <v>2720</v>
      </c>
      <c r="O1479" s="8">
        <v>301</v>
      </c>
      <c r="P1479" s="8" t="s">
        <v>8551</v>
      </c>
      <c r="Q1479" s="8" t="s">
        <v>4262</v>
      </c>
      <c r="R1479" s="8">
        <v>0.215</v>
      </c>
      <c r="S1479" s="8">
        <v>103491388</v>
      </c>
      <c r="T1479" s="8" t="s">
        <v>24</v>
      </c>
      <c r="U1479" s="8" t="s">
        <v>25</v>
      </c>
    </row>
    <row r="1480" spans="1:21">
      <c r="A1480" s="8" t="s">
        <v>8531</v>
      </c>
      <c r="B1480" s="8" t="s">
        <v>8553</v>
      </c>
      <c r="C1480" s="8">
        <v>276</v>
      </c>
      <c r="D1480" s="8" t="s">
        <v>22</v>
      </c>
      <c r="E1480" s="8">
        <v>104203093</v>
      </c>
      <c r="F1480" s="8">
        <v>104203093</v>
      </c>
      <c r="G1480" s="8" t="s">
        <v>46</v>
      </c>
      <c r="H1480" s="8" t="s">
        <v>24</v>
      </c>
      <c r="I1480" s="8" t="s">
        <v>23</v>
      </c>
      <c r="J1480" s="8" t="s">
        <v>8554</v>
      </c>
      <c r="K1480" s="8" t="s">
        <v>8556</v>
      </c>
      <c r="L1480" s="8" t="s">
        <v>19</v>
      </c>
      <c r="M1480" s="8">
        <v>1285</v>
      </c>
      <c r="N1480" s="8" t="s">
        <v>347</v>
      </c>
      <c r="O1480" s="8">
        <v>330</v>
      </c>
      <c r="P1480" s="8" t="s">
        <v>8555</v>
      </c>
      <c r="Q1480" s="8" t="s">
        <v>4262</v>
      </c>
      <c r="R1480" s="8">
        <v>0.10100000000000001</v>
      </c>
      <c r="S1480" s="8">
        <v>104203093</v>
      </c>
      <c r="T1480" s="8" t="s">
        <v>46</v>
      </c>
      <c r="U1480" s="8" t="s">
        <v>24</v>
      </c>
    </row>
    <row r="1481" spans="1:21">
      <c r="A1481" s="8" t="s">
        <v>8531</v>
      </c>
      <c r="B1481" s="8" t="s">
        <v>8557</v>
      </c>
      <c r="C1481" s="8">
        <v>5016</v>
      </c>
      <c r="D1481" s="8" t="s">
        <v>22</v>
      </c>
      <c r="E1481" s="8">
        <v>111957201</v>
      </c>
      <c r="F1481" s="8">
        <v>111957201</v>
      </c>
      <c r="G1481" s="8" t="s">
        <v>46</v>
      </c>
      <c r="H1481" s="8" t="s">
        <v>25</v>
      </c>
      <c r="I1481" s="8" t="s">
        <v>23</v>
      </c>
      <c r="J1481" s="8" t="s">
        <v>8558</v>
      </c>
      <c r="K1481" s="8" t="s">
        <v>8561</v>
      </c>
      <c r="L1481" s="8" t="s">
        <v>19</v>
      </c>
      <c r="M1481" s="8">
        <v>1978</v>
      </c>
      <c r="N1481" s="8" t="s">
        <v>1288</v>
      </c>
      <c r="O1481" s="8">
        <v>641</v>
      </c>
      <c r="P1481" s="8" t="s">
        <v>8559</v>
      </c>
      <c r="Q1481" s="8" t="s">
        <v>8560</v>
      </c>
      <c r="R1481" s="8">
        <v>0.20399999999999999</v>
      </c>
      <c r="S1481" s="8">
        <v>111957201</v>
      </c>
      <c r="T1481" s="8" t="s">
        <v>46</v>
      </c>
      <c r="U1481" s="8" t="s">
        <v>25</v>
      </c>
    </row>
    <row r="1482" spans="1:21">
      <c r="A1482" s="8" t="s">
        <v>8531</v>
      </c>
      <c r="B1482" s="8" t="s">
        <v>3210</v>
      </c>
      <c r="C1482" s="8">
        <v>10905</v>
      </c>
      <c r="D1482" s="8" t="s">
        <v>22</v>
      </c>
      <c r="E1482" s="8">
        <v>118008969</v>
      </c>
      <c r="F1482" s="8">
        <v>118008969</v>
      </c>
      <c r="G1482" s="8" t="s">
        <v>24</v>
      </c>
      <c r="H1482" s="8" t="s">
        <v>25</v>
      </c>
      <c r="I1482" s="8" t="s">
        <v>23</v>
      </c>
      <c r="J1482" s="8" t="s">
        <v>3211</v>
      </c>
      <c r="K1482" s="8" t="s">
        <v>8563</v>
      </c>
      <c r="L1482" s="8" t="s">
        <v>19</v>
      </c>
      <c r="M1482" s="8">
        <v>1809</v>
      </c>
      <c r="N1482" s="8" t="s">
        <v>61</v>
      </c>
      <c r="O1482" s="8">
        <v>363</v>
      </c>
      <c r="P1482" s="8" t="s">
        <v>8562</v>
      </c>
      <c r="Q1482" s="8" t="s">
        <v>4262</v>
      </c>
      <c r="R1482" s="8">
        <v>0.432</v>
      </c>
      <c r="S1482" s="8">
        <v>118008969</v>
      </c>
      <c r="T1482" s="8" t="s">
        <v>24</v>
      </c>
      <c r="U1482" s="8" t="s">
        <v>25</v>
      </c>
    </row>
    <row r="1483" spans="1:21">
      <c r="A1483" s="8" t="s">
        <v>8531</v>
      </c>
      <c r="B1483" s="8" t="s">
        <v>8564</v>
      </c>
      <c r="C1483" s="8">
        <v>200162</v>
      </c>
      <c r="D1483" s="8" t="s">
        <v>22</v>
      </c>
      <c r="E1483" s="8">
        <v>118535154</v>
      </c>
      <c r="F1483" s="8">
        <v>118535154</v>
      </c>
      <c r="G1483" s="8" t="s">
        <v>24</v>
      </c>
      <c r="H1483" s="8" t="s">
        <v>25</v>
      </c>
      <c r="I1483" s="8" t="s">
        <v>23</v>
      </c>
      <c r="J1483" s="8" t="s">
        <v>8565</v>
      </c>
      <c r="K1483" s="8" t="s">
        <v>8567</v>
      </c>
      <c r="L1483" s="8" t="s">
        <v>19</v>
      </c>
      <c r="M1483" s="8">
        <v>5364</v>
      </c>
      <c r="N1483" s="8" t="s">
        <v>560</v>
      </c>
      <c r="O1483" s="8">
        <v>1766</v>
      </c>
      <c r="P1483" s="8" t="s">
        <v>8566</v>
      </c>
      <c r="Q1483" s="8" t="s">
        <v>4262</v>
      </c>
      <c r="R1483" s="8">
        <v>0.13</v>
      </c>
      <c r="S1483" s="8">
        <v>118535154</v>
      </c>
      <c r="T1483" s="8" t="s">
        <v>24</v>
      </c>
      <c r="U1483" s="8" t="s">
        <v>25</v>
      </c>
    </row>
    <row r="1484" spans="1:21">
      <c r="A1484" s="8" t="s">
        <v>8531</v>
      </c>
      <c r="B1484" s="8" t="s">
        <v>4083</v>
      </c>
      <c r="C1484" s="8">
        <v>25832</v>
      </c>
      <c r="D1484" s="8" t="s">
        <v>22</v>
      </c>
      <c r="E1484" s="8">
        <v>148004692</v>
      </c>
      <c r="F1484" s="8">
        <v>148004692</v>
      </c>
      <c r="G1484" s="8" t="s">
        <v>24</v>
      </c>
      <c r="H1484" s="8" t="s">
        <v>46</v>
      </c>
      <c r="I1484" s="8" t="s">
        <v>23</v>
      </c>
      <c r="J1484" s="8" t="s">
        <v>8568</v>
      </c>
      <c r="K1484" s="8" t="s">
        <v>8570</v>
      </c>
      <c r="L1484" s="8" t="s">
        <v>19</v>
      </c>
      <c r="M1484" s="8">
        <v>2639</v>
      </c>
      <c r="N1484" s="8" t="s">
        <v>507</v>
      </c>
      <c r="O1484" s="8">
        <v>874</v>
      </c>
      <c r="P1484" s="8" t="s">
        <v>8569</v>
      </c>
      <c r="Q1484" s="8" t="s">
        <v>4262</v>
      </c>
      <c r="R1484" s="8">
        <v>4.7E-2</v>
      </c>
      <c r="S1484" s="8">
        <v>148004692</v>
      </c>
      <c r="T1484" s="8" t="s">
        <v>24</v>
      </c>
      <c r="U1484" s="8" t="s">
        <v>46</v>
      </c>
    </row>
    <row r="1485" spans="1:21">
      <c r="A1485" s="8" t="s">
        <v>8531</v>
      </c>
      <c r="B1485" s="8" t="s">
        <v>5427</v>
      </c>
      <c r="C1485" s="8">
        <v>126637</v>
      </c>
      <c r="D1485" s="8" t="s">
        <v>22</v>
      </c>
      <c r="E1485" s="8">
        <v>152058843</v>
      </c>
      <c r="F1485" s="8">
        <v>152058843</v>
      </c>
      <c r="G1485" s="8" t="s">
        <v>46</v>
      </c>
      <c r="H1485" s="8" t="s">
        <v>41</v>
      </c>
      <c r="I1485" s="8" t="s">
        <v>23</v>
      </c>
      <c r="J1485" s="8" t="s">
        <v>5428</v>
      </c>
      <c r="K1485" s="8" t="s">
        <v>5430</v>
      </c>
      <c r="L1485" s="8" t="s">
        <v>19</v>
      </c>
      <c r="M1485" s="8">
        <v>1380</v>
      </c>
      <c r="N1485" s="8" t="s">
        <v>758</v>
      </c>
      <c r="O1485" s="8">
        <v>439</v>
      </c>
      <c r="P1485" s="8" t="s">
        <v>8571</v>
      </c>
      <c r="Q1485" s="8" t="s">
        <v>4262</v>
      </c>
      <c r="R1485" s="8">
        <v>7.4999999999999997E-2</v>
      </c>
      <c r="S1485" s="8">
        <v>152058843</v>
      </c>
      <c r="T1485" s="8" t="s">
        <v>46</v>
      </c>
      <c r="U1485" s="8" t="s">
        <v>41</v>
      </c>
    </row>
    <row r="1486" spans="1:21">
      <c r="A1486" s="8" t="s">
        <v>8531</v>
      </c>
      <c r="B1486" s="8" t="s">
        <v>1723</v>
      </c>
      <c r="C1486" s="8">
        <v>7062</v>
      </c>
      <c r="D1486" s="8" t="s">
        <v>22</v>
      </c>
      <c r="E1486" s="8">
        <v>152082248</v>
      </c>
      <c r="F1486" s="8">
        <v>152082248</v>
      </c>
      <c r="G1486" s="8" t="s">
        <v>46</v>
      </c>
      <c r="H1486" s="8" t="s">
        <v>25</v>
      </c>
      <c r="I1486" s="8" t="s">
        <v>23</v>
      </c>
      <c r="J1486" s="8" t="s">
        <v>8572</v>
      </c>
      <c r="K1486" s="8" t="s">
        <v>8574</v>
      </c>
      <c r="L1486" s="8" t="s">
        <v>76</v>
      </c>
      <c r="M1486" s="8">
        <v>3445</v>
      </c>
      <c r="N1486" s="8" t="s">
        <v>263</v>
      </c>
      <c r="O1486" s="8">
        <v>1149</v>
      </c>
      <c r="P1486" s="8" t="s">
        <v>8573</v>
      </c>
      <c r="Q1486" s="8" t="s">
        <v>4262</v>
      </c>
      <c r="R1486" s="8">
        <v>0.104</v>
      </c>
      <c r="S1486" s="8">
        <v>152082248</v>
      </c>
      <c r="T1486" s="8" t="s">
        <v>46</v>
      </c>
      <c r="U1486" s="8" t="s">
        <v>25</v>
      </c>
    </row>
    <row r="1487" spans="1:21">
      <c r="A1487" s="8" t="s">
        <v>8531</v>
      </c>
      <c r="B1487" s="8" t="s">
        <v>1556</v>
      </c>
      <c r="C1487" s="8">
        <v>388698</v>
      </c>
      <c r="D1487" s="8" t="s">
        <v>22</v>
      </c>
      <c r="E1487" s="8">
        <v>152324315</v>
      </c>
      <c r="F1487" s="8">
        <v>152324315</v>
      </c>
      <c r="G1487" s="8" t="s">
        <v>25</v>
      </c>
      <c r="H1487" s="8" t="s">
        <v>41</v>
      </c>
      <c r="I1487" s="8" t="s">
        <v>23</v>
      </c>
      <c r="J1487" s="8" t="s">
        <v>1557</v>
      </c>
      <c r="K1487" s="8" t="s">
        <v>8576</v>
      </c>
      <c r="L1487" s="8" t="s">
        <v>19</v>
      </c>
      <c r="M1487" s="8">
        <v>6020</v>
      </c>
      <c r="N1487" s="8" t="s">
        <v>3168</v>
      </c>
      <c r="O1487" s="8">
        <v>1983</v>
      </c>
      <c r="P1487" s="8" t="s">
        <v>8575</v>
      </c>
      <c r="Q1487" s="8" t="s">
        <v>4262</v>
      </c>
      <c r="R1487" s="8">
        <v>0.66300000000000003</v>
      </c>
      <c r="S1487" s="8">
        <v>152324315</v>
      </c>
      <c r="T1487" s="8" t="s">
        <v>25</v>
      </c>
      <c r="U1487" s="8" t="s">
        <v>41</v>
      </c>
    </row>
    <row r="1488" spans="1:21">
      <c r="A1488" s="8" t="s">
        <v>8531</v>
      </c>
      <c r="B1488" s="8" t="s">
        <v>3212</v>
      </c>
      <c r="C1488" s="8">
        <v>353142</v>
      </c>
      <c r="D1488" s="8" t="s">
        <v>22</v>
      </c>
      <c r="E1488" s="8">
        <v>152595447</v>
      </c>
      <c r="F1488" s="8">
        <v>152595447</v>
      </c>
      <c r="G1488" s="8" t="s">
        <v>24</v>
      </c>
      <c r="H1488" s="8" t="s">
        <v>41</v>
      </c>
      <c r="I1488" s="8" t="s">
        <v>23</v>
      </c>
      <c r="J1488" s="8" t="s">
        <v>3213</v>
      </c>
      <c r="K1488" s="8" t="s">
        <v>8578</v>
      </c>
      <c r="L1488" s="8" t="s">
        <v>19</v>
      </c>
      <c r="M1488" s="8">
        <v>133</v>
      </c>
      <c r="N1488" s="8" t="s">
        <v>405</v>
      </c>
      <c r="O1488" s="8">
        <v>45</v>
      </c>
      <c r="P1488" s="8" t="s">
        <v>8577</v>
      </c>
      <c r="Q1488" s="8" t="s">
        <v>4262</v>
      </c>
      <c r="R1488" s="8">
        <v>0.70699999999999996</v>
      </c>
      <c r="S1488" s="8">
        <v>152595447</v>
      </c>
      <c r="T1488" s="8" t="s">
        <v>24</v>
      </c>
      <c r="U1488" s="8" t="s">
        <v>41</v>
      </c>
    </row>
    <row r="1489" spans="1:21">
      <c r="A1489" s="8" t="s">
        <v>8531</v>
      </c>
      <c r="B1489" s="8" t="s">
        <v>3214</v>
      </c>
      <c r="C1489" s="8">
        <v>10067</v>
      </c>
      <c r="D1489" s="8" t="s">
        <v>22</v>
      </c>
      <c r="E1489" s="8">
        <v>155226072</v>
      </c>
      <c r="F1489" s="8">
        <v>155226072</v>
      </c>
      <c r="G1489" s="8" t="s">
        <v>46</v>
      </c>
      <c r="H1489" s="8" t="s">
        <v>25</v>
      </c>
      <c r="I1489" s="8" t="s">
        <v>23</v>
      </c>
      <c r="J1489" s="8" t="s">
        <v>8579</v>
      </c>
      <c r="K1489" s="8" t="s">
        <v>8581</v>
      </c>
      <c r="L1489" s="8" t="s">
        <v>19</v>
      </c>
      <c r="M1489" s="8">
        <v>1270</v>
      </c>
      <c r="N1489" s="8" t="s">
        <v>256</v>
      </c>
      <c r="O1489" s="8">
        <v>346</v>
      </c>
      <c r="P1489" s="8" t="s">
        <v>8580</v>
      </c>
      <c r="Q1489" s="8" t="s">
        <v>4262</v>
      </c>
      <c r="R1489" s="8">
        <v>0.64</v>
      </c>
      <c r="S1489" s="8">
        <v>155226072</v>
      </c>
      <c r="T1489" s="8" t="s">
        <v>46</v>
      </c>
      <c r="U1489" s="8" t="s">
        <v>25</v>
      </c>
    </row>
    <row r="1490" spans="1:21">
      <c r="A1490" s="8" t="s">
        <v>8531</v>
      </c>
      <c r="B1490" s="8" t="s">
        <v>3215</v>
      </c>
      <c r="C1490" s="8">
        <v>114827</v>
      </c>
      <c r="D1490" s="8" t="s">
        <v>22</v>
      </c>
      <c r="E1490" s="8">
        <v>15644391</v>
      </c>
      <c r="F1490" s="8">
        <v>15644391</v>
      </c>
      <c r="G1490" s="8" t="s">
        <v>46</v>
      </c>
      <c r="H1490" s="8" t="s">
        <v>25</v>
      </c>
      <c r="I1490" s="8" t="s">
        <v>23</v>
      </c>
      <c r="J1490" s="8" t="s">
        <v>3216</v>
      </c>
      <c r="K1490" s="8" t="s">
        <v>8583</v>
      </c>
      <c r="L1490" s="8" t="s">
        <v>19</v>
      </c>
      <c r="M1490" s="8">
        <v>1470</v>
      </c>
      <c r="N1490" s="8" t="s">
        <v>316</v>
      </c>
      <c r="O1490" s="8">
        <v>444</v>
      </c>
      <c r="P1490" s="8" t="s">
        <v>8582</v>
      </c>
      <c r="Q1490" s="8" t="s">
        <v>4262</v>
      </c>
      <c r="R1490" s="8">
        <v>0.33900000000000002</v>
      </c>
      <c r="S1490" s="8">
        <v>15644391</v>
      </c>
      <c r="T1490" s="8" t="s">
        <v>46</v>
      </c>
      <c r="U1490" s="8" t="s">
        <v>25</v>
      </c>
    </row>
    <row r="1491" spans="1:21">
      <c r="A1491" s="8" t="s">
        <v>8531</v>
      </c>
      <c r="B1491" s="8" t="s">
        <v>3217</v>
      </c>
      <c r="C1491" s="8">
        <v>115350</v>
      </c>
      <c r="D1491" s="8" t="s">
        <v>22</v>
      </c>
      <c r="E1491" s="8">
        <v>157771885</v>
      </c>
      <c r="F1491" s="8">
        <v>157771885</v>
      </c>
      <c r="G1491" s="8" t="s">
        <v>24</v>
      </c>
      <c r="H1491" s="8" t="s">
        <v>25</v>
      </c>
      <c r="I1491" s="8" t="s">
        <v>23</v>
      </c>
      <c r="J1491" s="8" t="s">
        <v>8584</v>
      </c>
      <c r="K1491" s="8" t="s">
        <v>8586</v>
      </c>
      <c r="L1491" s="8" t="s">
        <v>19</v>
      </c>
      <c r="M1491" s="8">
        <v>819</v>
      </c>
      <c r="N1491" s="8" t="s">
        <v>415</v>
      </c>
      <c r="O1491" s="8">
        <v>236</v>
      </c>
      <c r="P1491" s="8" t="s">
        <v>8585</v>
      </c>
      <c r="Q1491" s="8" t="s">
        <v>4262</v>
      </c>
      <c r="R1491" s="8">
        <v>9.1999999999999998E-2</v>
      </c>
      <c r="S1491" s="8">
        <v>157771885</v>
      </c>
      <c r="T1491" s="8" t="s">
        <v>24</v>
      </c>
      <c r="U1491" s="8" t="s">
        <v>25</v>
      </c>
    </row>
    <row r="1492" spans="1:21">
      <c r="A1492" s="8" t="s">
        <v>8531</v>
      </c>
      <c r="B1492" s="8" t="s">
        <v>3217</v>
      </c>
      <c r="C1492" s="8">
        <v>115350</v>
      </c>
      <c r="D1492" s="8" t="s">
        <v>22</v>
      </c>
      <c r="E1492" s="8">
        <v>157772176</v>
      </c>
      <c r="F1492" s="8">
        <v>157772176</v>
      </c>
      <c r="G1492" s="8" t="s">
        <v>41</v>
      </c>
      <c r="H1492" s="8" t="s">
        <v>24</v>
      </c>
      <c r="I1492" s="8" t="s">
        <v>23</v>
      </c>
      <c r="J1492" s="8" t="s">
        <v>8584</v>
      </c>
      <c r="K1492" s="8" t="s">
        <v>8586</v>
      </c>
      <c r="L1492" s="8" t="s">
        <v>19</v>
      </c>
      <c r="M1492" s="8">
        <v>711</v>
      </c>
      <c r="N1492" s="8" t="s">
        <v>3218</v>
      </c>
      <c r="O1492" s="8">
        <v>200</v>
      </c>
      <c r="P1492" s="8" t="s">
        <v>8587</v>
      </c>
      <c r="Q1492" s="8" t="s">
        <v>4262</v>
      </c>
      <c r="R1492" s="8">
        <v>0.44800000000000001</v>
      </c>
      <c r="S1492" s="8">
        <v>157772176</v>
      </c>
      <c r="T1492" s="8" t="s">
        <v>41</v>
      </c>
      <c r="U1492" s="8" t="s">
        <v>24</v>
      </c>
    </row>
    <row r="1493" spans="1:21">
      <c r="A1493" s="8" t="s">
        <v>8531</v>
      </c>
      <c r="B1493" s="8" t="s">
        <v>8588</v>
      </c>
      <c r="C1493" s="8">
        <v>128366</v>
      </c>
      <c r="D1493" s="8" t="s">
        <v>22</v>
      </c>
      <c r="E1493" s="8">
        <v>158533069</v>
      </c>
      <c r="F1493" s="8">
        <v>158533069</v>
      </c>
      <c r="G1493" s="8" t="s">
        <v>46</v>
      </c>
      <c r="H1493" s="8" t="s">
        <v>41</v>
      </c>
      <c r="I1493" s="8" t="s">
        <v>23</v>
      </c>
      <c r="J1493" s="8" t="s">
        <v>8589</v>
      </c>
      <c r="K1493" s="8" t="s">
        <v>8591</v>
      </c>
      <c r="L1493" s="8" t="s">
        <v>19</v>
      </c>
      <c r="M1493" s="8">
        <v>326</v>
      </c>
      <c r="N1493" s="8" t="s">
        <v>618</v>
      </c>
      <c r="O1493" s="8">
        <v>109</v>
      </c>
      <c r="P1493" s="8" t="s">
        <v>8590</v>
      </c>
      <c r="Q1493" s="8" t="s">
        <v>4262</v>
      </c>
      <c r="R1493" s="8">
        <v>9.9000000000000005E-2</v>
      </c>
      <c r="S1493" s="8">
        <v>158533069</v>
      </c>
      <c r="T1493" s="8" t="s">
        <v>46</v>
      </c>
      <c r="U1493" s="8" t="s">
        <v>41</v>
      </c>
    </row>
    <row r="1494" spans="1:21">
      <c r="A1494" s="8" t="s">
        <v>8531</v>
      </c>
      <c r="B1494" s="8" t="s">
        <v>3219</v>
      </c>
      <c r="C1494" s="8">
        <v>149628</v>
      </c>
      <c r="D1494" s="8" t="s">
        <v>22</v>
      </c>
      <c r="E1494" s="8">
        <v>158913705</v>
      </c>
      <c r="F1494" s="8">
        <v>158913705</v>
      </c>
      <c r="G1494" s="8" t="s">
        <v>46</v>
      </c>
      <c r="H1494" s="8" t="s">
        <v>25</v>
      </c>
      <c r="I1494" s="8" t="s">
        <v>23</v>
      </c>
      <c r="J1494" s="8" t="s">
        <v>6618</v>
      </c>
      <c r="K1494" s="8" t="s">
        <v>6620</v>
      </c>
      <c r="L1494" s="8" t="s">
        <v>76</v>
      </c>
      <c r="M1494" s="8">
        <v>1373</v>
      </c>
      <c r="N1494" s="8" t="s">
        <v>209</v>
      </c>
      <c r="O1494" s="8">
        <v>376</v>
      </c>
      <c r="P1494" s="8" t="s">
        <v>7135</v>
      </c>
      <c r="Q1494" s="8" t="s">
        <v>4262</v>
      </c>
      <c r="R1494" s="8">
        <v>0.436</v>
      </c>
      <c r="S1494" s="8">
        <v>158913705</v>
      </c>
      <c r="T1494" s="8" t="s">
        <v>46</v>
      </c>
      <c r="U1494" s="8" t="s">
        <v>25</v>
      </c>
    </row>
    <row r="1495" spans="1:21">
      <c r="A1495" s="8" t="s">
        <v>8531</v>
      </c>
      <c r="B1495" s="8" t="s">
        <v>3220</v>
      </c>
      <c r="C1495" s="8">
        <v>23207</v>
      </c>
      <c r="D1495" s="8" t="s">
        <v>22</v>
      </c>
      <c r="E1495" s="8">
        <v>16060401</v>
      </c>
      <c r="F1495" s="8">
        <v>16060401</v>
      </c>
      <c r="G1495" s="8" t="s">
        <v>24</v>
      </c>
      <c r="H1495" s="8" t="s">
        <v>41</v>
      </c>
      <c r="I1495" s="8" t="s">
        <v>23</v>
      </c>
      <c r="J1495" s="8" t="s">
        <v>3221</v>
      </c>
      <c r="K1495" s="8" t="s">
        <v>6805</v>
      </c>
      <c r="L1495" s="8" t="s">
        <v>19</v>
      </c>
      <c r="M1495" s="8">
        <v>3259</v>
      </c>
      <c r="N1495" s="8" t="s">
        <v>710</v>
      </c>
      <c r="O1495" s="8">
        <v>1011</v>
      </c>
      <c r="P1495" s="8" t="s">
        <v>8592</v>
      </c>
      <c r="Q1495" s="8" t="s">
        <v>4262</v>
      </c>
      <c r="R1495" s="8">
        <v>0.24099999999999999</v>
      </c>
      <c r="S1495" s="8">
        <v>16060401</v>
      </c>
      <c r="T1495" s="8" t="s">
        <v>24</v>
      </c>
      <c r="U1495" s="8" t="s">
        <v>41</v>
      </c>
    </row>
    <row r="1496" spans="1:21">
      <c r="A1496" s="8" t="s">
        <v>8531</v>
      </c>
      <c r="B1496" s="8" t="s">
        <v>5443</v>
      </c>
      <c r="C1496" s="8">
        <v>9191</v>
      </c>
      <c r="D1496" s="8" t="s">
        <v>22</v>
      </c>
      <c r="E1496" s="8">
        <v>161092181</v>
      </c>
      <c r="F1496" s="8">
        <v>161092181</v>
      </c>
      <c r="G1496" s="8" t="s">
        <v>24</v>
      </c>
      <c r="H1496" s="8" t="s">
        <v>25</v>
      </c>
      <c r="I1496" s="8" t="s">
        <v>23</v>
      </c>
      <c r="J1496" s="8" t="s">
        <v>5444</v>
      </c>
      <c r="K1496" s="8" t="s">
        <v>5446</v>
      </c>
      <c r="L1496" s="8" t="s">
        <v>19</v>
      </c>
      <c r="M1496" s="8">
        <v>886</v>
      </c>
      <c r="N1496" s="8" t="s">
        <v>309</v>
      </c>
      <c r="O1496" s="8">
        <v>238</v>
      </c>
      <c r="P1496" s="8" t="s">
        <v>8593</v>
      </c>
      <c r="Q1496" s="8" t="s">
        <v>4262</v>
      </c>
      <c r="R1496" s="8">
        <v>9.7000000000000003E-2</v>
      </c>
      <c r="S1496" s="8">
        <v>161092181</v>
      </c>
      <c r="T1496" s="8" t="s">
        <v>24</v>
      </c>
      <c r="U1496" s="8" t="s">
        <v>25</v>
      </c>
    </row>
    <row r="1497" spans="1:21">
      <c r="A1497" s="8" t="s">
        <v>8531</v>
      </c>
      <c r="B1497" s="8" t="s">
        <v>3222</v>
      </c>
      <c r="C1497" s="8">
        <v>92235</v>
      </c>
      <c r="D1497" s="8" t="s">
        <v>22</v>
      </c>
      <c r="E1497" s="8">
        <v>167096809</v>
      </c>
      <c r="F1497" s="8">
        <v>167096809</v>
      </c>
      <c r="G1497" s="8" t="s">
        <v>24</v>
      </c>
      <c r="H1497" s="8" t="s">
        <v>25</v>
      </c>
      <c r="I1497" s="8" t="s">
        <v>23</v>
      </c>
      <c r="J1497" s="8" t="s">
        <v>3223</v>
      </c>
      <c r="K1497" s="8" t="s">
        <v>8595</v>
      </c>
      <c r="L1497" s="8" t="s">
        <v>19</v>
      </c>
      <c r="M1497" s="8">
        <v>2441</v>
      </c>
      <c r="N1497" s="8" t="s">
        <v>708</v>
      </c>
      <c r="O1497" s="8">
        <v>814</v>
      </c>
      <c r="P1497" s="8" t="s">
        <v>8594</v>
      </c>
      <c r="Q1497" s="8" t="s">
        <v>4262</v>
      </c>
      <c r="R1497" s="8">
        <v>0.1</v>
      </c>
      <c r="S1497" s="8">
        <v>167096809</v>
      </c>
      <c r="T1497" s="8" t="s">
        <v>24</v>
      </c>
      <c r="U1497" s="8" t="s">
        <v>25</v>
      </c>
    </row>
    <row r="1498" spans="1:21">
      <c r="A1498" s="8" t="s">
        <v>8531</v>
      </c>
      <c r="B1498" s="8" t="s">
        <v>8596</v>
      </c>
      <c r="C1498" s="8">
        <v>89866</v>
      </c>
      <c r="D1498" s="8" t="s">
        <v>22</v>
      </c>
      <c r="E1498" s="8">
        <v>177930023</v>
      </c>
      <c r="F1498" s="8">
        <v>177930023</v>
      </c>
      <c r="G1498" s="8" t="s">
        <v>25</v>
      </c>
      <c r="H1498" s="8" t="s">
        <v>46</v>
      </c>
      <c r="I1498" s="8" t="s">
        <v>23</v>
      </c>
      <c r="J1498" s="8" t="s">
        <v>8597</v>
      </c>
      <c r="K1498" s="8" t="s">
        <v>8599</v>
      </c>
      <c r="L1498" s="8" t="s">
        <v>19</v>
      </c>
      <c r="M1498" s="8">
        <v>929</v>
      </c>
      <c r="N1498" s="8" t="s">
        <v>2995</v>
      </c>
      <c r="O1498" s="8">
        <v>280</v>
      </c>
      <c r="P1498" s="8" t="s">
        <v>8598</v>
      </c>
      <c r="Q1498" s="8" t="s">
        <v>4262</v>
      </c>
      <c r="R1498" s="8">
        <v>6.3E-2</v>
      </c>
      <c r="S1498" s="8">
        <v>177930023</v>
      </c>
      <c r="T1498" s="8" t="s">
        <v>25</v>
      </c>
      <c r="U1498" s="8" t="s">
        <v>46</v>
      </c>
    </row>
    <row r="1499" spans="1:21">
      <c r="A1499" s="8" t="s">
        <v>8531</v>
      </c>
      <c r="B1499" s="8" t="s">
        <v>1289</v>
      </c>
      <c r="C1499" s="8">
        <v>777</v>
      </c>
      <c r="D1499" s="8" t="s">
        <v>22</v>
      </c>
      <c r="E1499" s="8">
        <v>181702599</v>
      </c>
      <c r="F1499" s="8">
        <v>181702599</v>
      </c>
      <c r="G1499" s="8" t="s">
        <v>24</v>
      </c>
      <c r="H1499" s="8" t="s">
        <v>41</v>
      </c>
      <c r="I1499" s="8" t="s">
        <v>23</v>
      </c>
      <c r="J1499" s="8" t="s">
        <v>8600</v>
      </c>
      <c r="K1499" s="8" t="s">
        <v>8602</v>
      </c>
      <c r="L1499" s="8" t="s">
        <v>19</v>
      </c>
      <c r="M1499" s="8">
        <v>3170</v>
      </c>
      <c r="N1499" s="8" t="s">
        <v>710</v>
      </c>
      <c r="O1499" s="8">
        <v>992</v>
      </c>
      <c r="P1499" s="8" t="s">
        <v>8601</v>
      </c>
      <c r="Q1499" s="8" t="s">
        <v>4262</v>
      </c>
      <c r="R1499" s="8">
        <v>0.17899999999999999</v>
      </c>
      <c r="S1499" s="8">
        <v>181702599</v>
      </c>
      <c r="T1499" s="8" t="s">
        <v>24</v>
      </c>
      <c r="U1499" s="8" t="s">
        <v>41</v>
      </c>
    </row>
    <row r="1500" spans="1:21">
      <c r="A1500" s="8" t="s">
        <v>8531</v>
      </c>
      <c r="B1500" s="8" t="s">
        <v>1289</v>
      </c>
      <c r="C1500" s="8">
        <v>777</v>
      </c>
      <c r="D1500" s="8" t="s">
        <v>22</v>
      </c>
      <c r="E1500" s="8">
        <v>181741219</v>
      </c>
      <c r="F1500" s="8">
        <v>181741219</v>
      </c>
      <c r="G1500" s="8" t="s">
        <v>46</v>
      </c>
      <c r="H1500" s="8" t="s">
        <v>25</v>
      </c>
      <c r="I1500" s="8" t="s">
        <v>23</v>
      </c>
      <c r="J1500" s="8" t="s">
        <v>8600</v>
      </c>
      <c r="K1500" s="8" t="s">
        <v>8602</v>
      </c>
      <c r="L1500" s="8" t="s">
        <v>19</v>
      </c>
      <c r="M1500" s="8">
        <v>5186</v>
      </c>
      <c r="N1500" s="8" t="s">
        <v>3048</v>
      </c>
      <c r="O1500" s="8">
        <v>1664</v>
      </c>
      <c r="P1500" s="8" t="s">
        <v>8603</v>
      </c>
      <c r="Q1500" s="8" t="s">
        <v>4262</v>
      </c>
      <c r="R1500" s="8">
        <v>8.8999999999999996E-2</v>
      </c>
      <c r="S1500" s="8">
        <v>181741219</v>
      </c>
      <c r="T1500" s="8" t="s">
        <v>46</v>
      </c>
      <c r="U1500" s="8" t="s">
        <v>25</v>
      </c>
    </row>
    <row r="1501" spans="1:21">
      <c r="A1501" s="8" t="s">
        <v>8531</v>
      </c>
      <c r="B1501" s="8" t="s">
        <v>3224</v>
      </c>
      <c r="C1501" s="8">
        <v>3918</v>
      </c>
      <c r="D1501" s="8" t="s">
        <v>22</v>
      </c>
      <c r="E1501" s="8">
        <v>183203563</v>
      </c>
      <c r="F1501" s="8">
        <v>183203563</v>
      </c>
      <c r="G1501" s="8" t="s">
        <v>46</v>
      </c>
      <c r="H1501" s="8" t="s">
        <v>25</v>
      </c>
      <c r="I1501" s="8" t="s">
        <v>23</v>
      </c>
      <c r="J1501" s="8" t="s">
        <v>5124</v>
      </c>
      <c r="K1501" s="8" t="s">
        <v>5126</v>
      </c>
      <c r="L1501" s="8" t="s">
        <v>19</v>
      </c>
      <c r="M1501" s="8">
        <v>2596</v>
      </c>
      <c r="N1501" s="8" t="s">
        <v>3048</v>
      </c>
      <c r="O1501" s="8">
        <v>761</v>
      </c>
      <c r="P1501" s="8" t="s">
        <v>8604</v>
      </c>
      <c r="Q1501" s="8" t="s">
        <v>4262</v>
      </c>
      <c r="R1501" s="8">
        <v>0.26800000000000002</v>
      </c>
      <c r="S1501" s="8">
        <v>183203563</v>
      </c>
      <c r="T1501" s="8" t="s">
        <v>46</v>
      </c>
      <c r="U1501" s="8" t="s">
        <v>25</v>
      </c>
    </row>
    <row r="1502" spans="1:21">
      <c r="A1502" s="8" t="s">
        <v>8531</v>
      </c>
      <c r="B1502" s="8" t="s">
        <v>1428</v>
      </c>
      <c r="C1502" s="8">
        <v>339479</v>
      </c>
      <c r="D1502" s="8" t="s">
        <v>22</v>
      </c>
      <c r="E1502" s="8">
        <v>190067294</v>
      </c>
      <c r="F1502" s="8">
        <v>190067294</v>
      </c>
      <c r="G1502" s="8" t="s">
        <v>24</v>
      </c>
      <c r="H1502" s="8" t="s">
        <v>41</v>
      </c>
      <c r="I1502" s="8" t="s">
        <v>23</v>
      </c>
      <c r="J1502" s="8" t="s">
        <v>1429</v>
      </c>
      <c r="K1502" s="8" t="s">
        <v>8606</v>
      </c>
      <c r="L1502" s="8" t="s">
        <v>19</v>
      </c>
      <c r="M1502" s="8">
        <v>2387</v>
      </c>
      <c r="N1502" s="8" t="s">
        <v>1290</v>
      </c>
      <c r="O1502" s="8">
        <v>719</v>
      </c>
      <c r="P1502" s="8" t="s">
        <v>8605</v>
      </c>
      <c r="Q1502" s="8" t="s">
        <v>4262</v>
      </c>
      <c r="R1502" s="8">
        <v>0.106</v>
      </c>
      <c r="S1502" s="8">
        <v>190067294</v>
      </c>
      <c r="T1502" s="8" t="s">
        <v>24</v>
      </c>
      <c r="U1502" s="8" t="s">
        <v>41</v>
      </c>
    </row>
    <row r="1503" spans="1:21">
      <c r="A1503" s="8" t="s">
        <v>8531</v>
      </c>
      <c r="B1503" s="8" t="s">
        <v>5259</v>
      </c>
      <c r="C1503" s="8">
        <v>23418</v>
      </c>
      <c r="D1503" s="8" t="s">
        <v>22</v>
      </c>
      <c r="E1503" s="8">
        <v>197298038</v>
      </c>
      <c r="F1503" s="8">
        <v>197298038</v>
      </c>
      <c r="G1503" s="8" t="s">
        <v>25</v>
      </c>
      <c r="H1503" s="8" t="s">
        <v>41</v>
      </c>
      <c r="I1503" s="8" t="s">
        <v>23</v>
      </c>
      <c r="J1503" s="8" t="s">
        <v>5260</v>
      </c>
      <c r="K1503" s="8" t="s">
        <v>5262</v>
      </c>
      <c r="L1503" s="8" t="s">
        <v>19</v>
      </c>
      <c r="M1503" s="8">
        <v>766</v>
      </c>
      <c r="N1503" s="8" t="s">
        <v>3268</v>
      </c>
      <c r="O1503" s="8">
        <v>186</v>
      </c>
      <c r="P1503" s="8" t="s">
        <v>8607</v>
      </c>
      <c r="Q1503" s="8" t="s">
        <v>4262</v>
      </c>
      <c r="R1503" s="8">
        <v>0.20599999999999999</v>
      </c>
      <c r="S1503" s="8">
        <v>197298038</v>
      </c>
      <c r="T1503" s="8" t="s">
        <v>25</v>
      </c>
      <c r="U1503" s="8" t="s">
        <v>41</v>
      </c>
    </row>
    <row r="1504" spans="1:21">
      <c r="A1504" s="8" t="s">
        <v>8531</v>
      </c>
      <c r="B1504" s="8" t="s">
        <v>2410</v>
      </c>
      <c r="C1504" s="8">
        <v>5788</v>
      </c>
      <c r="D1504" s="8" t="s">
        <v>22</v>
      </c>
      <c r="E1504" s="8">
        <v>198668783</v>
      </c>
      <c r="F1504" s="8">
        <v>198668783</v>
      </c>
      <c r="G1504" s="8" t="s">
        <v>46</v>
      </c>
      <c r="H1504" s="8" t="s">
        <v>24</v>
      </c>
      <c r="I1504" s="8" t="s">
        <v>23</v>
      </c>
      <c r="J1504" s="8" t="s">
        <v>8608</v>
      </c>
      <c r="K1504" s="8" t="s">
        <v>8610</v>
      </c>
      <c r="L1504" s="8" t="s">
        <v>19</v>
      </c>
      <c r="M1504" s="8">
        <v>563</v>
      </c>
      <c r="N1504" s="8" t="s">
        <v>810</v>
      </c>
      <c r="O1504" s="8">
        <v>128</v>
      </c>
      <c r="P1504" s="8" t="s">
        <v>8609</v>
      </c>
      <c r="Q1504" s="8" t="s">
        <v>4262</v>
      </c>
      <c r="R1504" s="8">
        <v>0.14000000000000001</v>
      </c>
      <c r="S1504" s="8">
        <v>198668783</v>
      </c>
      <c r="T1504" s="8" t="s">
        <v>46</v>
      </c>
      <c r="U1504" s="8" t="s">
        <v>24</v>
      </c>
    </row>
    <row r="1505" spans="1:21">
      <c r="A1505" s="8" t="s">
        <v>8531</v>
      </c>
      <c r="B1505" s="8" t="s">
        <v>1914</v>
      </c>
      <c r="C1505" s="8">
        <v>10765</v>
      </c>
      <c r="D1505" s="8" t="s">
        <v>22</v>
      </c>
      <c r="E1505" s="8">
        <v>202727577</v>
      </c>
      <c r="F1505" s="8">
        <v>202727577</v>
      </c>
      <c r="G1505" s="8" t="s">
        <v>46</v>
      </c>
      <c r="H1505" s="8" t="s">
        <v>41</v>
      </c>
      <c r="I1505" s="8" t="s">
        <v>23</v>
      </c>
      <c r="J1505" s="8" t="s">
        <v>8611</v>
      </c>
      <c r="K1505" s="8" t="s">
        <v>8613</v>
      </c>
      <c r="L1505" s="8" t="s">
        <v>19</v>
      </c>
      <c r="M1505" s="8">
        <v>1255</v>
      </c>
      <c r="N1505" s="8" t="s">
        <v>297</v>
      </c>
      <c r="O1505" s="8">
        <v>380</v>
      </c>
      <c r="P1505" s="8" t="s">
        <v>8612</v>
      </c>
      <c r="Q1505" s="8" t="s">
        <v>4262</v>
      </c>
      <c r="R1505" s="8">
        <v>0.20699999999999999</v>
      </c>
      <c r="S1505" s="8">
        <v>202727577</v>
      </c>
      <c r="T1505" s="8" t="s">
        <v>46</v>
      </c>
      <c r="U1505" s="8" t="s">
        <v>41</v>
      </c>
    </row>
    <row r="1506" spans="1:21">
      <c r="A1506" s="8" t="s">
        <v>8531</v>
      </c>
      <c r="B1506" s="8" t="s">
        <v>2034</v>
      </c>
      <c r="C1506" s="8">
        <v>51133</v>
      </c>
      <c r="D1506" s="8" t="s">
        <v>22</v>
      </c>
      <c r="E1506" s="8">
        <v>215792347</v>
      </c>
      <c r="F1506" s="8">
        <v>215792347</v>
      </c>
      <c r="G1506" s="8" t="s">
        <v>25</v>
      </c>
      <c r="H1506" s="8" t="s">
        <v>24</v>
      </c>
      <c r="I1506" s="8" t="s">
        <v>23</v>
      </c>
      <c r="J1506" s="8" t="s">
        <v>8614</v>
      </c>
      <c r="K1506" s="8" t="s">
        <v>8616</v>
      </c>
      <c r="L1506" s="8" t="s">
        <v>19</v>
      </c>
      <c r="M1506" s="8">
        <v>1976</v>
      </c>
      <c r="N1506" s="8" t="s">
        <v>955</v>
      </c>
      <c r="O1506" s="8">
        <v>561</v>
      </c>
      <c r="P1506" s="8" t="s">
        <v>8615</v>
      </c>
      <c r="Q1506" s="8" t="s">
        <v>4262</v>
      </c>
      <c r="R1506" s="8">
        <v>0.151</v>
      </c>
      <c r="S1506" s="8">
        <v>215792347</v>
      </c>
      <c r="T1506" s="8" t="s">
        <v>25</v>
      </c>
      <c r="U1506" s="8" t="s">
        <v>24</v>
      </c>
    </row>
    <row r="1507" spans="1:21">
      <c r="A1507" s="8" t="s">
        <v>8531</v>
      </c>
      <c r="B1507" s="8" t="s">
        <v>8617</v>
      </c>
      <c r="C1507" s="8">
        <v>3339</v>
      </c>
      <c r="D1507" s="8" t="s">
        <v>22</v>
      </c>
      <c r="E1507" s="8">
        <v>22175196</v>
      </c>
      <c r="F1507" s="8">
        <v>22175196</v>
      </c>
      <c r="G1507" s="8" t="s">
        <v>24</v>
      </c>
      <c r="H1507" s="8" t="s">
        <v>46</v>
      </c>
      <c r="I1507" s="8" t="s">
        <v>23</v>
      </c>
      <c r="J1507" s="8" t="s">
        <v>8618</v>
      </c>
      <c r="K1507" s="8" t="s">
        <v>8620</v>
      </c>
      <c r="L1507" s="8" t="s">
        <v>19</v>
      </c>
      <c r="M1507" s="8">
        <v>7717</v>
      </c>
      <c r="N1507" s="8" t="s">
        <v>8621</v>
      </c>
      <c r="O1507" s="8">
        <v>2559</v>
      </c>
      <c r="P1507" s="8" t="s">
        <v>8619</v>
      </c>
      <c r="Q1507" s="8" t="s">
        <v>4262</v>
      </c>
      <c r="R1507" s="8">
        <v>0.188</v>
      </c>
      <c r="S1507" s="8">
        <v>22175196</v>
      </c>
      <c r="T1507" s="8" t="s">
        <v>24</v>
      </c>
      <c r="U1507" s="8" t="s">
        <v>46</v>
      </c>
    </row>
    <row r="1508" spans="1:21">
      <c r="A1508" s="8" t="s">
        <v>8531</v>
      </c>
      <c r="B1508" s="8" t="s">
        <v>876</v>
      </c>
      <c r="C1508" s="8">
        <v>84033</v>
      </c>
      <c r="D1508" s="8" t="s">
        <v>22</v>
      </c>
      <c r="E1508" s="8">
        <v>228469785</v>
      </c>
      <c r="F1508" s="8">
        <v>228469785</v>
      </c>
      <c r="G1508" s="8" t="s">
        <v>46</v>
      </c>
      <c r="H1508" s="8" t="s">
        <v>25</v>
      </c>
      <c r="I1508" s="8" t="s">
        <v>23</v>
      </c>
      <c r="J1508" s="8" t="s">
        <v>877</v>
      </c>
      <c r="K1508" s="8" t="s">
        <v>4470</v>
      </c>
      <c r="L1508" s="8" t="s">
        <v>19</v>
      </c>
      <c r="M1508" s="8">
        <v>8393</v>
      </c>
      <c r="N1508" s="8" t="s">
        <v>326</v>
      </c>
      <c r="O1508" s="8">
        <v>2783</v>
      </c>
      <c r="P1508" s="8" t="s">
        <v>8622</v>
      </c>
      <c r="Q1508" s="8" t="s">
        <v>4262</v>
      </c>
      <c r="R1508" s="8">
        <v>0.38200000000000001</v>
      </c>
      <c r="S1508" s="8">
        <v>228469785</v>
      </c>
      <c r="T1508" s="8" t="s">
        <v>46</v>
      </c>
      <c r="U1508" s="8" t="s">
        <v>25</v>
      </c>
    </row>
    <row r="1509" spans="1:21">
      <c r="A1509" s="8" t="s">
        <v>8531</v>
      </c>
      <c r="B1509" s="8" t="s">
        <v>2986</v>
      </c>
      <c r="C1509" s="8">
        <v>80003</v>
      </c>
      <c r="D1509" s="8" t="s">
        <v>22</v>
      </c>
      <c r="E1509" s="8">
        <v>233335899</v>
      </c>
      <c r="F1509" s="8">
        <v>233335899</v>
      </c>
      <c r="G1509" s="8" t="s">
        <v>46</v>
      </c>
      <c r="H1509" s="8" t="s">
        <v>25</v>
      </c>
      <c r="I1509" s="8" t="s">
        <v>23</v>
      </c>
      <c r="J1509" s="8" t="s">
        <v>2987</v>
      </c>
      <c r="K1509" s="8" t="s">
        <v>8210</v>
      </c>
      <c r="L1509" s="8" t="s">
        <v>68</v>
      </c>
      <c r="M1509" s="8">
        <v>0</v>
      </c>
      <c r="N1509" s="8" t="s">
        <v>35</v>
      </c>
      <c r="O1509" s="8">
        <v>0</v>
      </c>
      <c r="P1509" s="8" t="s">
        <v>35</v>
      </c>
      <c r="Q1509" s="8" t="s">
        <v>4262</v>
      </c>
      <c r="R1509" s="8">
        <v>0.151</v>
      </c>
      <c r="S1509" s="8">
        <v>233335899</v>
      </c>
      <c r="T1509" s="8" t="s">
        <v>46</v>
      </c>
      <c r="U1509" s="8" t="s">
        <v>25</v>
      </c>
    </row>
    <row r="1510" spans="1:21">
      <c r="A1510" s="8" t="s">
        <v>8531</v>
      </c>
      <c r="B1510" s="8" t="s">
        <v>2044</v>
      </c>
      <c r="C1510" s="8">
        <v>6262</v>
      </c>
      <c r="D1510" s="8" t="s">
        <v>22</v>
      </c>
      <c r="E1510" s="8">
        <v>237659936</v>
      </c>
      <c r="F1510" s="8">
        <v>237659936</v>
      </c>
      <c r="G1510" s="8" t="s">
        <v>24</v>
      </c>
      <c r="H1510" s="8" t="s">
        <v>41</v>
      </c>
      <c r="I1510" s="8" t="s">
        <v>23</v>
      </c>
      <c r="J1510" s="8" t="s">
        <v>2419</v>
      </c>
      <c r="K1510" s="8" t="s">
        <v>5917</v>
      </c>
      <c r="L1510" s="8" t="s">
        <v>19</v>
      </c>
      <c r="M1510" s="8">
        <v>2207</v>
      </c>
      <c r="N1510" s="8" t="s">
        <v>710</v>
      </c>
      <c r="O1510" s="8">
        <v>696</v>
      </c>
      <c r="P1510" s="8" t="s">
        <v>8623</v>
      </c>
      <c r="Q1510" s="8" t="s">
        <v>4262</v>
      </c>
      <c r="R1510" s="8">
        <v>7.5999999999999998E-2</v>
      </c>
      <c r="S1510" s="8">
        <v>237659936</v>
      </c>
      <c r="T1510" s="8" t="s">
        <v>24</v>
      </c>
      <c r="U1510" s="8" t="s">
        <v>41</v>
      </c>
    </row>
    <row r="1511" spans="1:21">
      <c r="A1511" s="8" t="s">
        <v>8531</v>
      </c>
      <c r="B1511" s="8" t="s">
        <v>2044</v>
      </c>
      <c r="C1511" s="8">
        <v>6262</v>
      </c>
      <c r="D1511" s="8" t="s">
        <v>22</v>
      </c>
      <c r="E1511" s="8">
        <v>237788981</v>
      </c>
      <c r="F1511" s="8">
        <v>237788981</v>
      </c>
      <c r="G1511" s="8" t="s">
        <v>24</v>
      </c>
      <c r="H1511" s="8" t="s">
        <v>41</v>
      </c>
      <c r="I1511" s="8" t="s">
        <v>23</v>
      </c>
      <c r="J1511" s="8" t="s">
        <v>2419</v>
      </c>
      <c r="K1511" s="8" t="s">
        <v>5917</v>
      </c>
      <c r="L1511" s="8" t="s">
        <v>19</v>
      </c>
      <c r="M1511" s="8">
        <v>6163</v>
      </c>
      <c r="N1511" s="8" t="s">
        <v>132</v>
      </c>
      <c r="O1511" s="8">
        <v>2015</v>
      </c>
      <c r="P1511" s="8" t="s">
        <v>8624</v>
      </c>
      <c r="Q1511" s="8" t="s">
        <v>4262</v>
      </c>
      <c r="R1511" s="8">
        <v>4.3999999999999997E-2</v>
      </c>
      <c r="S1511" s="8">
        <v>237788981</v>
      </c>
      <c r="T1511" s="8" t="s">
        <v>24</v>
      </c>
      <c r="U1511" s="8" t="s">
        <v>41</v>
      </c>
    </row>
    <row r="1512" spans="1:21">
      <c r="A1512" s="8" t="s">
        <v>8531</v>
      </c>
      <c r="B1512" s="8" t="s">
        <v>2044</v>
      </c>
      <c r="C1512" s="8">
        <v>6262</v>
      </c>
      <c r="D1512" s="8" t="s">
        <v>22</v>
      </c>
      <c r="E1512" s="8">
        <v>237965170</v>
      </c>
      <c r="F1512" s="8">
        <v>237965170</v>
      </c>
      <c r="G1512" s="8" t="s">
        <v>25</v>
      </c>
      <c r="H1512" s="8" t="s">
        <v>24</v>
      </c>
      <c r="I1512" s="8" t="s">
        <v>23</v>
      </c>
      <c r="J1512" s="8" t="s">
        <v>2419</v>
      </c>
      <c r="K1512" s="8" t="s">
        <v>5917</v>
      </c>
      <c r="L1512" s="8" t="s">
        <v>19</v>
      </c>
      <c r="M1512" s="8">
        <v>14225</v>
      </c>
      <c r="N1512" s="8" t="s">
        <v>1033</v>
      </c>
      <c r="O1512" s="8">
        <v>4702</v>
      </c>
      <c r="P1512" s="8" t="s">
        <v>8625</v>
      </c>
      <c r="Q1512" s="8" t="s">
        <v>4262</v>
      </c>
      <c r="R1512" s="8">
        <v>0.112</v>
      </c>
      <c r="S1512" s="8">
        <v>237965170</v>
      </c>
      <c r="T1512" s="8" t="s">
        <v>25</v>
      </c>
      <c r="U1512" s="8" t="s">
        <v>24</v>
      </c>
    </row>
    <row r="1513" spans="1:21">
      <c r="A1513" s="8" t="s">
        <v>8531</v>
      </c>
      <c r="B1513" s="8" t="s">
        <v>8626</v>
      </c>
      <c r="C1513" s="8">
        <v>57829</v>
      </c>
      <c r="D1513" s="8" t="s">
        <v>22</v>
      </c>
      <c r="E1513" s="8">
        <v>238051762</v>
      </c>
      <c r="F1513" s="8">
        <v>238051762</v>
      </c>
      <c r="G1513" s="8" t="s">
        <v>41</v>
      </c>
      <c r="H1513" s="8" t="s">
        <v>46</v>
      </c>
      <c r="I1513" s="8" t="s">
        <v>23</v>
      </c>
      <c r="J1513" s="8" t="s">
        <v>8627</v>
      </c>
      <c r="K1513" s="8" t="s">
        <v>8629</v>
      </c>
      <c r="L1513" s="8" t="s">
        <v>19</v>
      </c>
      <c r="M1513" s="8">
        <v>736</v>
      </c>
      <c r="N1513" s="8" t="s">
        <v>551</v>
      </c>
      <c r="O1513" s="8">
        <v>150</v>
      </c>
      <c r="P1513" s="8" t="s">
        <v>8628</v>
      </c>
      <c r="Q1513" s="8" t="s">
        <v>4262</v>
      </c>
      <c r="R1513" s="8">
        <v>0.1</v>
      </c>
      <c r="S1513" s="8">
        <v>238051762</v>
      </c>
      <c r="T1513" s="8" t="s">
        <v>41</v>
      </c>
      <c r="U1513" s="8" t="s">
        <v>46</v>
      </c>
    </row>
    <row r="1514" spans="1:21">
      <c r="A1514" s="8" t="s">
        <v>8531</v>
      </c>
      <c r="B1514" s="8" t="s">
        <v>8630</v>
      </c>
      <c r="C1514" s="8">
        <v>257044</v>
      </c>
      <c r="D1514" s="8" t="s">
        <v>22</v>
      </c>
      <c r="E1514" s="8">
        <v>244724178</v>
      </c>
      <c r="F1514" s="8">
        <v>244724178</v>
      </c>
      <c r="G1514" s="8" t="s">
        <v>24</v>
      </c>
      <c r="H1514" s="8" t="s">
        <v>41</v>
      </c>
      <c r="I1514" s="8" t="s">
        <v>23</v>
      </c>
      <c r="J1514" s="8" t="s">
        <v>8631</v>
      </c>
      <c r="K1514" s="8" t="s">
        <v>8633</v>
      </c>
      <c r="L1514" s="8" t="s">
        <v>19</v>
      </c>
      <c r="M1514" s="8">
        <v>1297</v>
      </c>
      <c r="N1514" s="8" t="s">
        <v>1126</v>
      </c>
      <c r="O1514" s="8">
        <v>413</v>
      </c>
      <c r="P1514" s="8" t="s">
        <v>8632</v>
      </c>
      <c r="Q1514" s="8" t="s">
        <v>4262</v>
      </c>
      <c r="R1514" s="8">
        <v>9.4E-2</v>
      </c>
      <c r="S1514" s="8">
        <v>244724178</v>
      </c>
      <c r="T1514" s="8" t="s">
        <v>24</v>
      </c>
      <c r="U1514" s="8" t="s">
        <v>41</v>
      </c>
    </row>
    <row r="1515" spans="1:21">
      <c r="A1515" s="8" t="s">
        <v>8531</v>
      </c>
      <c r="B1515" s="8" t="s">
        <v>8634</v>
      </c>
      <c r="C1515" s="8">
        <v>127064</v>
      </c>
      <c r="D1515" s="8" t="s">
        <v>22</v>
      </c>
      <c r="E1515" s="8">
        <v>248458262</v>
      </c>
      <c r="F1515" s="8">
        <v>248458262</v>
      </c>
      <c r="G1515" s="8" t="s">
        <v>46</v>
      </c>
      <c r="H1515" s="8" t="s">
        <v>25</v>
      </c>
      <c r="I1515" s="8" t="s">
        <v>23</v>
      </c>
      <c r="J1515" s="8" t="s">
        <v>8635</v>
      </c>
      <c r="K1515" s="8" t="s">
        <v>8637</v>
      </c>
      <c r="L1515" s="8" t="s">
        <v>19</v>
      </c>
      <c r="M1515" s="8">
        <v>619</v>
      </c>
      <c r="N1515" s="8" t="s">
        <v>162</v>
      </c>
      <c r="O1515" s="8">
        <v>207</v>
      </c>
      <c r="P1515" s="8" t="s">
        <v>8636</v>
      </c>
      <c r="Q1515" s="8" t="s">
        <v>4262</v>
      </c>
      <c r="R1515" s="8">
        <v>0.13600000000000001</v>
      </c>
      <c r="S1515" s="8">
        <v>248458262</v>
      </c>
      <c r="T1515" s="8" t="s">
        <v>46</v>
      </c>
      <c r="U1515" s="8" t="s">
        <v>25</v>
      </c>
    </row>
    <row r="1516" spans="1:21">
      <c r="A1516" s="8" t="s">
        <v>8531</v>
      </c>
      <c r="B1516" s="8" t="s">
        <v>8638</v>
      </c>
      <c r="C1516" s="8">
        <v>51102</v>
      </c>
      <c r="D1516" s="8" t="s">
        <v>22</v>
      </c>
      <c r="E1516" s="8">
        <v>29522741</v>
      </c>
      <c r="F1516" s="8">
        <v>29522741</v>
      </c>
      <c r="G1516" s="8" t="s">
        <v>46</v>
      </c>
      <c r="H1516" s="8" t="s">
        <v>41</v>
      </c>
      <c r="I1516" s="8" t="s">
        <v>23</v>
      </c>
      <c r="J1516" s="8" t="s">
        <v>8639</v>
      </c>
      <c r="K1516" s="8" t="s">
        <v>8641</v>
      </c>
      <c r="L1516" s="8" t="s">
        <v>19</v>
      </c>
      <c r="M1516" s="8">
        <v>896</v>
      </c>
      <c r="N1516" s="8" t="s">
        <v>1399</v>
      </c>
      <c r="O1516" s="8">
        <v>287</v>
      </c>
      <c r="P1516" s="8" t="s">
        <v>8640</v>
      </c>
      <c r="Q1516" s="8" t="s">
        <v>4262</v>
      </c>
      <c r="R1516" s="8">
        <v>0.184</v>
      </c>
      <c r="S1516" s="8">
        <v>29522741</v>
      </c>
      <c r="T1516" s="8" t="s">
        <v>46</v>
      </c>
      <c r="U1516" s="8" t="s">
        <v>41</v>
      </c>
    </row>
    <row r="1517" spans="1:21">
      <c r="A1517" s="8" t="s">
        <v>8531</v>
      </c>
      <c r="B1517" s="8" t="s">
        <v>8642</v>
      </c>
      <c r="C1517" s="8">
        <v>64175</v>
      </c>
      <c r="D1517" s="8" t="s">
        <v>22</v>
      </c>
      <c r="E1517" s="8">
        <v>43218259</v>
      </c>
      <c r="F1517" s="8">
        <v>43218259</v>
      </c>
      <c r="G1517" s="8" t="s">
        <v>46</v>
      </c>
      <c r="H1517" s="8" t="s">
        <v>25</v>
      </c>
      <c r="I1517" s="8" t="s">
        <v>23</v>
      </c>
      <c r="J1517" s="8" t="s">
        <v>8643</v>
      </c>
      <c r="K1517" s="8" t="s">
        <v>8645</v>
      </c>
      <c r="L1517" s="8" t="s">
        <v>19</v>
      </c>
      <c r="M1517" s="8">
        <v>1535</v>
      </c>
      <c r="N1517" s="8" t="s">
        <v>2948</v>
      </c>
      <c r="O1517" s="8">
        <v>474</v>
      </c>
      <c r="P1517" s="8" t="s">
        <v>8644</v>
      </c>
      <c r="Q1517" s="8" t="s">
        <v>4262</v>
      </c>
      <c r="R1517" s="8">
        <v>0.157</v>
      </c>
      <c r="S1517" s="8">
        <v>43218259</v>
      </c>
      <c r="T1517" s="8" t="s">
        <v>46</v>
      </c>
      <c r="U1517" s="8" t="s">
        <v>25</v>
      </c>
    </row>
    <row r="1518" spans="1:21">
      <c r="A1518" s="8" t="s">
        <v>8531</v>
      </c>
      <c r="B1518" s="8" t="s">
        <v>3926</v>
      </c>
      <c r="C1518" s="8">
        <v>6869</v>
      </c>
      <c r="D1518" s="8" t="s">
        <v>172</v>
      </c>
      <c r="E1518" s="8">
        <v>75278450</v>
      </c>
      <c r="F1518" s="8">
        <v>75278450</v>
      </c>
      <c r="G1518" s="8" t="s">
        <v>41</v>
      </c>
      <c r="H1518" s="8" t="s">
        <v>25</v>
      </c>
      <c r="I1518" s="8" t="s">
        <v>23</v>
      </c>
      <c r="J1518" s="8" t="s">
        <v>4277</v>
      </c>
      <c r="K1518" s="8" t="s">
        <v>4279</v>
      </c>
      <c r="L1518" s="8" t="s">
        <v>19</v>
      </c>
      <c r="M1518" s="8">
        <v>1445</v>
      </c>
      <c r="N1518" s="8" t="s">
        <v>3041</v>
      </c>
      <c r="O1518" s="8">
        <v>287</v>
      </c>
      <c r="P1518" s="8" t="s">
        <v>8646</v>
      </c>
      <c r="Q1518" s="8" t="s">
        <v>4262</v>
      </c>
      <c r="R1518" s="8">
        <v>5.8999999999999997E-2</v>
      </c>
      <c r="S1518" s="8">
        <v>75278450</v>
      </c>
      <c r="T1518" s="8" t="s">
        <v>41</v>
      </c>
      <c r="U1518" s="8" t="s">
        <v>25</v>
      </c>
    </row>
    <row r="1519" spans="1:21">
      <c r="A1519" s="8" t="s">
        <v>8531</v>
      </c>
      <c r="B1519" s="8" t="s">
        <v>3926</v>
      </c>
      <c r="C1519" s="8">
        <v>6869</v>
      </c>
      <c r="D1519" s="8" t="s">
        <v>172</v>
      </c>
      <c r="E1519" s="8">
        <v>75425975</v>
      </c>
      <c r="F1519" s="8">
        <v>75425975</v>
      </c>
      <c r="G1519" s="8" t="s">
        <v>24</v>
      </c>
      <c r="H1519" s="8" t="s">
        <v>41</v>
      </c>
      <c r="I1519" s="8" t="s">
        <v>23</v>
      </c>
      <c r="J1519" s="8" t="s">
        <v>4277</v>
      </c>
      <c r="K1519" s="8" t="s">
        <v>4279</v>
      </c>
      <c r="L1519" s="8" t="s">
        <v>19</v>
      </c>
      <c r="M1519" s="8">
        <v>671</v>
      </c>
      <c r="N1519" s="8" t="s">
        <v>3048</v>
      </c>
      <c r="O1519" s="8">
        <v>29</v>
      </c>
      <c r="P1519" s="8" t="s">
        <v>8647</v>
      </c>
      <c r="Q1519" s="8" t="s">
        <v>4262</v>
      </c>
      <c r="R1519" s="8">
        <v>0.25900000000000001</v>
      </c>
      <c r="S1519" s="8">
        <v>75425975</v>
      </c>
      <c r="T1519" s="8" t="s">
        <v>24</v>
      </c>
      <c r="U1519" s="8" t="s">
        <v>41</v>
      </c>
    </row>
    <row r="1520" spans="1:21">
      <c r="A1520" s="8" t="s">
        <v>8531</v>
      </c>
      <c r="B1520" s="8" t="s">
        <v>8648</v>
      </c>
      <c r="C1520" s="8">
        <v>375248</v>
      </c>
      <c r="D1520" s="8" t="s">
        <v>172</v>
      </c>
      <c r="E1520" s="8">
        <v>97823865</v>
      </c>
      <c r="F1520" s="8">
        <v>97823865</v>
      </c>
      <c r="G1520" s="8" t="s">
        <v>25</v>
      </c>
      <c r="H1520" s="8" t="s">
        <v>46</v>
      </c>
      <c r="I1520" s="8" t="s">
        <v>23</v>
      </c>
      <c r="J1520" s="8" t="s">
        <v>8649</v>
      </c>
      <c r="K1520" s="8" t="s">
        <v>8651</v>
      </c>
      <c r="L1520" s="8" t="s">
        <v>19</v>
      </c>
      <c r="M1520" s="8">
        <v>1526</v>
      </c>
      <c r="N1520" s="8" t="s">
        <v>8652</v>
      </c>
      <c r="O1520" s="8">
        <v>428</v>
      </c>
      <c r="P1520" s="8" t="s">
        <v>8650</v>
      </c>
      <c r="Q1520" s="8" t="s">
        <v>4262</v>
      </c>
      <c r="R1520" s="8">
        <v>0.122</v>
      </c>
      <c r="S1520" s="8">
        <v>97823865</v>
      </c>
      <c r="T1520" s="8" t="s">
        <v>25</v>
      </c>
      <c r="U1520" s="8" t="s">
        <v>46</v>
      </c>
    </row>
    <row r="1521" spans="1:21">
      <c r="A1521" s="8" t="s">
        <v>8531</v>
      </c>
      <c r="B1521" s="8" t="s">
        <v>2977</v>
      </c>
      <c r="C1521" s="8">
        <v>80705</v>
      </c>
      <c r="D1521" s="8" t="s">
        <v>172</v>
      </c>
      <c r="E1521" s="8">
        <v>99681500</v>
      </c>
      <c r="F1521" s="8">
        <v>99681500</v>
      </c>
      <c r="G1521" s="8" t="s">
        <v>46</v>
      </c>
      <c r="H1521" s="8" t="s">
        <v>24</v>
      </c>
      <c r="I1521" s="8" t="s">
        <v>23</v>
      </c>
      <c r="J1521" s="8" t="s">
        <v>8453</v>
      </c>
      <c r="K1521" s="8" t="s">
        <v>8455</v>
      </c>
      <c r="L1521" s="8" t="s">
        <v>19</v>
      </c>
      <c r="M1521" s="8">
        <v>1958</v>
      </c>
      <c r="N1521" s="8" t="s">
        <v>8654</v>
      </c>
      <c r="O1521" s="8">
        <v>436</v>
      </c>
      <c r="P1521" s="8" t="s">
        <v>8653</v>
      </c>
      <c r="Q1521" s="8" t="s">
        <v>4262</v>
      </c>
      <c r="R1521" s="8">
        <v>0.19800000000000001</v>
      </c>
      <c r="S1521" s="8">
        <v>99681500</v>
      </c>
      <c r="T1521" s="8" t="s">
        <v>46</v>
      </c>
      <c r="U1521" s="8" t="s">
        <v>24</v>
      </c>
    </row>
    <row r="1522" spans="1:21">
      <c r="A1522" s="8" t="s">
        <v>8531</v>
      </c>
      <c r="B1522" s="8" t="s">
        <v>730</v>
      </c>
      <c r="C1522" s="8">
        <v>80731</v>
      </c>
      <c r="D1522" s="8" t="s">
        <v>172</v>
      </c>
      <c r="E1522" s="8">
        <v>138208441</v>
      </c>
      <c r="F1522" s="8">
        <v>138208441</v>
      </c>
      <c r="G1522" s="8" t="s">
        <v>46</v>
      </c>
      <c r="H1522" s="8" t="s">
        <v>41</v>
      </c>
      <c r="I1522" s="8" t="s">
        <v>23</v>
      </c>
      <c r="J1522" s="8" t="s">
        <v>731</v>
      </c>
      <c r="K1522" s="8" t="s">
        <v>8656</v>
      </c>
      <c r="L1522" s="8" t="s">
        <v>19</v>
      </c>
      <c r="M1522" s="8">
        <v>2893</v>
      </c>
      <c r="N1522" s="8" t="s">
        <v>2400</v>
      </c>
      <c r="O1522" s="8">
        <v>965</v>
      </c>
      <c r="P1522" s="8" t="s">
        <v>8655</v>
      </c>
      <c r="Q1522" s="8" t="s">
        <v>4262</v>
      </c>
      <c r="R1522" s="8">
        <v>0.16700000000000001</v>
      </c>
      <c r="S1522" s="8">
        <v>138208441</v>
      </c>
      <c r="T1522" s="8" t="s">
        <v>46</v>
      </c>
      <c r="U1522" s="8" t="s">
        <v>41</v>
      </c>
    </row>
    <row r="1523" spans="1:21">
      <c r="A1523" s="8" t="s">
        <v>8531</v>
      </c>
      <c r="B1523" s="8" t="s">
        <v>4136</v>
      </c>
      <c r="C1523" s="8">
        <v>53353</v>
      </c>
      <c r="D1523" s="8" t="s">
        <v>172</v>
      </c>
      <c r="E1523" s="8">
        <v>141457936</v>
      </c>
      <c r="F1523" s="8">
        <v>141457936</v>
      </c>
      <c r="G1523" s="8" t="s">
        <v>46</v>
      </c>
      <c r="H1523" s="8" t="s">
        <v>25</v>
      </c>
      <c r="I1523" s="8" t="s">
        <v>23</v>
      </c>
      <c r="J1523" s="8" t="s">
        <v>4516</v>
      </c>
      <c r="K1523" s="8" t="s">
        <v>4517</v>
      </c>
      <c r="L1523" s="8" t="s">
        <v>19</v>
      </c>
      <c r="M1523" s="8">
        <v>7654</v>
      </c>
      <c r="N1523" s="8" t="s">
        <v>481</v>
      </c>
      <c r="O1523" s="8">
        <v>2228</v>
      </c>
      <c r="P1523" s="8" t="s">
        <v>8657</v>
      </c>
      <c r="Q1523" s="8" t="s">
        <v>4262</v>
      </c>
      <c r="R1523" s="8">
        <v>0.16700000000000001</v>
      </c>
      <c r="S1523" s="8">
        <v>141457936</v>
      </c>
      <c r="T1523" s="8" t="s">
        <v>46</v>
      </c>
      <c r="U1523" s="8" t="s">
        <v>25</v>
      </c>
    </row>
    <row r="1524" spans="1:21">
      <c r="A1524" s="8" t="s">
        <v>8531</v>
      </c>
      <c r="B1524" s="8" t="s">
        <v>3284</v>
      </c>
      <c r="C1524" s="8">
        <v>1386</v>
      </c>
      <c r="D1524" s="8" t="s">
        <v>172</v>
      </c>
      <c r="E1524" s="8">
        <v>175978782</v>
      </c>
      <c r="F1524" s="8">
        <v>175978782</v>
      </c>
      <c r="G1524" s="8" t="s">
        <v>46</v>
      </c>
      <c r="H1524" s="8" t="s">
        <v>25</v>
      </c>
      <c r="I1524" s="8" t="s">
        <v>23</v>
      </c>
      <c r="J1524" s="8" t="s">
        <v>7171</v>
      </c>
      <c r="K1524" s="8" t="s">
        <v>7173</v>
      </c>
      <c r="L1524" s="8" t="s">
        <v>19</v>
      </c>
      <c r="M1524" s="8">
        <v>943</v>
      </c>
      <c r="N1524" s="8" t="s">
        <v>2948</v>
      </c>
      <c r="O1524" s="8">
        <v>227</v>
      </c>
      <c r="P1524" s="8" t="s">
        <v>8658</v>
      </c>
      <c r="Q1524" s="8" t="s">
        <v>4262</v>
      </c>
      <c r="R1524" s="8">
        <v>0.32600000000000001</v>
      </c>
      <c r="S1524" s="8">
        <v>175978782</v>
      </c>
      <c r="T1524" s="8" t="s">
        <v>46</v>
      </c>
      <c r="U1524" s="8" t="s">
        <v>25</v>
      </c>
    </row>
    <row r="1525" spans="1:21">
      <c r="A1525" s="8" t="s">
        <v>8531</v>
      </c>
      <c r="B1525" s="8" t="s">
        <v>737</v>
      </c>
      <c r="C1525" s="8">
        <v>7273</v>
      </c>
      <c r="D1525" s="8" t="s">
        <v>172</v>
      </c>
      <c r="E1525" s="8">
        <v>179588160</v>
      </c>
      <c r="F1525" s="8">
        <v>179588160</v>
      </c>
      <c r="G1525" s="8" t="s">
        <v>24</v>
      </c>
      <c r="H1525" s="8" t="s">
        <v>41</v>
      </c>
      <c r="I1525" s="8" t="s">
        <v>23</v>
      </c>
      <c r="J1525" s="8" t="s">
        <v>4530</v>
      </c>
      <c r="K1525" s="8" t="s">
        <v>4532</v>
      </c>
      <c r="L1525" s="8" t="s">
        <v>19</v>
      </c>
      <c r="M1525" s="8">
        <v>18160</v>
      </c>
      <c r="N1525" s="8" t="s">
        <v>1290</v>
      </c>
      <c r="O1525" s="8">
        <v>5979</v>
      </c>
      <c r="P1525" s="8" t="s">
        <v>8659</v>
      </c>
      <c r="Q1525" s="8" t="s">
        <v>4262</v>
      </c>
      <c r="R1525" s="8">
        <v>0.14599999999999999</v>
      </c>
      <c r="S1525" s="8">
        <v>179588160</v>
      </c>
      <c r="T1525" s="8" t="s">
        <v>24</v>
      </c>
      <c r="U1525" s="8" t="s">
        <v>41</v>
      </c>
    </row>
    <row r="1526" spans="1:21">
      <c r="A1526" s="8" t="s">
        <v>8531</v>
      </c>
      <c r="B1526" s="8" t="s">
        <v>8660</v>
      </c>
      <c r="C1526" s="8">
        <v>57703</v>
      </c>
      <c r="D1526" s="8" t="s">
        <v>172</v>
      </c>
      <c r="E1526" s="8">
        <v>180835551</v>
      </c>
      <c r="F1526" s="8">
        <v>180835551</v>
      </c>
      <c r="G1526" s="8" t="s">
        <v>46</v>
      </c>
      <c r="H1526" s="8" t="s">
        <v>25</v>
      </c>
      <c r="I1526" s="8" t="s">
        <v>23</v>
      </c>
      <c r="J1526" s="8" t="s">
        <v>8661</v>
      </c>
      <c r="K1526" s="8" t="s">
        <v>8663</v>
      </c>
      <c r="L1526" s="8" t="s">
        <v>76</v>
      </c>
      <c r="M1526" s="8">
        <v>1273</v>
      </c>
      <c r="N1526" s="8" t="s">
        <v>263</v>
      </c>
      <c r="O1526" s="8">
        <v>325</v>
      </c>
      <c r="P1526" s="8" t="s">
        <v>8662</v>
      </c>
      <c r="Q1526" s="8" t="s">
        <v>4262</v>
      </c>
      <c r="R1526" s="8">
        <v>0.11799999999999999</v>
      </c>
      <c r="S1526" s="8">
        <v>180835551</v>
      </c>
      <c r="T1526" s="8" t="s">
        <v>46</v>
      </c>
      <c r="U1526" s="8" t="s">
        <v>25</v>
      </c>
    </row>
    <row r="1527" spans="1:21">
      <c r="A1527" s="8" t="s">
        <v>8531</v>
      </c>
      <c r="B1527" s="8" t="s">
        <v>2182</v>
      </c>
      <c r="C1527" s="8">
        <v>1281</v>
      </c>
      <c r="D1527" s="8" t="s">
        <v>172</v>
      </c>
      <c r="E1527" s="8">
        <v>189870963</v>
      </c>
      <c r="F1527" s="8">
        <v>189870963</v>
      </c>
      <c r="G1527" s="8" t="s">
        <v>24</v>
      </c>
      <c r="H1527" s="8" t="s">
        <v>41</v>
      </c>
      <c r="I1527" s="8" t="s">
        <v>23</v>
      </c>
      <c r="J1527" s="8" t="s">
        <v>8664</v>
      </c>
      <c r="K1527" s="8" t="s">
        <v>8666</v>
      </c>
      <c r="L1527" s="8" t="s">
        <v>19</v>
      </c>
      <c r="M1527" s="8">
        <v>3188</v>
      </c>
      <c r="N1527" s="8" t="s">
        <v>437</v>
      </c>
      <c r="O1527" s="8">
        <v>1024</v>
      </c>
      <c r="P1527" s="8" t="s">
        <v>8665</v>
      </c>
      <c r="Q1527" s="8" t="s">
        <v>4262</v>
      </c>
      <c r="R1527" s="8">
        <v>6.9000000000000006E-2</v>
      </c>
      <c r="S1527" s="8">
        <v>189870963</v>
      </c>
      <c r="T1527" s="8" t="s">
        <v>24</v>
      </c>
      <c r="U1527" s="8" t="s">
        <v>41</v>
      </c>
    </row>
    <row r="1528" spans="1:21">
      <c r="A1528" s="8" t="s">
        <v>8531</v>
      </c>
      <c r="B1528" s="8" t="s">
        <v>8667</v>
      </c>
      <c r="C1528" s="8">
        <v>55437</v>
      </c>
      <c r="D1528" s="8" t="s">
        <v>172</v>
      </c>
      <c r="E1528" s="8">
        <v>202337791</v>
      </c>
      <c r="F1528" s="8">
        <v>202337791</v>
      </c>
      <c r="G1528" s="8" t="s">
        <v>24</v>
      </c>
      <c r="H1528" s="8" t="s">
        <v>41</v>
      </c>
      <c r="I1528" s="8" t="s">
        <v>23</v>
      </c>
      <c r="J1528" s="8" t="s">
        <v>8668</v>
      </c>
      <c r="K1528" s="8" t="s">
        <v>8670</v>
      </c>
      <c r="L1528" s="8" t="s">
        <v>19</v>
      </c>
      <c r="M1528" s="8">
        <v>672</v>
      </c>
      <c r="N1528" s="8" t="s">
        <v>481</v>
      </c>
      <c r="O1528" s="8">
        <v>103</v>
      </c>
      <c r="P1528" s="8" t="s">
        <v>8669</v>
      </c>
      <c r="Q1528" s="8" t="s">
        <v>4262</v>
      </c>
      <c r="R1528" s="8">
        <v>0.214</v>
      </c>
      <c r="S1528" s="8">
        <v>202337791</v>
      </c>
      <c r="T1528" s="8" t="s">
        <v>24</v>
      </c>
      <c r="U1528" s="8" t="s">
        <v>41</v>
      </c>
    </row>
    <row r="1529" spans="1:21">
      <c r="A1529" s="8" t="s">
        <v>8531</v>
      </c>
      <c r="B1529" s="8" t="s">
        <v>3430</v>
      </c>
      <c r="C1529" s="8">
        <v>26154</v>
      </c>
      <c r="D1529" s="8" t="s">
        <v>172</v>
      </c>
      <c r="E1529" s="8">
        <v>215872459</v>
      </c>
      <c r="F1529" s="8">
        <v>215872459</v>
      </c>
      <c r="G1529" s="8" t="s">
        <v>41</v>
      </c>
      <c r="H1529" s="8" t="s">
        <v>25</v>
      </c>
      <c r="I1529" s="8" t="s">
        <v>23</v>
      </c>
      <c r="J1529" s="8" t="s">
        <v>6638</v>
      </c>
      <c r="K1529" s="8" t="s">
        <v>6640</v>
      </c>
      <c r="L1529" s="8" t="s">
        <v>19</v>
      </c>
      <c r="M1529" s="8">
        <v>2804</v>
      </c>
      <c r="N1529" s="8" t="s">
        <v>792</v>
      </c>
      <c r="O1529" s="8">
        <v>862</v>
      </c>
      <c r="P1529" s="8" t="s">
        <v>8671</v>
      </c>
      <c r="Q1529" s="8" t="s">
        <v>4262</v>
      </c>
      <c r="R1529" s="8">
        <v>0.16500000000000001</v>
      </c>
      <c r="S1529" s="8">
        <v>215872459</v>
      </c>
      <c r="T1529" s="8" t="s">
        <v>41</v>
      </c>
      <c r="U1529" s="8" t="s">
        <v>25</v>
      </c>
    </row>
    <row r="1530" spans="1:21">
      <c r="A1530" s="8" t="s">
        <v>8531</v>
      </c>
      <c r="B1530" s="8" t="s">
        <v>2183</v>
      </c>
      <c r="C1530" s="8">
        <v>7145</v>
      </c>
      <c r="D1530" s="8" t="s">
        <v>172</v>
      </c>
      <c r="E1530" s="8">
        <v>218700767</v>
      </c>
      <c r="F1530" s="8">
        <v>218700767</v>
      </c>
      <c r="G1530" s="8" t="s">
        <v>46</v>
      </c>
      <c r="H1530" s="8" t="s">
        <v>25</v>
      </c>
      <c r="I1530" s="8" t="s">
        <v>23</v>
      </c>
      <c r="J1530" s="8" t="s">
        <v>3285</v>
      </c>
      <c r="K1530" s="8" t="s">
        <v>8674</v>
      </c>
      <c r="L1530" s="8" t="s">
        <v>19</v>
      </c>
      <c r="M1530" s="8">
        <v>3198</v>
      </c>
      <c r="N1530" s="8" t="s">
        <v>481</v>
      </c>
      <c r="O1530" s="8">
        <v>934</v>
      </c>
      <c r="P1530" s="8" t="s">
        <v>8672</v>
      </c>
      <c r="Q1530" s="8" t="s">
        <v>8673</v>
      </c>
      <c r="R1530" s="8">
        <v>0.36799999999999999</v>
      </c>
      <c r="S1530" s="8">
        <v>218700767</v>
      </c>
      <c r="T1530" s="8" t="s">
        <v>46</v>
      </c>
      <c r="U1530" s="8" t="s">
        <v>25</v>
      </c>
    </row>
    <row r="1531" spans="1:21">
      <c r="A1531" s="8" t="s">
        <v>8531</v>
      </c>
      <c r="B1531" s="8" t="s">
        <v>8675</v>
      </c>
      <c r="C1531" s="8">
        <v>27013</v>
      </c>
      <c r="D1531" s="8" t="s">
        <v>172</v>
      </c>
      <c r="E1531" s="8">
        <v>220037664</v>
      </c>
      <c r="F1531" s="8">
        <v>220037664</v>
      </c>
      <c r="G1531" s="8" t="s">
        <v>46</v>
      </c>
      <c r="H1531" s="8" t="s">
        <v>25</v>
      </c>
      <c r="I1531" s="8" t="s">
        <v>23</v>
      </c>
      <c r="J1531" s="8" t="s">
        <v>8676</v>
      </c>
      <c r="K1531" s="8" t="s">
        <v>8678</v>
      </c>
      <c r="L1531" s="8" t="s">
        <v>19</v>
      </c>
      <c r="M1531" s="8">
        <v>1029</v>
      </c>
      <c r="N1531" s="8" t="s">
        <v>481</v>
      </c>
      <c r="O1531" s="8">
        <v>293</v>
      </c>
      <c r="P1531" s="8" t="s">
        <v>8677</v>
      </c>
      <c r="Q1531" s="8" t="s">
        <v>4262</v>
      </c>
      <c r="R1531" s="8">
        <v>0.38800000000000001</v>
      </c>
      <c r="S1531" s="8">
        <v>220037664</v>
      </c>
      <c r="T1531" s="8" t="s">
        <v>46</v>
      </c>
      <c r="U1531" s="8" t="s">
        <v>25</v>
      </c>
    </row>
    <row r="1532" spans="1:21">
      <c r="A1532" s="8" t="s">
        <v>8531</v>
      </c>
      <c r="B1532" s="8" t="s">
        <v>3286</v>
      </c>
      <c r="C1532" s="8">
        <v>55139</v>
      </c>
      <c r="D1532" s="8" t="s">
        <v>172</v>
      </c>
      <c r="E1532" s="8">
        <v>220097900</v>
      </c>
      <c r="F1532" s="8">
        <v>220097900</v>
      </c>
      <c r="G1532" s="8" t="s">
        <v>24</v>
      </c>
      <c r="H1532" s="8" t="s">
        <v>46</v>
      </c>
      <c r="I1532" s="8" t="s">
        <v>23</v>
      </c>
      <c r="J1532" s="8" t="s">
        <v>8679</v>
      </c>
      <c r="K1532" s="8" t="s">
        <v>8681</v>
      </c>
      <c r="L1532" s="8" t="s">
        <v>19</v>
      </c>
      <c r="M1532" s="8">
        <v>832</v>
      </c>
      <c r="N1532" s="8" t="s">
        <v>1075</v>
      </c>
      <c r="O1532" s="8">
        <v>220</v>
      </c>
      <c r="P1532" s="8" t="s">
        <v>8680</v>
      </c>
      <c r="Q1532" s="8" t="s">
        <v>4262</v>
      </c>
      <c r="R1532" s="8">
        <v>0.42499999999999999</v>
      </c>
      <c r="S1532" s="8">
        <v>220097900</v>
      </c>
      <c r="T1532" s="8" t="s">
        <v>24</v>
      </c>
      <c r="U1532" s="8" t="s">
        <v>46</v>
      </c>
    </row>
    <row r="1533" spans="1:21">
      <c r="A1533" s="8" t="s">
        <v>8531</v>
      </c>
      <c r="B1533" s="8" t="s">
        <v>8682</v>
      </c>
      <c r="C1533" s="8">
        <v>114790</v>
      </c>
      <c r="D1533" s="8" t="s">
        <v>172</v>
      </c>
      <c r="E1533" s="8">
        <v>220467488</v>
      </c>
      <c r="F1533" s="8">
        <v>220467488</v>
      </c>
      <c r="G1533" s="8" t="s">
        <v>24</v>
      </c>
      <c r="H1533" s="8" t="s">
        <v>41</v>
      </c>
      <c r="I1533" s="8" t="s">
        <v>23</v>
      </c>
      <c r="J1533" s="8" t="s">
        <v>8683</v>
      </c>
      <c r="K1533" s="8" t="s">
        <v>8685</v>
      </c>
      <c r="L1533" s="8" t="s">
        <v>19</v>
      </c>
      <c r="M1533" s="8">
        <v>684</v>
      </c>
      <c r="N1533" s="8" t="s">
        <v>780</v>
      </c>
      <c r="O1533" s="8">
        <v>214</v>
      </c>
      <c r="P1533" s="8" t="s">
        <v>8684</v>
      </c>
      <c r="Q1533" s="8" t="s">
        <v>4262</v>
      </c>
      <c r="R1533" s="8">
        <v>0.113</v>
      </c>
      <c r="S1533" s="8">
        <v>220467488</v>
      </c>
      <c r="T1533" s="8" t="s">
        <v>24</v>
      </c>
      <c r="U1533" s="8" t="s">
        <v>41</v>
      </c>
    </row>
    <row r="1534" spans="1:21">
      <c r="A1534" s="8" t="s">
        <v>8531</v>
      </c>
      <c r="B1534" s="8" t="s">
        <v>8686</v>
      </c>
      <c r="C1534" s="8">
        <v>54575</v>
      </c>
      <c r="D1534" s="8" t="s">
        <v>172</v>
      </c>
      <c r="E1534" s="8">
        <v>234545811</v>
      </c>
      <c r="F1534" s="8">
        <v>234545811</v>
      </c>
      <c r="G1534" s="8" t="s">
        <v>24</v>
      </c>
      <c r="H1534" s="8" t="s">
        <v>41</v>
      </c>
      <c r="I1534" s="8" t="s">
        <v>23</v>
      </c>
      <c r="J1534" s="8" t="s">
        <v>8687</v>
      </c>
      <c r="K1534" s="8" t="s">
        <v>8689</v>
      </c>
      <c r="L1534" s="8" t="s">
        <v>76</v>
      </c>
      <c r="M1534" s="8">
        <v>689</v>
      </c>
      <c r="N1534" s="8" t="s">
        <v>263</v>
      </c>
      <c r="O1534" s="8">
        <v>215</v>
      </c>
      <c r="P1534" s="8" t="s">
        <v>8688</v>
      </c>
      <c r="Q1534" s="8" t="s">
        <v>4262</v>
      </c>
      <c r="R1534" s="8">
        <v>0.19900000000000001</v>
      </c>
      <c r="S1534" s="8">
        <v>234545811</v>
      </c>
      <c r="T1534" s="8" t="s">
        <v>24</v>
      </c>
      <c r="U1534" s="8" t="s">
        <v>41</v>
      </c>
    </row>
    <row r="1535" spans="1:21">
      <c r="A1535" s="8" t="s">
        <v>8531</v>
      </c>
      <c r="B1535" s="8" t="s">
        <v>2626</v>
      </c>
      <c r="C1535" s="8">
        <v>1293</v>
      </c>
      <c r="D1535" s="8" t="s">
        <v>172</v>
      </c>
      <c r="E1535" s="8">
        <v>238277241</v>
      </c>
      <c r="F1535" s="8">
        <v>238277241</v>
      </c>
      <c r="G1535" s="8" t="s">
        <v>24</v>
      </c>
      <c r="H1535" s="8" t="s">
        <v>46</v>
      </c>
      <c r="I1535" s="8" t="s">
        <v>23</v>
      </c>
      <c r="J1535" s="8" t="s">
        <v>8690</v>
      </c>
      <c r="K1535" s="8" t="s">
        <v>8692</v>
      </c>
      <c r="L1535" s="8" t="s">
        <v>19</v>
      </c>
      <c r="M1535" s="8">
        <v>5150</v>
      </c>
      <c r="N1535" s="8" t="s">
        <v>87</v>
      </c>
      <c r="O1535" s="8">
        <v>1622</v>
      </c>
      <c r="P1535" s="8" t="s">
        <v>8691</v>
      </c>
      <c r="Q1535" s="8" t="s">
        <v>4262</v>
      </c>
      <c r="R1535" s="8">
        <v>0.182</v>
      </c>
      <c r="S1535" s="8">
        <v>238277241</v>
      </c>
      <c r="T1535" s="8" t="s">
        <v>24</v>
      </c>
      <c r="U1535" s="8" t="s">
        <v>46</v>
      </c>
    </row>
    <row r="1536" spans="1:21">
      <c r="A1536" s="8" t="s">
        <v>8531</v>
      </c>
      <c r="B1536" s="8" t="s">
        <v>3287</v>
      </c>
      <c r="C1536" s="8">
        <v>51665</v>
      </c>
      <c r="D1536" s="8" t="s">
        <v>172</v>
      </c>
      <c r="E1536" s="8">
        <v>239344369</v>
      </c>
      <c r="F1536" s="8">
        <v>239344369</v>
      </c>
      <c r="G1536" s="8" t="s">
        <v>46</v>
      </c>
      <c r="H1536" s="8" t="s">
        <v>24</v>
      </c>
      <c r="I1536" s="8" t="s">
        <v>23</v>
      </c>
      <c r="J1536" s="8" t="s">
        <v>3288</v>
      </c>
      <c r="K1536" s="8" t="s">
        <v>8694</v>
      </c>
      <c r="L1536" s="8" t="s">
        <v>19</v>
      </c>
      <c r="M1536" s="8">
        <v>295</v>
      </c>
      <c r="N1536" s="8" t="s">
        <v>435</v>
      </c>
      <c r="O1536" s="8">
        <v>70</v>
      </c>
      <c r="P1536" s="8" t="s">
        <v>8693</v>
      </c>
      <c r="Q1536" s="8" t="s">
        <v>4262</v>
      </c>
      <c r="R1536" s="8">
        <v>0.156</v>
      </c>
      <c r="S1536" s="8">
        <v>239344369</v>
      </c>
      <c r="T1536" s="8" t="s">
        <v>46</v>
      </c>
      <c r="U1536" s="8" t="s">
        <v>24</v>
      </c>
    </row>
    <row r="1537" spans="1:21">
      <c r="A1537" s="8" t="s">
        <v>8531</v>
      </c>
      <c r="B1537" s="8" t="s">
        <v>3287</v>
      </c>
      <c r="C1537" s="8">
        <v>51665</v>
      </c>
      <c r="D1537" s="8" t="s">
        <v>172</v>
      </c>
      <c r="E1537" s="8">
        <v>239353341</v>
      </c>
      <c r="F1537" s="8">
        <v>239353341</v>
      </c>
      <c r="G1537" s="8" t="s">
        <v>24</v>
      </c>
      <c r="H1537" s="8" t="s">
        <v>25</v>
      </c>
      <c r="I1537" s="8" t="s">
        <v>23</v>
      </c>
      <c r="J1537" s="8" t="s">
        <v>3288</v>
      </c>
      <c r="K1537" s="8" t="s">
        <v>8694</v>
      </c>
      <c r="L1537" s="8" t="s">
        <v>19</v>
      </c>
      <c r="M1537" s="8">
        <v>939</v>
      </c>
      <c r="N1537" s="8" t="s">
        <v>155</v>
      </c>
      <c r="O1537" s="8">
        <v>285</v>
      </c>
      <c r="P1537" s="8" t="s">
        <v>8695</v>
      </c>
      <c r="Q1537" s="8" t="s">
        <v>4262</v>
      </c>
      <c r="R1537" s="8">
        <v>0.27100000000000002</v>
      </c>
      <c r="S1537" s="8">
        <v>239353341</v>
      </c>
      <c r="T1537" s="8" t="s">
        <v>24</v>
      </c>
      <c r="U1537" s="8" t="s">
        <v>25</v>
      </c>
    </row>
    <row r="1538" spans="1:21">
      <c r="A1538" s="8" t="s">
        <v>8531</v>
      </c>
      <c r="B1538" s="8" t="s">
        <v>2635</v>
      </c>
      <c r="C1538" s="8">
        <v>151056</v>
      </c>
      <c r="D1538" s="8" t="s">
        <v>172</v>
      </c>
      <c r="E1538" s="8">
        <v>28763232</v>
      </c>
      <c r="F1538" s="8">
        <v>28763232</v>
      </c>
      <c r="G1538" s="8" t="s">
        <v>24</v>
      </c>
      <c r="H1538" s="8" t="s">
        <v>41</v>
      </c>
      <c r="I1538" s="8" t="s">
        <v>23</v>
      </c>
      <c r="J1538" s="8" t="s">
        <v>6645</v>
      </c>
      <c r="K1538" s="8" t="s">
        <v>6647</v>
      </c>
      <c r="L1538" s="8" t="s">
        <v>68</v>
      </c>
      <c r="M1538" s="8">
        <v>0</v>
      </c>
      <c r="N1538" s="8" t="s">
        <v>35</v>
      </c>
      <c r="O1538" s="8">
        <v>0</v>
      </c>
      <c r="P1538" s="8" t="s">
        <v>35</v>
      </c>
      <c r="Q1538" s="8" t="s">
        <v>4262</v>
      </c>
      <c r="R1538" s="8">
        <v>0.22900000000000001</v>
      </c>
      <c r="S1538" s="8">
        <v>28763232</v>
      </c>
      <c r="T1538" s="8" t="s">
        <v>24</v>
      </c>
      <c r="U1538" s="8" t="s">
        <v>41</v>
      </c>
    </row>
    <row r="1539" spans="1:21">
      <c r="A1539" s="8" t="s">
        <v>8531</v>
      </c>
      <c r="B1539" s="8" t="s">
        <v>8696</v>
      </c>
      <c r="C1539" s="8">
        <v>6654</v>
      </c>
      <c r="D1539" s="8" t="s">
        <v>172</v>
      </c>
      <c r="E1539" s="8">
        <v>39249798</v>
      </c>
      <c r="F1539" s="8">
        <v>39249798</v>
      </c>
      <c r="G1539" s="8" t="s">
        <v>41</v>
      </c>
      <c r="H1539" s="8" t="s">
        <v>25</v>
      </c>
      <c r="I1539" s="8" t="s">
        <v>23</v>
      </c>
      <c r="J1539" s="8" t="s">
        <v>8697</v>
      </c>
      <c r="K1539" s="8" t="s">
        <v>8699</v>
      </c>
      <c r="L1539" s="8" t="s">
        <v>19</v>
      </c>
      <c r="M1539" s="8">
        <v>1812</v>
      </c>
      <c r="N1539" s="8" t="s">
        <v>3131</v>
      </c>
      <c r="O1539" s="8">
        <v>591</v>
      </c>
      <c r="P1539" s="8" t="s">
        <v>8698</v>
      </c>
      <c r="Q1539" s="8" t="s">
        <v>4262</v>
      </c>
      <c r="R1539" s="8">
        <v>9.6000000000000002E-2</v>
      </c>
      <c r="S1539" s="8">
        <v>39249798</v>
      </c>
      <c r="T1539" s="8" t="s">
        <v>41</v>
      </c>
      <c r="U1539" s="8" t="s">
        <v>25</v>
      </c>
    </row>
    <row r="1540" spans="1:21">
      <c r="A1540" s="8" t="s">
        <v>8531</v>
      </c>
      <c r="B1540" s="8" t="s">
        <v>8700</v>
      </c>
      <c r="C1540" s="8">
        <v>80745</v>
      </c>
      <c r="D1540" s="8" t="s">
        <v>172</v>
      </c>
      <c r="E1540" s="8">
        <v>39971594</v>
      </c>
      <c r="F1540" s="8">
        <v>39971594</v>
      </c>
      <c r="G1540" s="8" t="s">
        <v>25</v>
      </c>
      <c r="H1540" s="8" t="s">
        <v>46</v>
      </c>
      <c r="I1540" s="8" t="s">
        <v>23</v>
      </c>
      <c r="J1540" s="8" t="s">
        <v>8701</v>
      </c>
      <c r="K1540" s="8" t="s">
        <v>8703</v>
      </c>
      <c r="L1540" s="8" t="s">
        <v>19</v>
      </c>
      <c r="M1540" s="8">
        <v>1140</v>
      </c>
      <c r="N1540" s="8" t="s">
        <v>2995</v>
      </c>
      <c r="O1540" s="8">
        <v>368</v>
      </c>
      <c r="P1540" s="8" t="s">
        <v>8702</v>
      </c>
      <c r="Q1540" s="8" t="s">
        <v>4262</v>
      </c>
      <c r="R1540" s="8">
        <v>9.6000000000000002E-2</v>
      </c>
      <c r="S1540" s="8">
        <v>39971594</v>
      </c>
      <c r="T1540" s="8" t="s">
        <v>25</v>
      </c>
      <c r="U1540" s="8" t="s">
        <v>46</v>
      </c>
    </row>
    <row r="1541" spans="1:21">
      <c r="A1541" s="8" t="s">
        <v>8531</v>
      </c>
      <c r="B1541" s="8" t="s">
        <v>7794</v>
      </c>
      <c r="C1541" s="8">
        <v>3344</v>
      </c>
      <c r="D1541" s="8" t="s">
        <v>172</v>
      </c>
      <c r="E1541" s="8">
        <v>48602066</v>
      </c>
      <c r="F1541" s="8">
        <v>48602066</v>
      </c>
      <c r="G1541" s="8" t="s">
        <v>24</v>
      </c>
      <c r="H1541" s="8" t="s">
        <v>41</v>
      </c>
      <c r="I1541" s="8" t="s">
        <v>23</v>
      </c>
      <c r="J1541" s="8" t="s">
        <v>7795</v>
      </c>
      <c r="K1541" s="8" t="s">
        <v>7797</v>
      </c>
      <c r="L1541" s="8" t="s">
        <v>19</v>
      </c>
      <c r="M1541" s="8">
        <v>1095</v>
      </c>
      <c r="N1541" s="8" t="s">
        <v>490</v>
      </c>
      <c r="O1541" s="8">
        <v>260</v>
      </c>
      <c r="P1541" s="8" t="s">
        <v>8704</v>
      </c>
      <c r="Q1541" s="8" t="s">
        <v>4262</v>
      </c>
      <c r="R1541" s="8">
        <v>0.26300000000000001</v>
      </c>
      <c r="S1541" s="8">
        <v>48602066</v>
      </c>
      <c r="T1541" s="8" t="s">
        <v>24</v>
      </c>
      <c r="U1541" s="8" t="s">
        <v>41</v>
      </c>
    </row>
    <row r="1542" spans="1:21">
      <c r="A1542" s="8" t="s">
        <v>8531</v>
      </c>
      <c r="B1542" s="8" t="s">
        <v>3432</v>
      </c>
      <c r="C1542" s="8">
        <v>2492</v>
      </c>
      <c r="D1542" s="8" t="s">
        <v>172</v>
      </c>
      <c r="E1542" s="8">
        <v>49190179</v>
      </c>
      <c r="F1542" s="8">
        <v>49190179</v>
      </c>
      <c r="G1542" s="8" t="s">
        <v>24</v>
      </c>
      <c r="H1542" s="8" t="s">
        <v>41</v>
      </c>
      <c r="I1542" s="8" t="s">
        <v>23</v>
      </c>
      <c r="J1542" s="8" t="s">
        <v>6648</v>
      </c>
      <c r="K1542" s="8" t="s">
        <v>6650</v>
      </c>
      <c r="L1542" s="8" t="s">
        <v>19</v>
      </c>
      <c r="M1542" s="8">
        <v>1891</v>
      </c>
      <c r="N1542" s="8" t="s">
        <v>642</v>
      </c>
      <c r="O1542" s="8">
        <v>594</v>
      </c>
      <c r="P1542" s="8" t="s">
        <v>8705</v>
      </c>
      <c r="Q1542" s="8" t="s">
        <v>4262</v>
      </c>
      <c r="R1542" s="8">
        <v>0.11899999999999999</v>
      </c>
      <c r="S1542" s="8">
        <v>49190179</v>
      </c>
      <c r="T1542" s="8" t="s">
        <v>24</v>
      </c>
      <c r="U1542" s="8" t="s">
        <v>41</v>
      </c>
    </row>
    <row r="1543" spans="1:21">
      <c r="A1543" s="8" t="s">
        <v>8531</v>
      </c>
      <c r="B1543" s="8" t="s">
        <v>2226</v>
      </c>
      <c r="C1543" s="8">
        <v>9695</v>
      </c>
      <c r="D1543" s="8" t="s">
        <v>201</v>
      </c>
      <c r="E1543" s="8">
        <v>5252839</v>
      </c>
      <c r="F1543" s="8">
        <v>5252839</v>
      </c>
      <c r="G1543" s="8" t="s">
        <v>25</v>
      </c>
      <c r="H1543" s="8" t="s">
        <v>41</v>
      </c>
      <c r="I1543" s="8" t="s">
        <v>23</v>
      </c>
      <c r="J1543" s="8" t="s">
        <v>8706</v>
      </c>
      <c r="K1543" s="8" t="s">
        <v>8708</v>
      </c>
      <c r="L1543" s="8" t="s">
        <v>76</v>
      </c>
      <c r="M1543" s="8">
        <v>1750</v>
      </c>
      <c r="N1543" s="8" t="s">
        <v>1103</v>
      </c>
      <c r="O1543" s="8">
        <v>540</v>
      </c>
      <c r="P1543" s="8" t="s">
        <v>8707</v>
      </c>
      <c r="Q1543" s="8" t="s">
        <v>4262</v>
      </c>
      <c r="R1543" s="8">
        <v>0.22600000000000001</v>
      </c>
      <c r="S1543" s="8">
        <v>5252839</v>
      </c>
      <c r="T1543" s="8" t="s">
        <v>25</v>
      </c>
      <c r="U1543" s="8" t="s">
        <v>41</v>
      </c>
    </row>
    <row r="1544" spans="1:21">
      <c r="A1544" s="8" t="s">
        <v>8531</v>
      </c>
      <c r="B1544" s="8" t="s">
        <v>7208</v>
      </c>
      <c r="C1544" s="8">
        <v>26582</v>
      </c>
      <c r="D1544" s="8" t="s">
        <v>201</v>
      </c>
      <c r="E1544" s="8">
        <v>75718499</v>
      </c>
      <c r="F1544" s="8">
        <v>75718499</v>
      </c>
      <c r="G1544" s="8" t="s">
        <v>25</v>
      </c>
      <c r="H1544" s="8" t="s">
        <v>24</v>
      </c>
      <c r="I1544" s="8" t="s">
        <v>23</v>
      </c>
      <c r="J1544" s="8" t="s">
        <v>7209</v>
      </c>
      <c r="K1544" s="8" t="s">
        <v>7211</v>
      </c>
      <c r="L1544" s="8" t="s">
        <v>19</v>
      </c>
      <c r="M1544" s="8">
        <v>499</v>
      </c>
      <c r="N1544" s="8" t="s">
        <v>673</v>
      </c>
      <c r="O1544" s="8">
        <v>167</v>
      </c>
      <c r="P1544" s="8" t="s">
        <v>8709</v>
      </c>
      <c r="Q1544" s="8" t="s">
        <v>4262</v>
      </c>
      <c r="R1544" s="8">
        <v>4.7E-2</v>
      </c>
      <c r="S1544" s="8">
        <v>75718499</v>
      </c>
      <c r="T1544" s="8" t="s">
        <v>25</v>
      </c>
      <c r="U1544" s="8" t="s">
        <v>24</v>
      </c>
    </row>
    <row r="1545" spans="1:21">
      <c r="A1545" s="8" t="s">
        <v>8531</v>
      </c>
      <c r="B1545" s="8" t="s">
        <v>2068</v>
      </c>
      <c r="C1545" s="8">
        <v>6091</v>
      </c>
      <c r="D1545" s="8" t="s">
        <v>201</v>
      </c>
      <c r="E1545" s="8">
        <v>78685252</v>
      </c>
      <c r="F1545" s="8">
        <v>78685252</v>
      </c>
      <c r="G1545" s="8" t="s">
        <v>46</v>
      </c>
      <c r="H1545" s="8" t="s">
        <v>25</v>
      </c>
      <c r="I1545" s="8" t="s">
        <v>23</v>
      </c>
      <c r="J1545" s="8" t="s">
        <v>8710</v>
      </c>
      <c r="K1545" s="8" t="s">
        <v>8712</v>
      </c>
      <c r="L1545" s="8" t="s">
        <v>19</v>
      </c>
      <c r="M1545" s="8">
        <v>3252</v>
      </c>
      <c r="N1545" s="8" t="s">
        <v>1126</v>
      </c>
      <c r="O1545" s="8">
        <v>1015</v>
      </c>
      <c r="P1545" s="8" t="s">
        <v>8711</v>
      </c>
      <c r="Q1545" s="8" t="s">
        <v>4262</v>
      </c>
      <c r="R1545" s="8">
        <v>0.40600000000000003</v>
      </c>
      <c r="S1545" s="8">
        <v>78685252</v>
      </c>
      <c r="T1545" s="8" t="s">
        <v>46</v>
      </c>
      <c r="U1545" s="8" t="s">
        <v>25</v>
      </c>
    </row>
    <row r="1546" spans="1:21">
      <c r="A1546" s="8" t="s">
        <v>8531</v>
      </c>
      <c r="B1546" s="8" t="s">
        <v>8713</v>
      </c>
      <c r="C1546" s="8">
        <v>84522</v>
      </c>
      <c r="D1546" s="8" t="s">
        <v>201</v>
      </c>
      <c r="E1546" s="8">
        <v>9934711</v>
      </c>
      <c r="F1546" s="8">
        <v>9934711</v>
      </c>
      <c r="G1546" s="8" t="s">
        <v>24</v>
      </c>
      <c r="H1546" s="8" t="s">
        <v>41</v>
      </c>
      <c r="I1546" s="8" t="s">
        <v>23</v>
      </c>
      <c r="J1546" s="8" t="s">
        <v>8714</v>
      </c>
      <c r="K1546" s="8" t="s">
        <v>8716</v>
      </c>
      <c r="L1546" s="8" t="s">
        <v>19</v>
      </c>
      <c r="M1546" s="8">
        <v>338</v>
      </c>
      <c r="N1546" s="8" t="s">
        <v>1248</v>
      </c>
      <c r="O1546" s="8">
        <v>68</v>
      </c>
      <c r="P1546" s="8" t="s">
        <v>8715</v>
      </c>
      <c r="Q1546" s="8" t="s">
        <v>4262</v>
      </c>
      <c r="R1546" s="8">
        <v>0.186</v>
      </c>
      <c r="S1546" s="8">
        <v>9934711</v>
      </c>
      <c r="T1546" s="8" t="s">
        <v>24</v>
      </c>
      <c r="U1546" s="8" t="s">
        <v>41</v>
      </c>
    </row>
    <row r="1547" spans="1:21">
      <c r="A1547" s="8" t="s">
        <v>8531</v>
      </c>
      <c r="B1547" s="8" t="s">
        <v>8717</v>
      </c>
      <c r="C1547" s="8">
        <v>1295</v>
      </c>
      <c r="D1547" s="8" t="s">
        <v>201</v>
      </c>
      <c r="E1547" s="8">
        <v>99509706</v>
      </c>
      <c r="F1547" s="8">
        <v>99509706</v>
      </c>
      <c r="G1547" s="8" t="s">
        <v>46</v>
      </c>
      <c r="H1547" s="8" t="s">
        <v>25</v>
      </c>
      <c r="I1547" s="8" t="s">
        <v>23</v>
      </c>
      <c r="J1547" s="8" t="s">
        <v>8718</v>
      </c>
      <c r="K1547" s="8" t="s">
        <v>8720</v>
      </c>
      <c r="L1547" s="8" t="s">
        <v>19</v>
      </c>
      <c r="M1547" s="8">
        <v>363</v>
      </c>
      <c r="N1547" s="8" t="s">
        <v>1591</v>
      </c>
      <c r="O1547" s="8">
        <v>60</v>
      </c>
      <c r="P1547" s="8" t="s">
        <v>8719</v>
      </c>
      <c r="Q1547" s="8" t="s">
        <v>4262</v>
      </c>
      <c r="R1547" s="8">
        <v>0.14899999999999999</v>
      </c>
      <c r="S1547" s="8">
        <v>99509706</v>
      </c>
      <c r="T1547" s="8" t="s">
        <v>46</v>
      </c>
      <c r="U1547" s="8" t="s">
        <v>25</v>
      </c>
    </row>
    <row r="1548" spans="1:21">
      <c r="A1548" s="8" t="s">
        <v>8531</v>
      </c>
      <c r="B1548" s="8" t="s">
        <v>4567</v>
      </c>
      <c r="C1548" s="8">
        <v>151887</v>
      </c>
      <c r="D1548" s="8" t="s">
        <v>201</v>
      </c>
      <c r="E1548" s="8">
        <v>112358175</v>
      </c>
      <c r="F1548" s="8">
        <v>112358175</v>
      </c>
      <c r="G1548" s="8" t="s">
        <v>24</v>
      </c>
      <c r="H1548" s="8" t="s">
        <v>41</v>
      </c>
      <c r="I1548" s="8" t="s">
        <v>23</v>
      </c>
      <c r="J1548" s="8" t="s">
        <v>4568</v>
      </c>
      <c r="K1548" s="8" t="s">
        <v>4570</v>
      </c>
      <c r="L1548" s="8" t="s">
        <v>19</v>
      </c>
      <c r="M1548" s="8">
        <v>796</v>
      </c>
      <c r="N1548" s="8" t="s">
        <v>1617</v>
      </c>
      <c r="O1548" s="8">
        <v>193</v>
      </c>
      <c r="P1548" s="8" t="s">
        <v>8721</v>
      </c>
      <c r="Q1548" s="8" t="s">
        <v>4262</v>
      </c>
      <c r="R1548" s="8">
        <v>0.17699999999999999</v>
      </c>
      <c r="S1548" s="8">
        <v>112358175</v>
      </c>
      <c r="T1548" s="8" t="s">
        <v>24</v>
      </c>
      <c r="U1548" s="8" t="s">
        <v>41</v>
      </c>
    </row>
    <row r="1549" spans="1:21">
      <c r="A1549" s="8" t="s">
        <v>8531</v>
      </c>
      <c r="B1549" s="8" t="s">
        <v>6836</v>
      </c>
      <c r="C1549" s="8">
        <v>9515</v>
      </c>
      <c r="D1549" s="8" t="s">
        <v>201</v>
      </c>
      <c r="E1549" s="8">
        <v>121100343</v>
      </c>
      <c r="F1549" s="8">
        <v>121100343</v>
      </c>
      <c r="G1549" s="8" t="s">
        <v>46</v>
      </c>
      <c r="H1549" s="8" t="s">
        <v>25</v>
      </c>
      <c r="I1549" s="8" t="s">
        <v>23</v>
      </c>
      <c r="J1549" s="8" t="s">
        <v>6837</v>
      </c>
      <c r="K1549" s="8" t="s">
        <v>6839</v>
      </c>
      <c r="L1549" s="8" t="s">
        <v>19</v>
      </c>
      <c r="M1549" s="8">
        <v>2763</v>
      </c>
      <c r="N1549" s="8" t="s">
        <v>3144</v>
      </c>
      <c r="O1549" s="8">
        <v>875</v>
      </c>
      <c r="P1549" s="8" t="s">
        <v>8722</v>
      </c>
      <c r="Q1549" s="8" t="s">
        <v>4262</v>
      </c>
      <c r="R1549" s="8">
        <v>0.13800000000000001</v>
      </c>
      <c r="S1549" s="8">
        <v>121100343</v>
      </c>
      <c r="T1549" s="8" t="s">
        <v>46</v>
      </c>
      <c r="U1549" s="8" t="s">
        <v>25</v>
      </c>
    </row>
    <row r="1550" spans="1:21">
      <c r="A1550" s="8" t="s">
        <v>8531</v>
      </c>
      <c r="B1550" s="8" t="s">
        <v>8723</v>
      </c>
      <c r="C1550" s="8">
        <v>151636</v>
      </c>
      <c r="D1550" s="8" t="s">
        <v>201</v>
      </c>
      <c r="E1550" s="8">
        <v>122288588</v>
      </c>
      <c r="F1550" s="8">
        <v>122288588</v>
      </c>
      <c r="G1550" s="8" t="s">
        <v>46</v>
      </c>
      <c r="H1550" s="8" t="s">
        <v>41</v>
      </c>
      <c r="I1550" s="8" t="s">
        <v>23</v>
      </c>
      <c r="J1550" s="8" t="s">
        <v>8724</v>
      </c>
      <c r="K1550" s="8" t="s">
        <v>8726</v>
      </c>
      <c r="L1550" s="8" t="s">
        <v>19</v>
      </c>
      <c r="M1550" s="8">
        <v>1741</v>
      </c>
      <c r="N1550" s="8" t="s">
        <v>2694</v>
      </c>
      <c r="O1550" s="8">
        <v>551</v>
      </c>
      <c r="P1550" s="8" t="s">
        <v>8725</v>
      </c>
      <c r="Q1550" s="8" t="s">
        <v>4262</v>
      </c>
      <c r="R1550" s="8">
        <v>0.10199999999999999</v>
      </c>
      <c r="S1550" s="8">
        <v>122288588</v>
      </c>
      <c r="T1550" s="8" t="s">
        <v>46</v>
      </c>
      <c r="U1550" s="8" t="s">
        <v>41</v>
      </c>
    </row>
    <row r="1551" spans="1:21">
      <c r="A1551" s="8" t="s">
        <v>8531</v>
      </c>
      <c r="B1551" s="8" t="s">
        <v>8727</v>
      </c>
      <c r="C1551" s="8">
        <v>84925</v>
      </c>
      <c r="D1551" s="8" t="s">
        <v>201</v>
      </c>
      <c r="E1551" s="8">
        <v>122591411</v>
      </c>
      <c r="F1551" s="8">
        <v>122591411</v>
      </c>
      <c r="G1551" s="8" t="s">
        <v>24</v>
      </c>
      <c r="H1551" s="8" t="s">
        <v>25</v>
      </c>
      <c r="I1551" s="8" t="s">
        <v>23</v>
      </c>
      <c r="J1551" s="8" t="s">
        <v>8728</v>
      </c>
      <c r="K1551" s="8" t="s">
        <v>8730</v>
      </c>
      <c r="L1551" s="8" t="s">
        <v>19</v>
      </c>
      <c r="M1551" s="8">
        <v>1427</v>
      </c>
      <c r="N1551" s="8" t="s">
        <v>322</v>
      </c>
      <c r="O1551" s="8">
        <v>430</v>
      </c>
      <c r="P1551" s="8" t="s">
        <v>8729</v>
      </c>
      <c r="Q1551" s="8" t="s">
        <v>4262</v>
      </c>
      <c r="R1551" s="8">
        <v>0.16700000000000001</v>
      </c>
      <c r="S1551" s="8">
        <v>122591411</v>
      </c>
      <c r="T1551" s="8" t="s">
        <v>24</v>
      </c>
      <c r="U1551" s="8" t="s">
        <v>25</v>
      </c>
    </row>
    <row r="1552" spans="1:21">
      <c r="A1552" s="8" t="s">
        <v>8531</v>
      </c>
      <c r="B1552" s="8" t="s">
        <v>2071</v>
      </c>
      <c r="C1552" s="8">
        <v>8997</v>
      </c>
      <c r="D1552" s="8" t="s">
        <v>201</v>
      </c>
      <c r="E1552" s="8">
        <v>124209545</v>
      </c>
      <c r="F1552" s="8">
        <v>124209545</v>
      </c>
      <c r="G1552" s="8" t="s">
        <v>46</v>
      </c>
      <c r="H1552" s="8" t="s">
        <v>25</v>
      </c>
      <c r="I1552" s="8" t="s">
        <v>23</v>
      </c>
      <c r="J1552" s="8" t="s">
        <v>4294</v>
      </c>
      <c r="K1552" s="8" t="s">
        <v>4296</v>
      </c>
      <c r="L1552" s="8" t="s">
        <v>19</v>
      </c>
      <c r="M1552" s="8">
        <v>4522</v>
      </c>
      <c r="N1552" s="8" t="s">
        <v>326</v>
      </c>
      <c r="O1552" s="8">
        <v>1465</v>
      </c>
      <c r="P1552" s="8" t="s">
        <v>8731</v>
      </c>
      <c r="Q1552" s="8" t="s">
        <v>4262</v>
      </c>
      <c r="R1552" s="8">
        <v>0.2</v>
      </c>
      <c r="S1552" s="8">
        <v>124209545</v>
      </c>
      <c r="T1552" s="8" t="s">
        <v>46</v>
      </c>
      <c r="U1552" s="8" t="s">
        <v>25</v>
      </c>
    </row>
    <row r="1553" spans="1:21">
      <c r="A1553" s="8" t="s">
        <v>8531</v>
      </c>
      <c r="B1553" s="8" t="s">
        <v>8732</v>
      </c>
      <c r="C1553" s="8">
        <v>55764</v>
      </c>
      <c r="D1553" s="8" t="s">
        <v>201</v>
      </c>
      <c r="E1553" s="8">
        <v>129223161</v>
      </c>
      <c r="F1553" s="8">
        <v>129223161</v>
      </c>
      <c r="G1553" s="8" t="s">
        <v>24</v>
      </c>
      <c r="H1553" s="8" t="s">
        <v>41</v>
      </c>
      <c r="I1553" s="8" t="s">
        <v>23</v>
      </c>
      <c r="J1553" s="8" t="s">
        <v>8733</v>
      </c>
      <c r="K1553" s="8" t="s">
        <v>8734</v>
      </c>
      <c r="L1553" s="8" t="s">
        <v>68</v>
      </c>
      <c r="M1553" s="8">
        <v>0</v>
      </c>
      <c r="N1553" s="8" t="s">
        <v>35</v>
      </c>
      <c r="O1553" s="8">
        <v>0</v>
      </c>
      <c r="P1553" s="8" t="s">
        <v>35</v>
      </c>
      <c r="Q1553" s="8" t="s">
        <v>4262</v>
      </c>
      <c r="R1553" s="8">
        <v>0.184</v>
      </c>
      <c r="S1553" s="8">
        <v>129223161</v>
      </c>
      <c r="T1553" s="8" t="s">
        <v>24</v>
      </c>
      <c r="U1553" s="8" t="s">
        <v>41</v>
      </c>
    </row>
    <row r="1554" spans="1:21">
      <c r="A1554" s="8" t="s">
        <v>8531</v>
      </c>
      <c r="B1554" s="8" t="s">
        <v>3292</v>
      </c>
      <c r="C1554" s="8">
        <v>8403</v>
      </c>
      <c r="D1554" s="8" t="s">
        <v>201</v>
      </c>
      <c r="E1554" s="8">
        <v>137483823</v>
      </c>
      <c r="F1554" s="8">
        <v>137483823</v>
      </c>
      <c r="G1554" s="8" t="s">
        <v>46</v>
      </c>
      <c r="H1554" s="8" t="s">
        <v>41</v>
      </c>
      <c r="I1554" s="8" t="s">
        <v>23</v>
      </c>
      <c r="J1554" s="8" t="s">
        <v>3293</v>
      </c>
      <c r="K1554" s="8" t="s">
        <v>8736</v>
      </c>
      <c r="L1554" s="8" t="s">
        <v>19</v>
      </c>
      <c r="M1554" s="8">
        <v>690</v>
      </c>
      <c r="N1554" s="8" t="s">
        <v>1421</v>
      </c>
      <c r="O1554" s="8">
        <v>66</v>
      </c>
      <c r="P1554" s="8" t="s">
        <v>8735</v>
      </c>
      <c r="Q1554" s="8" t="s">
        <v>4262</v>
      </c>
      <c r="R1554" s="8">
        <v>0.371</v>
      </c>
      <c r="S1554" s="8">
        <v>137483823</v>
      </c>
      <c r="T1554" s="8" t="s">
        <v>46</v>
      </c>
      <c r="U1554" s="8" t="s">
        <v>41</v>
      </c>
    </row>
    <row r="1555" spans="1:21">
      <c r="A1555" s="8" t="s">
        <v>8531</v>
      </c>
      <c r="B1555" s="8" t="s">
        <v>8737</v>
      </c>
      <c r="C1555" s="8">
        <v>545</v>
      </c>
      <c r="D1555" s="8" t="s">
        <v>201</v>
      </c>
      <c r="E1555" s="8">
        <v>142272722</v>
      </c>
      <c r="F1555" s="8">
        <v>142272722</v>
      </c>
      <c r="G1555" s="8" t="s">
        <v>46</v>
      </c>
      <c r="H1555" s="8" t="s">
        <v>41</v>
      </c>
      <c r="I1555" s="8" t="s">
        <v>23</v>
      </c>
      <c r="J1555" s="8" t="s">
        <v>8738</v>
      </c>
      <c r="K1555" s="8" t="s">
        <v>8740</v>
      </c>
      <c r="L1555" s="8" t="s">
        <v>19</v>
      </c>
      <c r="M1555" s="8">
        <v>2599</v>
      </c>
      <c r="N1555" s="8" t="s">
        <v>494</v>
      </c>
      <c r="O1555" s="8">
        <v>826</v>
      </c>
      <c r="P1555" s="8" t="s">
        <v>8739</v>
      </c>
      <c r="Q1555" s="8" t="s">
        <v>4262</v>
      </c>
      <c r="R1555" s="8">
        <v>0.10299999999999999</v>
      </c>
      <c r="S1555" s="8">
        <v>142272722</v>
      </c>
      <c r="T1555" s="8" t="s">
        <v>46</v>
      </c>
      <c r="U1555" s="8" t="s">
        <v>41</v>
      </c>
    </row>
    <row r="1556" spans="1:21">
      <c r="A1556" s="8" t="s">
        <v>8531</v>
      </c>
      <c r="B1556" s="8" t="s">
        <v>3294</v>
      </c>
      <c r="C1556" s="8">
        <v>23007</v>
      </c>
      <c r="D1556" s="8" t="s">
        <v>201</v>
      </c>
      <c r="E1556" s="8">
        <v>155200393</v>
      </c>
      <c r="F1556" s="8">
        <v>155200393</v>
      </c>
      <c r="G1556" s="8" t="s">
        <v>24</v>
      </c>
      <c r="H1556" s="8" t="s">
        <v>41</v>
      </c>
      <c r="I1556" s="8" t="s">
        <v>23</v>
      </c>
      <c r="J1556" s="8" t="s">
        <v>8741</v>
      </c>
      <c r="K1556" s="8" t="s">
        <v>8743</v>
      </c>
      <c r="L1556" s="8" t="s">
        <v>19</v>
      </c>
      <c r="M1556" s="8">
        <v>3723</v>
      </c>
      <c r="N1556" s="8" t="s">
        <v>219</v>
      </c>
      <c r="O1556" s="8">
        <v>1149</v>
      </c>
      <c r="P1556" s="8" t="s">
        <v>8742</v>
      </c>
      <c r="Q1556" s="8" t="s">
        <v>4262</v>
      </c>
      <c r="R1556" s="8">
        <v>0.47899999999999998</v>
      </c>
      <c r="S1556" s="8">
        <v>155200393</v>
      </c>
      <c r="T1556" s="8" t="s">
        <v>24</v>
      </c>
      <c r="U1556" s="8" t="s">
        <v>41</v>
      </c>
    </row>
    <row r="1557" spans="1:21">
      <c r="A1557" s="8" t="s">
        <v>8531</v>
      </c>
      <c r="B1557" s="8" t="s">
        <v>8744</v>
      </c>
      <c r="C1557" s="8">
        <v>23043</v>
      </c>
      <c r="D1557" s="8" t="s">
        <v>201</v>
      </c>
      <c r="E1557" s="8">
        <v>170843873</v>
      </c>
      <c r="F1557" s="8">
        <v>170843873</v>
      </c>
      <c r="G1557" s="8" t="s">
        <v>41</v>
      </c>
      <c r="H1557" s="8" t="s">
        <v>25</v>
      </c>
      <c r="I1557" s="8" t="s">
        <v>23</v>
      </c>
      <c r="J1557" s="8" t="s">
        <v>8745</v>
      </c>
      <c r="K1557" s="8" t="s">
        <v>8747</v>
      </c>
      <c r="L1557" s="8" t="s">
        <v>19</v>
      </c>
      <c r="M1557" s="8">
        <v>2186</v>
      </c>
      <c r="N1557" s="8" t="s">
        <v>3136</v>
      </c>
      <c r="O1557" s="8">
        <v>614</v>
      </c>
      <c r="P1557" s="8" t="s">
        <v>8746</v>
      </c>
      <c r="Q1557" s="8" t="s">
        <v>4262</v>
      </c>
      <c r="R1557" s="8">
        <v>0.253</v>
      </c>
      <c r="S1557" s="8">
        <v>170843873</v>
      </c>
      <c r="T1557" s="8" t="s">
        <v>41</v>
      </c>
      <c r="U1557" s="8" t="s">
        <v>25</v>
      </c>
    </row>
    <row r="1558" spans="1:21">
      <c r="A1558" s="8" t="s">
        <v>8531</v>
      </c>
      <c r="B1558" s="8" t="s">
        <v>8748</v>
      </c>
      <c r="C1558" s="8">
        <v>10057</v>
      </c>
      <c r="D1558" s="8" t="s">
        <v>201</v>
      </c>
      <c r="E1558" s="8">
        <v>183689519</v>
      </c>
      <c r="F1558" s="8">
        <v>183689519</v>
      </c>
      <c r="G1558" s="8" t="s">
        <v>46</v>
      </c>
      <c r="H1558" s="8" t="s">
        <v>24</v>
      </c>
      <c r="I1558" s="8" t="s">
        <v>23</v>
      </c>
      <c r="J1558" s="8" t="s">
        <v>8749</v>
      </c>
      <c r="K1558" s="8" t="s">
        <v>8751</v>
      </c>
      <c r="L1558" s="8" t="s">
        <v>19</v>
      </c>
      <c r="M1558" s="8">
        <v>1758</v>
      </c>
      <c r="N1558" s="8" t="s">
        <v>5833</v>
      </c>
      <c r="O1558" s="8">
        <v>531</v>
      </c>
      <c r="P1558" s="8" t="s">
        <v>8750</v>
      </c>
      <c r="Q1558" s="8" t="s">
        <v>4262</v>
      </c>
      <c r="R1558" s="8">
        <v>0.17899999999999999</v>
      </c>
      <c r="S1558" s="8">
        <v>183689519</v>
      </c>
      <c r="T1558" s="8" t="s">
        <v>46</v>
      </c>
      <c r="U1558" s="8" t="s">
        <v>24</v>
      </c>
    </row>
    <row r="1559" spans="1:21">
      <c r="A1559" s="8" t="s">
        <v>8531</v>
      </c>
      <c r="B1559" s="8" t="s">
        <v>4297</v>
      </c>
      <c r="C1559" s="8">
        <v>4585</v>
      </c>
      <c r="D1559" s="8" t="s">
        <v>201</v>
      </c>
      <c r="E1559" s="8">
        <v>195511572</v>
      </c>
      <c r="F1559" s="8">
        <v>195511572</v>
      </c>
      <c r="G1559" s="8" t="s">
        <v>24</v>
      </c>
      <c r="H1559" s="8" t="s">
        <v>41</v>
      </c>
      <c r="I1559" s="8" t="s">
        <v>23</v>
      </c>
      <c r="J1559" s="8" t="s">
        <v>4298</v>
      </c>
      <c r="K1559" s="8" t="s">
        <v>4300</v>
      </c>
      <c r="L1559" s="8" t="s">
        <v>19</v>
      </c>
      <c r="M1559" s="8">
        <v>7035</v>
      </c>
      <c r="N1559" s="8" t="s">
        <v>316</v>
      </c>
      <c r="O1559" s="8">
        <v>2293</v>
      </c>
      <c r="P1559" s="8" t="s">
        <v>8752</v>
      </c>
      <c r="Q1559" s="8" t="s">
        <v>4262</v>
      </c>
      <c r="R1559" s="8">
        <v>5.1999999999999998E-2</v>
      </c>
      <c r="S1559" s="8">
        <v>195511572</v>
      </c>
      <c r="T1559" s="8" t="s">
        <v>24</v>
      </c>
      <c r="U1559" s="8" t="s">
        <v>41</v>
      </c>
    </row>
    <row r="1560" spans="1:21">
      <c r="A1560" s="8" t="s">
        <v>8531</v>
      </c>
      <c r="B1560" s="8" t="s">
        <v>3295</v>
      </c>
      <c r="C1560" s="8">
        <v>25827</v>
      </c>
      <c r="D1560" s="8" t="s">
        <v>201</v>
      </c>
      <c r="E1560" s="8">
        <v>33416871</v>
      </c>
      <c r="F1560" s="8">
        <v>33416871</v>
      </c>
      <c r="G1560" s="8" t="s">
        <v>46</v>
      </c>
      <c r="H1560" s="8" t="s">
        <v>25</v>
      </c>
      <c r="I1560" s="8" t="s">
        <v>23</v>
      </c>
      <c r="J1560" s="8" t="s">
        <v>8753</v>
      </c>
      <c r="K1560" s="8" t="s">
        <v>8755</v>
      </c>
      <c r="L1560" s="8" t="s">
        <v>19</v>
      </c>
      <c r="M1560" s="8">
        <v>820</v>
      </c>
      <c r="N1560" s="8" t="s">
        <v>3048</v>
      </c>
      <c r="O1560" s="8">
        <v>250</v>
      </c>
      <c r="P1560" s="8" t="s">
        <v>8754</v>
      </c>
      <c r="Q1560" s="8" t="s">
        <v>4262</v>
      </c>
      <c r="R1560" s="8">
        <v>0.32400000000000001</v>
      </c>
      <c r="S1560" s="8">
        <v>33416871</v>
      </c>
      <c r="T1560" s="8" t="s">
        <v>46</v>
      </c>
      <c r="U1560" s="8" t="s">
        <v>25</v>
      </c>
    </row>
    <row r="1561" spans="1:21">
      <c r="A1561" s="8" t="s">
        <v>8531</v>
      </c>
      <c r="B1561" s="8" t="s">
        <v>2679</v>
      </c>
      <c r="C1561" s="8">
        <v>6336</v>
      </c>
      <c r="D1561" s="8" t="s">
        <v>201</v>
      </c>
      <c r="E1561" s="8">
        <v>38738961</v>
      </c>
      <c r="F1561" s="8">
        <v>38738961</v>
      </c>
      <c r="G1561" s="8" t="s">
        <v>25</v>
      </c>
      <c r="H1561" s="8" t="s">
        <v>41</v>
      </c>
      <c r="I1561" s="8" t="s">
        <v>23</v>
      </c>
      <c r="J1561" s="8" t="s">
        <v>2680</v>
      </c>
      <c r="K1561" s="8" t="s">
        <v>8757</v>
      </c>
      <c r="L1561" s="8" t="s">
        <v>19</v>
      </c>
      <c r="M1561" s="8">
        <v>5750</v>
      </c>
      <c r="N1561" s="8" t="s">
        <v>397</v>
      </c>
      <c r="O1561" s="8">
        <v>1917</v>
      </c>
      <c r="P1561" s="8" t="s">
        <v>8756</v>
      </c>
      <c r="Q1561" s="8" t="s">
        <v>4262</v>
      </c>
      <c r="R1561" s="8">
        <v>0.11899999999999999</v>
      </c>
      <c r="S1561" s="8">
        <v>38738961</v>
      </c>
      <c r="T1561" s="8" t="s">
        <v>25</v>
      </c>
      <c r="U1561" s="8" t="s">
        <v>41</v>
      </c>
    </row>
    <row r="1562" spans="1:21">
      <c r="A1562" s="8" t="s">
        <v>8531</v>
      </c>
      <c r="B1562" s="8" t="s">
        <v>7233</v>
      </c>
      <c r="C1562" s="8">
        <v>131377</v>
      </c>
      <c r="D1562" s="8" t="s">
        <v>201</v>
      </c>
      <c r="E1562" s="8">
        <v>42729727</v>
      </c>
      <c r="F1562" s="8">
        <v>42729727</v>
      </c>
      <c r="G1562" s="8" t="s">
        <v>24</v>
      </c>
      <c r="H1562" s="8" t="s">
        <v>41</v>
      </c>
      <c r="I1562" s="8" t="s">
        <v>23</v>
      </c>
      <c r="J1562" s="8" t="s">
        <v>7234</v>
      </c>
      <c r="K1562" s="8" t="s">
        <v>7236</v>
      </c>
      <c r="L1562" s="8" t="s">
        <v>19</v>
      </c>
      <c r="M1562" s="8">
        <v>1346</v>
      </c>
      <c r="N1562" s="8" t="s">
        <v>1248</v>
      </c>
      <c r="O1562" s="8">
        <v>416</v>
      </c>
      <c r="P1562" s="8" t="s">
        <v>8758</v>
      </c>
      <c r="Q1562" s="8" t="s">
        <v>4262</v>
      </c>
      <c r="R1562" s="8">
        <v>0.152</v>
      </c>
      <c r="S1562" s="8">
        <v>42729727</v>
      </c>
      <c r="T1562" s="8" t="s">
        <v>24</v>
      </c>
      <c r="U1562" s="8" t="s">
        <v>41</v>
      </c>
    </row>
    <row r="1563" spans="1:21">
      <c r="A1563" s="8" t="s">
        <v>8531</v>
      </c>
      <c r="B1563" s="8" t="s">
        <v>8759</v>
      </c>
      <c r="C1563" s="8">
        <v>375337</v>
      </c>
      <c r="D1563" s="8" t="s">
        <v>201</v>
      </c>
      <c r="E1563" s="8">
        <v>44285941</v>
      </c>
      <c r="F1563" s="8">
        <v>44285941</v>
      </c>
      <c r="G1563" s="8" t="s">
        <v>24</v>
      </c>
      <c r="H1563" s="8" t="s">
        <v>41</v>
      </c>
      <c r="I1563" s="8" t="s">
        <v>23</v>
      </c>
      <c r="J1563" s="8" t="s">
        <v>8760</v>
      </c>
      <c r="K1563" s="8" t="s">
        <v>8762</v>
      </c>
      <c r="L1563" s="8" t="s">
        <v>19</v>
      </c>
      <c r="M1563" s="8">
        <v>2111</v>
      </c>
      <c r="N1563" s="8" t="s">
        <v>1555</v>
      </c>
      <c r="O1563" s="8">
        <v>648</v>
      </c>
      <c r="P1563" s="8" t="s">
        <v>8761</v>
      </c>
      <c r="Q1563" s="8" t="s">
        <v>4262</v>
      </c>
      <c r="R1563" s="8">
        <v>0.24099999999999999</v>
      </c>
      <c r="S1563" s="8">
        <v>44285941</v>
      </c>
      <c r="T1563" s="8" t="s">
        <v>24</v>
      </c>
      <c r="U1563" s="8" t="s">
        <v>41</v>
      </c>
    </row>
    <row r="1564" spans="1:21">
      <c r="A1564" s="8" t="s">
        <v>8531</v>
      </c>
      <c r="B1564" s="8" t="s">
        <v>8763</v>
      </c>
      <c r="C1564" s="8">
        <v>79443</v>
      </c>
      <c r="D1564" s="8" t="s">
        <v>201</v>
      </c>
      <c r="E1564" s="8">
        <v>46014664</v>
      </c>
      <c r="F1564" s="8">
        <v>46014664</v>
      </c>
      <c r="G1564" s="8" t="s">
        <v>46</v>
      </c>
      <c r="H1564" s="8" t="s">
        <v>25</v>
      </c>
      <c r="I1564" s="8" t="s">
        <v>23</v>
      </c>
      <c r="J1564" s="8" t="s">
        <v>8764</v>
      </c>
      <c r="K1564" s="8" t="s">
        <v>8766</v>
      </c>
      <c r="L1564" s="8" t="s">
        <v>19</v>
      </c>
      <c r="M1564" s="8">
        <v>661</v>
      </c>
      <c r="N1564" s="8" t="s">
        <v>710</v>
      </c>
      <c r="O1564" s="8">
        <v>152</v>
      </c>
      <c r="P1564" s="8" t="s">
        <v>8765</v>
      </c>
      <c r="Q1564" s="8" t="s">
        <v>4262</v>
      </c>
      <c r="R1564" s="8">
        <v>0.16300000000000001</v>
      </c>
      <c r="S1564" s="8">
        <v>46014664</v>
      </c>
      <c r="T1564" s="8" t="s">
        <v>46</v>
      </c>
      <c r="U1564" s="8" t="s">
        <v>25</v>
      </c>
    </row>
    <row r="1565" spans="1:21">
      <c r="A1565" s="8" t="s">
        <v>8531</v>
      </c>
      <c r="B1565" s="8" t="s">
        <v>3296</v>
      </c>
      <c r="C1565" s="8">
        <v>5859</v>
      </c>
      <c r="D1565" s="8" t="s">
        <v>201</v>
      </c>
      <c r="E1565" s="8">
        <v>49141406</v>
      </c>
      <c r="F1565" s="8">
        <v>49141406</v>
      </c>
      <c r="G1565" s="8" t="s">
        <v>46</v>
      </c>
      <c r="H1565" s="8" t="s">
        <v>25</v>
      </c>
      <c r="I1565" s="8" t="s">
        <v>23</v>
      </c>
      <c r="J1565" s="8" t="s">
        <v>3297</v>
      </c>
      <c r="K1565" s="8" t="s">
        <v>8767</v>
      </c>
      <c r="L1565" s="8" t="s">
        <v>68</v>
      </c>
      <c r="M1565" s="8">
        <v>0</v>
      </c>
      <c r="N1565" s="8" t="s">
        <v>35</v>
      </c>
      <c r="O1565" s="8">
        <v>0</v>
      </c>
      <c r="P1565" s="8" t="s">
        <v>35</v>
      </c>
      <c r="Q1565" s="8" t="s">
        <v>4262</v>
      </c>
      <c r="R1565" s="8">
        <v>0.32</v>
      </c>
      <c r="S1565" s="8">
        <v>49141406</v>
      </c>
      <c r="T1565" s="8" t="s">
        <v>46</v>
      </c>
      <c r="U1565" s="8" t="s">
        <v>25</v>
      </c>
    </row>
    <row r="1566" spans="1:21">
      <c r="A1566" s="8" t="s">
        <v>8531</v>
      </c>
      <c r="B1566" s="8" t="s">
        <v>8768</v>
      </c>
      <c r="C1566" s="8">
        <v>152789</v>
      </c>
      <c r="D1566" s="8" t="s">
        <v>220</v>
      </c>
      <c r="E1566" s="8">
        <v>6043906</v>
      </c>
      <c r="F1566" s="8">
        <v>6043906</v>
      </c>
      <c r="G1566" s="8" t="s">
        <v>24</v>
      </c>
      <c r="H1566" s="8" t="s">
        <v>41</v>
      </c>
      <c r="I1566" s="8" t="s">
        <v>23</v>
      </c>
      <c r="J1566" s="8" t="s">
        <v>8769</v>
      </c>
      <c r="K1566" s="8" t="s">
        <v>8771</v>
      </c>
      <c r="L1566" s="8" t="s">
        <v>19</v>
      </c>
      <c r="M1566" s="8">
        <v>2563</v>
      </c>
      <c r="N1566" s="8" t="s">
        <v>598</v>
      </c>
      <c r="O1566" s="8">
        <v>693</v>
      </c>
      <c r="P1566" s="8" t="s">
        <v>8770</v>
      </c>
      <c r="Q1566" s="8" t="s">
        <v>4262</v>
      </c>
      <c r="R1566" s="8">
        <v>0.30199999999999999</v>
      </c>
      <c r="S1566" s="8">
        <v>6043906</v>
      </c>
      <c r="T1566" s="8" t="s">
        <v>24</v>
      </c>
      <c r="U1566" s="8" t="s">
        <v>41</v>
      </c>
    </row>
    <row r="1567" spans="1:21">
      <c r="A1567" s="8" t="s">
        <v>8531</v>
      </c>
      <c r="B1567" s="8" t="s">
        <v>3299</v>
      </c>
      <c r="C1567" s="8">
        <v>27201</v>
      </c>
      <c r="D1567" s="8" t="s">
        <v>220</v>
      </c>
      <c r="E1567" s="8">
        <v>8588815</v>
      </c>
      <c r="F1567" s="8">
        <v>8588815</v>
      </c>
      <c r="G1567" s="8" t="s">
        <v>24</v>
      </c>
      <c r="H1567" s="8" t="s">
        <v>41</v>
      </c>
      <c r="I1567" s="8" t="s">
        <v>23</v>
      </c>
      <c r="J1567" s="8" t="s">
        <v>3300</v>
      </c>
      <c r="K1567" s="8" t="s">
        <v>8773</v>
      </c>
      <c r="L1567" s="8" t="s">
        <v>19</v>
      </c>
      <c r="M1567" s="8">
        <v>1236</v>
      </c>
      <c r="N1567" s="8" t="s">
        <v>256</v>
      </c>
      <c r="O1567" s="8">
        <v>273</v>
      </c>
      <c r="P1567" s="8" t="s">
        <v>8772</v>
      </c>
      <c r="Q1567" s="8" t="s">
        <v>4262</v>
      </c>
      <c r="R1567" s="8">
        <v>0.17100000000000001</v>
      </c>
      <c r="S1567" s="8">
        <v>8588815</v>
      </c>
      <c r="T1567" s="8" t="s">
        <v>24</v>
      </c>
      <c r="U1567" s="8" t="s">
        <v>41</v>
      </c>
    </row>
    <row r="1568" spans="1:21">
      <c r="A1568" s="8" t="s">
        <v>8531</v>
      </c>
      <c r="B1568" s="8" t="s">
        <v>3299</v>
      </c>
      <c r="C1568" s="8">
        <v>27201</v>
      </c>
      <c r="D1568" s="8" t="s">
        <v>220</v>
      </c>
      <c r="E1568" s="8">
        <v>8588987</v>
      </c>
      <c r="F1568" s="8">
        <v>8588987</v>
      </c>
      <c r="G1568" s="8" t="s">
        <v>46</v>
      </c>
      <c r="H1568" s="8" t="s">
        <v>41</v>
      </c>
      <c r="I1568" s="8" t="s">
        <v>23</v>
      </c>
      <c r="J1568" s="8" t="s">
        <v>3300</v>
      </c>
      <c r="K1568" s="8" t="s">
        <v>8773</v>
      </c>
      <c r="L1568" s="8" t="s">
        <v>19</v>
      </c>
      <c r="M1568" s="8">
        <v>1408</v>
      </c>
      <c r="N1568" s="8" t="s">
        <v>1421</v>
      </c>
      <c r="O1568" s="8">
        <v>330</v>
      </c>
      <c r="P1568" s="8" t="s">
        <v>8774</v>
      </c>
      <c r="Q1568" s="8" t="s">
        <v>4262</v>
      </c>
      <c r="R1568" s="8">
        <v>0.30399999999999999</v>
      </c>
      <c r="S1568" s="8">
        <v>8588987</v>
      </c>
      <c r="T1568" s="8" t="s">
        <v>46</v>
      </c>
      <c r="U1568" s="8" t="s">
        <v>41</v>
      </c>
    </row>
    <row r="1569" spans="1:21">
      <c r="A1569" s="8" t="s">
        <v>8531</v>
      </c>
      <c r="B1569" s="8" t="s">
        <v>3301</v>
      </c>
      <c r="C1569" s="8">
        <v>345274</v>
      </c>
      <c r="D1569" s="8" t="s">
        <v>220</v>
      </c>
      <c r="E1569" s="8">
        <v>87749186</v>
      </c>
      <c r="F1569" s="8">
        <v>87749186</v>
      </c>
      <c r="G1569" s="8" t="s">
        <v>46</v>
      </c>
      <c r="H1569" s="8" t="s">
        <v>25</v>
      </c>
      <c r="I1569" s="8" t="s">
        <v>23</v>
      </c>
      <c r="J1569" s="8" t="s">
        <v>3302</v>
      </c>
      <c r="K1569" s="8" t="s">
        <v>8776</v>
      </c>
      <c r="L1569" s="8" t="s">
        <v>19</v>
      </c>
      <c r="M1569" s="8">
        <v>869</v>
      </c>
      <c r="N1569" s="8" t="s">
        <v>1068</v>
      </c>
      <c r="O1569" s="8">
        <v>241</v>
      </c>
      <c r="P1569" s="8" t="s">
        <v>8775</v>
      </c>
      <c r="Q1569" s="8" t="s">
        <v>4262</v>
      </c>
      <c r="R1569" s="8">
        <v>0.44400000000000001</v>
      </c>
      <c r="S1569" s="8">
        <v>87749186</v>
      </c>
      <c r="T1569" s="8" t="s">
        <v>46</v>
      </c>
      <c r="U1569" s="8" t="s">
        <v>25</v>
      </c>
    </row>
    <row r="1570" spans="1:21">
      <c r="A1570" s="8" t="s">
        <v>8531</v>
      </c>
      <c r="B1570" s="8" t="s">
        <v>3298</v>
      </c>
      <c r="C1570" s="8">
        <v>8654</v>
      </c>
      <c r="D1570" s="8" t="s">
        <v>220</v>
      </c>
      <c r="E1570" s="8">
        <v>120425696</v>
      </c>
      <c r="F1570" s="8">
        <v>120425696</v>
      </c>
      <c r="G1570" s="8" t="s">
        <v>24</v>
      </c>
      <c r="H1570" s="8" t="s">
        <v>41</v>
      </c>
      <c r="I1570" s="8" t="s">
        <v>23</v>
      </c>
      <c r="J1570" s="8" t="s">
        <v>8777</v>
      </c>
      <c r="K1570" s="8" t="s">
        <v>8779</v>
      </c>
      <c r="L1570" s="8" t="s">
        <v>19</v>
      </c>
      <c r="M1570" s="8">
        <v>2481</v>
      </c>
      <c r="N1570" s="8" t="s">
        <v>3144</v>
      </c>
      <c r="O1570" s="8">
        <v>776</v>
      </c>
      <c r="P1570" s="8" t="s">
        <v>8778</v>
      </c>
      <c r="Q1570" s="8" t="s">
        <v>4262</v>
      </c>
      <c r="R1570" s="8">
        <v>0.38100000000000001</v>
      </c>
      <c r="S1570" s="8">
        <v>120425696</v>
      </c>
      <c r="T1570" s="8" t="s">
        <v>24</v>
      </c>
      <c r="U1570" s="8" t="s">
        <v>41</v>
      </c>
    </row>
    <row r="1571" spans="1:21">
      <c r="A1571" s="8" t="s">
        <v>8531</v>
      </c>
      <c r="B1571" s="8" t="s">
        <v>3080</v>
      </c>
      <c r="C1571" s="8">
        <v>10252</v>
      </c>
      <c r="D1571" s="8" t="s">
        <v>220</v>
      </c>
      <c r="E1571" s="8">
        <v>124323024</v>
      </c>
      <c r="F1571" s="8">
        <v>124323024</v>
      </c>
      <c r="G1571" s="8" t="s">
        <v>25</v>
      </c>
      <c r="H1571" s="8" t="s">
        <v>41</v>
      </c>
      <c r="I1571" s="8" t="s">
        <v>23</v>
      </c>
      <c r="J1571" s="8" t="s">
        <v>8140</v>
      </c>
      <c r="K1571" s="8" t="s">
        <v>8142</v>
      </c>
      <c r="L1571" s="8" t="s">
        <v>19</v>
      </c>
      <c r="M1571" s="8">
        <v>465</v>
      </c>
      <c r="N1571" s="8" t="s">
        <v>3614</v>
      </c>
      <c r="O1571" s="8">
        <v>93</v>
      </c>
      <c r="P1571" s="8" t="s">
        <v>8780</v>
      </c>
      <c r="Q1571" s="8" t="s">
        <v>4262</v>
      </c>
      <c r="R1571" s="8">
        <v>0.21199999999999999</v>
      </c>
      <c r="S1571" s="8">
        <v>124323024</v>
      </c>
      <c r="T1571" s="8" t="s">
        <v>25</v>
      </c>
      <c r="U1571" s="8" t="s">
        <v>41</v>
      </c>
    </row>
    <row r="1572" spans="1:21">
      <c r="A1572" s="8" t="s">
        <v>8531</v>
      </c>
      <c r="B1572" s="8" t="s">
        <v>3770</v>
      </c>
      <c r="C1572" s="8">
        <v>91351</v>
      </c>
      <c r="D1572" s="8" t="s">
        <v>220</v>
      </c>
      <c r="E1572" s="8">
        <v>169369818</v>
      </c>
      <c r="F1572" s="8">
        <v>169369818</v>
      </c>
      <c r="G1572" s="8" t="s">
        <v>24</v>
      </c>
      <c r="H1572" s="8" t="s">
        <v>25</v>
      </c>
      <c r="I1572" s="8" t="s">
        <v>23</v>
      </c>
      <c r="J1572" s="8" t="s">
        <v>3771</v>
      </c>
      <c r="K1572" s="8" t="s">
        <v>8782</v>
      </c>
      <c r="L1572" s="8" t="s">
        <v>19</v>
      </c>
      <c r="M1572" s="8">
        <v>1330</v>
      </c>
      <c r="N1572" s="8" t="s">
        <v>1421</v>
      </c>
      <c r="O1572" s="8">
        <v>370</v>
      </c>
      <c r="P1572" s="8" t="s">
        <v>8781</v>
      </c>
      <c r="Q1572" s="8" t="s">
        <v>4262</v>
      </c>
      <c r="R1572" s="8">
        <v>0.159</v>
      </c>
      <c r="S1572" s="8">
        <v>169369818</v>
      </c>
      <c r="T1572" s="8" t="s">
        <v>24</v>
      </c>
      <c r="U1572" s="8" t="s">
        <v>25</v>
      </c>
    </row>
    <row r="1573" spans="1:21">
      <c r="A1573" s="8" t="s">
        <v>8531</v>
      </c>
      <c r="B1573" s="8" t="s">
        <v>8783</v>
      </c>
      <c r="C1573" s="8">
        <v>2823</v>
      </c>
      <c r="D1573" s="8" t="s">
        <v>220</v>
      </c>
      <c r="E1573" s="8">
        <v>176622807</v>
      </c>
      <c r="F1573" s="8">
        <v>176622807</v>
      </c>
      <c r="G1573" s="8" t="s">
        <v>24</v>
      </c>
      <c r="H1573" s="8" t="s">
        <v>25</v>
      </c>
      <c r="I1573" s="8" t="s">
        <v>23</v>
      </c>
      <c r="J1573" s="8" t="s">
        <v>8784</v>
      </c>
      <c r="K1573" s="8" t="s">
        <v>8786</v>
      </c>
      <c r="L1573" s="8" t="s">
        <v>19</v>
      </c>
      <c r="M1573" s="8">
        <v>360</v>
      </c>
      <c r="N1573" s="8" t="s">
        <v>230</v>
      </c>
      <c r="O1573" s="8">
        <v>50</v>
      </c>
      <c r="P1573" s="8" t="s">
        <v>8785</v>
      </c>
      <c r="Q1573" s="8" t="s">
        <v>4262</v>
      </c>
      <c r="R1573" s="8">
        <v>0.24399999999999999</v>
      </c>
      <c r="S1573" s="8">
        <v>176622807</v>
      </c>
      <c r="T1573" s="8" t="s">
        <v>24</v>
      </c>
      <c r="U1573" s="8" t="s">
        <v>25</v>
      </c>
    </row>
    <row r="1574" spans="1:21">
      <c r="A1574" s="8" t="s">
        <v>8531</v>
      </c>
      <c r="B1574" s="8" t="s">
        <v>8787</v>
      </c>
      <c r="C1574" s="8">
        <v>201973</v>
      </c>
      <c r="D1574" s="8" t="s">
        <v>220</v>
      </c>
      <c r="E1574" s="8">
        <v>185593498</v>
      </c>
      <c r="F1574" s="8">
        <v>185593498</v>
      </c>
      <c r="G1574" s="8" t="s">
        <v>24</v>
      </c>
      <c r="H1574" s="8" t="s">
        <v>46</v>
      </c>
      <c r="I1574" s="8" t="s">
        <v>23</v>
      </c>
      <c r="J1574" s="8" t="s">
        <v>8788</v>
      </c>
      <c r="K1574" s="8" t="s">
        <v>8790</v>
      </c>
      <c r="L1574" s="8" t="s">
        <v>19</v>
      </c>
      <c r="M1574" s="8">
        <v>1161</v>
      </c>
      <c r="N1574" s="8" t="s">
        <v>3052</v>
      </c>
      <c r="O1574" s="8">
        <v>243</v>
      </c>
      <c r="P1574" s="8" t="s">
        <v>8789</v>
      </c>
      <c r="Q1574" s="8" t="s">
        <v>4262</v>
      </c>
      <c r="R1574" s="8">
        <v>0.17399999999999999</v>
      </c>
      <c r="S1574" s="8">
        <v>185593498</v>
      </c>
      <c r="T1574" s="8" t="s">
        <v>24</v>
      </c>
      <c r="U1574" s="8" t="s">
        <v>46</v>
      </c>
    </row>
    <row r="1575" spans="1:21">
      <c r="A1575" s="8" t="s">
        <v>8531</v>
      </c>
      <c r="B1575" s="8" t="s">
        <v>8791</v>
      </c>
      <c r="C1575" s="8">
        <v>389206</v>
      </c>
      <c r="D1575" s="8" t="s">
        <v>220</v>
      </c>
      <c r="E1575" s="8">
        <v>42127620</v>
      </c>
      <c r="F1575" s="8">
        <v>42127620</v>
      </c>
      <c r="G1575" s="8" t="s">
        <v>24</v>
      </c>
      <c r="H1575" s="8" t="s">
        <v>41</v>
      </c>
      <c r="I1575" s="8" t="s">
        <v>23</v>
      </c>
      <c r="J1575" s="8" t="s">
        <v>8792</v>
      </c>
      <c r="K1575" s="8" t="s">
        <v>8794</v>
      </c>
      <c r="L1575" s="8" t="s">
        <v>19</v>
      </c>
      <c r="M1575" s="8">
        <v>1706</v>
      </c>
      <c r="N1575" s="8" t="s">
        <v>379</v>
      </c>
      <c r="O1575" s="8">
        <v>376</v>
      </c>
      <c r="P1575" s="8" t="s">
        <v>8793</v>
      </c>
      <c r="Q1575" s="8" t="s">
        <v>4262</v>
      </c>
      <c r="R1575" s="8">
        <v>0.151</v>
      </c>
      <c r="S1575" s="8">
        <v>42127620</v>
      </c>
      <c r="T1575" s="8" t="s">
        <v>24</v>
      </c>
      <c r="U1575" s="8" t="s">
        <v>41</v>
      </c>
    </row>
    <row r="1576" spans="1:21">
      <c r="A1576" s="8" t="s">
        <v>8531</v>
      </c>
      <c r="B1576" s="8" t="s">
        <v>2088</v>
      </c>
      <c r="C1576" s="8">
        <v>2557</v>
      </c>
      <c r="D1576" s="8" t="s">
        <v>220</v>
      </c>
      <c r="E1576" s="8">
        <v>46994952</v>
      </c>
      <c r="F1576" s="8">
        <v>46994952</v>
      </c>
      <c r="G1576" s="8" t="s">
        <v>24</v>
      </c>
      <c r="H1576" s="8" t="s">
        <v>41</v>
      </c>
      <c r="I1576" s="8" t="s">
        <v>23</v>
      </c>
      <c r="J1576" s="8" t="s">
        <v>8795</v>
      </c>
      <c r="K1576" s="8" t="s">
        <v>8798</v>
      </c>
      <c r="L1576" s="8" t="s">
        <v>19</v>
      </c>
      <c r="M1576" s="8">
        <v>1081</v>
      </c>
      <c r="N1576" s="8" t="s">
        <v>637</v>
      </c>
      <c r="O1576" s="8">
        <v>33</v>
      </c>
      <c r="P1576" s="8" t="s">
        <v>8796</v>
      </c>
      <c r="Q1576" s="8" t="s">
        <v>8797</v>
      </c>
      <c r="R1576" s="8">
        <v>0.27100000000000002</v>
      </c>
      <c r="S1576" s="8">
        <v>46994952</v>
      </c>
      <c r="T1576" s="8" t="s">
        <v>24</v>
      </c>
      <c r="U1576" s="8" t="s">
        <v>41</v>
      </c>
    </row>
    <row r="1577" spans="1:21">
      <c r="A1577" s="8" t="s">
        <v>8531</v>
      </c>
      <c r="B1577" s="8" t="s">
        <v>8799</v>
      </c>
      <c r="C1577" s="8">
        <v>11082</v>
      </c>
      <c r="D1577" s="8" t="s">
        <v>226</v>
      </c>
      <c r="E1577" s="8">
        <v>54275164</v>
      </c>
      <c r="F1577" s="8">
        <v>54275164</v>
      </c>
      <c r="G1577" s="8" t="s">
        <v>46</v>
      </c>
      <c r="H1577" s="8" t="s">
        <v>25</v>
      </c>
      <c r="I1577" s="8" t="s">
        <v>23</v>
      </c>
      <c r="J1577" s="8" t="s">
        <v>8800</v>
      </c>
      <c r="K1577" s="8" t="s">
        <v>8802</v>
      </c>
      <c r="L1577" s="8" t="s">
        <v>19</v>
      </c>
      <c r="M1577" s="8">
        <v>620</v>
      </c>
      <c r="N1577" s="8" t="s">
        <v>1288</v>
      </c>
      <c r="O1577" s="8">
        <v>184</v>
      </c>
      <c r="P1577" s="8" t="s">
        <v>8801</v>
      </c>
      <c r="Q1577" s="8" t="s">
        <v>4262</v>
      </c>
      <c r="R1577" s="8">
        <v>8.5000000000000006E-2</v>
      </c>
      <c r="S1577" s="8">
        <v>54275164</v>
      </c>
      <c r="T1577" s="8" t="s">
        <v>46</v>
      </c>
      <c r="U1577" s="8" t="s">
        <v>25</v>
      </c>
    </row>
    <row r="1578" spans="1:21">
      <c r="A1578" s="8" t="s">
        <v>8531</v>
      </c>
      <c r="B1578" s="8" t="s">
        <v>3309</v>
      </c>
      <c r="C1578" s="8">
        <v>22987</v>
      </c>
      <c r="D1578" s="8" t="s">
        <v>226</v>
      </c>
      <c r="E1578" s="8">
        <v>75490786</v>
      </c>
      <c r="F1578" s="8">
        <v>75490786</v>
      </c>
      <c r="G1578" s="8" t="s">
        <v>24</v>
      </c>
      <c r="H1578" s="8" t="s">
        <v>41</v>
      </c>
      <c r="I1578" s="8" t="s">
        <v>23</v>
      </c>
      <c r="J1578" s="8" t="s">
        <v>3310</v>
      </c>
      <c r="K1578" s="8" t="s">
        <v>4650</v>
      </c>
      <c r="L1578" s="8" t="s">
        <v>19</v>
      </c>
      <c r="M1578" s="8">
        <v>757</v>
      </c>
      <c r="N1578" s="8" t="s">
        <v>2963</v>
      </c>
      <c r="O1578" s="8">
        <v>208</v>
      </c>
      <c r="P1578" s="8" t="s">
        <v>8803</v>
      </c>
      <c r="Q1578" s="8" t="s">
        <v>4262</v>
      </c>
      <c r="R1578" s="8">
        <v>0.36299999999999999</v>
      </c>
      <c r="S1578" s="8">
        <v>75490786</v>
      </c>
      <c r="T1578" s="8" t="s">
        <v>24</v>
      </c>
      <c r="U1578" s="8" t="s">
        <v>41</v>
      </c>
    </row>
    <row r="1579" spans="1:21">
      <c r="A1579" s="8" t="s">
        <v>8531</v>
      </c>
      <c r="B1579" s="8" t="s">
        <v>3303</v>
      </c>
      <c r="C1579" s="8">
        <v>10723</v>
      </c>
      <c r="D1579" s="8" t="s">
        <v>226</v>
      </c>
      <c r="E1579" s="8">
        <v>1081829</v>
      </c>
      <c r="F1579" s="8">
        <v>1081829</v>
      </c>
      <c r="G1579" s="8" t="s">
        <v>46</v>
      </c>
      <c r="H1579" s="8" t="s">
        <v>25</v>
      </c>
      <c r="I1579" s="8" t="s">
        <v>23</v>
      </c>
      <c r="J1579" s="8" t="s">
        <v>3304</v>
      </c>
      <c r="K1579" s="8" t="s">
        <v>8805</v>
      </c>
      <c r="L1579" s="8" t="s">
        <v>19</v>
      </c>
      <c r="M1579" s="8">
        <v>1226</v>
      </c>
      <c r="N1579" s="8" t="s">
        <v>270</v>
      </c>
      <c r="O1579" s="8">
        <v>387</v>
      </c>
      <c r="P1579" s="8" t="s">
        <v>8804</v>
      </c>
      <c r="Q1579" s="8" t="s">
        <v>4262</v>
      </c>
      <c r="R1579" s="8">
        <v>0.40400000000000003</v>
      </c>
      <c r="S1579" s="8">
        <v>1081829</v>
      </c>
      <c r="T1579" s="8" t="s">
        <v>46</v>
      </c>
      <c r="U1579" s="8" t="s">
        <v>25</v>
      </c>
    </row>
    <row r="1580" spans="1:21">
      <c r="A1580" s="8" t="s">
        <v>8531</v>
      </c>
      <c r="B1580" s="8" t="s">
        <v>8806</v>
      </c>
      <c r="C1580" s="8">
        <v>348932</v>
      </c>
      <c r="D1580" s="8" t="s">
        <v>226</v>
      </c>
      <c r="E1580" s="8">
        <v>1240678</v>
      </c>
      <c r="F1580" s="8">
        <v>1240678</v>
      </c>
      <c r="G1580" s="8" t="s">
        <v>46</v>
      </c>
      <c r="H1580" s="8" t="s">
        <v>41</v>
      </c>
      <c r="I1580" s="8" t="s">
        <v>23</v>
      </c>
      <c r="J1580" s="8" t="s">
        <v>8807</v>
      </c>
      <c r="K1580" s="8" t="s">
        <v>8809</v>
      </c>
      <c r="L1580" s="8" t="s">
        <v>19</v>
      </c>
      <c r="M1580" s="8">
        <v>1001</v>
      </c>
      <c r="N1580" s="8" t="s">
        <v>1421</v>
      </c>
      <c r="O1580" s="8">
        <v>293</v>
      </c>
      <c r="P1580" s="8" t="s">
        <v>8808</v>
      </c>
      <c r="Q1580" s="8" t="s">
        <v>4262</v>
      </c>
      <c r="R1580" s="8">
        <v>0.34399999999999997</v>
      </c>
      <c r="S1580" s="8">
        <v>1240678</v>
      </c>
      <c r="T1580" s="8" t="s">
        <v>46</v>
      </c>
      <c r="U1580" s="8" t="s">
        <v>41</v>
      </c>
    </row>
    <row r="1581" spans="1:21">
      <c r="A1581" s="8" t="s">
        <v>8531</v>
      </c>
      <c r="B1581" s="8" t="s">
        <v>3305</v>
      </c>
      <c r="C1581" s="8">
        <v>56143</v>
      </c>
      <c r="D1581" s="8" t="s">
        <v>226</v>
      </c>
      <c r="E1581" s="8">
        <v>140203339</v>
      </c>
      <c r="F1581" s="8">
        <v>140203339</v>
      </c>
      <c r="G1581" s="8" t="s">
        <v>46</v>
      </c>
      <c r="H1581" s="8" t="s">
        <v>25</v>
      </c>
      <c r="I1581" s="8" t="s">
        <v>23</v>
      </c>
      <c r="J1581" s="8" t="s">
        <v>8810</v>
      </c>
      <c r="K1581" s="8" t="s">
        <v>8812</v>
      </c>
      <c r="L1581" s="8" t="s">
        <v>19</v>
      </c>
      <c r="M1581" s="8">
        <v>1979</v>
      </c>
      <c r="N1581" s="8" t="s">
        <v>3048</v>
      </c>
      <c r="O1581" s="8">
        <v>660</v>
      </c>
      <c r="P1581" s="8" t="s">
        <v>8811</v>
      </c>
      <c r="Q1581" s="8" t="s">
        <v>4262</v>
      </c>
      <c r="R1581" s="8">
        <v>0.40400000000000003</v>
      </c>
      <c r="S1581" s="8">
        <v>140203339</v>
      </c>
      <c r="T1581" s="8" t="s">
        <v>46</v>
      </c>
      <c r="U1581" s="8" t="s">
        <v>25</v>
      </c>
    </row>
    <row r="1582" spans="1:21">
      <c r="A1582" s="8" t="s">
        <v>8531</v>
      </c>
      <c r="B1582" s="8" t="s">
        <v>3306</v>
      </c>
      <c r="C1582" s="8">
        <v>56141</v>
      </c>
      <c r="D1582" s="8" t="s">
        <v>226</v>
      </c>
      <c r="E1582" s="8">
        <v>140215056</v>
      </c>
      <c r="F1582" s="8">
        <v>140215056</v>
      </c>
      <c r="G1582" s="8" t="s">
        <v>46</v>
      </c>
      <c r="H1582" s="8" t="s">
        <v>25</v>
      </c>
      <c r="I1582" s="8" t="s">
        <v>23</v>
      </c>
      <c r="J1582" s="8" t="s">
        <v>8813</v>
      </c>
      <c r="K1582" s="8" t="s">
        <v>8815</v>
      </c>
      <c r="L1582" s="8" t="s">
        <v>19</v>
      </c>
      <c r="M1582" s="8">
        <v>1088</v>
      </c>
      <c r="N1582" s="8" t="s">
        <v>3048</v>
      </c>
      <c r="O1582" s="8">
        <v>363</v>
      </c>
      <c r="P1582" s="8" t="s">
        <v>8814</v>
      </c>
      <c r="Q1582" s="8" t="s">
        <v>4262</v>
      </c>
      <c r="R1582" s="8">
        <v>0.29199999999999998</v>
      </c>
      <c r="S1582" s="8">
        <v>140215056</v>
      </c>
      <c r="T1582" s="8" t="s">
        <v>46</v>
      </c>
      <c r="U1582" s="8" t="s">
        <v>25</v>
      </c>
    </row>
    <row r="1583" spans="1:21">
      <c r="A1583" s="8" t="s">
        <v>8531</v>
      </c>
      <c r="B1583" s="8" t="s">
        <v>8816</v>
      </c>
      <c r="C1583" s="8">
        <v>56126</v>
      </c>
      <c r="D1583" s="8" t="s">
        <v>226</v>
      </c>
      <c r="E1583" s="8">
        <v>140573248</v>
      </c>
      <c r="F1583" s="8">
        <v>140573248</v>
      </c>
      <c r="G1583" s="8" t="s">
        <v>41</v>
      </c>
      <c r="H1583" s="8" t="s">
        <v>46</v>
      </c>
      <c r="I1583" s="8" t="s">
        <v>23</v>
      </c>
      <c r="J1583" s="8" t="s">
        <v>8817</v>
      </c>
      <c r="K1583" s="8" t="s">
        <v>8819</v>
      </c>
      <c r="L1583" s="8" t="s">
        <v>19</v>
      </c>
      <c r="M1583" s="8">
        <v>1297</v>
      </c>
      <c r="N1583" s="8" t="s">
        <v>1489</v>
      </c>
      <c r="O1583" s="8">
        <v>375</v>
      </c>
      <c r="P1583" s="8" t="s">
        <v>8818</v>
      </c>
      <c r="Q1583" s="8" t="s">
        <v>4262</v>
      </c>
      <c r="R1583" s="8">
        <v>0.19700000000000001</v>
      </c>
      <c r="S1583" s="8">
        <v>140573248</v>
      </c>
      <c r="T1583" s="8" t="s">
        <v>41</v>
      </c>
      <c r="U1583" s="8" t="s">
        <v>46</v>
      </c>
    </row>
    <row r="1584" spans="1:21">
      <c r="A1584" s="8" t="s">
        <v>8531</v>
      </c>
      <c r="B1584" s="8" t="s">
        <v>8820</v>
      </c>
      <c r="C1584" s="8">
        <v>56125</v>
      </c>
      <c r="D1584" s="8" t="s">
        <v>226</v>
      </c>
      <c r="E1584" s="8">
        <v>140581614</v>
      </c>
      <c r="F1584" s="8">
        <v>140581614</v>
      </c>
      <c r="G1584" s="8" t="s">
        <v>46</v>
      </c>
      <c r="H1584" s="8" t="s">
        <v>25</v>
      </c>
      <c r="I1584" s="8" t="s">
        <v>23</v>
      </c>
      <c r="J1584" s="8" t="s">
        <v>8821</v>
      </c>
      <c r="K1584" s="8" t="s">
        <v>8823</v>
      </c>
      <c r="L1584" s="8" t="s">
        <v>19</v>
      </c>
      <c r="M1584" s="8">
        <v>2267</v>
      </c>
      <c r="N1584" s="8" t="s">
        <v>1304</v>
      </c>
      <c r="O1584" s="8">
        <v>756</v>
      </c>
      <c r="P1584" s="8" t="s">
        <v>8822</v>
      </c>
      <c r="Q1584" s="8" t="s">
        <v>4262</v>
      </c>
      <c r="R1584" s="8">
        <v>0.246</v>
      </c>
      <c r="S1584" s="8">
        <v>140581614</v>
      </c>
      <c r="T1584" s="8" t="s">
        <v>46</v>
      </c>
      <c r="U1584" s="8" t="s">
        <v>25</v>
      </c>
    </row>
    <row r="1585" spans="1:21">
      <c r="A1585" s="8" t="s">
        <v>8531</v>
      </c>
      <c r="B1585" s="8" t="s">
        <v>787</v>
      </c>
      <c r="C1585" s="8">
        <v>90268</v>
      </c>
      <c r="D1585" s="8" t="s">
        <v>226</v>
      </c>
      <c r="E1585" s="8">
        <v>14681622</v>
      </c>
      <c r="F1585" s="8">
        <v>14681622</v>
      </c>
      <c r="G1585" s="8" t="s">
        <v>24</v>
      </c>
      <c r="H1585" s="8" t="s">
        <v>41</v>
      </c>
      <c r="I1585" s="8" t="s">
        <v>23</v>
      </c>
      <c r="J1585" s="8" t="s">
        <v>788</v>
      </c>
      <c r="K1585" s="8" t="s">
        <v>8825</v>
      </c>
      <c r="L1585" s="8" t="s">
        <v>19</v>
      </c>
      <c r="M1585" s="8">
        <v>526</v>
      </c>
      <c r="N1585" s="8" t="s">
        <v>1555</v>
      </c>
      <c r="O1585" s="8">
        <v>125</v>
      </c>
      <c r="P1585" s="8" t="s">
        <v>8824</v>
      </c>
      <c r="Q1585" s="8" t="s">
        <v>4262</v>
      </c>
      <c r="R1585" s="8">
        <v>8.5000000000000006E-2</v>
      </c>
      <c r="S1585" s="8">
        <v>14681622</v>
      </c>
      <c r="T1585" s="8" t="s">
        <v>24</v>
      </c>
      <c r="U1585" s="8" t="s">
        <v>41</v>
      </c>
    </row>
    <row r="1586" spans="1:21">
      <c r="A1586" s="8" t="s">
        <v>8531</v>
      </c>
      <c r="B1586" s="8" t="s">
        <v>8826</v>
      </c>
      <c r="C1586" s="8">
        <v>6534</v>
      </c>
      <c r="D1586" s="8" t="s">
        <v>226</v>
      </c>
      <c r="E1586" s="8">
        <v>149574446</v>
      </c>
      <c r="F1586" s="8">
        <v>149574446</v>
      </c>
      <c r="G1586" s="8" t="s">
        <v>46</v>
      </c>
      <c r="H1586" s="8" t="s">
        <v>25</v>
      </c>
      <c r="I1586" s="8" t="s">
        <v>23</v>
      </c>
      <c r="J1586" s="8" t="s">
        <v>8827</v>
      </c>
      <c r="K1586" s="8" t="s">
        <v>8829</v>
      </c>
      <c r="L1586" s="8" t="s">
        <v>19</v>
      </c>
      <c r="M1586" s="8">
        <v>560</v>
      </c>
      <c r="N1586" s="8" t="s">
        <v>326</v>
      </c>
      <c r="O1586" s="8">
        <v>63</v>
      </c>
      <c r="P1586" s="8" t="s">
        <v>8828</v>
      </c>
      <c r="Q1586" s="8" t="s">
        <v>4262</v>
      </c>
      <c r="R1586" s="8">
        <v>0.33800000000000002</v>
      </c>
      <c r="S1586" s="8">
        <v>149574446</v>
      </c>
      <c r="T1586" s="8" t="s">
        <v>46</v>
      </c>
      <c r="U1586" s="8" t="s">
        <v>25</v>
      </c>
    </row>
    <row r="1587" spans="1:21">
      <c r="A1587" s="8" t="s">
        <v>8531</v>
      </c>
      <c r="B1587" s="8" t="s">
        <v>1155</v>
      </c>
      <c r="C1587" s="8">
        <v>1794</v>
      </c>
      <c r="D1587" s="8" t="s">
        <v>226</v>
      </c>
      <c r="E1587" s="8">
        <v>169129346</v>
      </c>
      <c r="F1587" s="8">
        <v>169129346</v>
      </c>
      <c r="G1587" s="8" t="s">
        <v>24</v>
      </c>
      <c r="H1587" s="8" t="s">
        <v>41</v>
      </c>
      <c r="I1587" s="8" t="s">
        <v>23</v>
      </c>
      <c r="J1587" s="8" t="s">
        <v>1156</v>
      </c>
      <c r="K1587" s="8" t="s">
        <v>8831</v>
      </c>
      <c r="L1587" s="8" t="s">
        <v>19</v>
      </c>
      <c r="M1587" s="8">
        <v>1378</v>
      </c>
      <c r="N1587" s="8" t="s">
        <v>1555</v>
      </c>
      <c r="O1587" s="8">
        <v>433</v>
      </c>
      <c r="P1587" s="8" t="s">
        <v>8830</v>
      </c>
      <c r="Q1587" s="8" t="s">
        <v>4262</v>
      </c>
      <c r="R1587" s="8">
        <v>0.16400000000000001</v>
      </c>
      <c r="S1587" s="8">
        <v>169129346</v>
      </c>
      <c r="T1587" s="8" t="s">
        <v>24</v>
      </c>
      <c r="U1587" s="8" t="s">
        <v>41</v>
      </c>
    </row>
    <row r="1588" spans="1:21">
      <c r="A1588" s="8" t="s">
        <v>8531</v>
      </c>
      <c r="B1588" s="8" t="s">
        <v>8832</v>
      </c>
      <c r="C1588" s="8">
        <v>133874</v>
      </c>
      <c r="D1588" s="8" t="s">
        <v>226</v>
      </c>
      <c r="E1588" s="8">
        <v>169661198</v>
      </c>
      <c r="F1588" s="8">
        <v>169661198</v>
      </c>
      <c r="G1588" s="8" t="s">
        <v>41</v>
      </c>
      <c r="H1588" s="8" t="s">
        <v>24</v>
      </c>
      <c r="I1588" s="8" t="s">
        <v>23</v>
      </c>
      <c r="J1588" s="8" t="s">
        <v>8833</v>
      </c>
      <c r="K1588" s="8" t="s">
        <v>8835</v>
      </c>
      <c r="L1588" s="8" t="s">
        <v>76</v>
      </c>
      <c r="M1588" s="8">
        <v>142</v>
      </c>
      <c r="N1588" s="8" t="s">
        <v>3111</v>
      </c>
      <c r="O1588" s="8">
        <v>20</v>
      </c>
      <c r="P1588" s="8" t="s">
        <v>8834</v>
      </c>
      <c r="Q1588" s="8" t="s">
        <v>4262</v>
      </c>
      <c r="R1588" s="8">
        <v>0.14000000000000001</v>
      </c>
      <c r="S1588" s="8">
        <v>169661198</v>
      </c>
      <c r="T1588" s="8" t="s">
        <v>41</v>
      </c>
      <c r="U1588" s="8" t="s">
        <v>24</v>
      </c>
    </row>
    <row r="1589" spans="1:21">
      <c r="A1589" s="8" t="s">
        <v>8531</v>
      </c>
      <c r="B1589" s="8" t="s">
        <v>8836</v>
      </c>
      <c r="C1589" s="8">
        <v>3187</v>
      </c>
      <c r="D1589" s="8" t="s">
        <v>226</v>
      </c>
      <c r="E1589" s="8">
        <v>179048030</v>
      </c>
      <c r="F1589" s="8">
        <v>179048030</v>
      </c>
      <c r="G1589" s="8" t="s">
        <v>41</v>
      </c>
      <c r="H1589" s="8" t="s">
        <v>25</v>
      </c>
      <c r="I1589" s="8" t="s">
        <v>23</v>
      </c>
      <c r="J1589" s="8" t="s">
        <v>8837</v>
      </c>
      <c r="K1589" s="8" t="s">
        <v>8839</v>
      </c>
      <c r="L1589" s="8" t="s">
        <v>19</v>
      </c>
      <c r="M1589" s="8">
        <v>377</v>
      </c>
      <c r="N1589" s="8" t="s">
        <v>457</v>
      </c>
      <c r="O1589" s="8">
        <v>87</v>
      </c>
      <c r="P1589" s="8" t="s">
        <v>8838</v>
      </c>
      <c r="Q1589" s="8" t="s">
        <v>4262</v>
      </c>
      <c r="R1589" s="8">
        <v>0.214</v>
      </c>
      <c r="S1589" s="8">
        <v>179048030</v>
      </c>
      <c r="T1589" s="8" t="s">
        <v>41</v>
      </c>
      <c r="U1589" s="8" t="s">
        <v>25</v>
      </c>
    </row>
    <row r="1590" spans="1:21">
      <c r="A1590" s="8" t="s">
        <v>8531</v>
      </c>
      <c r="B1590" s="8" t="s">
        <v>3307</v>
      </c>
      <c r="C1590" s="8">
        <v>1007</v>
      </c>
      <c r="D1590" s="8" t="s">
        <v>226</v>
      </c>
      <c r="E1590" s="8">
        <v>26906166</v>
      </c>
      <c r="F1590" s="8">
        <v>26906166</v>
      </c>
      <c r="G1590" s="8" t="s">
        <v>24</v>
      </c>
      <c r="H1590" s="8" t="s">
        <v>41</v>
      </c>
      <c r="I1590" s="8" t="s">
        <v>23</v>
      </c>
      <c r="J1590" s="8" t="s">
        <v>3308</v>
      </c>
      <c r="K1590" s="8" t="s">
        <v>8841</v>
      </c>
      <c r="L1590" s="8" t="s">
        <v>19</v>
      </c>
      <c r="M1590" s="8">
        <v>882</v>
      </c>
      <c r="N1590" s="8" t="s">
        <v>3048</v>
      </c>
      <c r="O1590" s="8">
        <v>238</v>
      </c>
      <c r="P1590" s="8" t="s">
        <v>8840</v>
      </c>
      <c r="Q1590" s="8" t="s">
        <v>4262</v>
      </c>
      <c r="R1590" s="8">
        <v>0.29399999999999998</v>
      </c>
      <c r="S1590" s="8">
        <v>26906166</v>
      </c>
      <c r="T1590" s="8" t="s">
        <v>24</v>
      </c>
      <c r="U1590" s="8" t="s">
        <v>41</v>
      </c>
    </row>
    <row r="1591" spans="1:21">
      <c r="A1591" s="8" t="s">
        <v>8531</v>
      </c>
      <c r="B1591" s="8" t="s">
        <v>248</v>
      </c>
      <c r="C1591" s="8">
        <v>83741</v>
      </c>
      <c r="D1591" s="8" t="s">
        <v>237</v>
      </c>
      <c r="E1591" s="8">
        <v>50683117</v>
      </c>
      <c r="F1591" s="8">
        <v>50683117</v>
      </c>
      <c r="G1591" s="8" t="s">
        <v>46</v>
      </c>
      <c r="H1591" s="8" t="s">
        <v>25</v>
      </c>
      <c r="I1591" s="8" t="s">
        <v>23</v>
      </c>
      <c r="J1591" s="8" t="s">
        <v>249</v>
      </c>
      <c r="K1591" s="8" t="s">
        <v>8843</v>
      </c>
      <c r="L1591" s="8" t="s">
        <v>19</v>
      </c>
      <c r="M1591" s="8">
        <v>840</v>
      </c>
      <c r="N1591" s="8" t="s">
        <v>3150</v>
      </c>
      <c r="O1591" s="8">
        <v>110</v>
      </c>
      <c r="P1591" s="8" t="s">
        <v>8842</v>
      </c>
      <c r="Q1591" s="8" t="s">
        <v>4262</v>
      </c>
      <c r="R1591" s="8">
        <v>0.22800000000000001</v>
      </c>
      <c r="S1591" s="8">
        <v>50683117</v>
      </c>
      <c r="T1591" s="8" t="s">
        <v>46</v>
      </c>
      <c r="U1591" s="8" t="s">
        <v>25</v>
      </c>
    </row>
    <row r="1592" spans="1:21">
      <c r="A1592" s="8" t="s">
        <v>8531</v>
      </c>
      <c r="B1592" s="8" t="s">
        <v>3314</v>
      </c>
      <c r="C1592" s="8">
        <v>3062</v>
      </c>
      <c r="D1592" s="8" t="s">
        <v>237</v>
      </c>
      <c r="E1592" s="8">
        <v>55128579</v>
      </c>
      <c r="F1592" s="8">
        <v>55128579</v>
      </c>
      <c r="G1592" s="8" t="s">
        <v>41</v>
      </c>
      <c r="H1592" s="8" t="s">
        <v>25</v>
      </c>
      <c r="I1592" s="8" t="s">
        <v>23</v>
      </c>
      <c r="J1592" s="8" t="s">
        <v>3315</v>
      </c>
      <c r="K1592" s="8" t="s">
        <v>8845</v>
      </c>
      <c r="L1592" s="8" t="s">
        <v>19</v>
      </c>
      <c r="M1592" s="8">
        <v>1036</v>
      </c>
      <c r="N1592" s="8" t="s">
        <v>3316</v>
      </c>
      <c r="O1592" s="8">
        <v>241</v>
      </c>
      <c r="P1592" s="8" t="s">
        <v>8844</v>
      </c>
      <c r="Q1592" s="8" t="s">
        <v>4262</v>
      </c>
      <c r="R1592" s="8">
        <v>0.28399999999999997</v>
      </c>
      <c r="S1592" s="8">
        <v>55128579</v>
      </c>
      <c r="T1592" s="8" t="s">
        <v>41</v>
      </c>
      <c r="U1592" s="8" t="s">
        <v>25</v>
      </c>
    </row>
    <row r="1593" spans="1:21">
      <c r="A1593" s="8" t="s">
        <v>8531</v>
      </c>
      <c r="B1593" s="8" t="s">
        <v>1964</v>
      </c>
      <c r="C1593" s="8">
        <v>4646</v>
      </c>
      <c r="D1593" s="8" t="s">
        <v>237</v>
      </c>
      <c r="E1593" s="8">
        <v>76554681</v>
      </c>
      <c r="F1593" s="8">
        <v>76554681</v>
      </c>
      <c r="G1593" s="8" t="s">
        <v>24</v>
      </c>
      <c r="H1593" s="8" t="s">
        <v>25</v>
      </c>
      <c r="I1593" s="8" t="s">
        <v>23</v>
      </c>
      <c r="J1593" s="8" t="s">
        <v>8846</v>
      </c>
      <c r="K1593" s="8" t="s">
        <v>8848</v>
      </c>
      <c r="L1593" s="8" t="s">
        <v>19</v>
      </c>
      <c r="M1593" s="8">
        <v>1163</v>
      </c>
      <c r="N1593" s="8" t="s">
        <v>73</v>
      </c>
      <c r="O1593" s="8">
        <v>295</v>
      </c>
      <c r="P1593" s="8" t="s">
        <v>8847</v>
      </c>
      <c r="Q1593" s="8" t="s">
        <v>4262</v>
      </c>
      <c r="R1593" s="8">
        <v>0.19500000000000001</v>
      </c>
      <c r="S1593" s="8">
        <v>76554681</v>
      </c>
      <c r="T1593" s="8" t="s">
        <v>24</v>
      </c>
      <c r="U1593" s="8" t="s">
        <v>25</v>
      </c>
    </row>
    <row r="1594" spans="1:21">
      <c r="A1594" s="8" t="s">
        <v>8531</v>
      </c>
      <c r="B1594" s="8" t="s">
        <v>3317</v>
      </c>
      <c r="C1594" s="8">
        <v>63915</v>
      </c>
      <c r="D1594" s="8" t="s">
        <v>237</v>
      </c>
      <c r="E1594" s="8">
        <v>8015999</v>
      </c>
      <c r="F1594" s="8">
        <v>8015999</v>
      </c>
      <c r="G1594" s="8" t="s">
        <v>46</v>
      </c>
      <c r="H1594" s="8" t="s">
        <v>25</v>
      </c>
      <c r="I1594" s="8" t="s">
        <v>23</v>
      </c>
      <c r="J1594" s="8" t="s">
        <v>8849</v>
      </c>
      <c r="K1594" s="8" t="s">
        <v>8851</v>
      </c>
      <c r="L1594" s="8" t="s">
        <v>19</v>
      </c>
      <c r="M1594" s="8">
        <v>485</v>
      </c>
      <c r="N1594" s="8" t="s">
        <v>2948</v>
      </c>
      <c r="O1594" s="8">
        <v>149</v>
      </c>
      <c r="P1594" s="8" t="s">
        <v>8850</v>
      </c>
      <c r="Q1594" s="8" t="s">
        <v>4262</v>
      </c>
      <c r="R1594" s="8">
        <v>0.36899999999999999</v>
      </c>
      <c r="S1594" s="8">
        <v>8015999</v>
      </c>
      <c r="T1594" s="8" t="s">
        <v>46</v>
      </c>
      <c r="U1594" s="8" t="s">
        <v>25</v>
      </c>
    </row>
    <row r="1595" spans="1:21">
      <c r="A1595" s="8" t="s">
        <v>8531</v>
      </c>
      <c r="B1595" s="8" t="s">
        <v>1400</v>
      </c>
      <c r="C1595" s="8">
        <v>9892</v>
      </c>
      <c r="D1595" s="8" t="s">
        <v>237</v>
      </c>
      <c r="E1595" s="8">
        <v>84300972</v>
      </c>
      <c r="F1595" s="8">
        <v>84300972</v>
      </c>
      <c r="G1595" s="8" t="s">
        <v>24</v>
      </c>
      <c r="H1595" s="8" t="s">
        <v>41</v>
      </c>
      <c r="I1595" s="8" t="s">
        <v>23</v>
      </c>
      <c r="J1595" s="8" t="s">
        <v>8852</v>
      </c>
      <c r="K1595" s="8" t="s">
        <v>8854</v>
      </c>
      <c r="L1595" s="8" t="s">
        <v>19</v>
      </c>
      <c r="M1595" s="8">
        <v>2286</v>
      </c>
      <c r="N1595" s="8" t="s">
        <v>54</v>
      </c>
      <c r="O1595" s="8">
        <v>658</v>
      </c>
      <c r="P1595" s="8" t="s">
        <v>8853</v>
      </c>
      <c r="Q1595" s="8" t="s">
        <v>4262</v>
      </c>
      <c r="R1595" s="8">
        <v>4.7E-2</v>
      </c>
      <c r="S1595" s="8">
        <v>84300972</v>
      </c>
      <c r="T1595" s="8" t="s">
        <v>24</v>
      </c>
      <c r="U1595" s="8" t="s">
        <v>41</v>
      </c>
    </row>
    <row r="1596" spans="1:21">
      <c r="A1596" s="8" t="s">
        <v>8531</v>
      </c>
      <c r="B1596" s="8" t="s">
        <v>8855</v>
      </c>
      <c r="C1596" s="8">
        <v>375519</v>
      </c>
      <c r="D1596" s="8" t="s">
        <v>237</v>
      </c>
      <c r="E1596" s="8">
        <v>87994427</v>
      </c>
      <c r="F1596" s="8">
        <v>87994427</v>
      </c>
      <c r="G1596" s="8" t="s">
        <v>24</v>
      </c>
      <c r="H1596" s="8" t="s">
        <v>46</v>
      </c>
      <c r="I1596" s="8" t="s">
        <v>23</v>
      </c>
      <c r="J1596" s="8" t="s">
        <v>8856</v>
      </c>
      <c r="K1596" s="8" t="s">
        <v>8858</v>
      </c>
      <c r="L1596" s="8" t="s">
        <v>19</v>
      </c>
      <c r="M1596" s="8">
        <v>550</v>
      </c>
      <c r="N1596" s="8" t="s">
        <v>347</v>
      </c>
      <c r="O1596" s="8">
        <v>68</v>
      </c>
      <c r="P1596" s="8" t="s">
        <v>8857</v>
      </c>
      <c r="Q1596" s="8" t="s">
        <v>4262</v>
      </c>
      <c r="R1596" s="8">
        <v>0.183</v>
      </c>
      <c r="S1596" s="8">
        <v>87994427</v>
      </c>
      <c r="T1596" s="8" t="s">
        <v>24</v>
      </c>
      <c r="U1596" s="8" t="s">
        <v>46</v>
      </c>
    </row>
    <row r="1597" spans="1:21">
      <c r="A1597" s="8" t="s">
        <v>8531</v>
      </c>
      <c r="B1597" s="8" t="s">
        <v>8859</v>
      </c>
      <c r="C1597" s="8">
        <v>23195</v>
      </c>
      <c r="D1597" s="8" t="s">
        <v>237</v>
      </c>
      <c r="E1597" s="8">
        <v>90453323</v>
      </c>
      <c r="F1597" s="8">
        <v>90453323</v>
      </c>
      <c r="G1597" s="8" t="s">
        <v>46</v>
      </c>
      <c r="H1597" s="8" t="s">
        <v>25</v>
      </c>
      <c r="I1597" s="8" t="s">
        <v>23</v>
      </c>
      <c r="J1597" s="8" t="s">
        <v>8860</v>
      </c>
      <c r="K1597" s="8" t="s">
        <v>8862</v>
      </c>
      <c r="L1597" s="8" t="s">
        <v>19</v>
      </c>
      <c r="M1597" s="8">
        <v>4405</v>
      </c>
      <c r="N1597" s="8" t="s">
        <v>196</v>
      </c>
      <c r="O1597" s="8">
        <v>1430</v>
      </c>
      <c r="P1597" s="8" t="s">
        <v>8861</v>
      </c>
      <c r="Q1597" s="8" t="s">
        <v>4262</v>
      </c>
      <c r="R1597" s="8">
        <v>7.3999999999999996E-2</v>
      </c>
      <c r="S1597" s="8">
        <v>90453323</v>
      </c>
      <c r="T1597" s="8" t="s">
        <v>46</v>
      </c>
      <c r="U1597" s="8" t="s">
        <v>25</v>
      </c>
    </row>
    <row r="1598" spans="1:21">
      <c r="A1598" s="8" t="s">
        <v>8531</v>
      </c>
      <c r="B1598" s="8" t="s">
        <v>388</v>
      </c>
      <c r="C1598" s="8">
        <v>3908</v>
      </c>
      <c r="D1598" s="8" t="s">
        <v>237</v>
      </c>
      <c r="E1598" s="8">
        <v>129723514</v>
      </c>
      <c r="F1598" s="8">
        <v>129723514</v>
      </c>
      <c r="G1598" s="8" t="s">
        <v>46</v>
      </c>
      <c r="H1598" s="8" t="s">
        <v>25</v>
      </c>
      <c r="I1598" s="8" t="s">
        <v>23</v>
      </c>
      <c r="J1598" s="8" t="s">
        <v>8863</v>
      </c>
      <c r="K1598" s="8" t="s">
        <v>8865</v>
      </c>
      <c r="L1598" s="8" t="s">
        <v>19</v>
      </c>
      <c r="M1598" s="8">
        <v>5713</v>
      </c>
      <c r="N1598" s="8" t="s">
        <v>983</v>
      </c>
      <c r="O1598" s="8">
        <v>1870</v>
      </c>
      <c r="P1598" s="8" t="s">
        <v>8864</v>
      </c>
      <c r="Q1598" s="8" t="s">
        <v>4262</v>
      </c>
      <c r="R1598" s="8">
        <v>0.378</v>
      </c>
      <c r="S1598" s="8">
        <v>129723514</v>
      </c>
      <c r="T1598" s="8" t="s">
        <v>46</v>
      </c>
      <c r="U1598" s="8" t="s">
        <v>25</v>
      </c>
    </row>
    <row r="1599" spans="1:21">
      <c r="A1599" s="8" t="s">
        <v>8531</v>
      </c>
      <c r="B1599" s="8" t="s">
        <v>3311</v>
      </c>
      <c r="C1599" s="8">
        <v>221692</v>
      </c>
      <c r="D1599" s="8" t="s">
        <v>237</v>
      </c>
      <c r="E1599" s="8">
        <v>13228064</v>
      </c>
      <c r="F1599" s="8">
        <v>13228064</v>
      </c>
      <c r="G1599" s="8" t="s">
        <v>46</v>
      </c>
      <c r="H1599" s="8" t="s">
        <v>24</v>
      </c>
      <c r="I1599" s="8" t="s">
        <v>23</v>
      </c>
      <c r="J1599" s="8" t="s">
        <v>8866</v>
      </c>
      <c r="K1599" s="8" t="s">
        <v>8868</v>
      </c>
      <c r="L1599" s="8" t="s">
        <v>19</v>
      </c>
      <c r="M1599" s="8">
        <v>1186</v>
      </c>
      <c r="N1599" s="8" t="s">
        <v>3312</v>
      </c>
      <c r="O1599" s="8">
        <v>335</v>
      </c>
      <c r="P1599" s="8" t="s">
        <v>8867</v>
      </c>
      <c r="Q1599" s="8" t="s">
        <v>4262</v>
      </c>
      <c r="R1599" s="8">
        <v>0.31900000000000001</v>
      </c>
      <c r="S1599" s="8">
        <v>13228064</v>
      </c>
      <c r="T1599" s="8" t="s">
        <v>46</v>
      </c>
      <c r="U1599" s="8" t="s">
        <v>24</v>
      </c>
    </row>
    <row r="1600" spans="1:21">
      <c r="A1600" s="8" t="s">
        <v>8531</v>
      </c>
      <c r="B1600" s="8" t="s">
        <v>8869</v>
      </c>
      <c r="C1600" s="8">
        <v>167838</v>
      </c>
      <c r="D1600" s="8" t="s">
        <v>237</v>
      </c>
      <c r="E1600" s="8">
        <v>139609738</v>
      </c>
      <c r="F1600" s="8">
        <v>139609738</v>
      </c>
      <c r="G1600" s="8" t="s">
        <v>46</v>
      </c>
      <c r="H1600" s="8" t="s">
        <v>25</v>
      </c>
      <c r="I1600" s="8" t="s">
        <v>23</v>
      </c>
      <c r="J1600" s="8" t="s">
        <v>8870</v>
      </c>
      <c r="K1600" s="8" t="s">
        <v>8872</v>
      </c>
      <c r="L1600" s="8" t="s">
        <v>19</v>
      </c>
      <c r="M1600" s="8">
        <v>464</v>
      </c>
      <c r="N1600" s="8" t="s">
        <v>270</v>
      </c>
      <c r="O1600" s="8">
        <v>100</v>
      </c>
      <c r="P1600" s="8" t="s">
        <v>8871</v>
      </c>
      <c r="Q1600" s="8" t="s">
        <v>4262</v>
      </c>
      <c r="R1600" s="8">
        <v>0.17199999999999999</v>
      </c>
      <c r="S1600" s="8">
        <v>139609738</v>
      </c>
      <c r="T1600" s="8" t="s">
        <v>46</v>
      </c>
      <c r="U1600" s="8" t="s">
        <v>25</v>
      </c>
    </row>
    <row r="1601" spans="1:21">
      <c r="A1601" s="8" t="s">
        <v>8531</v>
      </c>
      <c r="B1601" s="8" t="s">
        <v>8873</v>
      </c>
      <c r="C1601" s="8">
        <v>154197</v>
      </c>
      <c r="D1601" s="8" t="s">
        <v>237</v>
      </c>
      <c r="E1601" s="8">
        <v>160225621</v>
      </c>
      <c r="F1601" s="8">
        <v>160225621</v>
      </c>
      <c r="G1601" s="8" t="s">
        <v>25</v>
      </c>
      <c r="H1601" s="8" t="s">
        <v>46</v>
      </c>
      <c r="I1601" s="8" t="s">
        <v>23</v>
      </c>
      <c r="J1601" s="8" t="s">
        <v>8874</v>
      </c>
      <c r="K1601" s="8" t="s">
        <v>8876</v>
      </c>
      <c r="L1601" s="8" t="s">
        <v>19</v>
      </c>
      <c r="M1601" s="8">
        <v>551</v>
      </c>
      <c r="N1601" s="8" t="s">
        <v>4625</v>
      </c>
      <c r="O1601" s="8">
        <v>127</v>
      </c>
      <c r="P1601" s="8" t="s">
        <v>8875</v>
      </c>
      <c r="Q1601" s="8" t="s">
        <v>4262</v>
      </c>
      <c r="R1601" s="8">
        <v>0.38600000000000001</v>
      </c>
      <c r="S1601" s="8">
        <v>160225621</v>
      </c>
      <c r="T1601" s="8" t="s">
        <v>25</v>
      </c>
      <c r="U1601" s="8" t="s">
        <v>46</v>
      </c>
    </row>
    <row r="1602" spans="1:21">
      <c r="A1602" s="8" t="s">
        <v>8531</v>
      </c>
      <c r="B1602" s="8" t="s">
        <v>2744</v>
      </c>
      <c r="C1602" s="8">
        <v>2822</v>
      </c>
      <c r="D1602" s="8" t="s">
        <v>237</v>
      </c>
      <c r="E1602" s="8">
        <v>24460617</v>
      </c>
      <c r="F1602" s="8">
        <v>24460617</v>
      </c>
      <c r="G1602" s="8" t="s">
        <v>24</v>
      </c>
      <c r="H1602" s="8" t="s">
        <v>25</v>
      </c>
      <c r="I1602" s="8" t="s">
        <v>23</v>
      </c>
      <c r="J1602" s="8" t="s">
        <v>2745</v>
      </c>
      <c r="K1602" s="8" t="s">
        <v>8878</v>
      </c>
      <c r="L1602" s="8" t="s">
        <v>76</v>
      </c>
      <c r="M1602" s="8">
        <v>1009</v>
      </c>
      <c r="N1602" s="8" t="s">
        <v>371</v>
      </c>
      <c r="O1602" s="8">
        <v>300</v>
      </c>
      <c r="P1602" s="8" t="s">
        <v>8877</v>
      </c>
      <c r="Q1602" s="8" t="s">
        <v>4262</v>
      </c>
      <c r="R1602" s="8">
        <v>7.0999999999999994E-2</v>
      </c>
      <c r="S1602" s="8">
        <v>24460617</v>
      </c>
      <c r="T1602" s="8" t="s">
        <v>24</v>
      </c>
      <c r="U1602" s="8" t="s">
        <v>25</v>
      </c>
    </row>
    <row r="1603" spans="1:21">
      <c r="A1603" s="8" t="s">
        <v>8531</v>
      </c>
      <c r="B1603" s="8" t="s">
        <v>794</v>
      </c>
      <c r="C1603" s="8">
        <v>8360</v>
      </c>
      <c r="D1603" s="8" t="s">
        <v>237</v>
      </c>
      <c r="E1603" s="8">
        <v>26189294</v>
      </c>
      <c r="F1603" s="8">
        <v>26189294</v>
      </c>
      <c r="G1603" s="8" t="s">
        <v>46</v>
      </c>
      <c r="H1603" s="8" t="s">
        <v>25</v>
      </c>
      <c r="I1603" s="8" t="s">
        <v>23</v>
      </c>
      <c r="J1603" s="8" t="s">
        <v>795</v>
      </c>
      <c r="K1603" s="8" t="s">
        <v>8880</v>
      </c>
      <c r="L1603" s="8" t="s">
        <v>19</v>
      </c>
      <c r="M1603" s="8">
        <v>11</v>
      </c>
      <c r="N1603" s="8" t="s">
        <v>1288</v>
      </c>
      <c r="O1603" s="8">
        <v>4</v>
      </c>
      <c r="P1603" s="8" t="s">
        <v>8879</v>
      </c>
      <c r="Q1603" s="8" t="s">
        <v>4262</v>
      </c>
      <c r="R1603" s="8">
        <v>0.14000000000000001</v>
      </c>
      <c r="S1603" s="8">
        <v>26189294</v>
      </c>
      <c r="T1603" s="8" t="s">
        <v>46</v>
      </c>
      <c r="U1603" s="8" t="s">
        <v>25</v>
      </c>
    </row>
    <row r="1604" spans="1:21">
      <c r="A1604" s="8" t="s">
        <v>8531</v>
      </c>
      <c r="B1604" s="8" t="s">
        <v>8881</v>
      </c>
      <c r="C1604" s="8">
        <v>696</v>
      </c>
      <c r="D1604" s="8" t="s">
        <v>237</v>
      </c>
      <c r="E1604" s="8">
        <v>26502002</v>
      </c>
      <c r="F1604" s="8">
        <v>26502002</v>
      </c>
      <c r="G1604" s="8" t="s">
        <v>24</v>
      </c>
      <c r="H1604" s="8" t="s">
        <v>25</v>
      </c>
      <c r="I1604" s="8" t="s">
        <v>23</v>
      </c>
      <c r="J1604" s="8" t="s">
        <v>8882</v>
      </c>
      <c r="K1604" s="8" t="s">
        <v>8884</v>
      </c>
      <c r="L1604" s="8" t="s">
        <v>19</v>
      </c>
      <c r="M1604" s="8">
        <v>284</v>
      </c>
      <c r="N1604" s="8" t="s">
        <v>2439</v>
      </c>
      <c r="O1604" s="8">
        <v>88</v>
      </c>
      <c r="P1604" s="8" t="s">
        <v>8883</v>
      </c>
      <c r="Q1604" s="8" t="s">
        <v>4262</v>
      </c>
      <c r="R1604" s="8">
        <v>0.128</v>
      </c>
      <c r="S1604" s="8">
        <v>26502002</v>
      </c>
      <c r="T1604" s="8" t="s">
        <v>24</v>
      </c>
      <c r="U1604" s="8" t="s">
        <v>25</v>
      </c>
    </row>
    <row r="1605" spans="1:21">
      <c r="A1605" s="8" t="s">
        <v>8531</v>
      </c>
      <c r="B1605" s="8" t="s">
        <v>8885</v>
      </c>
      <c r="C1605" s="8">
        <v>26212</v>
      </c>
      <c r="D1605" s="8" t="s">
        <v>237</v>
      </c>
      <c r="E1605" s="8">
        <v>27925343</v>
      </c>
      <c r="F1605" s="8">
        <v>27925343</v>
      </c>
      <c r="G1605" s="8" t="s">
        <v>24</v>
      </c>
      <c r="H1605" s="8" t="s">
        <v>41</v>
      </c>
      <c r="I1605" s="8" t="s">
        <v>23</v>
      </c>
      <c r="J1605" s="8" t="s">
        <v>8886</v>
      </c>
      <c r="K1605" s="8" t="s">
        <v>8888</v>
      </c>
      <c r="L1605" s="8" t="s">
        <v>19</v>
      </c>
      <c r="M1605" s="8">
        <v>325</v>
      </c>
      <c r="N1605" s="8" t="s">
        <v>481</v>
      </c>
      <c r="O1605" s="8">
        <v>109</v>
      </c>
      <c r="P1605" s="8" t="s">
        <v>8887</v>
      </c>
      <c r="Q1605" s="8" t="s">
        <v>4262</v>
      </c>
      <c r="R1605" s="8">
        <v>8.8999999999999996E-2</v>
      </c>
      <c r="S1605" s="8">
        <v>27925343</v>
      </c>
      <c r="T1605" s="8" t="s">
        <v>24</v>
      </c>
      <c r="U1605" s="8" t="s">
        <v>41</v>
      </c>
    </row>
    <row r="1606" spans="1:21">
      <c r="A1606" s="8" t="s">
        <v>8531</v>
      </c>
      <c r="B1606" s="8" t="s">
        <v>8889</v>
      </c>
      <c r="C1606" s="8">
        <v>10665</v>
      </c>
      <c r="D1606" s="8" t="s">
        <v>237</v>
      </c>
      <c r="E1606" s="8">
        <v>32261731</v>
      </c>
      <c r="F1606" s="8">
        <v>32261731</v>
      </c>
      <c r="G1606" s="8" t="s">
        <v>24</v>
      </c>
      <c r="H1606" s="8" t="s">
        <v>25</v>
      </c>
      <c r="I1606" s="8" t="s">
        <v>23</v>
      </c>
      <c r="J1606" s="8" t="s">
        <v>8890</v>
      </c>
      <c r="K1606" s="8" t="s">
        <v>8892</v>
      </c>
      <c r="L1606" s="8" t="s">
        <v>19</v>
      </c>
      <c r="M1606" s="8">
        <v>892</v>
      </c>
      <c r="N1606" s="8" t="s">
        <v>417</v>
      </c>
      <c r="O1606" s="8">
        <v>240</v>
      </c>
      <c r="P1606" s="8" t="s">
        <v>8891</v>
      </c>
      <c r="Q1606" s="8" t="s">
        <v>4262</v>
      </c>
      <c r="R1606" s="8">
        <v>0.22800000000000001</v>
      </c>
      <c r="S1606" s="8">
        <v>32261731</v>
      </c>
      <c r="T1606" s="8" t="s">
        <v>24</v>
      </c>
      <c r="U1606" s="8" t="s">
        <v>25</v>
      </c>
    </row>
    <row r="1607" spans="1:21">
      <c r="A1607" s="8" t="s">
        <v>8531</v>
      </c>
      <c r="B1607" s="8" t="s">
        <v>3313</v>
      </c>
      <c r="C1607" s="8">
        <v>9278</v>
      </c>
      <c r="D1607" s="8" t="s">
        <v>237</v>
      </c>
      <c r="E1607" s="8">
        <v>33284332</v>
      </c>
      <c r="F1607" s="8">
        <v>33284332</v>
      </c>
      <c r="G1607" s="8" t="s">
        <v>24</v>
      </c>
      <c r="H1607" s="8" t="s">
        <v>41</v>
      </c>
      <c r="I1607" s="8" t="s">
        <v>23</v>
      </c>
      <c r="J1607" s="8" t="s">
        <v>8893</v>
      </c>
      <c r="K1607" s="8" t="s">
        <v>8895</v>
      </c>
      <c r="L1607" s="8" t="s">
        <v>19</v>
      </c>
      <c r="M1607" s="8">
        <v>496</v>
      </c>
      <c r="N1607" s="8" t="s">
        <v>530</v>
      </c>
      <c r="O1607" s="8">
        <v>121</v>
      </c>
      <c r="P1607" s="8" t="s">
        <v>8894</v>
      </c>
      <c r="Q1607" s="8" t="s">
        <v>4262</v>
      </c>
      <c r="R1607" s="8">
        <v>0.43099999999999999</v>
      </c>
      <c r="S1607" s="8">
        <v>33284332</v>
      </c>
      <c r="T1607" s="8" t="s">
        <v>24</v>
      </c>
      <c r="U1607" s="8" t="s">
        <v>41</v>
      </c>
    </row>
    <row r="1608" spans="1:21">
      <c r="A1608" s="8" t="s">
        <v>8531</v>
      </c>
      <c r="B1608" s="8" t="s">
        <v>8896</v>
      </c>
      <c r="C1608" s="8">
        <v>221504</v>
      </c>
      <c r="D1608" s="8" t="s">
        <v>237</v>
      </c>
      <c r="E1608" s="8">
        <v>33423656</v>
      </c>
      <c r="F1608" s="8">
        <v>33423656</v>
      </c>
      <c r="G1608" s="8" t="s">
        <v>24</v>
      </c>
      <c r="H1608" s="8" t="s">
        <v>41</v>
      </c>
      <c r="I1608" s="8" t="s">
        <v>23</v>
      </c>
      <c r="J1608" s="8" t="s">
        <v>8897</v>
      </c>
      <c r="K1608" s="8" t="s">
        <v>8899</v>
      </c>
      <c r="L1608" s="8" t="s">
        <v>19</v>
      </c>
      <c r="M1608" s="8">
        <v>1047</v>
      </c>
      <c r="N1608" s="8" t="s">
        <v>437</v>
      </c>
      <c r="O1608" s="8">
        <v>260</v>
      </c>
      <c r="P1608" s="8" t="s">
        <v>8898</v>
      </c>
      <c r="Q1608" s="8" t="s">
        <v>4262</v>
      </c>
      <c r="R1608" s="8">
        <v>8.8999999999999996E-2</v>
      </c>
      <c r="S1608" s="8">
        <v>33423656</v>
      </c>
      <c r="T1608" s="8" t="s">
        <v>24</v>
      </c>
      <c r="U1608" s="8" t="s">
        <v>41</v>
      </c>
    </row>
    <row r="1609" spans="1:21">
      <c r="A1609" s="8" t="s">
        <v>8531</v>
      </c>
      <c r="B1609" s="8" t="s">
        <v>8900</v>
      </c>
      <c r="C1609" s="8">
        <v>222658</v>
      </c>
      <c r="D1609" s="8" t="s">
        <v>237</v>
      </c>
      <c r="E1609" s="8">
        <v>36447422</v>
      </c>
      <c r="F1609" s="8">
        <v>36447422</v>
      </c>
      <c r="G1609" s="8" t="s">
        <v>46</v>
      </c>
      <c r="H1609" s="8" t="s">
        <v>41</v>
      </c>
      <c r="I1609" s="8" t="s">
        <v>23</v>
      </c>
      <c r="J1609" s="8" t="s">
        <v>8901</v>
      </c>
      <c r="K1609" s="8" t="s">
        <v>8903</v>
      </c>
      <c r="L1609" s="8" t="s">
        <v>19</v>
      </c>
      <c r="M1609" s="8">
        <v>983</v>
      </c>
      <c r="N1609" s="8" t="s">
        <v>1118</v>
      </c>
      <c r="O1609" s="8">
        <v>198</v>
      </c>
      <c r="P1609" s="8" t="s">
        <v>8902</v>
      </c>
      <c r="Q1609" s="8" t="s">
        <v>4262</v>
      </c>
      <c r="R1609" s="8">
        <v>0.188</v>
      </c>
      <c r="S1609" s="8">
        <v>36447422</v>
      </c>
      <c r="T1609" s="8" t="s">
        <v>46</v>
      </c>
      <c r="U1609" s="8" t="s">
        <v>41</v>
      </c>
    </row>
    <row r="1610" spans="1:21">
      <c r="A1610" s="8" t="s">
        <v>8531</v>
      </c>
      <c r="B1610" s="8" t="s">
        <v>1916</v>
      </c>
      <c r="C1610" s="8">
        <v>221477</v>
      </c>
      <c r="D1610" s="8" t="s">
        <v>237</v>
      </c>
      <c r="E1610" s="8">
        <v>36882083</v>
      </c>
      <c r="F1610" s="8">
        <v>36882083</v>
      </c>
      <c r="G1610" s="8" t="s">
        <v>24</v>
      </c>
      <c r="H1610" s="8" t="s">
        <v>41</v>
      </c>
      <c r="I1610" s="8" t="s">
        <v>23</v>
      </c>
      <c r="J1610" s="8" t="s">
        <v>8904</v>
      </c>
      <c r="K1610" s="8" t="s">
        <v>8906</v>
      </c>
      <c r="L1610" s="8" t="s">
        <v>19</v>
      </c>
      <c r="M1610" s="8">
        <v>611</v>
      </c>
      <c r="N1610" s="8" t="s">
        <v>463</v>
      </c>
      <c r="O1610" s="8">
        <v>150</v>
      </c>
      <c r="P1610" s="8" t="s">
        <v>8905</v>
      </c>
      <c r="Q1610" s="8" t="s">
        <v>4262</v>
      </c>
      <c r="R1610" s="8">
        <v>5.1999999999999998E-2</v>
      </c>
      <c r="S1610" s="8">
        <v>36882083</v>
      </c>
      <c r="T1610" s="8" t="s">
        <v>24</v>
      </c>
      <c r="U1610" s="8" t="s">
        <v>41</v>
      </c>
    </row>
    <row r="1611" spans="1:21">
      <c r="A1611" s="8" t="s">
        <v>8531</v>
      </c>
      <c r="B1611" s="8" t="s">
        <v>8907</v>
      </c>
      <c r="C1611" s="8">
        <v>57497</v>
      </c>
      <c r="D1611" s="8" t="s">
        <v>237</v>
      </c>
      <c r="E1611" s="8">
        <v>40400499</v>
      </c>
      <c r="F1611" s="8">
        <v>40400499</v>
      </c>
      <c r="G1611" s="8" t="s">
        <v>24</v>
      </c>
      <c r="H1611" s="8" t="s">
        <v>41</v>
      </c>
      <c r="I1611" s="8" t="s">
        <v>23</v>
      </c>
      <c r="J1611" s="8" t="s">
        <v>8908</v>
      </c>
      <c r="K1611" s="8" t="s">
        <v>8910</v>
      </c>
      <c r="L1611" s="8" t="s">
        <v>19</v>
      </c>
      <c r="M1611" s="8">
        <v>819</v>
      </c>
      <c r="N1611" s="8" t="s">
        <v>247</v>
      </c>
      <c r="O1611" s="8">
        <v>118</v>
      </c>
      <c r="P1611" s="8" t="s">
        <v>8909</v>
      </c>
      <c r="Q1611" s="8" t="s">
        <v>4262</v>
      </c>
      <c r="R1611" s="8">
        <v>9.8000000000000004E-2</v>
      </c>
      <c r="S1611" s="8">
        <v>40400499</v>
      </c>
      <c r="T1611" s="8" t="s">
        <v>24</v>
      </c>
      <c r="U1611" s="8" t="s">
        <v>41</v>
      </c>
    </row>
    <row r="1612" spans="1:21">
      <c r="A1612" s="8" t="s">
        <v>8531</v>
      </c>
      <c r="B1612" s="8" t="s">
        <v>8911</v>
      </c>
      <c r="C1612" s="8">
        <v>2978</v>
      </c>
      <c r="D1612" s="8" t="s">
        <v>237</v>
      </c>
      <c r="E1612" s="8">
        <v>42141470</v>
      </c>
      <c r="F1612" s="8">
        <v>42141470</v>
      </c>
      <c r="G1612" s="8" t="s">
        <v>24</v>
      </c>
      <c r="H1612" s="8" t="s">
        <v>41</v>
      </c>
      <c r="I1612" s="8" t="s">
        <v>23</v>
      </c>
      <c r="J1612" s="8" t="s">
        <v>8912</v>
      </c>
      <c r="K1612" s="8" t="s">
        <v>8915</v>
      </c>
      <c r="L1612" s="8" t="s">
        <v>19</v>
      </c>
      <c r="M1612" s="8">
        <v>764</v>
      </c>
      <c r="N1612" s="8" t="s">
        <v>1288</v>
      </c>
      <c r="O1612" s="8">
        <v>40</v>
      </c>
      <c r="P1612" s="8" t="s">
        <v>8913</v>
      </c>
      <c r="Q1612" s="8" t="s">
        <v>8914</v>
      </c>
      <c r="R1612" s="8">
        <v>0.249</v>
      </c>
      <c r="S1612" s="8">
        <v>42141470</v>
      </c>
      <c r="T1612" s="8" t="s">
        <v>24</v>
      </c>
      <c r="U1612" s="8" t="s">
        <v>41</v>
      </c>
    </row>
    <row r="1613" spans="1:21">
      <c r="A1613" s="8" t="s">
        <v>8531</v>
      </c>
      <c r="B1613" s="8" t="s">
        <v>8916</v>
      </c>
      <c r="C1613" s="8">
        <v>65989</v>
      </c>
      <c r="D1613" s="8" t="s">
        <v>237</v>
      </c>
      <c r="E1613" s="8">
        <v>43420865</v>
      </c>
      <c r="F1613" s="8">
        <v>43420865</v>
      </c>
      <c r="G1613" s="8" t="s">
        <v>24</v>
      </c>
      <c r="H1613" s="8" t="s">
        <v>25</v>
      </c>
      <c r="I1613" s="8" t="s">
        <v>23</v>
      </c>
      <c r="J1613" s="8" t="s">
        <v>8917</v>
      </c>
      <c r="K1613" s="8" t="s">
        <v>8919</v>
      </c>
      <c r="L1613" s="8" t="s">
        <v>19</v>
      </c>
      <c r="M1613" s="8">
        <v>266</v>
      </c>
      <c r="N1613" s="8" t="s">
        <v>365</v>
      </c>
      <c r="O1613" s="8">
        <v>50</v>
      </c>
      <c r="P1613" s="8" t="s">
        <v>8918</v>
      </c>
      <c r="Q1613" s="8" t="s">
        <v>4262</v>
      </c>
      <c r="R1613" s="8">
        <v>5.5E-2</v>
      </c>
      <c r="S1613" s="8">
        <v>43420865</v>
      </c>
      <c r="T1613" s="8" t="s">
        <v>24</v>
      </c>
      <c r="U1613" s="8" t="s">
        <v>25</v>
      </c>
    </row>
    <row r="1614" spans="1:21">
      <c r="A1614" s="8" t="s">
        <v>8531</v>
      </c>
      <c r="B1614" s="8" t="s">
        <v>8920</v>
      </c>
      <c r="C1614" s="8">
        <v>221395</v>
      </c>
      <c r="D1614" s="8" t="s">
        <v>237</v>
      </c>
      <c r="E1614" s="8">
        <v>46836708</v>
      </c>
      <c r="F1614" s="8">
        <v>46836708</v>
      </c>
      <c r="G1614" s="8" t="s">
        <v>41</v>
      </c>
      <c r="H1614" s="8" t="s">
        <v>25</v>
      </c>
      <c r="I1614" s="8" t="s">
        <v>23</v>
      </c>
      <c r="J1614" s="8" t="s">
        <v>8921</v>
      </c>
      <c r="K1614" s="8" t="s">
        <v>8923</v>
      </c>
      <c r="L1614" s="8" t="s">
        <v>19</v>
      </c>
      <c r="M1614" s="8">
        <v>1822</v>
      </c>
      <c r="N1614" s="8" t="s">
        <v>3165</v>
      </c>
      <c r="O1614" s="8">
        <v>511</v>
      </c>
      <c r="P1614" s="8" t="s">
        <v>8922</v>
      </c>
      <c r="Q1614" s="8" t="s">
        <v>4262</v>
      </c>
      <c r="R1614" s="8">
        <v>0.24</v>
      </c>
      <c r="S1614" s="8">
        <v>46836708</v>
      </c>
      <c r="T1614" s="8" t="s">
        <v>41</v>
      </c>
      <c r="U1614" s="8" t="s">
        <v>25</v>
      </c>
    </row>
    <row r="1615" spans="1:21">
      <c r="A1615" s="8" t="s">
        <v>8531</v>
      </c>
      <c r="B1615" s="8" t="s">
        <v>2195</v>
      </c>
      <c r="C1615" s="8">
        <v>84629</v>
      </c>
      <c r="D1615" s="8" t="s">
        <v>257</v>
      </c>
      <c r="E1615" s="8">
        <v>5347816</v>
      </c>
      <c r="F1615" s="8">
        <v>5347816</v>
      </c>
      <c r="G1615" s="8" t="s">
        <v>46</v>
      </c>
      <c r="H1615" s="8" t="s">
        <v>25</v>
      </c>
      <c r="I1615" s="8" t="s">
        <v>23</v>
      </c>
      <c r="J1615" s="8" t="s">
        <v>8924</v>
      </c>
      <c r="K1615" s="8" t="s">
        <v>8926</v>
      </c>
      <c r="L1615" s="8" t="s">
        <v>19</v>
      </c>
      <c r="M1615" s="8">
        <v>9177</v>
      </c>
      <c r="N1615" s="8" t="s">
        <v>710</v>
      </c>
      <c r="O1615" s="8">
        <v>2943</v>
      </c>
      <c r="P1615" s="8" t="s">
        <v>8925</v>
      </c>
      <c r="Q1615" s="8" t="s">
        <v>4262</v>
      </c>
      <c r="R1615" s="8">
        <v>0.30599999999999999</v>
      </c>
      <c r="S1615" s="8">
        <v>5347816</v>
      </c>
      <c r="T1615" s="8" t="s">
        <v>46</v>
      </c>
      <c r="U1615" s="8" t="s">
        <v>25</v>
      </c>
    </row>
    <row r="1616" spans="1:21">
      <c r="A1616" s="8" t="s">
        <v>8531</v>
      </c>
      <c r="B1616" s="8" t="s">
        <v>1199</v>
      </c>
      <c r="C1616" s="8">
        <v>60</v>
      </c>
      <c r="D1616" s="8" t="s">
        <v>257</v>
      </c>
      <c r="E1616" s="8">
        <v>5568064</v>
      </c>
      <c r="F1616" s="8">
        <v>5568064</v>
      </c>
      <c r="G1616" s="8" t="s">
        <v>46</v>
      </c>
      <c r="H1616" s="8" t="s">
        <v>25</v>
      </c>
      <c r="I1616" s="8" t="s">
        <v>23</v>
      </c>
      <c r="J1616" s="8" t="s">
        <v>1200</v>
      </c>
      <c r="K1616" s="8" t="s">
        <v>8147</v>
      </c>
      <c r="L1616" s="8" t="s">
        <v>19</v>
      </c>
      <c r="M1616" s="8">
        <v>734</v>
      </c>
      <c r="N1616" s="8" t="s">
        <v>2922</v>
      </c>
      <c r="O1616" s="8">
        <v>217</v>
      </c>
      <c r="P1616" s="8" t="s">
        <v>8927</v>
      </c>
      <c r="Q1616" s="8" t="s">
        <v>4262</v>
      </c>
      <c r="R1616" s="8">
        <v>0.249</v>
      </c>
      <c r="S1616" s="8">
        <v>5568064</v>
      </c>
      <c r="T1616" s="8" t="s">
        <v>46</v>
      </c>
      <c r="U1616" s="8" t="s">
        <v>25</v>
      </c>
    </row>
    <row r="1617" spans="1:21">
      <c r="A1617" s="8" t="s">
        <v>8531</v>
      </c>
      <c r="B1617" s="8" t="s">
        <v>7908</v>
      </c>
      <c r="C1617" s="8">
        <v>25870</v>
      </c>
      <c r="D1617" s="8" t="s">
        <v>257</v>
      </c>
      <c r="E1617" s="8">
        <v>56145838</v>
      </c>
      <c r="F1617" s="8">
        <v>56145838</v>
      </c>
      <c r="G1617" s="8" t="s">
        <v>24</v>
      </c>
      <c r="H1617" s="8" t="s">
        <v>41</v>
      </c>
      <c r="I1617" s="8" t="s">
        <v>23</v>
      </c>
      <c r="J1617" s="8" t="s">
        <v>7909</v>
      </c>
      <c r="K1617" s="8" t="s">
        <v>7911</v>
      </c>
      <c r="L1617" s="8" t="s">
        <v>19</v>
      </c>
      <c r="M1617" s="8">
        <v>723</v>
      </c>
      <c r="N1617" s="8" t="s">
        <v>780</v>
      </c>
      <c r="O1617" s="8">
        <v>231</v>
      </c>
      <c r="P1617" s="8" t="s">
        <v>8928</v>
      </c>
      <c r="Q1617" s="8" t="s">
        <v>4262</v>
      </c>
      <c r="R1617" s="8">
        <v>0.14099999999999999</v>
      </c>
      <c r="S1617" s="8">
        <v>56145838</v>
      </c>
      <c r="T1617" s="8" t="s">
        <v>24</v>
      </c>
      <c r="U1617" s="8" t="s">
        <v>41</v>
      </c>
    </row>
    <row r="1618" spans="1:21">
      <c r="A1618" s="8" t="s">
        <v>8531</v>
      </c>
      <c r="B1618" s="8" t="s">
        <v>2125</v>
      </c>
      <c r="C1618" s="8">
        <v>2770</v>
      </c>
      <c r="D1618" s="8" t="s">
        <v>257</v>
      </c>
      <c r="E1618" s="8">
        <v>79846639</v>
      </c>
      <c r="F1618" s="8">
        <v>79846639</v>
      </c>
      <c r="G1618" s="8" t="s">
        <v>24</v>
      </c>
      <c r="H1618" s="8" t="s">
        <v>41</v>
      </c>
      <c r="I1618" s="8" t="s">
        <v>23</v>
      </c>
      <c r="J1618" s="8" t="s">
        <v>8929</v>
      </c>
      <c r="K1618" s="8" t="s">
        <v>8931</v>
      </c>
      <c r="L1618" s="8" t="s">
        <v>19</v>
      </c>
      <c r="M1618" s="8">
        <v>1232</v>
      </c>
      <c r="N1618" s="8" t="s">
        <v>124</v>
      </c>
      <c r="O1618" s="8">
        <v>299</v>
      </c>
      <c r="P1618" s="8" t="s">
        <v>8930</v>
      </c>
      <c r="Q1618" s="8" t="s">
        <v>4262</v>
      </c>
      <c r="R1618" s="8">
        <v>0.27500000000000002</v>
      </c>
      <c r="S1618" s="8">
        <v>79846639</v>
      </c>
      <c r="T1618" s="8" t="s">
        <v>24</v>
      </c>
      <c r="U1618" s="8" t="s">
        <v>41</v>
      </c>
    </row>
    <row r="1619" spans="1:21">
      <c r="A1619" s="8" t="s">
        <v>8531</v>
      </c>
      <c r="B1619" s="8" t="s">
        <v>273</v>
      </c>
      <c r="C1619" s="8">
        <v>27445</v>
      </c>
      <c r="D1619" s="8" t="s">
        <v>257</v>
      </c>
      <c r="E1619" s="8">
        <v>82585825</v>
      </c>
      <c r="F1619" s="8">
        <v>82585825</v>
      </c>
      <c r="G1619" s="8" t="s">
        <v>46</v>
      </c>
      <c r="H1619" s="8" t="s">
        <v>25</v>
      </c>
      <c r="I1619" s="8" t="s">
        <v>23</v>
      </c>
      <c r="J1619" s="8" t="s">
        <v>8932</v>
      </c>
      <c r="K1619" s="8" t="s">
        <v>8934</v>
      </c>
      <c r="L1619" s="8" t="s">
        <v>19</v>
      </c>
      <c r="M1619" s="8">
        <v>4733</v>
      </c>
      <c r="N1619" s="8" t="s">
        <v>883</v>
      </c>
      <c r="O1619" s="8">
        <v>1482</v>
      </c>
      <c r="P1619" s="8" t="s">
        <v>8933</v>
      </c>
      <c r="Q1619" s="8" t="s">
        <v>4262</v>
      </c>
      <c r="R1619" s="8">
        <v>0.106</v>
      </c>
      <c r="S1619" s="8">
        <v>82585825</v>
      </c>
      <c r="T1619" s="8" t="s">
        <v>46</v>
      </c>
      <c r="U1619" s="8" t="s">
        <v>25</v>
      </c>
    </row>
    <row r="1620" spans="1:21">
      <c r="A1620" s="8" t="s">
        <v>8531</v>
      </c>
      <c r="B1620" s="8" t="s">
        <v>864</v>
      </c>
      <c r="C1620" s="8">
        <v>54677</v>
      </c>
      <c r="D1620" s="8" t="s">
        <v>257</v>
      </c>
      <c r="E1620" s="8">
        <v>87005217</v>
      </c>
      <c r="F1620" s="8">
        <v>87005217</v>
      </c>
      <c r="G1620" s="8" t="s">
        <v>41</v>
      </c>
      <c r="H1620" s="8" t="s">
        <v>46</v>
      </c>
      <c r="I1620" s="8" t="s">
        <v>23</v>
      </c>
      <c r="J1620" s="8" t="s">
        <v>8935</v>
      </c>
      <c r="K1620" s="8" t="s">
        <v>8937</v>
      </c>
      <c r="L1620" s="8" t="s">
        <v>19</v>
      </c>
      <c r="M1620" s="8">
        <v>1069</v>
      </c>
      <c r="N1620" s="8" t="s">
        <v>5447</v>
      </c>
      <c r="O1620" s="8">
        <v>275</v>
      </c>
      <c r="P1620" s="8" t="s">
        <v>8936</v>
      </c>
      <c r="Q1620" s="8" t="s">
        <v>4262</v>
      </c>
      <c r="R1620" s="8">
        <v>0.10299999999999999</v>
      </c>
      <c r="S1620" s="8">
        <v>87005217</v>
      </c>
      <c r="T1620" s="8" t="s">
        <v>41</v>
      </c>
      <c r="U1620" s="8" t="s">
        <v>46</v>
      </c>
    </row>
    <row r="1621" spans="1:21">
      <c r="A1621" s="8" t="s">
        <v>8531</v>
      </c>
      <c r="B1621" s="8" t="s">
        <v>1204</v>
      </c>
      <c r="C1621" s="8">
        <v>219578</v>
      </c>
      <c r="D1621" s="8" t="s">
        <v>257</v>
      </c>
      <c r="E1621" s="8">
        <v>88964643</v>
      </c>
      <c r="F1621" s="8">
        <v>88964643</v>
      </c>
      <c r="G1621" s="8" t="s">
        <v>25</v>
      </c>
      <c r="H1621" s="8" t="s">
        <v>24</v>
      </c>
      <c r="I1621" s="8" t="s">
        <v>23</v>
      </c>
      <c r="J1621" s="8" t="s">
        <v>1205</v>
      </c>
      <c r="K1621" s="8" t="s">
        <v>8939</v>
      </c>
      <c r="L1621" s="8" t="s">
        <v>19</v>
      </c>
      <c r="M1621" s="8">
        <v>2885</v>
      </c>
      <c r="N1621" s="8" t="s">
        <v>446</v>
      </c>
      <c r="O1621" s="8">
        <v>783</v>
      </c>
      <c r="P1621" s="8" t="s">
        <v>8938</v>
      </c>
      <c r="Q1621" s="8" t="s">
        <v>4262</v>
      </c>
      <c r="R1621" s="8">
        <v>0.40799999999999997</v>
      </c>
      <c r="S1621" s="8">
        <v>88964643</v>
      </c>
      <c r="T1621" s="8" t="s">
        <v>25</v>
      </c>
      <c r="U1621" s="8" t="s">
        <v>24</v>
      </c>
    </row>
    <row r="1622" spans="1:21">
      <c r="A1622" s="8" t="s">
        <v>8531</v>
      </c>
      <c r="B1622" s="8" t="s">
        <v>2772</v>
      </c>
      <c r="C1622" s="8">
        <v>85865</v>
      </c>
      <c r="D1622" s="8" t="s">
        <v>257</v>
      </c>
      <c r="E1622" s="8">
        <v>89982168</v>
      </c>
      <c r="F1622" s="8">
        <v>89982168</v>
      </c>
      <c r="G1622" s="8" t="s">
        <v>24</v>
      </c>
      <c r="H1622" s="8" t="s">
        <v>41</v>
      </c>
      <c r="I1622" s="8" t="s">
        <v>23</v>
      </c>
      <c r="J1622" s="8" t="s">
        <v>8940</v>
      </c>
      <c r="K1622" s="8" t="s">
        <v>8942</v>
      </c>
      <c r="L1622" s="8" t="s">
        <v>19</v>
      </c>
      <c r="M1622" s="8">
        <v>149</v>
      </c>
      <c r="N1622" s="8" t="s">
        <v>553</v>
      </c>
      <c r="O1622" s="8">
        <v>24</v>
      </c>
      <c r="P1622" s="8" t="s">
        <v>8941</v>
      </c>
      <c r="Q1622" s="8" t="s">
        <v>4262</v>
      </c>
      <c r="R1622" s="8">
        <v>0.152</v>
      </c>
      <c r="S1622" s="8">
        <v>89982168</v>
      </c>
      <c r="T1622" s="8" t="s">
        <v>24</v>
      </c>
      <c r="U1622" s="8" t="s">
        <v>41</v>
      </c>
    </row>
    <row r="1623" spans="1:21">
      <c r="A1623" s="8" t="s">
        <v>8531</v>
      </c>
      <c r="B1623" s="8" t="s">
        <v>8943</v>
      </c>
      <c r="C1623" s="8">
        <v>4034</v>
      </c>
      <c r="D1623" s="8" t="s">
        <v>257</v>
      </c>
      <c r="E1623" s="8">
        <v>100179671</v>
      </c>
      <c r="F1623" s="8">
        <v>100179671</v>
      </c>
      <c r="G1623" s="8" t="s">
        <v>46</v>
      </c>
      <c r="H1623" s="8" t="s">
        <v>25</v>
      </c>
      <c r="I1623" s="8" t="s">
        <v>23</v>
      </c>
      <c r="J1623" s="8" t="s">
        <v>8944</v>
      </c>
      <c r="K1623" s="8" t="s">
        <v>8946</v>
      </c>
      <c r="L1623" s="8" t="s">
        <v>19</v>
      </c>
      <c r="M1623" s="8">
        <v>538</v>
      </c>
      <c r="N1623" s="8" t="s">
        <v>437</v>
      </c>
      <c r="O1623" s="8">
        <v>162</v>
      </c>
      <c r="P1623" s="8" t="s">
        <v>8945</v>
      </c>
      <c r="Q1623" s="8" t="s">
        <v>4262</v>
      </c>
      <c r="R1623" s="8">
        <v>0.26900000000000002</v>
      </c>
      <c r="S1623" s="8">
        <v>100179671</v>
      </c>
      <c r="T1623" s="8" t="s">
        <v>46</v>
      </c>
      <c r="U1623" s="8" t="s">
        <v>25</v>
      </c>
    </row>
    <row r="1624" spans="1:21">
      <c r="A1624" s="8" t="s">
        <v>8531</v>
      </c>
      <c r="B1624" s="8" t="s">
        <v>8947</v>
      </c>
      <c r="C1624" s="8">
        <v>43</v>
      </c>
      <c r="D1624" s="8" t="s">
        <v>257</v>
      </c>
      <c r="E1624" s="8">
        <v>100490840</v>
      </c>
      <c r="F1624" s="8">
        <v>100490840</v>
      </c>
      <c r="G1624" s="8" t="s">
        <v>24</v>
      </c>
      <c r="H1624" s="8" t="s">
        <v>41</v>
      </c>
      <c r="I1624" s="8" t="s">
        <v>23</v>
      </c>
      <c r="J1624" s="8" t="s">
        <v>8948</v>
      </c>
      <c r="K1624" s="8" t="s">
        <v>8950</v>
      </c>
      <c r="L1624" s="8" t="s">
        <v>19</v>
      </c>
      <c r="M1624" s="8">
        <v>1153</v>
      </c>
      <c r="N1624" s="8" t="s">
        <v>326</v>
      </c>
      <c r="O1624" s="8">
        <v>338</v>
      </c>
      <c r="P1624" s="8" t="s">
        <v>8949</v>
      </c>
      <c r="Q1624" s="8" t="s">
        <v>4262</v>
      </c>
      <c r="R1624" s="8">
        <v>0.2</v>
      </c>
      <c r="S1624" s="8">
        <v>100490840</v>
      </c>
      <c r="T1624" s="8" t="s">
        <v>24</v>
      </c>
      <c r="U1624" s="8" t="s">
        <v>41</v>
      </c>
    </row>
    <row r="1625" spans="1:21">
      <c r="A1625" s="8" t="s">
        <v>8531</v>
      </c>
      <c r="B1625" s="8" t="s">
        <v>2126</v>
      </c>
      <c r="C1625" s="8">
        <v>1811</v>
      </c>
      <c r="D1625" s="8" t="s">
        <v>257</v>
      </c>
      <c r="E1625" s="8">
        <v>107432343</v>
      </c>
      <c r="F1625" s="8">
        <v>107432343</v>
      </c>
      <c r="G1625" s="8" t="s">
        <v>46</v>
      </c>
      <c r="H1625" s="8" t="s">
        <v>24</v>
      </c>
      <c r="I1625" s="8" t="s">
        <v>23</v>
      </c>
      <c r="J1625" s="8" t="s">
        <v>8951</v>
      </c>
      <c r="K1625" s="8" t="s">
        <v>8953</v>
      </c>
      <c r="L1625" s="8" t="s">
        <v>19</v>
      </c>
      <c r="M1625" s="8">
        <v>525</v>
      </c>
      <c r="N1625" s="8" t="s">
        <v>3047</v>
      </c>
      <c r="O1625" s="8">
        <v>105</v>
      </c>
      <c r="P1625" s="8" t="s">
        <v>8952</v>
      </c>
      <c r="Q1625" s="8" t="s">
        <v>4262</v>
      </c>
      <c r="R1625" s="8">
        <v>0.13300000000000001</v>
      </c>
      <c r="S1625" s="8">
        <v>107432343</v>
      </c>
      <c r="T1625" s="8" t="s">
        <v>46</v>
      </c>
      <c r="U1625" s="8" t="s">
        <v>24</v>
      </c>
    </row>
    <row r="1626" spans="1:21">
      <c r="A1626" s="8" t="s">
        <v>8531</v>
      </c>
      <c r="B1626" s="8" t="s">
        <v>2132</v>
      </c>
      <c r="C1626" s="8">
        <v>9732</v>
      </c>
      <c r="D1626" s="8" t="s">
        <v>257</v>
      </c>
      <c r="E1626" s="8">
        <v>111484893</v>
      </c>
      <c r="F1626" s="8">
        <v>111484893</v>
      </c>
      <c r="G1626" s="8" t="s">
        <v>41</v>
      </c>
      <c r="H1626" s="8" t="s">
        <v>25</v>
      </c>
      <c r="I1626" s="8" t="s">
        <v>23</v>
      </c>
      <c r="J1626" s="8" t="s">
        <v>5606</v>
      </c>
      <c r="K1626" s="8" t="s">
        <v>5608</v>
      </c>
      <c r="L1626" s="8" t="s">
        <v>19</v>
      </c>
      <c r="M1626" s="8">
        <v>2931</v>
      </c>
      <c r="N1626" s="8" t="s">
        <v>604</v>
      </c>
      <c r="O1626" s="8">
        <v>888</v>
      </c>
      <c r="P1626" s="8" t="s">
        <v>8954</v>
      </c>
      <c r="Q1626" s="8" t="s">
        <v>4262</v>
      </c>
      <c r="R1626" s="8">
        <v>0.108</v>
      </c>
      <c r="S1626" s="8">
        <v>111484893</v>
      </c>
      <c r="T1626" s="8" t="s">
        <v>41</v>
      </c>
      <c r="U1626" s="8" t="s">
        <v>25</v>
      </c>
    </row>
    <row r="1627" spans="1:21">
      <c r="A1627" s="8" t="s">
        <v>8531</v>
      </c>
      <c r="B1627" s="8" t="s">
        <v>8955</v>
      </c>
      <c r="C1627" s="8">
        <v>7472</v>
      </c>
      <c r="D1627" s="8" t="s">
        <v>257</v>
      </c>
      <c r="E1627" s="8">
        <v>116918232</v>
      </c>
      <c r="F1627" s="8">
        <v>116918232</v>
      </c>
      <c r="G1627" s="8" t="s">
        <v>46</v>
      </c>
      <c r="H1627" s="8" t="s">
        <v>25</v>
      </c>
      <c r="I1627" s="8" t="s">
        <v>23</v>
      </c>
      <c r="J1627" s="8" t="s">
        <v>8956</v>
      </c>
      <c r="K1627" s="8" t="s">
        <v>8959</v>
      </c>
      <c r="L1627" s="8" t="s">
        <v>19</v>
      </c>
      <c r="M1627" s="8">
        <v>1360</v>
      </c>
      <c r="N1627" s="8" t="s">
        <v>481</v>
      </c>
      <c r="O1627" s="8">
        <v>354</v>
      </c>
      <c r="P1627" s="8" t="s">
        <v>8957</v>
      </c>
      <c r="Q1627" s="8" t="s">
        <v>8958</v>
      </c>
      <c r="R1627" s="8">
        <v>9.0999999999999998E-2</v>
      </c>
      <c r="S1627" s="8">
        <v>116918232</v>
      </c>
      <c r="T1627" s="8" t="s">
        <v>46</v>
      </c>
      <c r="U1627" s="8" t="s">
        <v>25</v>
      </c>
    </row>
    <row r="1628" spans="1:21">
      <c r="A1628" s="8" t="s">
        <v>8531</v>
      </c>
      <c r="B1628" s="8" t="s">
        <v>807</v>
      </c>
      <c r="C1628" s="8">
        <v>83992</v>
      </c>
      <c r="D1628" s="8" t="s">
        <v>257</v>
      </c>
      <c r="E1628" s="8">
        <v>117432684</v>
      </c>
      <c r="F1628" s="8">
        <v>117432684</v>
      </c>
      <c r="G1628" s="8" t="s">
        <v>24</v>
      </c>
      <c r="H1628" s="8" t="s">
        <v>41</v>
      </c>
      <c r="I1628" s="8" t="s">
        <v>23</v>
      </c>
      <c r="J1628" s="8" t="s">
        <v>808</v>
      </c>
      <c r="K1628" s="8" t="s">
        <v>4702</v>
      </c>
      <c r="L1628" s="8" t="s">
        <v>19</v>
      </c>
      <c r="M1628" s="8">
        <v>658</v>
      </c>
      <c r="N1628" s="8" t="s">
        <v>3048</v>
      </c>
      <c r="O1628" s="8">
        <v>189</v>
      </c>
      <c r="P1628" s="8" t="s">
        <v>8960</v>
      </c>
      <c r="Q1628" s="8" t="s">
        <v>4262</v>
      </c>
      <c r="R1628" s="8">
        <v>0.127</v>
      </c>
      <c r="S1628" s="8">
        <v>117432684</v>
      </c>
      <c r="T1628" s="8" t="s">
        <v>24</v>
      </c>
      <c r="U1628" s="8" t="s">
        <v>41</v>
      </c>
    </row>
    <row r="1629" spans="1:21">
      <c r="A1629" s="8" t="s">
        <v>8531</v>
      </c>
      <c r="B1629" s="8" t="s">
        <v>8961</v>
      </c>
      <c r="C1629" s="8">
        <v>5803</v>
      </c>
      <c r="D1629" s="8" t="s">
        <v>257</v>
      </c>
      <c r="E1629" s="8">
        <v>121678840</v>
      </c>
      <c r="F1629" s="8">
        <v>121678840</v>
      </c>
      <c r="G1629" s="8" t="s">
        <v>46</v>
      </c>
      <c r="H1629" s="8" t="s">
        <v>25</v>
      </c>
      <c r="I1629" s="8" t="s">
        <v>23</v>
      </c>
      <c r="J1629" s="8" t="s">
        <v>8962</v>
      </c>
      <c r="K1629" s="8" t="s">
        <v>8964</v>
      </c>
      <c r="L1629" s="8" t="s">
        <v>19</v>
      </c>
      <c r="M1629" s="8">
        <v>5794</v>
      </c>
      <c r="N1629" s="8" t="s">
        <v>3048</v>
      </c>
      <c r="O1629" s="8">
        <v>1800</v>
      </c>
      <c r="P1629" s="8" t="s">
        <v>8963</v>
      </c>
      <c r="Q1629" s="8" t="s">
        <v>4262</v>
      </c>
      <c r="R1629" s="8">
        <v>0.28599999999999998</v>
      </c>
      <c r="S1629" s="8">
        <v>121678840</v>
      </c>
      <c r="T1629" s="8" t="s">
        <v>46</v>
      </c>
      <c r="U1629" s="8" t="s">
        <v>25</v>
      </c>
    </row>
    <row r="1630" spans="1:21">
      <c r="A1630" s="8" t="s">
        <v>8531</v>
      </c>
      <c r="B1630" s="8" t="s">
        <v>1282</v>
      </c>
      <c r="C1630" s="8">
        <v>85477</v>
      </c>
      <c r="D1630" s="8" t="s">
        <v>257</v>
      </c>
      <c r="E1630" s="8">
        <v>12617760</v>
      </c>
      <c r="F1630" s="8">
        <v>12617760</v>
      </c>
      <c r="G1630" s="8" t="s">
        <v>24</v>
      </c>
      <c r="H1630" s="8" t="s">
        <v>41</v>
      </c>
      <c r="I1630" s="8" t="s">
        <v>23</v>
      </c>
      <c r="J1630" s="8" t="s">
        <v>3318</v>
      </c>
      <c r="K1630" s="8" t="s">
        <v>8966</v>
      </c>
      <c r="L1630" s="8" t="s">
        <v>19</v>
      </c>
      <c r="M1630" s="8">
        <v>481</v>
      </c>
      <c r="N1630" s="8" t="s">
        <v>1088</v>
      </c>
      <c r="O1630" s="8">
        <v>91</v>
      </c>
      <c r="P1630" s="8" t="s">
        <v>8965</v>
      </c>
      <c r="Q1630" s="8" t="s">
        <v>4262</v>
      </c>
      <c r="R1630" s="8">
        <v>0.28799999999999998</v>
      </c>
      <c r="S1630" s="8">
        <v>12617760</v>
      </c>
      <c r="T1630" s="8" t="s">
        <v>24</v>
      </c>
      <c r="U1630" s="8" t="s">
        <v>41</v>
      </c>
    </row>
    <row r="1631" spans="1:21">
      <c r="A1631" s="8" t="s">
        <v>8531</v>
      </c>
      <c r="B1631" s="8" t="s">
        <v>8967</v>
      </c>
      <c r="C1631" s="8">
        <v>64753</v>
      </c>
      <c r="D1631" s="8" t="s">
        <v>257</v>
      </c>
      <c r="E1631" s="8">
        <v>128451949</v>
      </c>
      <c r="F1631" s="8">
        <v>128451949</v>
      </c>
      <c r="G1631" s="8" t="s">
        <v>24</v>
      </c>
      <c r="H1631" s="8" t="s">
        <v>41</v>
      </c>
      <c r="I1631" s="8" t="s">
        <v>23</v>
      </c>
      <c r="J1631" s="8" t="s">
        <v>8968</v>
      </c>
      <c r="K1631" s="8" t="s">
        <v>8970</v>
      </c>
      <c r="L1631" s="8" t="s">
        <v>19</v>
      </c>
      <c r="M1631" s="8">
        <v>2540</v>
      </c>
      <c r="N1631" s="8" t="s">
        <v>553</v>
      </c>
      <c r="O1631" s="8">
        <v>708</v>
      </c>
      <c r="P1631" s="8" t="s">
        <v>8969</v>
      </c>
      <c r="Q1631" s="8" t="s">
        <v>4262</v>
      </c>
      <c r="R1631" s="8">
        <v>0.20699999999999999</v>
      </c>
      <c r="S1631" s="8">
        <v>128451949</v>
      </c>
      <c r="T1631" s="8" t="s">
        <v>24</v>
      </c>
      <c r="U1631" s="8" t="s">
        <v>41</v>
      </c>
    </row>
    <row r="1632" spans="1:21">
      <c r="A1632" s="8" t="s">
        <v>8531</v>
      </c>
      <c r="B1632" s="8" t="s">
        <v>8971</v>
      </c>
      <c r="C1632" s="8">
        <v>375616</v>
      </c>
      <c r="D1632" s="8" t="s">
        <v>257</v>
      </c>
      <c r="E1632" s="8">
        <v>128548535</v>
      </c>
      <c r="F1632" s="8">
        <v>128548535</v>
      </c>
      <c r="G1632" s="8" t="s">
        <v>24</v>
      </c>
      <c r="H1632" s="8" t="s">
        <v>41</v>
      </c>
      <c r="I1632" s="8" t="s">
        <v>23</v>
      </c>
      <c r="J1632" s="8" t="s">
        <v>8972</v>
      </c>
      <c r="K1632" s="8" t="s">
        <v>8974</v>
      </c>
      <c r="L1632" s="8" t="s">
        <v>19</v>
      </c>
      <c r="M1632" s="8">
        <v>206</v>
      </c>
      <c r="N1632" s="8" t="s">
        <v>3150</v>
      </c>
      <c r="O1632" s="8">
        <v>55</v>
      </c>
      <c r="P1632" s="8" t="s">
        <v>8973</v>
      </c>
      <c r="Q1632" s="8" t="s">
        <v>4262</v>
      </c>
      <c r="R1632" s="8">
        <v>0.17499999999999999</v>
      </c>
      <c r="S1632" s="8">
        <v>128548535</v>
      </c>
      <c r="T1632" s="8" t="s">
        <v>24</v>
      </c>
      <c r="U1632" s="8" t="s">
        <v>41</v>
      </c>
    </row>
    <row r="1633" spans="1:21">
      <c r="A1633" s="8" t="s">
        <v>8531</v>
      </c>
      <c r="B1633" s="8" t="s">
        <v>8975</v>
      </c>
      <c r="C1633" s="8">
        <v>55503</v>
      </c>
      <c r="D1633" s="8" t="s">
        <v>257</v>
      </c>
      <c r="E1633" s="8">
        <v>142572352</v>
      </c>
      <c r="F1633" s="8">
        <v>142572352</v>
      </c>
      <c r="G1633" s="8" t="s">
        <v>24</v>
      </c>
      <c r="H1633" s="8" t="s">
        <v>41</v>
      </c>
      <c r="I1633" s="8" t="s">
        <v>23</v>
      </c>
      <c r="J1633" s="8" t="s">
        <v>8976</v>
      </c>
      <c r="K1633" s="8" t="s">
        <v>8979</v>
      </c>
      <c r="L1633" s="8" t="s">
        <v>19</v>
      </c>
      <c r="M1633" s="8">
        <v>1560</v>
      </c>
      <c r="N1633" s="8" t="s">
        <v>316</v>
      </c>
      <c r="O1633" s="8">
        <v>448</v>
      </c>
      <c r="P1633" s="8" t="s">
        <v>8977</v>
      </c>
      <c r="Q1633" s="8" t="s">
        <v>8978</v>
      </c>
      <c r="R1633" s="8">
        <v>0.09</v>
      </c>
      <c r="S1633" s="8">
        <v>142572352</v>
      </c>
      <c r="T1633" s="8" t="s">
        <v>24</v>
      </c>
      <c r="U1633" s="8" t="s">
        <v>41</v>
      </c>
    </row>
    <row r="1634" spans="1:21">
      <c r="A1634" s="8" t="s">
        <v>8531</v>
      </c>
      <c r="B1634" s="8" t="s">
        <v>8980</v>
      </c>
      <c r="C1634" s="8">
        <v>58508</v>
      </c>
      <c r="D1634" s="8" t="s">
        <v>257</v>
      </c>
      <c r="E1634" s="8">
        <v>151962186</v>
      </c>
      <c r="F1634" s="8">
        <v>151962186</v>
      </c>
      <c r="G1634" s="8" t="s">
        <v>24</v>
      </c>
      <c r="H1634" s="8" t="s">
        <v>25</v>
      </c>
      <c r="I1634" s="8" t="s">
        <v>23</v>
      </c>
      <c r="J1634" s="8" t="s">
        <v>8981</v>
      </c>
      <c r="K1634" s="8" t="s">
        <v>8983</v>
      </c>
      <c r="L1634" s="8" t="s">
        <v>19</v>
      </c>
      <c r="M1634" s="8">
        <v>1340</v>
      </c>
      <c r="N1634" s="8" t="s">
        <v>230</v>
      </c>
      <c r="O1634" s="8">
        <v>374</v>
      </c>
      <c r="P1634" s="8" t="s">
        <v>8982</v>
      </c>
      <c r="Q1634" s="8" t="s">
        <v>4262</v>
      </c>
      <c r="R1634" s="8">
        <v>3.3000000000000002E-2</v>
      </c>
      <c r="S1634" s="8">
        <v>151962186</v>
      </c>
      <c r="T1634" s="8" t="s">
        <v>24</v>
      </c>
      <c r="U1634" s="8" t="s">
        <v>25</v>
      </c>
    </row>
    <row r="1635" spans="1:21">
      <c r="A1635" s="8" t="s">
        <v>8531</v>
      </c>
      <c r="B1635" s="8" t="s">
        <v>8984</v>
      </c>
      <c r="C1635" s="8">
        <v>7434</v>
      </c>
      <c r="D1635" s="8" t="s">
        <v>257</v>
      </c>
      <c r="E1635" s="8">
        <v>158826925</v>
      </c>
      <c r="F1635" s="8">
        <v>158826925</v>
      </c>
      <c r="G1635" s="8" t="s">
        <v>46</v>
      </c>
      <c r="H1635" s="8" t="s">
        <v>25</v>
      </c>
      <c r="I1635" s="8" t="s">
        <v>23</v>
      </c>
      <c r="J1635" s="8" t="s">
        <v>8985</v>
      </c>
      <c r="K1635" s="8" t="s">
        <v>8987</v>
      </c>
      <c r="L1635" s="8" t="s">
        <v>19</v>
      </c>
      <c r="M1635" s="8">
        <v>1136</v>
      </c>
      <c r="N1635" s="8" t="s">
        <v>710</v>
      </c>
      <c r="O1635" s="8">
        <v>317</v>
      </c>
      <c r="P1635" s="8" t="s">
        <v>8986</v>
      </c>
      <c r="Q1635" s="8" t="s">
        <v>4262</v>
      </c>
      <c r="R1635" s="8">
        <v>0.14299999999999999</v>
      </c>
      <c r="S1635" s="8">
        <v>158826925</v>
      </c>
      <c r="T1635" s="8" t="s">
        <v>46</v>
      </c>
      <c r="U1635" s="8" t="s">
        <v>25</v>
      </c>
    </row>
    <row r="1636" spans="1:21">
      <c r="A1636" s="8" t="s">
        <v>8531</v>
      </c>
      <c r="B1636" s="8" t="s">
        <v>8988</v>
      </c>
      <c r="C1636" s="8">
        <v>3696</v>
      </c>
      <c r="D1636" s="8" t="s">
        <v>257</v>
      </c>
      <c r="E1636" s="8">
        <v>20441677</v>
      </c>
      <c r="F1636" s="8">
        <v>20441677</v>
      </c>
      <c r="G1636" s="8" t="s">
        <v>24</v>
      </c>
      <c r="H1636" s="8" t="s">
        <v>41</v>
      </c>
      <c r="I1636" s="8" t="s">
        <v>23</v>
      </c>
      <c r="J1636" s="8" t="s">
        <v>8989</v>
      </c>
      <c r="K1636" s="8" t="s">
        <v>8991</v>
      </c>
      <c r="L1636" s="8" t="s">
        <v>76</v>
      </c>
      <c r="M1636" s="8">
        <v>2320</v>
      </c>
      <c r="N1636" s="8" t="s">
        <v>1244</v>
      </c>
      <c r="O1636" s="8">
        <v>539</v>
      </c>
      <c r="P1636" s="8" t="s">
        <v>8990</v>
      </c>
      <c r="Q1636" s="8" t="s">
        <v>4262</v>
      </c>
      <c r="R1636" s="8">
        <v>0.114</v>
      </c>
      <c r="S1636" s="8">
        <v>20441677</v>
      </c>
      <c r="T1636" s="8" t="s">
        <v>24</v>
      </c>
      <c r="U1636" s="8" t="s">
        <v>41</v>
      </c>
    </row>
    <row r="1637" spans="1:21">
      <c r="A1637" s="8" t="s">
        <v>8531</v>
      </c>
      <c r="B1637" s="8" t="s">
        <v>402</v>
      </c>
      <c r="C1637" s="8">
        <v>168667</v>
      </c>
      <c r="D1637" s="8" t="s">
        <v>257</v>
      </c>
      <c r="E1637" s="8">
        <v>34125653</v>
      </c>
      <c r="F1637" s="8">
        <v>34125653</v>
      </c>
      <c r="G1637" s="8" t="s">
        <v>46</v>
      </c>
      <c r="H1637" s="8" t="s">
        <v>25</v>
      </c>
      <c r="I1637" s="8" t="s">
        <v>23</v>
      </c>
      <c r="J1637" s="8" t="s">
        <v>403</v>
      </c>
      <c r="K1637" s="8" t="s">
        <v>8993</v>
      </c>
      <c r="L1637" s="8" t="s">
        <v>19</v>
      </c>
      <c r="M1637" s="8">
        <v>1808</v>
      </c>
      <c r="N1637" s="8" t="s">
        <v>637</v>
      </c>
      <c r="O1637" s="8">
        <v>565</v>
      </c>
      <c r="P1637" s="8" t="s">
        <v>8992</v>
      </c>
      <c r="Q1637" s="8" t="s">
        <v>4262</v>
      </c>
      <c r="R1637" s="8">
        <v>8.5000000000000006E-2</v>
      </c>
      <c r="S1637" s="8">
        <v>34125653</v>
      </c>
      <c r="T1637" s="8" t="s">
        <v>46</v>
      </c>
      <c r="U1637" s="8" t="s">
        <v>25</v>
      </c>
    </row>
    <row r="1638" spans="1:21">
      <c r="A1638" s="8" t="s">
        <v>8531</v>
      </c>
      <c r="B1638" s="8" t="s">
        <v>2764</v>
      </c>
      <c r="C1638" s="8">
        <v>273</v>
      </c>
      <c r="D1638" s="8" t="s">
        <v>257</v>
      </c>
      <c r="E1638" s="8">
        <v>38429410</v>
      </c>
      <c r="F1638" s="8">
        <v>38429410</v>
      </c>
      <c r="G1638" s="8" t="s">
        <v>46</v>
      </c>
      <c r="H1638" s="8" t="s">
        <v>25</v>
      </c>
      <c r="I1638" s="8" t="s">
        <v>23</v>
      </c>
      <c r="J1638" s="8" t="s">
        <v>7358</v>
      </c>
      <c r="K1638" s="8" t="s">
        <v>7360</v>
      </c>
      <c r="L1638" s="8" t="s">
        <v>19</v>
      </c>
      <c r="M1638" s="8">
        <v>2191</v>
      </c>
      <c r="N1638" s="8" t="s">
        <v>883</v>
      </c>
      <c r="O1638" s="8">
        <v>659</v>
      </c>
      <c r="P1638" s="8" t="s">
        <v>8994</v>
      </c>
      <c r="Q1638" s="8" t="s">
        <v>4262</v>
      </c>
      <c r="R1638" s="8">
        <v>0.254</v>
      </c>
      <c r="S1638" s="8">
        <v>38429410</v>
      </c>
      <c r="T1638" s="8" t="s">
        <v>46</v>
      </c>
      <c r="U1638" s="8" t="s">
        <v>25</v>
      </c>
    </row>
    <row r="1639" spans="1:21">
      <c r="A1639" s="8" t="s">
        <v>8531</v>
      </c>
      <c r="B1639" s="8" t="s">
        <v>2767</v>
      </c>
      <c r="C1639" s="8">
        <v>154664</v>
      </c>
      <c r="D1639" s="8" t="s">
        <v>257</v>
      </c>
      <c r="E1639" s="8">
        <v>48280534</v>
      </c>
      <c r="F1639" s="8">
        <v>48280534</v>
      </c>
      <c r="G1639" s="8" t="s">
        <v>46</v>
      </c>
      <c r="H1639" s="8" t="s">
        <v>25</v>
      </c>
      <c r="I1639" s="8" t="s">
        <v>23</v>
      </c>
      <c r="J1639" s="8" t="s">
        <v>2768</v>
      </c>
      <c r="K1639" s="8" t="s">
        <v>4731</v>
      </c>
      <c r="L1639" s="8" t="s">
        <v>19</v>
      </c>
      <c r="M1639" s="8">
        <v>1157</v>
      </c>
      <c r="N1639" s="8" t="s">
        <v>530</v>
      </c>
      <c r="O1639" s="8">
        <v>378</v>
      </c>
      <c r="P1639" s="8" t="s">
        <v>8995</v>
      </c>
      <c r="Q1639" s="8" t="s">
        <v>4262</v>
      </c>
      <c r="R1639" s="8">
        <v>0.245</v>
      </c>
      <c r="S1639" s="8">
        <v>48280534</v>
      </c>
      <c r="T1639" s="8" t="s">
        <v>46</v>
      </c>
      <c r="U1639" s="8" t="s">
        <v>25</v>
      </c>
    </row>
    <row r="1640" spans="1:21">
      <c r="A1640" s="8" t="s">
        <v>8531</v>
      </c>
      <c r="B1640" s="8" t="s">
        <v>8996</v>
      </c>
      <c r="C1640" s="8">
        <v>9705</v>
      </c>
      <c r="D1640" s="8" t="s">
        <v>279</v>
      </c>
      <c r="E1640" s="8">
        <v>53126811</v>
      </c>
      <c r="F1640" s="8">
        <v>53126811</v>
      </c>
      <c r="G1640" s="8" t="s">
        <v>46</v>
      </c>
      <c r="H1640" s="8" t="s">
        <v>41</v>
      </c>
      <c r="I1640" s="8" t="s">
        <v>23</v>
      </c>
      <c r="J1640" s="8" t="s">
        <v>8997</v>
      </c>
      <c r="K1640" s="8" t="s">
        <v>8999</v>
      </c>
      <c r="L1640" s="8" t="s">
        <v>19</v>
      </c>
      <c r="M1640" s="8">
        <v>827</v>
      </c>
      <c r="N1640" s="8" t="s">
        <v>1070</v>
      </c>
      <c r="O1640" s="8">
        <v>3</v>
      </c>
      <c r="P1640" s="8" t="s">
        <v>8998</v>
      </c>
      <c r="Q1640" s="8" t="s">
        <v>4262</v>
      </c>
      <c r="R1640" s="8">
        <v>0.105</v>
      </c>
      <c r="S1640" s="8">
        <v>53126811</v>
      </c>
      <c r="T1640" s="8" t="s">
        <v>46</v>
      </c>
      <c r="U1640" s="8" t="s">
        <v>41</v>
      </c>
    </row>
    <row r="1641" spans="1:21">
      <c r="A1641" s="8" t="s">
        <v>8531</v>
      </c>
      <c r="B1641" s="8" t="s">
        <v>2198</v>
      </c>
      <c r="C1641" s="8">
        <v>9821</v>
      </c>
      <c r="D1641" s="8" t="s">
        <v>279</v>
      </c>
      <c r="E1641" s="8">
        <v>53555315</v>
      </c>
      <c r="F1641" s="8">
        <v>53555315</v>
      </c>
      <c r="G1641" s="8" t="s">
        <v>46</v>
      </c>
      <c r="H1641" s="8" t="s">
        <v>25</v>
      </c>
      <c r="I1641" s="8" t="s">
        <v>23</v>
      </c>
      <c r="J1641" s="8" t="s">
        <v>9000</v>
      </c>
      <c r="K1641" s="8" t="s">
        <v>9002</v>
      </c>
      <c r="L1641" s="8" t="s">
        <v>19</v>
      </c>
      <c r="M1641" s="8">
        <v>4603</v>
      </c>
      <c r="N1641" s="8" t="s">
        <v>883</v>
      </c>
      <c r="O1641" s="8">
        <v>1349</v>
      </c>
      <c r="P1641" s="8" t="s">
        <v>9001</v>
      </c>
      <c r="Q1641" s="8" t="s">
        <v>4262</v>
      </c>
      <c r="R1641" s="8">
        <v>0.121</v>
      </c>
      <c r="S1641" s="8">
        <v>53555315</v>
      </c>
      <c r="T1641" s="8" t="s">
        <v>46</v>
      </c>
      <c r="U1641" s="8" t="s">
        <v>25</v>
      </c>
    </row>
    <row r="1642" spans="1:21">
      <c r="A1642" s="8" t="s">
        <v>8531</v>
      </c>
      <c r="B1642" s="8" t="s">
        <v>9003</v>
      </c>
      <c r="C1642" s="8">
        <v>79776</v>
      </c>
      <c r="D1642" s="8" t="s">
        <v>279</v>
      </c>
      <c r="E1642" s="8">
        <v>77766749</v>
      </c>
      <c r="F1642" s="8">
        <v>77766749</v>
      </c>
      <c r="G1642" s="8" t="s">
        <v>24</v>
      </c>
      <c r="H1642" s="8" t="s">
        <v>41</v>
      </c>
      <c r="I1642" s="8" t="s">
        <v>23</v>
      </c>
      <c r="J1642" s="8" t="s">
        <v>9004</v>
      </c>
      <c r="K1642" s="8" t="s">
        <v>9007</v>
      </c>
      <c r="L1642" s="8" t="s">
        <v>19</v>
      </c>
      <c r="M1642" s="8">
        <v>7979</v>
      </c>
      <c r="N1642" s="8" t="s">
        <v>1368</v>
      </c>
      <c r="O1642" s="8">
        <v>2531</v>
      </c>
      <c r="P1642" s="8" t="s">
        <v>9005</v>
      </c>
      <c r="Q1642" s="8" t="s">
        <v>9006</v>
      </c>
      <c r="R1642" s="8">
        <v>0.192</v>
      </c>
      <c r="S1642" s="8">
        <v>77766749</v>
      </c>
      <c r="T1642" s="8" t="s">
        <v>24</v>
      </c>
      <c r="U1642" s="8" t="s">
        <v>41</v>
      </c>
    </row>
    <row r="1643" spans="1:21">
      <c r="A1643" s="8" t="s">
        <v>8531</v>
      </c>
      <c r="B1643" s="8" t="s">
        <v>3325</v>
      </c>
      <c r="C1643" s="8">
        <v>85481</v>
      </c>
      <c r="D1643" s="8" t="s">
        <v>279</v>
      </c>
      <c r="E1643" s="8">
        <v>87076735</v>
      </c>
      <c r="F1643" s="8">
        <v>87076735</v>
      </c>
      <c r="G1643" s="8" t="s">
        <v>24</v>
      </c>
      <c r="H1643" s="8" t="s">
        <v>25</v>
      </c>
      <c r="I1643" s="8" t="s">
        <v>23</v>
      </c>
      <c r="J1643" s="8" t="s">
        <v>3326</v>
      </c>
      <c r="K1643" s="8" t="s">
        <v>9009</v>
      </c>
      <c r="L1643" s="8" t="s">
        <v>19</v>
      </c>
      <c r="M1643" s="8">
        <v>311</v>
      </c>
      <c r="N1643" s="8" t="s">
        <v>230</v>
      </c>
      <c r="O1643" s="8">
        <v>104</v>
      </c>
      <c r="P1643" s="8" t="s">
        <v>9008</v>
      </c>
      <c r="Q1643" s="8" t="s">
        <v>4262</v>
      </c>
      <c r="R1643" s="8">
        <v>0.372</v>
      </c>
      <c r="S1643" s="8">
        <v>87076735</v>
      </c>
      <c r="T1643" s="8" t="s">
        <v>24</v>
      </c>
      <c r="U1643" s="8" t="s">
        <v>25</v>
      </c>
    </row>
    <row r="1644" spans="1:21">
      <c r="A1644" s="8" t="s">
        <v>8531</v>
      </c>
      <c r="B1644" s="8" t="s">
        <v>532</v>
      </c>
      <c r="C1644" s="8">
        <v>114788</v>
      </c>
      <c r="D1644" s="8" t="s">
        <v>279</v>
      </c>
      <c r="E1644" s="8">
        <v>113395820</v>
      </c>
      <c r="F1644" s="8">
        <v>113395820</v>
      </c>
      <c r="G1644" s="8" t="s">
        <v>46</v>
      </c>
      <c r="H1644" s="8" t="s">
        <v>41</v>
      </c>
      <c r="I1644" s="8" t="s">
        <v>23</v>
      </c>
      <c r="J1644" s="8" t="s">
        <v>5627</v>
      </c>
      <c r="K1644" s="8" t="s">
        <v>5629</v>
      </c>
      <c r="L1644" s="8" t="s">
        <v>19</v>
      </c>
      <c r="M1644" s="8">
        <v>6166</v>
      </c>
      <c r="N1644" s="8" t="s">
        <v>768</v>
      </c>
      <c r="O1644" s="8">
        <v>2003</v>
      </c>
      <c r="P1644" s="8" t="s">
        <v>9010</v>
      </c>
      <c r="Q1644" s="8" t="s">
        <v>4262</v>
      </c>
      <c r="R1644" s="8">
        <v>8.6999999999999994E-2</v>
      </c>
      <c r="S1644" s="8">
        <v>113395820</v>
      </c>
      <c r="T1644" s="8" t="s">
        <v>46</v>
      </c>
      <c r="U1644" s="8" t="s">
        <v>41</v>
      </c>
    </row>
    <row r="1645" spans="1:21">
      <c r="A1645" s="8" t="s">
        <v>8531</v>
      </c>
      <c r="B1645" s="8" t="s">
        <v>9011</v>
      </c>
      <c r="C1645" s="8">
        <v>7227</v>
      </c>
      <c r="D1645" s="8" t="s">
        <v>279</v>
      </c>
      <c r="E1645" s="8">
        <v>116599373</v>
      </c>
      <c r="F1645" s="8">
        <v>116599373</v>
      </c>
      <c r="G1645" s="8" t="s">
        <v>24</v>
      </c>
      <c r="H1645" s="8" t="s">
        <v>41</v>
      </c>
      <c r="I1645" s="8" t="s">
        <v>23</v>
      </c>
      <c r="J1645" s="8" t="s">
        <v>9012</v>
      </c>
      <c r="K1645" s="8" t="s">
        <v>9014</v>
      </c>
      <c r="L1645" s="8" t="s">
        <v>19</v>
      </c>
      <c r="M1645" s="8">
        <v>3133</v>
      </c>
      <c r="N1645" s="8" t="s">
        <v>629</v>
      </c>
      <c r="O1645" s="8">
        <v>852</v>
      </c>
      <c r="P1645" s="8" t="s">
        <v>9013</v>
      </c>
      <c r="Q1645" s="8" t="s">
        <v>4262</v>
      </c>
      <c r="R1645" s="8">
        <v>0.16400000000000001</v>
      </c>
      <c r="S1645" s="8">
        <v>116599373</v>
      </c>
      <c r="T1645" s="8" t="s">
        <v>24</v>
      </c>
      <c r="U1645" s="8" t="s">
        <v>41</v>
      </c>
    </row>
    <row r="1646" spans="1:21">
      <c r="A1646" s="8" t="s">
        <v>8531</v>
      </c>
      <c r="B1646" s="8" t="s">
        <v>3320</v>
      </c>
      <c r="C1646" s="8">
        <v>7373</v>
      </c>
      <c r="D1646" s="8" t="s">
        <v>279</v>
      </c>
      <c r="E1646" s="8">
        <v>121379436</v>
      </c>
      <c r="F1646" s="8">
        <v>121379436</v>
      </c>
      <c r="G1646" s="8" t="s">
        <v>24</v>
      </c>
      <c r="H1646" s="8" t="s">
        <v>41</v>
      </c>
      <c r="I1646" s="8" t="s">
        <v>23</v>
      </c>
      <c r="J1646" s="8" t="s">
        <v>3321</v>
      </c>
      <c r="K1646" s="8" t="s">
        <v>9016</v>
      </c>
      <c r="L1646" s="8" t="s">
        <v>76</v>
      </c>
      <c r="M1646" s="8">
        <v>5369</v>
      </c>
      <c r="N1646" s="8" t="s">
        <v>1244</v>
      </c>
      <c r="O1646" s="8">
        <v>1702</v>
      </c>
      <c r="P1646" s="8" t="s">
        <v>9015</v>
      </c>
      <c r="Q1646" s="8" t="s">
        <v>4262</v>
      </c>
      <c r="R1646" s="8">
        <v>0.33300000000000002</v>
      </c>
      <c r="S1646" s="8">
        <v>121379436</v>
      </c>
      <c r="T1646" s="8" t="s">
        <v>24</v>
      </c>
      <c r="U1646" s="8" t="s">
        <v>41</v>
      </c>
    </row>
    <row r="1647" spans="1:21">
      <c r="A1647" s="8" t="s">
        <v>8531</v>
      </c>
      <c r="B1647" s="8" t="s">
        <v>9017</v>
      </c>
      <c r="C1647" s="8">
        <v>27085</v>
      </c>
      <c r="D1647" s="8" t="s">
        <v>279</v>
      </c>
      <c r="E1647" s="8">
        <v>121457804</v>
      </c>
      <c r="F1647" s="8">
        <v>121457804</v>
      </c>
      <c r="G1647" s="8" t="s">
        <v>24</v>
      </c>
      <c r="H1647" s="8" t="s">
        <v>25</v>
      </c>
      <c r="I1647" s="8" t="s">
        <v>23</v>
      </c>
      <c r="J1647" s="8" t="s">
        <v>9018</v>
      </c>
      <c r="K1647" s="8" t="s">
        <v>9020</v>
      </c>
      <c r="L1647" s="8" t="s">
        <v>19</v>
      </c>
      <c r="M1647" s="8">
        <v>139</v>
      </c>
      <c r="N1647" s="8" t="s">
        <v>878</v>
      </c>
      <c r="O1647" s="8">
        <v>32</v>
      </c>
      <c r="P1647" s="8" t="s">
        <v>9019</v>
      </c>
      <c r="Q1647" s="8" t="s">
        <v>4262</v>
      </c>
      <c r="R1647" s="8">
        <v>8.5000000000000006E-2</v>
      </c>
      <c r="S1647" s="8">
        <v>121457804</v>
      </c>
      <c r="T1647" s="8" t="s">
        <v>24</v>
      </c>
      <c r="U1647" s="8" t="s">
        <v>25</v>
      </c>
    </row>
    <row r="1648" spans="1:21">
      <c r="A1648" s="8" t="s">
        <v>8531</v>
      </c>
      <c r="B1648" s="8" t="s">
        <v>2780</v>
      </c>
      <c r="C1648" s="8">
        <v>7038</v>
      </c>
      <c r="D1648" s="8" t="s">
        <v>279</v>
      </c>
      <c r="E1648" s="8">
        <v>133978879</v>
      </c>
      <c r="F1648" s="8">
        <v>133978879</v>
      </c>
      <c r="G1648" s="8" t="s">
        <v>46</v>
      </c>
      <c r="H1648" s="8" t="s">
        <v>41</v>
      </c>
      <c r="I1648" s="8" t="s">
        <v>23</v>
      </c>
      <c r="J1648" s="8" t="s">
        <v>2781</v>
      </c>
      <c r="K1648" s="8" t="s">
        <v>9022</v>
      </c>
      <c r="L1648" s="8" t="s">
        <v>76</v>
      </c>
      <c r="M1648" s="8">
        <v>5664</v>
      </c>
      <c r="N1648" s="8" t="s">
        <v>371</v>
      </c>
      <c r="O1648" s="8">
        <v>1875</v>
      </c>
      <c r="P1648" s="8" t="s">
        <v>9021</v>
      </c>
      <c r="Q1648" s="8" t="s">
        <v>4262</v>
      </c>
      <c r="R1648" s="8">
        <v>0.115</v>
      </c>
      <c r="S1648" s="8">
        <v>133978879</v>
      </c>
      <c r="T1648" s="8" t="s">
        <v>46</v>
      </c>
      <c r="U1648" s="8" t="s">
        <v>41</v>
      </c>
    </row>
    <row r="1649" spans="1:21">
      <c r="A1649" s="8" t="s">
        <v>8531</v>
      </c>
      <c r="B1649" s="8" t="s">
        <v>3322</v>
      </c>
      <c r="C1649" s="8">
        <v>2936</v>
      </c>
      <c r="D1649" s="8" t="s">
        <v>279</v>
      </c>
      <c r="E1649" s="8">
        <v>30560648</v>
      </c>
      <c r="F1649" s="8">
        <v>30560648</v>
      </c>
      <c r="G1649" s="8" t="s">
        <v>46</v>
      </c>
      <c r="H1649" s="8" t="s">
        <v>25</v>
      </c>
      <c r="I1649" s="8" t="s">
        <v>23</v>
      </c>
      <c r="J1649" s="8" t="s">
        <v>9023</v>
      </c>
      <c r="K1649" s="8" t="s">
        <v>9025</v>
      </c>
      <c r="L1649" s="8" t="s">
        <v>19</v>
      </c>
      <c r="M1649" s="8">
        <v>736</v>
      </c>
      <c r="N1649" s="8" t="s">
        <v>1555</v>
      </c>
      <c r="O1649" s="8">
        <v>201</v>
      </c>
      <c r="P1649" s="8" t="s">
        <v>9024</v>
      </c>
      <c r="Q1649" s="8" t="s">
        <v>4262</v>
      </c>
      <c r="R1649" s="8">
        <v>0.28999999999999998</v>
      </c>
      <c r="S1649" s="8">
        <v>30560648</v>
      </c>
      <c r="T1649" s="8" t="s">
        <v>46</v>
      </c>
      <c r="U1649" s="8" t="s">
        <v>25</v>
      </c>
    </row>
    <row r="1650" spans="1:21">
      <c r="A1650" s="8" t="s">
        <v>8531</v>
      </c>
      <c r="B1650" s="8" t="s">
        <v>1755</v>
      </c>
      <c r="C1650" s="8">
        <v>340441</v>
      </c>
      <c r="D1650" s="8" t="s">
        <v>279</v>
      </c>
      <c r="E1650" s="8">
        <v>43155691</v>
      </c>
      <c r="F1650" s="8">
        <v>43155691</v>
      </c>
      <c r="G1650" s="8" t="s">
        <v>46</v>
      </c>
      <c r="H1650" s="8" t="s">
        <v>25</v>
      </c>
      <c r="I1650" s="8" t="s">
        <v>23</v>
      </c>
      <c r="J1650" s="8" t="s">
        <v>9026</v>
      </c>
      <c r="K1650" s="8" t="s">
        <v>9028</v>
      </c>
      <c r="L1650" s="8" t="s">
        <v>19</v>
      </c>
      <c r="M1650" s="8">
        <v>662</v>
      </c>
      <c r="N1650" s="8" t="s">
        <v>2999</v>
      </c>
      <c r="O1650" s="8">
        <v>207</v>
      </c>
      <c r="P1650" s="8" t="s">
        <v>9027</v>
      </c>
      <c r="Q1650" s="8" t="s">
        <v>4262</v>
      </c>
      <c r="R1650" s="8">
        <v>8.1000000000000003E-2</v>
      </c>
      <c r="S1650" s="8">
        <v>43155691</v>
      </c>
      <c r="T1650" s="8" t="s">
        <v>46</v>
      </c>
      <c r="U1650" s="8" t="s">
        <v>25</v>
      </c>
    </row>
    <row r="1651" spans="1:21">
      <c r="A1651" s="8" t="s">
        <v>8531</v>
      </c>
      <c r="B1651" s="8" t="s">
        <v>9029</v>
      </c>
      <c r="C1651" s="8">
        <v>3190</v>
      </c>
      <c r="D1651" s="8" t="s">
        <v>292</v>
      </c>
      <c r="E1651" s="8">
        <v>86585212</v>
      </c>
      <c r="F1651" s="8">
        <v>86585212</v>
      </c>
      <c r="G1651" s="8" t="s">
        <v>46</v>
      </c>
      <c r="H1651" s="8" t="s">
        <v>25</v>
      </c>
      <c r="I1651" s="8" t="s">
        <v>23</v>
      </c>
      <c r="J1651" s="8" t="s">
        <v>9030</v>
      </c>
      <c r="K1651" s="8" t="s">
        <v>9032</v>
      </c>
      <c r="L1651" s="8" t="s">
        <v>19</v>
      </c>
      <c r="M1651" s="8">
        <v>1450</v>
      </c>
      <c r="N1651" s="8" t="s">
        <v>196</v>
      </c>
      <c r="O1651" s="8">
        <v>409</v>
      </c>
      <c r="P1651" s="8" t="s">
        <v>9031</v>
      </c>
      <c r="Q1651" s="8" t="s">
        <v>4262</v>
      </c>
      <c r="R1651" s="8">
        <v>0.113</v>
      </c>
      <c r="S1651" s="8">
        <v>86585212</v>
      </c>
      <c r="T1651" s="8" t="s">
        <v>46</v>
      </c>
      <c r="U1651" s="8" t="s">
        <v>25</v>
      </c>
    </row>
    <row r="1652" spans="1:21">
      <c r="A1652" s="8" t="s">
        <v>8531</v>
      </c>
      <c r="B1652" s="8" t="s">
        <v>3330</v>
      </c>
      <c r="C1652" s="8">
        <v>286234</v>
      </c>
      <c r="D1652" s="8" t="s">
        <v>292</v>
      </c>
      <c r="E1652" s="8">
        <v>90502321</v>
      </c>
      <c r="F1652" s="8">
        <v>90502321</v>
      </c>
      <c r="G1652" s="8" t="s">
        <v>46</v>
      </c>
      <c r="H1652" s="8" t="s">
        <v>25</v>
      </c>
      <c r="I1652" s="8" t="s">
        <v>23</v>
      </c>
      <c r="J1652" s="8" t="s">
        <v>3331</v>
      </c>
      <c r="K1652" s="8" t="s">
        <v>5339</v>
      </c>
      <c r="L1652" s="8" t="s">
        <v>19</v>
      </c>
      <c r="M1652" s="8">
        <v>2954</v>
      </c>
      <c r="N1652" s="8" t="s">
        <v>316</v>
      </c>
      <c r="O1652" s="8">
        <v>973</v>
      </c>
      <c r="P1652" s="8" t="s">
        <v>9033</v>
      </c>
      <c r="Q1652" s="8" t="s">
        <v>4262</v>
      </c>
      <c r="R1652" s="8">
        <v>0.33300000000000002</v>
      </c>
      <c r="S1652" s="8">
        <v>90502321</v>
      </c>
      <c r="T1652" s="8" t="s">
        <v>46</v>
      </c>
      <c r="U1652" s="8" t="s">
        <v>25</v>
      </c>
    </row>
    <row r="1653" spans="1:21">
      <c r="A1653" s="8" t="s">
        <v>8531</v>
      </c>
      <c r="B1653" s="8" t="s">
        <v>9034</v>
      </c>
      <c r="C1653" s="8">
        <v>65268</v>
      </c>
      <c r="D1653" s="8" t="s">
        <v>292</v>
      </c>
      <c r="E1653" s="8">
        <v>95993346</v>
      </c>
      <c r="F1653" s="8">
        <v>95993346</v>
      </c>
      <c r="G1653" s="8" t="s">
        <v>24</v>
      </c>
      <c r="H1653" s="8" t="s">
        <v>41</v>
      </c>
      <c r="I1653" s="8" t="s">
        <v>23</v>
      </c>
      <c r="J1653" s="8" t="s">
        <v>9035</v>
      </c>
      <c r="K1653" s="8" t="s">
        <v>9037</v>
      </c>
      <c r="L1653" s="8" t="s">
        <v>19</v>
      </c>
      <c r="M1653" s="8">
        <v>1031</v>
      </c>
      <c r="N1653" s="8" t="s">
        <v>710</v>
      </c>
      <c r="O1653" s="8">
        <v>344</v>
      </c>
      <c r="P1653" s="8" t="s">
        <v>9036</v>
      </c>
      <c r="Q1653" s="8" t="s">
        <v>4262</v>
      </c>
      <c r="R1653" s="8">
        <v>0.158</v>
      </c>
      <c r="S1653" s="8">
        <v>95993346</v>
      </c>
      <c r="T1653" s="8" t="s">
        <v>24</v>
      </c>
      <c r="U1653" s="8" t="s">
        <v>41</v>
      </c>
    </row>
    <row r="1654" spans="1:21">
      <c r="A1654" s="8" t="s">
        <v>8531</v>
      </c>
      <c r="B1654" s="8" t="s">
        <v>9038</v>
      </c>
      <c r="C1654" s="8">
        <v>79987</v>
      </c>
      <c r="D1654" s="8" t="s">
        <v>292</v>
      </c>
      <c r="E1654" s="8">
        <v>113170901</v>
      </c>
      <c r="F1654" s="8">
        <v>113170901</v>
      </c>
      <c r="G1654" s="8" t="s">
        <v>24</v>
      </c>
      <c r="H1654" s="8" t="s">
        <v>41</v>
      </c>
      <c r="I1654" s="8" t="s">
        <v>23</v>
      </c>
      <c r="J1654" s="8" t="s">
        <v>9039</v>
      </c>
      <c r="K1654" s="8" t="s">
        <v>9041</v>
      </c>
      <c r="L1654" s="8" t="s">
        <v>19</v>
      </c>
      <c r="M1654" s="8">
        <v>7316</v>
      </c>
      <c r="N1654" s="8" t="s">
        <v>3150</v>
      </c>
      <c r="O1654" s="8">
        <v>2327</v>
      </c>
      <c r="P1654" s="8" t="s">
        <v>9040</v>
      </c>
      <c r="Q1654" s="8" t="s">
        <v>4262</v>
      </c>
      <c r="R1654" s="8">
        <v>0.20699999999999999</v>
      </c>
      <c r="S1654" s="8">
        <v>113170901</v>
      </c>
      <c r="T1654" s="8" t="s">
        <v>24</v>
      </c>
      <c r="U1654" s="8" t="s">
        <v>41</v>
      </c>
    </row>
    <row r="1655" spans="1:21">
      <c r="A1655" s="8" t="s">
        <v>8531</v>
      </c>
      <c r="B1655" s="8" t="s">
        <v>9042</v>
      </c>
      <c r="C1655" s="8">
        <v>23452</v>
      </c>
      <c r="D1655" s="8" t="s">
        <v>292</v>
      </c>
      <c r="E1655" s="8">
        <v>129870677</v>
      </c>
      <c r="F1655" s="8">
        <v>129870677</v>
      </c>
      <c r="G1655" s="8" t="s">
        <v>46</v>
      </c>
      <c r="H1655" s="8" t="s">
        <v>41</v>
      </c>
      <c r="I1655" s="8" t="s">
        <v>23</v>
      </c>
      <c r="J1655" s="8" t="s">
        <v>9043</v>
      </c>
      <c r="K1655" s="8" t="s">
        <v>9045</v>
      </c>
      <c r="L1655" s="8" t="s">
        <v>19</v>
      </c>
      <c r="M1655" s="8">
        <v>834</v>
      </c>
      <c r="N1655" s="8" t="s">
        <v>171</v>
      </c>
      <c r="O1655" s="8">
        <v>112</v>
      </c>
      <c r="P1655" s="8" t="s">
        <v>9044</v>
      </c>
      <c r="Q1655" s="8" t="s">
        <v>4262</v>
      </c>
      <c r="R1655" s="8">
        <v>0.222</v>
      </c>
      <c r="S1655" s="8">
        <v>129870677</v>
      </c>
      <c r="T1655" s="8" t="s">
        <v>46</v>
      </c>
      <c r="U1655" s="8" t="s">
        <v>41</v>
      </c>
    </row>
    <row r="1656" spans="1:21">
      <c r="A1656" s="8" t="s">
        <v>8531</v>
      </c>
      <c r="B1656" s="8" t="s">
        <v>3327</v>
      </c>
      <c r="C1656" s="8">
        <v>6709</v>
      </c>
      <c r="D1656" s="8" t="s">
        <v>292</v>
      </c>
      <c r="E1656" s="8">
        <v>131343253</v>
      </c>
      <c r="F1656" s="8">
        <v>131343253</v>
      </c>
      <c r="G1656" s="8" t="s">
        <v>24</v>
      </c>
      <c r="H1656" s="8" t="s">
        <v>41</v>
      </c>
      <c r="I1656" s="8" t="s">
        <v>23</v>
      </c>
      <c r="J1656" s="8" t="s">
        <v>9046</v>
      </c>
      <c r="K1656" s="8" t="s">
        <v>9048</v>
      </c>
      <c r="L1656" s="8" t="s">
        <v>19</v>
      </c>
      <c r="M1656" s="8">
        <v>1518</v>
      </c>
      <c r="N1656" s="8" t="s">
        <v>1288</v>
      </c>
      <c r="O1656" s="8">
        <v>459</v>
      </c>
      <c r="P1656" s="8" t="s">
        <v>9047</v>
      </c>
      <c r="Q1656" s="8" t="s">
        <v>4262</v>
      </c>
      <c r="R1656" s="8">
        <v>0.35099999999999998</v>
      </c>
      <c r="S1656" s="8">
        <v>131343253</v>
      </c>
      <c r="T1656" s="8" t="s">
        <v>24</v>
      </c>
      <c r="U1656" s="8" t="s">
        <v>41</v>
      </c>
    </row>
    <row r="1657" spans="1:21">
      <c r="A1657" s="8" t="s">
        <v>8531</v>
      </c>
      <c r="B1657" s="8" t="s">
        <v>9049</v>
      </c>
      <c r="C1657" s="8">
        <v>23404</v>
      </c>
      <c r="D1657" s="8" t="s">
        <v>292</v>
      </c>
      <c r="E1657" s="8">
        <v>133569216</v>
      </c>
      <c r="F1657" s="8">
        <v>133569216</v>
      </c>
      <c r="G1657" s="8" t="s">
        <v>46</v>
      </c>
      <c r="H1657" s="8" t="s">
        <v>25</v>
      </c>
      <c r="I1657" s="8" t="s">
        <v>23</v>
      </c>
      <c r="J1657" s="8" t="s">
        <v>9050</v>
      </c>
      <c r="K1657" s="8" t="s">
        <v>9052</v>
      </c>
      <c r="L1657" s="8" t="s">
        <v>19</v>
      </c>
      <c r="M1657" s="8">
        <v>59</v>
      </c>
      <c r="N1657" s="8" t="s">
        <v>622</v>
      </c>
      <c r="O1657" s="8">
        <v>13</v>
      </c>
      <c r="P1657" s="8" t="s">
        <v>9051</v>
      </c>
      <c r="Q1657" s="8" t="s">
        <v>4262</v>
      </c>
      <c r="R1657" s="8">
        <v>0.19400000000000001</v>
      </c>
      <c r="S1657" s="8">
        <v>133569216</v>
      </c>
      <c r="T1657" s="8" t="s">
        <v>46</v>
      </c>
      <c r="U1657" s="8" t="s">
        <v>25</v>
      </c>
    </row>
    <row r="1658" spans="1:21">
      <c r="A1658" s="8" t="s">
        <v>8531</v>
      </c>
      <c r="B1658" s="8" t="s">
        <v>965</v>
      </c>
      <c r="C1658" s="8">
        <v>158326</v>
      </c>
      <c r="D1658" s="8" t="s">
        <v>292</v>
      </c>
      <c r="E1658" s="8">
        <v>14801769</v>
      </c>
      <c r="F1658" s="8">
        <v>14801769</v>
      </c>
      <c r="G1658" s="8" t="s">
        <v>46</v>
      </c>
      <c r="H1658" s="8" t="s">
        <v>25</v>
      </c>
      <c r="I1658" s="8" t="s">
        <v>23</v>
      </c>
      <c r="J1658" s="8" t="s">
        <v>966</v>
      </c>
      <c r="K1658" s="8" t="s">
        <v>9055</v>
      </c>
      <c r="L1658" s="8" t="s">
        <v>19</v>
      </c>
      <c r="M1658" s="8">
        <v>4391</v>
      </c>
      <c r="N1658" s="8" t="s">
        <v>1288</v>
      </c>
      <c r="O1658" s="8">
        <v>1192</v>
      </c>
      <c r="P1658" s="8" t="s">
        <v>9053</v>
      </c>
      <c r="Q1658" s="8" t="s">
        <v>9054</v>
      </c>
      <c r="R1658" s="8">
        <v>0.38700000000000001</v>
      </c>
      <c r="S1658" s="8">
        <v>14801769</v>
      </c>
      <c r="T1658" s="8" t="s">
        <v>46</v>
      </c>
      <c r="U1658" s="8" t="s">
        <v>25</v>
      </c>
    </row>
    <row r="1659" spans="1:21">
      <c r="A1659" s="8" t="s">
        <v>8531</v>
      </c>
      <c r="B1659" s="8" t="s">
        <v>9056</v>
      </c>
      <c r="C1659" s="8">
        <v>392307</v>
      </c>
      <c r="D1659" s="8" t="s">
        <v>292</v>
      </c>
      <c r="E1659" s="8">
        <v>35825236</v>
      </c>
      <c r="F1659" s="8">
        <v>35825236</v>
      </c>
      <c r="G1659" s="8" t="s">
        <v>41</v>
      </c>
      <c r="H1659" s="8" t="s">
        <v>25</v>
      </c>
      <c r="I1659" s="8" t="s">
        <v>23</v>
      </c>
      <c r="J1659" s="8" t="s">
        <v>9057</v>
      </c>
      <c r="K1659" s="8" t="s">
        <v>9059</v>
      </c>
      <c r="L1659" s="8" t="s">
        <v>19</v>
      </c>
      <c r="M1659" s="8">
        <v>1018</v>
      </c>
      <c r="N1659" s="8" t="s">
        <v>1607</v>
      </c>
      <c r="O1659" s="8">
        <v>245</v>
      </c>
      <c r="P1659" s="8" t="s">
        <v>9058</v>
      </c>
      <c r="Q1659" s="8" t="s">
        <v>4262</v>
      </c>
      <c r="R1659" s="8">
        <v>0.26100000000000001</v>
      </c>
      <c r="S1659" s="8">
        <v>35825236</v>
      </c>
      <c r="T1659" s="8" t="s">
        <v>41</v>
      </c>
      <c r="U1659" s="8" t="s">
        <v>25</v>
      </c>
    </row>
    <row r="1660" spans="1:21">
      <c r="A1660" s="8" t="s">
        <v>8531</v>
      </c>
      <c r="B1660" s="8" t="s">
        <v>9060</v>
      </c>
      <c r="C1660" s="8">
        <v>170370</v>
      </c>
      <c r="D1660" s="8" t="s">
        <v>69</v>
      </c>
      <c r="E1660" s="8">
        <v>50340022</v>
      </c>
      <c r="F1660" s="8">
        <v>50340022</v>
      </c>
      <c r="G1660" s="8" t="s">
        <v>46</v>
      </c>
      <c r="H1660" s="8" t="s">
        <v>24</v>
      </c>
      <c r="I1660" s="8" t="s">
        <v>23</v>
      </c>
      <c r="J1660" s="8" t="s">
        <v>9061</v>
      </c>
      <c r="K1660" s="8" t="s">
        <v>9063</v>
      </c>
      <c r="L1660" s="8" t="s">
        <v>19</v>
      </c>
      <c r="M1660" s="8">
        <v>590</v>
      </c>
      <c r="N1660" s="8" t="s">
        <v>3506</v>
      </c>
      <c r="O1660" s="8">
        <v>163</v>
      </c>
      <c r="P1660" s="8" t="s">
        <v>9062</v>
      </c>
      <c r="Q1660" s="8" t="s">
        <v>4262</v>
      </c>
      <c r="R1660" s="8">
        <v>0.23799999999999999</v>
      </c>
      <c r="S1660" s="8">
        <v>50340022</v>
      </c>
      <c r="T1660" s="8" t="s">
        <v>46</v>
      </c>
      <c r="U1660" s="8" t="s">
        <v>24</v>
      </c>
    </row>
    <row r="1661" spans="1:21">
      <c r="A1661" s="8" t="s">
        <v>8531</v>
      </c>
      <c r="B1661" s="8" t="s">
        <v>9064</v>
      </c>
      <c r="C1661" s="8">
        <v>1959</v>
      </c>
      <c r="D1661" s="8" t="s">
        <v>69</v>
      </c>
      <c r="E1661" s="8">
        <v>64573002</v>
      </c>
      <c r="F1661" s="8">
        <v>64573002</v>
      </c>
      <c r="G1661" s="8" t="s">
        <v>24</v>
      </c>
      <c r="H1661" s="8" t="s">
        <v>25</v>
      </c>
      <c r="I1661" s="8" t="s">
        <v>23</v>
      </c>
      <c r="J1661" s="8" t="s">
        <v>9065</v>
      </c>
      <c r="K1661" s="8" t="s">
        <v>9067</v>
      </c>
      <c r="L1661" s="8" t="s">
        <v>19</v>
      </c>
      <c r="M1661" s="8">
        <v>1733</v>
      </c>
      <c r="N1661" s="8" t="s">
        <v>58</v>
      </c>
      <c r="O1661" s="8">
        <v>466</v>
      </c>
      <c r="P1661" s="8" t="s">
        <v>9066</v>
      </c>
      <c r="Q1661" s="8" t="s">
        <v>4262</v>
      </c>
      <c r="R1661" s="8">
        <v>0.22500000000000001</v>
      </c>
      <c r="S1661" s="8">
        <v>64573002</v>
      </c>
      <c r="T1661" s="8" t="s">
        <v>24</v>
      </c>
      <c r="U1661" s="8" t="s">
        <v>25</v>
      </c>
    </row>
    <row r="1662" spans="1:21">
      <c r="A1662" s="8" t="s">
        <v>8531</v>
      </c>
      <c r="B1662" s="8" t="s">
        <v>9068</v>
      </c>
      <c r="C1662" s="8">
        <v>9469</v>
      </c>
      <c r="D1662" s="8" t="s">
        <v>69</v>
      </c>
      <c r="E1662" s="8">
        <v>73765622</v>
      </c>
      <c r="F1662" s="8">
        <v>73765622</v>
      </c>
      <c r="G1662" s="8" t="s">
        <v>46</v>
      </c>
      <c r="H1662" s="8" t="s">
        <v>25</v>
      </c>
      <c r="I1662" s="8" t="s">
        <v>23</v>
      </c>
      <c r="J1662" s="8" t="s">
        <v>9069</v>
      </c>
      <c r="K1662" s="8" t="s">
        <v>9071</v>
      </c>
      <c r="L1662" s="8" t="s">
        <v>19</v>
      </c>
      <c r="M1662" s="8">
        <v>462</v>
      </c>
      <c r="N1662" s="8" t="s">
        <v>3150</v>
      </c>
      <c r="O1662" s="8">
        <v>8</v>
      </c>
      <c r="P1662" s="8" t="s">
        <v>9070</v>
      </c>
      <c r="Q1662" s="8" t="s">
        <v>4262</v>
      </c>
      <c r="R1662" s="8">
        <v>0.13500000000000001</v>
      </c>
      <c r="S1662" s="8">
        <v>73765622</v>
      </c>
      <c r="T1662" s="8" t="s">
        <v>46</v>
      </c>
      <c r="U1662" s="8" t="s">
        <v>25</v>
      </c>
    </row>
    <row r="1663" spans="1:21">
      <c r="A1663" s="8" t="s">
        <v>8531</v>
      </c>
      <c r="B1663" s="8" t="s">
        <v>9072</v>
      </c>
      <c r="C1663" s="8">
        <v>23522</v>
      </c>
      <c r="D1663" s="8" t="s">
        <v>69</v>
      </c>
      <c r="E1663" s="8">
        <v>76790545</v>
      </c>
      <c r="F1663" s="8">
        <v>76790545</v>
      </c>
      <c r="G1663" s="8" t="s">
        <v>46</v>
      </c>
      <c r="H1663" s="8" t="s">
        <v>25</v>
      </c>
      <c r="I1663" s="8" t="s">
        <v>23</v>
      </c>
      <c r="J1663" s="8" t="s">
        <v>9073</v>
      </c>
      <c r="K1663" s="8" t="s">
        <v>9075</v>
      </c>
      <c r="L1663" s="8" t="s">
        <v>19</v>
      </c>
      <c r="M1663" s="8">
        <v>6456</v>
      </c>
      <c r="N1663" s="8" t="s">
        <v>2541</v>
      </c>
      <c r="O1663" s="8">
        <v>1988</v>
      </c>
      <c r="P1663" s="8" t="s">
        <v>9074</v>
      </c>
      <c r="Q1663" s="8" t="s">
        <v>4262</v>
      </c>
      <c r="R1663" s="8">
        <v>0.19600000000000001</v>
      </c>
      <c r="S1663" s="8">
        <v>76790545</v>
      </c>
      <c r="T1663" s="8" t="s">
        <v>46</v>
      </c>
      <c r="U1663" s="8" t="s">
        <v>25</v>
      </c>
    </row>
    <row r="1664" spans="1:21">
      <c r="A1664" s="8" t="s">
        <v>8531</v>
      </c>
      <c r="B1664" s="8" t="s">
        <v>9076</v>
      </c>
      <c r="C1664" s="8">
        <v>9585</v>
      </c>
      <c r="D1664" s="8" t="s">
        <v>69</v>
      </c>
      <c r="E1664" s="8">
        <v>91497569</v>
      </c>
      <c r="F1664" s="8">
        <v>91497569</v>
      </c>
      <c r="G1664" s="8" t="s">
        <v>24</v>
      </c>
      <c r="H1664" s="8" t="s">
        <v>25</v>
      </c>
      <c r="I1664" s="8" t="s">
        <v>23</v>
      </c>
      <c r="J1664" s="8" t="s">
        <v>9077</v>
      </c>
      <c r="K1664" s="8" t="s">
        <v>9079</v>
      </c>
      <c r="L1664" s="8" t="s">
        <v>19</v>
      </c>
      <c r="M1664" s="8">
        <v>2923</v>
      </c>
      <c r="N1664" s="8" t="s">
        <v>758</v>
      </c>
      <c r="O1664" s="8">
        <v>951</v>
      </c>
      <c r="P1664" s="8" t="s">
        <v>9078</v>
      </c>
      <c r="Q1664" s="8" t="s">
        <v>4262</v>
      </c>
      <c r="R1664" s="8">
        <v>8.1000000000000003E-2</v>
      </c>
      <c r="S1664" s="8">
        <v>91497569</v>
      </c>
      <c r="T1664" s="8" t="s">
        <v>24</v>
      </c>
      <c r="U1664" s="8" t="s">
        <v>25</v>
      </c>
    </row>
    <row r="1665" spans="1:21">
      <c r="A1665" s="8" t="s">
        <v>8531</v>
      </c>
      <c r="B1665" s="8" t="s">
        <v>9080</v>
      </c>
      <c r="C1665" s="8">
        <v>340665</v>
      </c>
      <c r="D1665" s="8" t="s">
        <v>69</v>
      </c>
      <c r="E1665" s="8">
        <v>94824147</v>
      </c>
      <c r="F1665" s="8">
        <v>94824147</v>
      </c>
      <c r="G1665" s="8" t="s">
        <v>24</v>
      </c>
      <c r="H1665" s="8" t="s">
        <v>41</v>
      </c>
      <c r="I1665" s="8" t="s">
        <v>23</v>
      </c>
      <c r="J1665" s="8" t="s">
        <v>9081</v>
      </c>
      <c r="K1665" s="8" t="s">
        <v>9083</v>
      </c>
      <c r="L1665" s="8" t="s">
        <v>19</v>
      </c>
      <c r="M1665" s="8">
        <v>715</v>
      </c>
      <c r="N1665" s="8" t="s">
        <v>124</v>
      </c>
      <c r="O1665" s="8">
        <v>239</v>
      </c>
      <c r="P1665" s="8" t="s">
        <v>9082</v>
      </c>
      <c r="Q1665" s="8" t="s">
        <v>4262</v>
      </c>
      <c r="R1665" s="8">
        <v>0.182</v>
      </c>
      <c r="S1665" s="8">
        <v>94824147</v>
      </c>
      <c r="T1665" s="8" t="s">
        <v>24</v>
      </c>
      <c r="U1665" s="8" t="s">
        <v>41</v>
      </c>
    </row>
    <row r="1666" spans="1:21">
      <c r="A1666" s="8" t="s">
        <v>8531</v>
      </c>
      <c r="B1666" s="8" t="s">
        <v>9084</v>
      </c>
      <c r="C1666" s="8">
        <v>57678</v>
      </c>
      <c r="D1666" s="8" t="s">
        <v>69</v>
      </c>
      <c r="E1666" s="8">
        <v>113918107</v>
      </c>
      <c r="F1666" s="8">
        <v>113918107</v>
      </c>
      <c r="G1666" s="8" t="s">
        <v>46</v>
      </c>
      <c r="H1666" s="8" t="s">
        <v>25</v>
      </c>
      <c r="I1666" s="8" t="s">
        <v>23</v>
      </c>
      <c r="J1666" s="8" t="s">
        <v>9085</v>
      </c>
      <c r="K1666" s="8" t="s">
        <v>9087</v>
      </c>
      <c r="L1666" s="8" t="s">
        <v>19</v>
      </c>
      <c r="M1666" s="8">
        <v>2145</v>
      </c>
      <c r="N1666" s="8" t="s">
        <v>490</v>
      </c>
      <c r="O1666" s="8">
        <v>649</v>
      </c>
      <c r="P1666" s="8" t="s">
        <v>9086</v>
      </c>
      <c r="Q1666" s="8" t="s">
        <v>4262</v>
      </c>
      <c r="R1666" s="8">
        <v>0.20499999999999999</v>
      </c>
      <c r="S1666" s="8">
        <v>113918107</v>
      </c>
      <c r="T1666" s="8" t="s">
        <v>46</v>
      </c>
      <c r="U1666" s="8" t="s">
        <v>25</v>
      </c>
    </row>
    <row r="1667" spans="1:21">
      <c r="A1667" s="8" t="s">
        <v>8531</v>
      </c>
      <c r="B1667" s="8" t="s">
        <v>9088</v>
      </c>
      <c r="C1667" s="8">
        <v>1793</v>
      </c>
      <c r="D1667" s="8" t="s">
        <v>69</v>
      </c>
      <c r="E1667" s="8">
        <v>128908619</v>
      </c>
      <c r="F1667" s="8">
        <v>128908619</v>
      </c>
      <c r="G1667" s="8" t="s">
        <v>24</v>
      </c>
      <c r="H1667" s="8" t="s">
        <v>25</v>
      </c>
      <c r="I1667" s="8" t="s">
        <v>23</v>
      </c>
      <c r="J1667" s="8" t="s">
        <v>9089</v>
      </c>
      <c r="K1667" s="8" t="s">
        <v>9090</v>
      </c>
      <c r="L1667" s="8" t="s">
        <v>68</v>
      </c>
      <c r="M1667" s="8">
        <v>0</v>
      </c>
      <c r="N1667" s="8" t="s">
        <v>35</v>
      </c>
      <c r="O1667" s="8">
        <v>0</v>
      </c>
      <c r="P1667" s="8" t="s">
        <v>35</v>
      </c>
      <c r="Q1667" s="8" t="s">
        <v>4262</v>
      </c>
      <c r="R1667" s="8">
        <v>0.105</v>
      </c>
      <c r="S1667" s="8">
        <v>128908619</v>
      </c>
      <c r="T1667" s="8" t="s">
        <v>24</v>
      </c>
      <c r="U1667" s="8" t="s">
        <v>25</v>
      </c>
    </row>
    <row r="1668" spans="1:21">
      <c r="A1668" s="8" t="s">
        <v>8531</v>
      </c>
      <c r="B1668" s="8" t="s">
        <v>9091</v>
      </c>
      <c r="C1668" s="8">
        <v>10539</v>
      </c>
      <c r="D1668" s="8" t="s">
        <v>69</v>
      </c>
      <c r="E1668" s="8">
        <v>131943542</v>
      </c>
      <c r="F1668" s="8">
        <v>131943542</v>
      </c>
      <c r="G1668" s="8" t="s">
        <v>24</v>
      </c>
      <c r="H1668" s="8" t="s">
        <v>46</v>
      </c>
      <c r="I1668" s="8" t="s">
        <v>23</v>
      </c>
      <c r="J1668" s="8" t="s">
        <v>9092</v>
      </c>
      <c r="K1668" s="8" t="s">
        <v>9094</v>
      </c>
      <c r="L1668" s="8" t="s">
        <v>19</v>
      </c>
      <c r="M1668" s="8">
        <v>206</v>
      </c>
      <c r="N1668" s="8" t="s">
        <v>8654</v>
      </c>
      <c r="O1668" s="8">
        <v>54</v>
      </c>
      <c r="P1668" s="8" t="s">
        <v>9093</v>
      </c>
      <c r="Q1668" s="8" t="s">
        <v>4262</v>
      </c>
      <c r="R1668" s="8">
        <v>0.14499999999999999</v>
      </c>
      <c r="S1668" s="8">
        <v>131943542</v>
      </c>
      <c r="T1668" s="8" t="s">
        <v>24</v>
      </c>
      <c r="U1668" s="8" t="s">
        <v>46</v>
      </c>
    </row>
    <row r="1669" spans="1:21">
      <c r="A1669" s="8" t="s">
        <v>8531</v>
      </c>
      <c r="B1669" s="8" t="s">
        <v>5676</v>
      </c>
      <c r="C1669" s="8">
        <v>57512</v>
      </c>
      <c r="D1669" s="8" t="s">
        <v>69</v>
      </c>
      <c r="E1669" s="8">
        <v>25684898</v>
      </c>
      <c r="F1669" s="8">
        <v>25684898</v>
      </c>
      <c r="G1669" s="8" t="s">
        <v>46</v>
      </c>
      <c r="H1669" s="8" t="s">
        <v>25</v>
      </c>
      <c r="I1669" s="8" t="s">
        <v>23</v>
      </c>
      <c r="J1669" s="8" t="s">
        <v>5677</v>
      </c>
      <c r="K1669" s="8" t="s">
        <v>5679</v>
      </c>
      <c r="L1669" s="8" t="s">
        <v>19</v>
      </c>
      <c r="M1669" s="8">
        <v>1127</v>
      </c>
      <c r="N1669" s="8" t="s">
        <v>1617</v>
      </c>
      <c r="O1669" s="8">
        <v>356</v>
      </c>
      <c r="P1669" s="8" t="s">
        <v>9095</v>
      </c>
      <c r="Q1669" s="8" t="s">
        <v>9096</v>
      </c>
      <c r="R1669" s="8">
        <v>0.32100000000000001</v>
      </c>
      <c r="S1669" s="8">
        <v>25684898</v>
      </c>
      <c r="T1669" s="8" t="s">
        <v>46</v>
      </c>
      <c r="U1669" s="8" t="s">
        <v>25</v>
      </c>
    </row>
    <row r="1670" spans="1:21">
      <c r="A1670" s="8" t="s">
        <v>8531</v>
      </c>
      <c r="B1670" s="8" t="s">
        <v>9097</v>
      </c>
      <c r="C1670" s="8">
        <v>80314</v>
      </c>
      <c r="D1670" s="8" t="s">
        <v>69</v>
      </c>
      <c r="E1670" s="8">
        <v>32562090</v>
      </c>
      <c r="F1670" s="8">
        <v>32562090</v>
      </c>
      <c r="G1670" s="8" t="s">
        <v>46</v>
      </c>
      <c r="H1670" s="8" t="s">
        <v>25</v>
      </c>
      <c r="I1670" s="8" t="s">
        <v>23</v>
      </c>
      <c r="J1670" s="8" t="s">
        <v>9098</v>
      </c>
      <c r="K1670" s="8" t="s">
        <v>9099</v>
      </c>
      <c r="L1670" s="8" t="s">
        <v>68</v>
      </c>
      <c r="M1670" s="8">
        <v>0</v>
      </c>
      <c r="N1670" s="8" t="s">
        <v>35</v>
      </c>
      <c r="O1670" s="8">
        <v>0</v>
      </c>
      <c r="P1670" s="8" t="s">
        <v>35</v>
      </c>
      <c r="Q1670" s="8" t="s">
        <v>4262</v>
      </c>
      <c r="R1670" s="8">
        <v>0.14699999999999999</v>
      </c>
      <c r="S1670" s="8">
        <v>32562090</v>
      </c>
      <c r="T1670" s="8" t="s">
        <v>46</v>
      </c>
      <c r="U1670" s="8" t="s">
        <v>25</v>
      </c>
    </row>
    <row r="1671" spans="1:21">
      <c r="A1671" s="8" t="s">
        <v>8531</v>
      </c>
      <c r="B1671" s="8" t="s">
        <v>9100</v>
      </c>
      <c r="C1671" s="8">
        <v>221016</v>
      </c>
      <c r="D1671" s="8" t="s">
        <v>69</v>
      </c>
      <c r="E1671" s="8">
        <v>32854513</v>
      </c>
      <c r="F1671" s="8">
        <v>32854513</v>
      </c>
      <c r="G1671" s="8" t="s">
        <v>25</v>
      </c>
      <c r="H1671" s="8" t="s">
        <v>24</v>
      </c>
      <c r="I1671" s="8" t="s">
        <v>23</v>
      </c>
      <c r="J1671" s="8" t="s">
        <v>9101</v>
      </c>
      <c r="K1671" s="8" t="s">
        <v>9103</v>
      </c>
      <c r="L1671" s="8" t="s">
        <v>19</v>
      </c>
      <c r="M1671" s="8">
        <v>1498</v>
      </c>
      <c r="N1671" s="8" t="s">
        <v>3138</v>
      </c>
      <c r="O1671" s="8">
        <v>388</v>
      </c>
      <c r="P1671" s="8" t="s">
        <v>9102</v>
      </c>
      <c r="Q1671" s="8" t="s">
        <v>4262</v>
      </c>
      <c r="R1671" s="8">
        <v>0.182</v>
      </c>
      <c r="S1671" s="8">
        <v>32854513</v>
      </c>
      <c r="T1671" s="8" t="s">
        <v>25</v>
      </c>
      <c r="U1671" s="8" t="s">
        <v>24</v>
      </c>
    </row>
    <row r="1672" spans="1:21">
      <c r="A1672" s="8" t="s">
        <v>8531</v>
      </c>
      <c r="B1672" s="8" t="s">
        <v>9104</v>
      </c>
      <c r="C1672" s="8">
        <v>8829</v>
      </c>
      <c r="D1672" s="8" t="s">
        <v>69</v>
      </c>
      <c r="E1672" s="8">
        <v>33469207</v>
      </c>
      <c r="F1672" s="8">
        <v>33469207</v>
      </c>
      <c r="G1672" s="8" t="s">
        <v>41</v>
      </c>
      <c r="H1672" s="8" t="s">
        <v>46</v>
      </c>
      <c r="I1672" s="8" t="s">
        <v>23</v>
      </c>
      <c r="J1672" s="8" t="s">
        <v>9105</v>
      </c>
      <c r="K1672" s="8" t="s">
        <v>9107</v>
      </c>
      <c r="L1672" s="8" t="s">
        <v>19</v>
      </c>
      <c r="M1672" s="8">
        <v>3092</v>
      </c>
      <c r="N1672" s="8" t="s">
        <v>673</v>
      </c>
      <c r="O1672" s="8">
        <v>857</v>
      </c>
      <c r="P1672" s="8" t="s">
        <v>9106</v>
      </c>
      <c r="Q1672" s="8" t="s">
        <v>4262</v>
      </c>
      <c r="R1672" s="8">
        <v>9.7000000000000003E-2</v>
      </c>
      <c r="S1672" s="8">
        <v>33469207</v>
      </c>
      <c r="T1672" s="8" t="s">
        <v>41</v>
      </c>
      <c r="U1672" s="8" t="s">
        <v>46</v>
      </c>
    </row>
    <row r="1673" spans="1:21">
      <c r="A1673" s="8" t="s">
        <v>8531</v>
      </c>
      <c r="B1673" s="8" t="s">
        <v>9108</v>
      </c>
      <c r="C1673" s="8">
        <v>22982</v>
      </c>
      <c r="D1673" s="8" t="s">
        <v>69</v>
      </c>
      <c r="E1673" s="8">
        <v>428684</v>
      </c>
      <c r="F1673" s="8">
        <v>428684</v>
      </c>
      <c r="G1673" s="8" t="s">
        <v>46</v>
      </c>
      <c r="H1673" s="8" t="s">
        <v>24</v>
      </c>
      <c r="I1673" s="8" t="s">
        <v>23</v>
      </c>
      <c r="J1673" s="8" t="s">
        <v>9109</v>
      </c>
      <c r="K1673" s="8" t="s">
        <v>9111</v>
      </c>
      <c r="L1673" s="8" t="s">
        <v>19</v>
      </c>
      <c r="M1673" s="8">
        <v>1984</v>
      </c>
      <c r="N1673" s="8" t="s">
        <v>1410</v>
      </c>
      <c r="O1673" s="8">
        <v>632</v>
      </c>
      <c r="P1673" s="8" t="s">
        <v>9110</v>
      </c>
      <c r="Q1673" s="8" t="s">
        <v>4262</v>
      </c>
      <c r="R1673" s="8">
        <v>6.2E-2</v>
      </c>
      <c r="S1673" s="8">
        <v>428684</v>
      </c>
      <c r="T1673" s="8" t="s">
        <v>46</v>
      </c>
      <c r="U1673" s="8" t="s">
        <v>24</v>
      </c>
    </row>
    <row r="1674" spans="1:21">
      <c r="A1674" s="8" t="s">
        <v>8531</v>
      </c>
      <c r="B1674" s="8" t="s">
        <v>9112</v>
      </c>
      <c r="C1674" s="8">
        <v>54972</v>
      </c>
      <c r="D1674" s="8" t="s">
        <v>83</v>
      </c>
      <c r="E1674" s="8">
        <v>60699484</v>
      </c>
      <c r="F1674" s="8">
        <v>60699484</v>
      </c>
      <c r="G1674" s="8" t="s">
        <v>41</v>
      </c>
      <c r="H1674" s="8" t="s">
        <v>25</v>
      </c>
      <c r="I1674" s="8" t="s">
        <v>23</v>
      </c>
      <c r="J1674" s="8" t="s">
        <v>9113</v>
      </c>
      <c r="K1674" s="8" t="s">
        <v>9115</v>
      </c>
      <c r="L1674" s="8" t="s">
        <v>19</v>
      </c>
      <c r="M1674" s="8">
        <v>1437</v>
      </c>
      <c r="N1674" s="8" t="s">
        <v>1096</v>
      </c>
      <c r="O1674" s="8">
        <v>415</v>
      </c>
      <c r="P1674" s="8" t="s">
        <v>9114</v>
      </c>
      <c r="Q1674" s="8" t="s">
        <v>4262</v>
      </c>
      <c r="R1674" s="8">
        <v>0.13200000000000001</v>
      </c>
      <c r="S1674" s="8">
        <v>60699484</v>
      </c>
      <c r="T1674" s="8" t="s">
        <v>41</v>
      </c>
      <c r="U1674" s="8" t="s">
        <v>25</v>
      </c>
    </row>
    <row r="1675" spans="1:21">
      <c r="A1675" s="8" t="s">
        <v>8531</v>
      </c>
      <c r="B1675" s="8" t="s">
        <v>2308</v>
      </c>
      <c r="C1675" s="8">
        <v>1642</v>
      </c>
      <c r="D1675" s="8" t="s">
        <v>83</v>
      </c>
      <c r="E1675" s="8">
        <v>61081669</v>
      </c>
      <c r="F1675" s="8">
        <v>61081669</v>
      </c>
      <c r="G1675" s="8" t="s">
        <v>46</v>
      </c>
      <c r="H1675" s="8" t="s">
        <v>25</v>
      </c>
      <c r="I1675" s="8" t="s">
        <v>23</v>
      </c>
      <c r="J1675" s="8" t="s">
        <v>9116</v>
      </c>
      <c r="K1675" s="8" t="s">
        <v>9119</v>
      </c>
      <c r="L1675" s="8" t="s">
        <v>76</v>
      </c>
      <c r="M1675" s="8">
        <v>1829</v>
      </c>
      <c r="N1675" s="8" t="s">
        <v>625</v>
      </c>
      <c r="O1675" s="8">
        <v>535</v>
      </c>
      <c r="P1675" s="8" t="s">
        <v>9117</v>
      </c>
      <c r="Q1675" s="8" t="s">
        <v>9118</v>
      </c>
      <c r="R1675" s="8">
        <v>0.20799999999999999</v>
      </c>
      <c r="S1675" s="8">
        <v>61081669</v>
      </c>
      <c r="T1675" s="8" t="s">
        <v>46</v>
      </c>
      <c r="U1675" s="8" t="s">
        <v>25</v>
      </c>
    </row>
    <row r="1676" spans="1:21">
      <c r="A1676" s="8" t="s">
        <v>8531</v>
      </c>
      <c r="B1676" s="8" t="s">
        <v>9120</v>
      </c>
      <c r="C1676" s="8">
        <v>9158</v>
      </c>
      <c r="D1676" s="8" t="s">
        <v>83</v>
      </c>
      <c r="E1676" s="8">
        <v>65655421</v>
      </c>
      <c r="F1676" s="8">
        <v>65655421</v>
      </c>
      <c r="G1676" s="8" t="s">
        <v>46</v>
      </c>
      <c r="H1676" s="8" t="s">
        <v>25</v>
      </c>
      <c r="I1676" s="8" t="s">
        <v>23</v>
      </c>
      <c r="J1676" s="8" t="s">
        <v>9121</v>
      </c>
      <c r="K1676" s="8" t="s">
        <v>9123</v>
      </c>
      <c r="L1676" s="8" t="s">
        <v>19</v>
      </c>
      <c r="M1676" s="8">
        <v>389</v>
      </c>
      <c r="N1676" s="8" t="s">
        <v>124</v>
      </c>
      <c r="O1676" s="8">
        <v>90</v>
      </c>
      <c r="P1676" s="8" t="s">
        <v>9122</v>
      </c>
      <c r="Q1676" s="8" t="s">
        <v>4262</v>
      </c>
      <c r="R1676" s="8">
        <v>0.46200000000000002</v>
      </c>
      <c r="S1676" s="8">
        <v>65655421</v>
      </c>
      <c r="T1676" s="8" t="s">
        <v>46</v>
      </c>
      <c r="U1676" s="8" t="s">
        <v>25</v>
      </c>
    </row>
    <row r="1677" spans="1:21">
      <c r="A1677" s="8" t="s">
        <v>8531</v>
      </c>
      <c r="B1677" s="8" t="s">
        <v>3234</v>
      </c>
      <c r="C1677" s="8">
        <v>10897</v>
      </c>
      <c r="D1677" s="8" t="s">
        <v>83</v>
      </c>
      <c r="E1677" s="8">
        <v>66052166</v>
      </c>
      <c r="F1677" s="8">
        <v>66052166</v>
      </c>
      <c r="G1677" s="8" t="s">
        <v>46</v>
      </c>
      <c r="H1677" s="8" t="s">
        <v>25</v>
      </c>
      <c r="I1677" s="8" t="s">
        <v>23</v>
      </c>
      <c r="J1677" s="8" t="s">
        <v>3235</v>
      </c>
      <c r="K1677" s="8" t="s">
        <v>9125</v>
      </c>
      <c r="L1677" s="8" t="s">
        <v>19</v>
      </c>
      <c r="M1677" s="8">
        <v>1006</v>
      </c>
      <c r="N1677" s="8" t="s">
        <v>780</v>
      </c>
      <c r="O1677" s="8">
        <v>275</v>
      </c>
      <c r="P1677" s="8" t="s">
        <v>9124</v>
      </c>
      <c r="Q1677" s="8" t="s">
        <v>4262</v>
      </c>
      <c r="R1677" s="8">
        <v>0.34799999999999998</v>
      </c>
      <c r="S1677" s="8">
        <v>66052166</v>
      </c>
      <c r="T1677" s="8" t="s">
        <v>46</v>
      </c>
      <c r="U1677" s="8" t="s">
        <v>25</v>
      </c>
    </row>
    <row r="1678" spans="1:21">
      <c r="A1678" s="8" t="s">
        <v>8531</v>
      </c>
      <c r="B1678" s="8" t="s">
        <v>9126</v>
      </c>
      <c r="C1678" s="8">
        <v>266743</v>
      </c>
      <c r="D1678" s="8" t="s">
        <v>83</v>
      </c>
      <c r="E1678" s="8">
        <v>66192506</v>
      </c>
      <c r="F1678" s="8">
        <v>66192506</v>
      </c>
      <c r="G1678" s="8" t="s">
        <v>24</v>
      </c>
      <c r="H1678" s="8" t="s">
        <v>41</v>
      </c>
      <c r="I1678" s="8" t="s">
        <v>23</v>
      </c>
      <c r="J1678" s="8" t="s">
        <v>9127</v>
      </c>
      <c r="K1678" s="8" t="s">
        <v>9129</v>
      </c>
      <c r="L1678" s="8" t="s">
        <v>19</v>
      </c>
      <c r="M1678" s="8">
        <v>2321</v>
      </c>
      <c r="N1678" s="8" t="s">
        <v>2948</v>
      </c>
      <c r="O1678" s="8">
        <v>715</v>
      </c>
      <c r="P1678" s="8" t="s">
        <v>9128</v>
      </c>
      <c r="Q1678" s="8" t="s">
        <v>4262</v>
      </c>
      <c r="R1678" s="8">
        <v>0.156</v>
      </c>
      <c r="S1678" s="8">
        <v>66192506</v>
      </c>
      <c r="T1678" s="8" t="s">
        <v>24</v>
      </c>
      <c r="U1678" s="8" t="s">
        <v>41</v>
      </c>
    </row>
    <row r="1679" spans="1:21">
      <c r="A1679" s="8" t="s">
        <v>8531</v>
      </c>
      <c r="B1679" s="8" t="s">
        <v>9130</v>
      </c>
      <c r="C1679" s="8">
        <v>10072</v>
      </c>
      <c r="D1679" s="8" t="s">
        <v>83</v>
      </c>
      <c r="E1679" s="8">
        <v>66261066</v>
      </c>
      <c r="F1679" s="8">
        <v>66261066</v>
      </c>
      <c r="G1679" s="8" t="s">
        <v>24</v>
      </c>
      <c r="H1679" s="8" t="s">
        <v>41</v>
      </c>
      <c r="I1679" s="8" t="s">
        <v>23</v>
      </c>
      <c r="J1679" s="8" t="s">
        <v>9131</v>
      </c>
      <c r="K1679" s="8" t="s">
        <v>9133</v>
      </c>
      <c r="L1679" s="8" t="s">
        <v>76</v>
      </c>
      <c r="M1679" s="8">
        <v>1416</v>
      </c>
      <c r="N1679" s="8" t="s">
        <v>263</v>
      </c>
      <c r="O1679" s="8">
        <v>451</v>
      </c>
      <c r="P1679" s="8" t="s">
        <v>9132</v>
      </c>
      <c r="Q1679" s="8" t="s">
        <v>4262</v>
      </c>
      <c r="R1679" s="8">
        <v>0.33300000000000002</v>
      </c>
      <c r="S1679" s="8">
        <v>66261066</v>
      </c>
      <c r="T1679" s="8" t="s">
        <v>24</v>
      </c>
      <c r="U1679" s="8" t="s">
        <v>41</v>
      </c>
    </row>
    <row r="1680" spans="1:21">
      <c r="A1680" s="8" t="s">
        <v>8531</v>
      </c>
      <c r="B1680" s="8" t="s">
        <v>9130</v>
      </c>
      <c r="C1680" s="8">
        <v>10072</v>
      </c>
      <c r="D1680" s="8" t="s">
        <v>83</v>
      </c>
      <c r="E1680" s="8">
        <v>66264862</v>
      </c>
      <c r="F1680" s="8">
        <v>66264862</v>
      </c>
      <c r="G1680" s="8" t="s">
        <v>46</v>
      </c>
      <c r="H1680" s="8" t="s">
        <v>41</v>
      </c>
      <c r="I1680" s="8" t="s">
        <v>23</v>
      </c>
      <c r="J1680" s="8" t="s">
        <v>9131</v>
      </c>
      <c r="K1680" s="8" t="s">
        <v>9133</v>
      </c>
      <c r="L1680" s="8" t="s">
        <v>19</v>
      </c>
      <c r="M1680" s="8">
        <v>1857</v>
      </c>
      <c r="N1680" s="8" t="s">
        <v>560</v>
      </c>
      <c r="O1680" s="8">
        <v>598</v>
      </c>
      <c r="P1680" s="8" t="s">
        <v>9134</v>
      </c>
      <c r="Q1680" s="8" t="s">
        <v>4262</v>
      </c>
      <c r="R1680" s="8">
        <v>0.14099999999999999</v>
      </c>
      <c r="S1680" s="8">
        <v>66264862</v>
      </c>
      <c r="T1680" s="8" t="s">
        <v>46</v>
      </c>
      <c r="U1680" s="8" t="s">
        <v>41</v>
      </c>
    </row>
    <row r="1681" spans="1:21">
      <c r="A1681" s="8" t="s">
        <v>8531</v>
      </c>
      <c r="B1681" s="8" t="s">
        <v>3236</v>
      </c>
      <c r="C1681" s="8">
        <v>9873</v>
      </c>
      <c r="D1681" s="8" t="s">
        <v>83</v>
      </c>
      <c r="E1681" s="8">
        <v>72552604</v>
      </c>
      <c r="F1681" s="8">
        <v>72552604</v>
      </c>
      <c r="G1681" s="8" t="s">
        <v>46</v>
      </c>
      <c r="H1681" s="8" t="s">
        <v>25</v>
      </c>
      <c r="I1681" s="8" t="s">
        <v>23</v>
      </c>
      <c r="J1681" s="8" t="s">
        <v>3237</v>
      </c>
      <c r="K1681" s="8" t="s">
        <v>9136</v>
      </c>
      <c r="L1681" s="8" t="s">
        <v>19</v>
      </c>
      <c r="M1681" s="8">
        <v>2172</v>
      </c>
      <c r="N1681" s="8" t="s">
        <v>256</v>
      </c>
      <c r="O1681" s="8">
        <v>651</v>
      </c>
      <c r="P1681" s="8" t="s">
        <v>9135</v>
      </c>
      <c r="Q1681" s="8" t="s">
        <v>4262</v>
      </c>
      <c r="R1681" s="8">
        <v>0.38500000000000001</v>
      </c>
      <c r="S1681" s="8">
        <v>72552604</v>
      </c>
      <c r="T1681" s="8" t="s">
        <v>46</v>
      </c>
      <c r="U1681" s="8" t="s">
        <v>25</v>
      </c>
    </row>
    <row r="1682" spans="1:21">
      <c r="A1682" s="8" t="s">
        <v>8531</v>
      </c>
      <c r="B1682" s="8" t="s">
        <v>3238</v>
      </c>
      <c r="C1682" s="8">
        <v>26011</v>
      </c>
      <c r="D1682" s="8" t="s">
        <v>83</v>
      </c>
      <c r="E1682" s="8">
        <v>78567164</v>
      </c>
      <c r="F1682" s="8">
        <v>78567164</v>
      </c>
      <c r="G1682" s="8" t="s">
        <v>46</v>
      </c>
      <c r="H1682" s="8" t="s">
        <v>24</v>
      </c>
      <c r="I1682" s="8" t="s">
        <v>23</v>
      </c>
      <c r="J1682" s="8" t="s">
        <v>3239</v>
      </c>
      <c r="K1682" s="8" t="s">
        <v>9138</v>
      </c>
      <c r="L1682" s="8" t="s">
        <v>19</v>
      </c>
      <c r="M1682" s="8">
        <v>1778</v>
      </c>
      <c r="N1682" s="8" t="s">
        <v>3091</v>
      </c>
      <c r="O1682" s="8">
        <v>439</v>
      </c>
      <c r="P1682" s="8" t="s">
        <v>9137</v>
      </c>
      <c r="Q1682" s="8" t="s">
        <v>4262</v>
      </c>
      <c r="R1682" s="8">
        <v>0.39100000000000001</v>
      </c>
      <c r="S1682" s="8">
        <v>78567164</v>
      </c>
      <c r="T1682" s="8" t="s">
        <v>46</v>
      </c>
      <c r="U1682" s="8" t="s">
        <v>24</v>
      </c>
    </row>
    <row r="1683" spans="1:21">
      <c r="A1683" s="8" t="s">
        <v>8531</v>
      </c>
      <c r="B1683" s="8" t="s">
        <v>2169</v>
      </c>
      <c r="C1683" s="8">
        <v>120114</v>
      </c>
      <c r="D1683" s="8" t="s">
        <v>83</v>
      </c>
      <c r="E1683" s="8">
        <v>92533945</v>
      </c>
      <c r="F1683" s="8">
        <v>92533945</v>
      </c>
      <c r="G1683" s="8" t="s">
        <v>41</v>
      </c>
      <c r="H1683" s="8" t="s">
        <v>46</v>
      </c>
      <c r="I1683" s="8" t="s">
        <v>23</v>
      </c>
      <c r="J1683" s="8" t="s">
        <v>3608</v>
      </c>
      <c r="K1683" s="8" t="s">
        <v>7485</v>
      </c>
      <c r="L1683" s="8" t="s">
        <v>19</v>
      </c>
      <c r="M1683" s="8">
        <v>7783</v>
      </c>
      <c r="N1683" s="8" t="s">
        <v>429</v>
      </c>
      <c r="O1683" s="8">
        <v>2589</v>
      </c>
      <c r="P1683" s="8" t="s">
        <v>9139</v>
      </c>
      <c r="Q1683" s="8" t="s">
        <v>4262</v>
      </c>
      <c r="R1683" s="8">
        <v>9.5000000000000001E-2</v>
      </c>
      <c r="S1683" s="8">
        <v>92533945</v>
      </c>
      <c r="T1683" s="8" t="s">
        <v>41</v>
      </c>
      <c r="U1683" s="8" t="s">
        <v>46</v>
      </c>
    </row>
    <row r="1684" spans="1:21">
      <c r="A1684" s="8" t="s">
        <v>8531</v>
      </c>
      <c r="B1684" s="8" t="s">
        <v>4812</v>
      </c>
      <c r="C1684" s="8">
        <v>159989</v>
      </c>
      <c r="D1684" s="8" t="s">
        <v>83</v>
      </c>
      <c r="E1684" s="8">
        <v>93129420</v>
      </c>
      <c r="F1684" s="8">
        <v>93129420</v>
      </c>
      <c r="G1684" s="8" t="s">
        <v>41</v>
      </c>
      <c r="H1684" s="8" t="s">
        <v>46</v>
      </c>
      <c r="I1684" s="8" t="s">
        <v>23</v>
      </c>
      <c r="J1684" s="8" t="s">
        <v>4813</v>
      </c>
      <c r="K1684" s="8" t="s">
        <v>4815</v>
      </c>
      <c r="L1684" s="8" t="s">
        <v>19</v>
      </c>
      <c r="M1684" s="8">
        <v>1355</v>
      </c>
      <c r="N1684" s="8" t="s">
        <v>933</v>
      </c>
      <c r="O1684" s="8">
        <v>419</v>
      </c>
      <c r="P1684" s="8" t="s">
        <v>9140</v>
      </c>
      <c r="Q1684" s="8" t="s">
        <v>4262</v>
      </c>
      <c r="R1684" s="8">
        <v>0.14000000000000001</v>
      </c>
      <c r="S1684" s="8">
        <v>93129420</v>
      </c>
      <c r="T1684" s="8" t="s">
        <v>41</v>
      </c>
      <c r="U1684" s="8" t="s">
        <v>46</v>
      </c>
    </row>
    <row r="1685" spans="1:21">
      <c r="A1685" s="8" t="s">
        <v>8531</v>
      </c>
      <c r="B1685" s="8" t="s">
        <v>3229</v>
      </c>
      <c r="C1685" s="8">
        <v>143872</v>
      </c>
      <c r="D1685" s="8" t="s">
        <v>83</v>
      </c>
      <c r="E1685" s="8">
        <v>100846825</v>
      </c>
      <c r="F1685" s="8">
        <v>100846825</v>
      </c>
      <c r="G1685" s="8" t="s">
        <v>24</v>
      </c>
      <c r="H1685" s="8" t="s">
        <v>46</v>
      </c>
      <c r="I1685" s="8" t="s">
        <v>23</v>
      </c>
      <c r="J1685" s="8" t="s">
        <v>3230</v>
      </c>
      <c r="K1685" s="8" t="s">
        <v>5346</v>
      </c>
      <c r="L1685" s="8" t="s">
        <v>19</v>
      </c>
      <c r="M1685" s="8">
        <v>1896</v>
      </c>
      <c r="N1685" s="8" t="s">
        <v>3231</v>
      </c>
      <c r="O1685" s="8">
        <v>631</v>
      </c>
      <c r="P1685" s="8" t="s">
        <v>9141</v>
      </c>
      <c r="Q1685" s="8" t="s">
        <v>4262</v>
      </c>
      <c r="R1685" s="8">
        <v>0.27800000000000002</v>
      </c>
      <c r="S1685" s="8">
        <v>100846825</v>
      </c>
      <c r="T1685" s="8" t="s">
        <v>24</v>
      </c>
      <c r="U1685" s="8" t="s">
        <v>46</v>
      </c>
    </row>
    <row r="1686" spans="1:21">
      <c r="A1686" s="8" t="s">
        <v>8531</v>
      </c>
      <c r="B1686" s="8" t="s">
        <v>9142</v>
      </c>
      <c r="C1686" s="8">
        <v>644672</v>
      </c>
      <c r="D1686" s="8" t="s">
        <v>83</v>
      </c>
      <c r="E1686" s="8">
        <v>113651098</v>
      </c>
      <c r="F1686" s="8">
        <v>113651098</v>
      </c>
      <c r="G1686" s="8" t="s">
        <v>41</v>
      </c>
      <c r="H1686" s="8" t="s">
        <v>25</v>
      </c>
      <c r="I1686" s="8" t="s">
        <v>23</v>
      </c>
      <c r="J1686" s="8" t="s">
        <v>9143</v>
      </c>
      <c r="K1686" s="8" t="s">
        <v>9145</v>
      </c>
      <c r="L1686" s="8" t="s">
        <v>19</v>
      </c>
      <c r="M1686" s="8">
        <v>581</v>
      </c>
      <c r="N1686" s="8" t="s">
        <v>1046</v>
      </c>
      <c r="O1686" s="8">
        <v>194</v>
      </c>
      <c r="P1686" s="8" t="s">
        <v>9144</v>
      </c>
      <c r="Q1686" s="8" t="s">
        <v>4262</v>
      </c>
      <c r="R1686" s="8">
        <v>0.182</v>
      </c>
      <c r="S1686" s="8">
        <v>113651098</v>
      </c>
      <c r="T1686" s="8" t="s">
        <v>41</v>
      </c>
      <c r="U1686" s="8" t="s">
        <v>25</v>
      </c>
    </row>
    <row r="1687" spans="1:21">
      <c r="A1687" s="8" t="s">
        <v>8531</v>
      </c>
      <c r="B1687" s="8" t="s">
        <v>1984</v>
      </c>
      <c r="C1687" s="8">
        <v>116519</v>
      </c>
      <c r="D1687" s="8" t="s">
        <v>83</v>
      </c>
      <c r="E1687" s="8">
        <v>116661644</v>
      </c>
      <c r="F1687" s="8">
        <v>116661644</v>
      </c>
      <c r="G1687" s="8" t="s">
        <v>46</v>
      </c>
      <c r="H1687" s="8" t="s">
        <v>41</v>
      </c>
      <c r="I1687" s="8" t="s">
        <v>23</v>
      </c>
      <c r="J1687" s="8" t="s">
        <v>9146</v>
      </c>
      <c r="K1687" s="8" t="s">
        <v>9148</v>
      </c>
      <c r="L1687" s="8" t="s">
        <v>19</v>
      </c>
      <c r="M1687" s="8">
        <v>350</v>
      </c>
      <c r="N1687" s="8" t="s">
        <v>166</v>
      </c>
      <c r="O1687" s="8">
        <v>101</v>
      </c>
      <c r="P1687" s="8" t="s">
        <v>9147</v>
      </c>
      <c r="Q1687" s="8" t="s">
        <v>4262</v>
      </c>
      <c r="R1687" s="8">
        <v>0.21299999999999999</v>
      </c>
      <c r="S1687" s="8">
        <v>116661644</v>
      </c>
      <c r="T1687" s="8" t="s">
        <v>46</v>
      </c>
      <c r="U1687" s="8" t="s">
        <v>41</v>
      </c>
    </row>
    <row r="1688" spans="1:21">
      <c r="A1688" s="8" t="s">
        <v>8531</v>
      </c>
      <c r="B1688" s="8" t="s">
        <v>9149</v>
      </c>
      <c r="C1688" s="8">
        <v>57453</v>
      </c>
      <c r="D1688" s="8" t="s">
        <v>83</v>
      </c>
      <c r="E1688" s="8">
        <v>117307888</v>
      </c>
      <c r="F1688" s="8">
        <v>117307888</v>
      </c>
      <c r="G1688" s="8" t="s">
        <v>24</v>
      </c>
      <c r="H1688" s="8" t="s">
        <v>25</v>
      </c>
      <c r="I1688" s="8" t="s">
        <v>23</v>
      </c>
      <c r="J1688" s="8" t="s">
        <v>9150</v>
      </c>
      <c r="K1688" s="8" t="s">
        <v>9152</v>
      </c>
      <c r="L1688" s="8" t="s">
        <v>19</v>
      </c>
      <c r="M1688" s="8">
        <v>4852</v>
      </c>
      <c r="N1688" s="8" t="s">
        <v>230</v>
      </c>
      <c r="O1688" s="8">
        <v>1617</v>
      </c>
      <c r="P1688" s="8" t="s">
        <v>9151</v>
      </c>
      <c r="Q1688" s="8" t="s">
        <v>4262</v>
      </c>
      <c r="R1688" s="8">
        <v>0.28999999999999998</v>
      </c>
      <c r="S1688" s="8">
        <v>117307888</v>
      </c>
      <c r="T1688" s="8" t="s">
        <v>24</v>
      </c>
      <c r="U1688" s="8" t="s">
        <v>25</v>
      </c>
    </row>
    <row r="1689" spans="1:21">
      <c r="A1689" s="8" t="s">
        <v>8531</v>
      </c>
      <c r="B1689" s="8" t="s">
        <v>887</v>
      </c>
      <c r="C1689" s="8">
        <v>64137</v>
      </c>
      <c r="D1689" s="8" t="s">
        <v>83</v>
      </c>
      <c r="E1689" s="8">
        <v>119025094</v>
      </c>
      <c r="F1689" s="8">
        <v>119025094</v>
      </c>
      <c r="G1689" s="8" t="s">
        <v>24</v>
      </c>
      <c r="H1689" s="8" t="s">
        <v>41</v>
      </c>
      <c r="I1689" s="8" t="s">
        <v>23</v>
      </c>
      <c r="J1689" s="8" t="s">
        <v>9153</v>
      </c>
      <c r="K1689" s="8" t="s">
        <v>9155</v>
      </c>
      <c r="L1689" s="8" t="s">
        <v>19</v>
      </c>
      <c r="M1689" s="8">
        <v>817</v>
      </c>
      <c r="N1689" s="8" t="s">
        <v>256</v>
      </c>
      <c r="O1689" s="8">
        <v>161</v>
      </c>
      <c r="P1689" s="8" t="s">
        <v>9154</v>
      </c>
      <c r="Q1689" s="8" t="s">
        <v>4262</v>
      </c>
      <c r="R1689" s="8">
        <v>0.152</v>
      </c>
      <c r="S1689" s="8">
        <v>119025094</v>
      </c>
      <c r="T1689" s="8" t="s">
        <v>24</v>
      </c>
      <c r="U1689" s="8" t="s">
        <v>41</v>
      </c>
    </row>
    <row r="1690" spans="1:21">
      <c r="A1690" s="8" t="s">
        <v>8531</v>
      </c>
      <c r="B1690" s="8" t="s">
        <v>3232</v>
      </c>
      <c r="C1690" s="8">
        <v>390265</v>
      </c>
      <c r="D1690" s="8" t="s">
        <v>83</v>
      </c>
      <c r="E1690" s="8">
        <v>123909472</v>
      </c>
      <c r="F1690" s="8">
        <v>123909472</v>
      </c>
      <c r="G1690" s="8" t="s">
        <v>46</v>
      </c>
      <c r="H1690" s="8" t="s">
        <v>25</v>
      </c>
      <c r="I1690" s="8" t="s">
        <v>23</v>
      </c>
      <c r="J1690" s="8" t="s">
        <v>3233</v>
      </c>
      <c r="K1690" s="8" t="s">
        <v>9157</v>
      </c>
      <c r="L1690" s="8" t="s">
        <v>19</v>
      </c>
      <c r="M1690" s="8">
        <v>237</v>
      </c>
      <c r="N1690" s="8" t="s">
        <v>2948</v>
      </c>
      <c r="O1690" s="8">
        <v>79</v>
      </c>
      <c r="P1690" s="8" t="s">
        <v>9156</v>
      </c>
      <c r="Q1690" s="8" t="s">
        <v>4262</v>
      </c>
      <c r="R1690" s="8">
        <v>0.34</v>
      </c>
      <c r="S1690" s="8">
        <v>123909472</v>
      </c>
      <c r="T1690" s="8" t="s">
        <v>46</v>
      </c>
      <c r="U1690" s="8" t="s">
        <v>25</v>
      </c>
    </row>
    <row r="1691" spans="1:21">
      <c r="A1691" s="8" t="s">
        <v>8531</v>
      </c>
      <c r="B1691" s="8" t="s">
        <v>2462</v>
      </c>
      <c r="C1691" s="8">
        <v>2313</v>
      </c>
      <c r="D1691" s="8" t="s">
        <v>83</v>
      </c>
      <c r="E1691" s="8">
        <v>128680836</v>
      </c>
      <c r="F1691" s="8">
        <v>128680836</v>
      </c>
      <c r="G1691" s="8" t="s">
        <v>46</v>
      </c>
      <c r="H1691" s="8" t="s">
        <v>24</v>
      </c>
      <c r="I1691" s="8" t="s">
        <v>23</v>
      </c>
      <c r="J1691" s="8" t="s">
        <v>9158</v>
      </c>
      <c r="K1691" s="8" t="s">
        <v>9160</v>
      </c>
      <c r="L1691" s="8" t="s">
        <v>19</v>
      </c>
      <c r="M1691" s="8">
        <v>1653</v>
      </c>
      <c r="N1691" s="8" t="s">
        <v>357</v>
      </c>
      <c r="O1691" s="8">
        <v>438</v>
      </c>
      <c r="P1691" s="8" t="s">
        <v>9159</v>
      </c>
      <c r="Q1691" s="8" t="s">
        <v>4262</v>
      </c>
      <c r="R1691" s="8">
        <v>0.33300000000000002</v>
      </c>
      <c r="S1691" s="8">
        <v>128680836</v>
      </c>
      <c r="T1691" s="8" t="s">
        <v>46</v>
      </c>
      <c r="U1691" s="8" t="s">
        <v>24</v>
      </c>
    </row>
    <row r="1692" spans="1:21">
      <c r="A1692" s="8" t="s">
        <v>8531</v>
      </c>
      <c r="B1692" s="8" t="s">
        <v>9161</v>
      </c>
      <c r="C1692" s="8">
        <v>9152</v>
      </c>
      <c r="D1692" s="8" t="s">
        <v>83</v>
      </c>
      <c r="E1692" s="8">
        <v>20623071</v>
      </c>
      <c r="F1692" s="8">
        <v>20623071</v>
      </c>
      <c r="G1692" s="8" t="s">
        <v>24</v>
      </c>
      <c r="H1692" s="8" t="s">
        <v>41</v>
      </c>
      <c r="I1692" s="8" t="s">
        <v>23</v>
      </c>
      <c r="J1692" s="8" t="s">
        <v>9162</v>
      </c>
      <c r="K1692" s="8" t="s">
        <v>9164</v>
      </c>
      <c r="L1692" s="8" t="s">
        <v>19</v>
      </c>
      <c r="M1692" s="8">
        <v>673</v>
      </c>
      <c r="N1692" s="8" t="s">
        <v>1248</v>
      </c>
      <c r="O1692" s="8">
        <v>134</v>
      </c>
      <c r="P1692" s="8" t="s">
        <v>9163</v>
      </c>
      <c r="Q1692" s="8" t="s">
        <v>4262</v>
      </c>
      <c r="R1692" s="8">
        <v>0.44400000000000001</v>
      </c>
      <c r="S1692" s="8">
        <v>20623071</v>
      </c>
      <c r="T1692" s="8" t="s">
        <v>24</v>
      </c>
      <c r="U1692" s="8" t="s">
        <v>41</v>
      </c>
    </row>
    <row r="1693" spans="1:21">
      <c r="A1693" s="8" t="s">
        <v>8531</v>
      </c>
      <c r="B1693" s="8" t="s">
        <v>3354</v>
      </c>
      <c r="C1693" s="8">
        <v>25758</v>
      </c>
      <c r="D1693" s="8" t="s">
        <v>83</v>
      </c>
      <c r="E1693" s="8">
        <v>33620452</v>
      </c>
      <c r="F1693" s="8">
        <v>33620452</v>
      </c>
      <c r="G1693" s="8" t="s">
        <v>46</v>
      </c>
      <c r="H1693" s="8" t="s">
        <v>41</v>
      </c>
      <c r="I1693" s="8" t="s">
        <v>23</v>
      </c>
      <c r="J1693" s="8" t="s">
        <v>3355</v>
      </c>
      <c r="K1693" s="8" t="s">
        <v>9166</v>
      </c>
      <c r="L1693" s="8" t="s">
        <v>19</v>
      </c>
      <c r="M1693" s="8">
        <v>4071</v>
      </c>
      <c r="N1693" s="8" t="s">
        <v>417</v>
      </c>
      <c r="O1693" s="8">
        <v>1316</v>
      </c>
      <c r="P1693" s="8" t="s">
        <v>9165</v>
      </c>
      <c r="Q1693" s="8" t="s">
        <v>4262</v>
      </c>
      <c r="R1693" s="8">
        <v>0.112</v>
      </c>
      <c r="S1693" s="8">
        <v>33620452</v>
      </c>
      <c r="T1693" s="8" t="s">
        <v>46</v>
      </c>
      <c r="U1693" s="8" t="s">
        <v>41</v>
      </c>
    </row>
    <row r="1694" spans="1:21">
      <c r="A1694" s="8" t="s">
        <v>8531</v>
      </c>
      <c r="B1694" s="8" t="s">
        <v>4050</v>
      </c>
      <c r="C1694" s="8">
        <v>4928</v>
      </c>
      <c r="D1694" s="8" t="s">
        <v>83</v>
      </c>
      <c r="E1694" s="8">
        <v>3704579</v>
      </c>
      <c r="F1694" s="8">
        <v>3704579</v>
      </c>
      <c r="G1694" s="8" t="s">
        <v>41</v>
      </c>
      <c r="H1694" s="8" t="s">
        <v>46</v>
      </c>
      <c r="I1694" s="8" t="s">
        <v>23</v>
      </c>
      <c r="J1694" s="8" t="s">
        <v>9167</v>
      </c>
      <c r="K1694" s="8" t="s">
        <v>9169</v>
      </c>
      <c r="L1694" s="8" t="s">
        <v>19</v>
      </c>
      <c r="M1694" s="8">
        <v>5190</v>
      </c>
      <c r="N1694" s="8" t="s">
        <v>386</v>
      </c>
      <c r="O1694" s="8">
        <v>1590</v>
      </c>
      <c r="P1694" s="8" t="s">
        <v>9168</v>
      </c>
      <c r="Q1694" s="8" t="s">
        <v>4262</v>
      </c>
      <c r="R1694" s="8">
        <v>0.13500000000000001</v>
      </c>
      <c r="S1694" s="8">
        <v>3704579</v>
      </c>
      <c r="T1694" s="8" t="s">
        <v>41</v>
      </c>
      <c r="U1694" s="8" t="s">
        <v>46</v>
      </c>
    </row>
    <row r="1695" spans="1:21">
      <c r="A1695" s="8" t="s">
        <v>8531</v>
      </c>
      <c r="B1695" s="8" t="s">
        <v>9170</v>
      </c>
      <c r="C1695" s="8">
        <v>1408</v>
      </c>
      <c r="D1695" s="8" t="s">
        <v>83</v>
      </c>
      <c r="E1695" s="8">
        <v>45892482</v>
      </c>
      <c r="F1695" s="8">
        <v>45892482</v>
      </c>
      <c r="G1695" s="8" t="s">
        <v>24</v>
      </c>
      <c r="H1695" s="8" t="s">
        <v>46</v>
      </c>
      <c r="I1695" s="8" t="s">
        <v>23</v>
      </c>
      <c r="J1695" s="8" t="s">
        <v>9171</v>
      </c>
      <c r="K1695" s="8" t="s">
        <v>9173</v>
      </c>
      <c r="L1695" s="8" t="s">
        <v>19</v>
      </c>
      <c r="M1695" s="8">
        <v>1724</v>
      </c>
      <c r="N1695" s="8" t="s">
        <v>8654</v>
      </c>
      <c r="O1695" s="8">
        <v>568</v>
      </c>
      <c r="P1695" s="8" t="s">
        <v>9172</v>
      </c>
      <c r="Q1695" s="8" t="s">
        <v>4262</v>
      </c>
      <c r="R1695" s="8">
        <v>0.28999999999999998</v>
      </c>
      <c r="S1695" s="8">
        <v>45892482</v>
      </c>
      <c r="T1695" s="8" t="s">
        <v>24</v>
      </c>
      <c r="U1695" s="8" t="s">
        <v>46</v>
      </c>
    </row>
    <row r="1696" spans="1:21">
      <c r="A1696" s="8" t="s">
        <v>8531</v>
      </c>
      <c r="B1696" s="8" t="s">
        <v>9174</v>
      </c>
      <c r="C1696" s="8">
        <v>79797</v>
      </c>
      <c r="D1696" s="8" t="s">
        <v>83</v>
      </c>
      <c r="E1696" s="8">
        <v>46726364</v>
      </c>
      <c r="F1696" s="8">
        <v>46726364</v>
      </c>
      <c r="G1696" s="8" t="s">
        <v>24</v>
      </c>
      <c r="H1696" s="8" t="s">
        <v>41</v>
      </c>
      <c r="I1696" s="8" t="s">
        <v>23</v>
      </c>
      <c r="J1696" s="8" t="s">
        <v>9175</v>
      </c>
      <c r="K1696" s="8" t="s">
        <v>9178</v>
      </c>
      <c r="L1696" s="8" t="s">
        <v>19</v>
      </c>
      <c r="M1696" s="8">
        <v>1395</v>
      </c>
      <c r="N1696" s="8" t="s">
        <v>124</v>
      </c>
      <c r="O1696" s="8">
        <v>372</v>
      </c>
      <c r="P1696" s="8" t="s">
        <v>9176</v>
      </c>
      <c r="Q1696" s="8" t="s">
        <v>9177</v>
      </c>
      <c r="R1696" s="8">
        <v>0.11</v>
      </c>
      <c r="S1696" s="8">
        <v>46726364</v>
      </c>
      <c r="T1696" s="8" t="s">
        <v>24</v>
      </c>
      <c r="U1696" s="8" t="s">
        <v>41</v>
      </c>
    </row>
    <row r="1697" spans="1:21">
      <c r="A1697" s="8" t="s">
        <v>8531</v>
      </c>
      <c r="B1697" s="8" t="s">
        <v>9179</v>
      </c>
      <c r="C1697" s="8">
        <v>119695</v>
      </c>
      <c r="D1697" s="8" t="s">
        <v>83</v>
      </c>
      <c r="E1697" s="8">
        <v>4824696</v>
      </c>
      <c r="F1697" s="8">
        <v>4824696</v>
      </c>
      <c r="G1697" s="8" t="s">
        <v>46</v>
      </c>
      <c r="H1697" s="8" t="s">
        <v>25</v>
      </c>
      <c r="I1697" s="8" t="s">
        <v>23</v>
      </c>
      <c r="J1697" s="8" t="s">
        <v>9180</v>
      </c>
      <c r="K1697" s="8" t="s">
        <v>9182</v>
      </c>
      <c r="L1697" s="8" t="s">
        <v>19</v>
      </c>
      <c r="M1697" s="8">
        <v>915</v>
      </c>
      <c r="N1697" s="8" t="s">
        <v>553</v>
      </c>
      <c r="O1697" s="8">
        <v>305</v>
      </c>
      <c r="P1697" s="8" t="s">
        <v>9181</v>
      </c>
      <c r="Q1697" s="8" t="s">
        <v>4262</v>
      </c>
      <c r="R1697" s="8">
        <v>0.222</v>
      </c>
      <c r="S1697" s="8">
        <v>4824696</v>
      </c>
      <c r="T1697" s="8" t="s">
        <v>46</v>
      </c>
      <c r="U1697" s="8" t="s">
        <v>25</v>
      </c>
    </row>
    <row r="1698" spans="1:21">
      <c r="A1698" s="8" t="s">
        <v>8531</v>
      </c>
      <c r="B1698" s="8" t="s">
        <v>9183</v>
      </c>
      <c r="C1698" s="8">
        <v>3489</v>
      </c>
      <c r="D1698" s="8" t="s">
        <v>104</v>
      </c>
      <c r="E1698" s="8">
        <v>53494601</v>
      </c>
      <c r="F1698" s="8">
        <v>53494601</v>
      </c>
      <c r="G1698" s="8" t="s">
        <v>46</v>
      </c>
      <c r="H1698" s="8" t="s">
        <v>25</v>
      </c>
      <c r="I1698" s="8" t="s">
        <v>23</v>
      </c>
      <c r="J1698" s="8" t="s">
        <v>9184</v>
      </c>
      <c r="K1698" s="8" t="s">
        <v>9187</v>
      </c>
      <c r="L1698" s="8" t="s">
        <v>19</v>
      </c>
      <c r="M1698" s="8">
        <v>506</v>
      </c>
      <c r="N1698" s="8" t="s">
        <v>143</v>
      </c>
      <c r="O1698" s="8">
        <v>147</v>
      </c>
      <c r="P1698" s="8" t="s">
        <v>9185</v>
      </c>
      <c r="Q1698" s="8" t="s">
        <v>9186</v>
      </c>
      <c r="R1698" s="8">
        <v>0.192</v>
      </c>
      <c r="S1698" s="8">
        <v>53494601</v>
      </c>
      <c r="T1698" s="8" t="s">
        <v>46</v>
      </c>
      <c r="U1698" s="8" t="s">
        <v>25</v>
      </c>
    </row>
    <row r="1699" spans="1:21">
      <c r="A1699" s="8" t="s">
        <v>8531</v>
      </c>
      <c r="B1699" s="8" t="s">
        <v>3243</v>
      </c>
      <c r="C1699" s="8">
        <v>3225</v>
      </c>
      <c r="D1699" s="8" t="s">
        <v>104</v>
      </c>
      <c r="E1699" s="8">
        <v>54396289</v>
      </c>
      <c r="F1699" s="8">
        <v>54396289</v>
      </c>
      <c r="G1699" s="8" t="s">
        <v>41</v>
      </c>
      <c r="H1699" s="8" t="s">
        <v>25</v>
      </c>
      <c r="I1699" s="8" t="s">
        <v>23</v>
      </c>
      <c r="J1699" s="8" t="s">
        <v>3244</v>
      </c>
      <c r="K1699" s="8" t="s">
        <v>9188</v>
      </c>
      <c r="L1699" s="8" t="s">
        <v>19</v>
      </c>
      <c r="M1699" s="8">
        <v>710</v>
      </c>
      <c r="N1699" s="8" t="s">
        <v>1096</v>
      </c>
      <c r="O1699" s="8">
        <v>205</v>
      </c>
      <c r="P1699" s="8" t="s">
        <v>4699</v>
      </c>
      <c r="Q1699" s="8" t="s">
        <v>4262</v>
      </c>
      <c r="R1699" s="8">
        <v>0.39400000000000002</v>
      </c>
      <c r="S1699" s="8">
        <v>54396289</v>
      </c>
      <c r="T1699" s="8" t="s">
        <v>41</v>
      </c>
      <c r="U1699" s="8" t="s">
        <v>25</v>
      </c>
    </row>
    <row r="1700" spans="1:21">
      <c r="A1700" s="8" t="s">
        <v>8531</v>
      </c>
      <c r="B1700" s="8" t="s">
        <v>3162</v>
      </c>
      <c r="C1700" s="8">
        <v>11176</v>
      </c>
      <c r="D1700" s="8" t="s">
        <v>104</v>
      </c>
      <c r="E1700" s="8">
        <v>56995171</v>
      </c>
      <c r="F1700" s="8">
        <v>56995171</v>
      </c>
      <c r="G1700" s="8" t="s">
        <v>46</v>
      </c>
      <c r="H1700" s="8" t="s">
        <v>25</v>
      </c>
      <c r="I1700" s="8" t="s">
        <v>23</v>
      </c>
      <c r="J1700" s="8" t="s">
        <v>3163</v>
      </c>
      <c r="K1700" s="8" t="s">
        <v>6959</v>
      </c>
      <c r="L1700" s="8" t="s">
        <v>19</v>
      </c>
      <c r="M1700" s="8">
        <v>4287</v>
      </c>
      <c r="N1700" s="8" t="s">
        <v>481</v>
      </c>
      <c r="O1700" s="8">
        <v>1365</v>
      </c>
      <c r="P1700" s="8" t="s">
        <v>9189</v>
      </c>
      <c r="Q1700" s="8" t="s">
        <v>4262</v>
      </c>
      <c r="R1700" s="8">
        <v>0.30499999999999999</v>
      </c>
      <c r="S1700" s="8">
        <v>56995171</v>
      </c>
      <c r="T1700" s="8" t="s">
        <v>46</v>
      </c>
      <c r="U1700" s="8" t="s">
        <v>25</v>
      </c>
    </row>
    <row r="1701" spans="1:21">
      <c r="A1701" s="8" t="s">
        <v>8531</v>
      </c>
      <c r="B1701" s="8" t="s">
        <v>9190</v>
      </c>
      <c r="C1701" s="8">
        <v>65012</v>
      </c>
      <c r="D1701" s="8" t="s">
        <v>104</v>
      </c>
      <c r="E1701" s="8">
        <v>58016596</v>
      </c>
      <c r="F1701" s="8">
        <v>58016596</v>
      </c>
      <c r="G1701" s="8" t="s">
        <v>41</v>
      </c>
      <c r="H1701" s="8" t="s">
        <v>24</v>
      </c>
      <c r="I1701" s="8" t="s">
        <v>23</v>
      </c>
      <c r="J1701" s="8" t="s">
        <v>9191</v>
      </c>
      <c r="K1701" s="8" t="s">
        <v>9193</v>
      </c>
      <c r="L1701" s="8" t="s">
        <v>19</v>
      </c>
      <c r="M1701" s="8">
        <v>1129</v>
      </c>
      <c r="N1701" s="8" t="s">
        <v>295</v>
      </c>
      <c r="O1701" s="8">
        <v>273</v>
      </c>
      <c r="P1701" s="8" t="s">
        <v>9192</v>
      </c>
      <c r="Q1701" s="8" t="s">
        <v>4262</v>
      </c>
      <c r="R1701" s="8">
        <v>0.159</v>
      </c>
      <c r="S1701" s="8">
        <v>58016596</v>
      </c>
      <c r="T1701" s="8" t="s">
        <v>41</v>
      </c>
      <c r="U1701" s="8" t="s">
        <v>24</v>
      </c>
    </row>
    <row r="1702" spans="1:21">
      <c r="A1702" s="8" t="s">
        <v>8531</v>
      </c>
      <c r="B1702" s="8" t="s">
        <v>9194</v>
      </c>
      <c r="C1702" s="8">
        <v>10019</v>
      </c>
      <c r="D1702" s="8" t="s">
        <v>104</v>
      </c>
      <c r="E1702" s="8">
        <v>111885316</v>
      </c>
      <c r="F1702" s="8">
        <v>111885316</v>
      </c>
      <c r="G1702" s="8" t="s">
        <v>24</v>
      </c>
      <c r="H1702" s="8" t="s">
        <v>25</v>
      </c>
      <c r="I1702" s="8" t="s">
        <v>23</v>
      </c>
      <c r="J1702" s="8" t="s">
        <v>9195</v>
      </c>
      <c r="K1702" s="8" t="s">
        <v>9197</v>
      </c>
      <c r="L1702" s="8" t="s">
        <v>19</v>
      </c>
      <c r="M1702" s="8">
        <v>1561</v>
      </c>
      <c r="N1702" s="8" t="s">
        <v>171</v>
      </c>
      <c r="O1702" s="8">
        <v>402</v>
      </c>
      <c r="P1702" s="8" t="s">
        <v>9196</v>
      </c>
      <c r="Q1702" s="8" t="s">
        <v>4262</v>
      </c>
      <c r="R1702" s="8">
        <v>7.0000000000000007E-2</v>
      </c>
      <c r="S1702" s="8">
        <v>111885316</v>
      </c>
      <c r="T1702" s="8" t="s">
        <v>24</v>
      </c>
      <c r="U1702" s="8" t="s">
        <v>25</v>
      </c>
    </row>
    <row r="1703" spans="1:21">
      <c r="A1703" s="8" t="s">
        <v>8531</v>
      </c>
      <c r="B1703" s="8" t="s">
        <v>9198</v>
      </c>
      <c r="C1703" s="8">
        <v>80724</v>
      </c>
      <c r="D1703" s="8" t="s">
        <v>104</v>
      </c>
      <c r="E1703" s="8">
        <v>112174766</v>
      </c>
      <c r="F1703" s="8">
        <v>112174766</v>
      </c>
      <c r="G1703" s="8" t="s">
        <v>24</v>
      </c>
      <c r="H1703" s="8" t="s">
        <v>41</v>
      </c>
      <c r="I1703" s="8" t="s">
        <v>23</v>
      </c>
      <c r="J1703" s="8" t="s">
        <v>9199</v>
      </c>
      <c r="K1703" s="8" t="s">
        <v>9201</v>
      </c>
      <c r="L1703" s="8" t="s">
        <v>19</v>
      </c>
      <c r="M1703" s="8">
        <v>1965</v>
      </c>
      <c r="N1703" s="8" t="s">
        <v>1248</v>
      </c>
      <c r="O1703" s="8">
        <v>589</v>
      </c>
      <c r="P1703" s="8" t="s">
        <v>9200</v>
      </c>
      <c r="Q1703" s="8" t="s">
        <v>4262</v>
      </c>
      <c r="R1703" s="8">
        <v>0.127</v>
      </c>
      <c r="S1703" s="8">
        <v>112174766</v>
      </c>
      <c r="T1703" s="8" t="s">
        <v>24</v>
      </c>
      <c r="U1703" s="8" t="s">
        <v>41</v>
      </c>
    </row>
    <row r="1704" spans="1:21">
      <c r="A1704" s="8" t="s">
        <v>8531</v>
      </c>
      <c r="B1704" s="8" t="s">
        <v>2484</v>
      </c>
      <c r="C1704" s="8">
        <v>6910</v>
      </c>
      <c r="D1704" s="8" t="s">
        <v>104</v>
      </c>
      <c r="E1704" s="8">
        <v>114823318</v>
      </c>
      <c r="F1704" s="8">
        <v>114823318</v>
      </c>
      <c r="G1704" s="8" t="s">
        <v>46</v>
      </c>
      <c r="H1704" s="8" t="s">
        <v>25</v>
      </c>
      <c r="I1704" s="8" t="s">
        <v>23</v>
      </c>
      <c r="J1704" s="8" t="s">
        <v>8406</v>
      </c>
      <c r="K1704" s="8" t="s">
        <v>8409</v>
      </c>
      <c r="L1704" s="8" t="s">
        <v>19</v>
      </c>
      <c r="M1704" s="8">
        <v>1213</v>
      </c>
      <c r="N1704" s="8" t="s">
        <v>883</v>
      </c>
      <c r="O1704" s="8">
        <v>240</v>
      </c>
      <c r="P1704" s="8" t="s">
        <v>9202</v>
      </c>
      <c r="Q1704" s="8" t="s">
        <v>4262</v>
      </c>
      <c r="R1704" s="8">
        <v>0.28799999999999998</v>
      </c>
      <c r="S1704" s="8">
        <v>114823318</v>
      </c>
      <c r="T1704" s="8" t="s">
        <v>46</v>
      </c>
      <c r="U1704" s="8" t="s">
        <v>25</v>
      </c>
    </row>
    <row r="1705" spans="1:21">
      <c r="A1705" s="8" t="s">
        <v>8531</v>
      </c>
      <c r="B1705" s="8" t="s">
        <v>9203</v>
      </c>
      <c r="C1705" s="8">
        <v>653247</v>
      </c>
      <c r="D1705" s="8" t="s">
        <v>104</v>
      </c>
      <c r="E1705" s="8">
        <v>11546554</v>
      </c>
      <c r="F1705" s="8">
        <v>11546554</v>
      </c>
      <c r="G1705" s="8" t="s">
        <v>24</v>
      </c>
      <c r="H1705" s="8" t="s">
        <v>41</v>
      </c>
      <c r="I1705" s="8" t="s">
        <v>23</v>
      </c>
      <c r="J1705" s="8" t="s">
        <v>9204</v>
      </c>
      <c r="K1705" s="8" t="s">
        <v>9206</v>
      </c>
      <c r="L1705" s="8" t="s">
        <v>19</v>
      </c>
      <c r="M1705" s="8">
        <v>493</v>
      </c>
      <c r="N1705" s="8" t="s">
        <v>143</v>
      </c>
      <c r="O1705" s="8">
        <v>153</v>
      </c>
      <c r="P1705" s="8" t="s">
        <v>9205</v>
      </c>
      <c r="Q1705" s="8" t="s">
        <v>4262</v>
      </c>
      <c r="R1705" s="8">
        <v>0.22600000000000001</v>
      </c>
      <c r="S1705" s="8">
        <v>11546554</v>
      </c>
      <c r="T1705" s="8" t="s">
        <v>24</v>
      </c>
      <c r="U1705" s="8" t="s">
        <v>41</v>
      </c>
    </row>
    <row r="1706" spans="1:21">
      <c r="A1706" s="8" t="s">
        <v>8531</v>
      </c>
      <c r="B1706" s="8" t="s">
        <v>3842</v>
      </c>
      <c r="C1706" s="8">
        <v>11113</v>
      </c>
      <c r="D1706" s="8" t="s">
        <v>104</v>
      </c>
      <c r="E1706" s="8">
        <v>120166312</v>
      </c>
      <c r="F1706" s="8">
        <v>120166312</v>
      </c>
      <c r="G1706" s="8" t="s">
        <v>46</v>
      </c>
      <c r="H1706" s="8" t="s">
        <v>25</v>
      </c>
      <c r="I1706" s="8" t="s">
        <v>23</v>
      </c>
      <c r="J1706" s="8" t="s">
        <v>4848</v>
      </c>
      <c r="K1706" s="8" t="s">
        <v>4850</v>
      </c>
      <c r="L1706" s="8" t="s">
        <v>76</v>
      </c>
      <c r="M1706" s="8">
        <v>3642</v>
      </c>
      <c r="N1706" s="8" t="s">
        <v>625</v>
      </c>
      <c r="O1706" s="8">
        <v>1196</v>
      </c>
      <c r="P1706" s="8" t="s">
        <v>9207</v>
      </c>
      <c r="Q1706" s="8" t="s">
        <v>4262</v>
      </c>
      <c r="R1706" s="8">
        <v>0.14899999999999999</v>
      </c>
      <c r="S1706" s="8">
        <v>120166312</v>
      </c>
      <c r="T1706" s="8" t="s">
        <v>46</v>
      </c>
      <c r="U1706" s="8" t="s">
        <v>25</v>
      </c>
    </row>
    <row r="1707" spans="1:21">
      <c r="A1707" s="8" t="s">
        <v>8531</v>
      </c>
      <c r="B1707" s="8" t="s">
        <v>3363</v>
      </c>
      <c r="C1707" s="8">
        <v>196385</v>
      </c>
      <c r="D1707" s="8" t="s">
        <v>104</v>
      </c>
      <c r="E1707" s="8">
        <v>124281252</v>
      </c>
      <c r="F1707" s="8">
        <v>124281252</v>
      </c>
      <c r="G1707" s="8" t="s">
        <v>41</v>
      </c>
      <c r="H1707" s="8" t="s">
        <v>24</v>
      </c>
      <c r="I1707" s="8" t="s">
        <v>23</v>
      </c>
      <c r="J1707" s="8" t="s">
        <v>3364</v>
      </c>
      <c r="K1707" s="8" t="s">
        <v>7544</v>
      </c>
      <c r="L1707" s="8" t="s">
        <v>19</v>
      </c>
      <c r="M1707" s="8">
        <v>1707</v>
      </c>
      <c r="N1707" s="8" t="s">
        <v>295</v>
      </c>
      <c r="O1707" s="8">
        <v>561</v>
      </c>
      <c r="P1707" s="8" t="s">
        <v>9208</v>
      </c>
      <c r="Q1707" s="8" t="s">
        <v>4262</v>
      </c>
      <c r="R1707" s="8">
        <v>0.18</v>
      </c>
      <c r="S1707" s="8">
        <v>124281252</v>
      </c>
      <c r="T1707" s="8" t="s">
        <v>41</v>
      </c>
      <c r="U1707" s="8" t="s">
        <v>24</v>
      </c>
    </row>
    <row r="1708" spans="1:21">
      <c r="A1708" s="8" t="s">
        <v>8531</v>
      </c>
      <c r="B1708" s="8" t="s">
        <v>1918</v>
      </c>
      <c r="C1708" s="8">
        <v>5426</v>
      </c>
      <c r="D1708" s="8" t="s">
        <v>104</v>
      </c>
      <c r="E1708" s="8">
        <v>133238218</v>
      </c>
      <c r="F1708" s="8">
        <v>133238218</v>
      </c>
      <c r="G1708" s="8" t="s">
        <v>24</v>
      </c>
      <c r="H1708" s="8" t="s">
        <v>41</v>
      </c>
      <c r="I1708" s="8" t="s">
        <v>23</v>
      </c>
      <c r="J1708" s="8" t="s">
        <v>2488</v>
      </c>
      <c r="K1708" s="8" t="s">
        <v>9210</v>
      </c>
      <c r="L1708" s="8" t="s">
        <v>19</v>
      </c>
      <c r="M1708" s="8">
        <v>2803</v>
      </c>
      <c r="N1708" s="8" t="s">
        <v>65</v>
      </c>
      <c r="O1708" s="8">
        <v>920</v>
      </c>
      <c r="P1708" s="8" t="s">
        <v>9209</v>
      </c>
      <c r="Q1708" s="8" t="s">
        <v>4262</v>
      </c>
      <c r="R1708" s="8">
        <v>0.16700000000000001</v>
      </c>
      <c r="S1708" s="8">
        <v>133238218</v>
      </c>
      <c r="T1708" s="8" t="s">
        <v>24</v>
      </c>
      <c r="U1708" s="8" t="s">
        <v>41</v>
      </c>
    </row>
    <row r="1709" spans="1:21">
      <c r="A1709" s="8" t="s">
        <v>8531</v>
      </c>
      <c r="B1709" s="8" t="s">
        <v>2311</v>
      </c>
      <c r="C1709" s="8">
        <v>55729</v>
      </c>
      <c r="D1709" s="8" t="s">
        <v>104</v>
      </c>
      <c r="E1709" s="8">
        <v>14650971</v>
      </c>
      <c r="F1709" s="8">
        <v>14650971</v>
      </c>
      <c r="G1709" s="8" t="s">
        <v>24</v>
      </c>
      <c r="H1709" s="8" t="s">
        <v>41</v>
      </c>
      <c r="I1709" s="8" t="s">
        <v>23</v>
      </c>
      <c r="J1709" s="8" t="s">
        <v>3242</v>
      </c>
      <c r="K1709" s="8" t="s">
        <v>5757</v>
      </c>
      <c r="L1709" s="8" t="s">
        <v>19</v>
      </c>
      <c r="M1709" s="8">
        <v>3935</v>
      </c>
      <c r="N1709" s="8" t="s">
        <v>251</v>
      </c>
      <c r="O1709" s="8">
        <v>1259</v>
      </c>
      <c r="P1709" s="8" t="s">
        <v>9211</v>
      </c>
      <c r="Q1709" s="8" t="s">
        <v>4262</v>
      </c>
      <c r="R1709" s="8">
        <v>0.254</v>
      </c>
      <c r="S1709" s="8">
        <v>14650971</v>
      </c>
      <c r="T1709" s="8" t="s">
        <v>24</v>
      </c>
      <c r="U1709" s="8" t="s">
        <v>41</v>
      </c>
    </row>
    <row r="1710" spans="1:21">
      <c r="A1710" s="8" t="s">
        <v>8531</v>
      </c>
      <c r="B1710" s="8" t="s">
        <v>9212</v>
      </c>
      <c r="C1710" s="8">
        <v>121536</v>
      </c>
      <c r="D1710" s="8" t="s">
        <v>104</v>
      </c>
      <c r="E1710" s="8">
        <v>19626202</v>
      </c>
      <c r="F1710" s="8">
        <v>19626202</v>
      </c>
      <c r="G1710" s="8" t="s">
        <v>25</v>
      </c>
      <c r="H1710" s="8" t="s">
        <v>41</v>
      </c>
      <c r="I1710" s="8" t="s">
        <v>23</v>
      </c>
      <c r="J1710" s="8" t="s">
        <v>9213</v>
      </c>
      <c r="K1710" s="8" t="s">
        <v>9215</v>
      </c>
      <c r="L1710" s="8" t="s">
        <v>19</v>
      </c>
      <c r="M1710" s="8">
        <v>926</v>
      </c>
      <c r="N1710" s="8" t="s">
        <v>3165</v>
      </c>
      <c r="O1710" s="8">
        <v>300</v>
      </c>
      <c r="P1710" s="8" t="s">
        <v>9214</v>
      </c>
      <c r="Q1710" s="8" t="s">
        <v>4262</v>
      </c>
      <c r="R1710" s="8">
        <v>0.214</v>
      </c>
      <c r="S1710" s="8">
        <v>19626202</v>
      </c>
      <c r="T1710" s="8" t="s">
        <v>25</v>
      </c>
      <c r="U1710" s="8" t="s">
        <v>41</v>
      </c>
    </row>
    <row r="1711" spans="1:21">
      <c r="A1711" s="8" t="s">
        <v>8531</v>
      </c>
      <c r="B1711" s="8" t="s">
        <v>4104</v>
      </c>
      <c r="C1711" s="8">
        <v>2998</v>
      </c>
      <c r="D1711" s="8" t="s">
        <v>104</v>
      </c>
      <c r="E1711" s="8">
        <v>21715910</v>
      </c>
      <c r="F1711" s="8">
        <v>21715910</v>
      </c>
      <c r="G1711" s="8" t="s">
        <v>24</v>
      </c>
      <c r="H1711" s="8" t="s">
        <v>41</v>
      </c>
      <c r="I1711" s="8" t="s">
        <v>23</v>
      </c>
      <c r="J1711" s="8" t="s">
        <v>9216</v>
      </c>
      <c r="K1711" s="8" t="s">
        <v>9218</v>
      </c>
      <c r="L1711" s="8" t="s">
        <v>76</v>
      </c>
      <c r="M1711" s="8">
        <v>1259</v>
      </c>
      <c r="N1711" s="8" t="s">
        <v>609</v>
      </c>
      <c r="O1711" s="8">
        <v>335</v>
      </c>
      <c r="P1711" s="8" t="s">
        <v>9217</v>
      </c>
      <c r="Q1711" s="8" t="s">
        <v>4262</v>
      </c>
      <c r="R1711" s="8">
        <v>0.17299999999999999</v>
      </c>
      <c r="S1711" s="8">
        <v>21715910</v>
      </c>
      <c r="T1711" s="8" t="s">
        <v>24</v>
      </c>
      <c r="U1711" s="8" t="s">
        <v>41</v>
      </c>
    </row>
    <row r="1712" spans="1:21">
      <c r="A1712" s="8" t="s">
        <v>8531</v>
      </c>
      <c r="B1712" s="8" t="s">
        <v>4089</v>
      </c>
      <c r="C1712" s="8">
        <v>8496</v>
      </c>
      <c r="D1712" s="8" t="s">
        <v>104</v>
      </c>
      <c r="E1712" s="8">
        <v>27840405</v>
      </c>
      <c r="F1712" s="8">
        <v>27840405</v>
      </c>
      <c r="G1712" s="8" t="s">
        <v>24</v>
      </c>
      <c r="H1712" s="8" t="s">
        <v>41</v>
      </c>
      <c r="I1712" s="8" t="s">
        <v>23</v>
      </c>
      <c r="J1712" s="8" t="s">
        <v>9219</v>
      </c>
      <c r="K1712" s="8" t="s">
        <v>9221</v>
      </c>
      <c r="L1712" s="8" t="s">
        <v>76</v>
      </c>
      <c r="M1712" s="8">
        <v>2730</v>
      </c>
      <c r="N1712" s="8" t="s">
        <v>625</v>
      </c>
      <c r="O1712" s="8">
        <v>785</v>
      </c>
      <c r="P1712" s="8" t="s">
        <v>9220</v>
      </c>
      <c r="Q1712" s="8" t="s">
        <v>4262</v>
      </c>
      <c r="R1712" s="8">
        <v>0.29699999999999999</v>
      </c>
      <c r="S1712" s="8">
        <v>27840405</v>
      </c>
      <c r="T1712" s="8" t="s">
        <v>24</v>
      </c>
      <c r="U1712" s="8" t="s">
        <v>41</v>
      </c>
    </row>
    <row r="1713" spans="1:21">
      <c r="A1713" s="8" t="s">
        <v>8531</v>
      </c>
      <c r="B1713" s="8" t="s">
        <v>9222</v>
      </c>
      <c r="C1713" s="8">
        <v>85478</v>
      </c>
      <c r="D1713" s="8" t="s">
        <v>104</v>
      </c>
      <c r="E1713" s="8">
        <v>49298151</v>
      </c>
      <c r="F1713" s="8">
        <v>49298151</v>
      </c>
      <c r="G1713" s="8" t="s">
        <v>46</v>
      </c>
      <c r="H1713" s="8" t="s">
        <v>25</v>
      </c>
      <c r="I1713" s="8" t="s">
        <v>23</v>
      </c>
      <c r="J1713" s="8" t="s">
        <v>9223</v>
      </c>
      <c r="K1713" s="8" t="s">
        <v>9225</v>
      </c>
      <c r="L1713" s="8" t="s">
        <v>19</v>
      </c>
      <c r="M1713" s="8">
        <v>259</v>
      </c>
      <c r="N1713" s="8" t="s">
        <v>143</v>
      </c>
      <c r="O1713" s="8">
        <v>11</v>
      </c>
      <c r="P1713" s="8" t="s">
        <v>9224</v>
      </c>
      <c r="Q1713" s="8" t="s">
        <v>4262</v>
      </c>
      <c r="R1713" s="8">
        <v>0.18</v>
      </c>
      <c r="S1713" s="8">
        <v>49298151</v>
      </c>
      <c r="T1713" s="8" t="s">
        <v>46</v>
      </c>
      <c r="U1713" s="8" t="s">
        <v>25</v>
      </c>
    </row>
    <row r="1714" spans="1:21">
      <c r="A1714" s="8" t="s">
        <v>8531</v>
      </c>
      <c r="B1714" s="8" t="s">
        <v>2501</v>
      </c>
      <c r="C1714" s="8">
        <v>26960</v>
      </c>
      <c r="D1714" s="8" t="s">
        <v>339</v>
      </c>
      <c r="E1714" s="8">
        <v>35733363</v>
      </c>
      <c r="F1714" s="8">
        <v>35733363</v>
      </c>
      <c r="G1714" s="8" t="s">
        <v>46</v>
      </c>
      <c r="H1714" s="8" t="s">
        <v>25</v>
      </c>
      <c r="I1714" s="8" t="s">
        <v>23</v>
      </c>
      <c r="J1714" s="8" t="s">
        <v>2502</v>
      </c>
      <c r="K1714" s="8" t="s">
        <v>7554</v>
      </c>
      <c r="L1714" s="8" t="s">
        <v>19</v>
      </c>
      <c r="M1714" s="8">
        <v>3589</v>
      </c>
      <c r="N1714" s="8" t="s">
        <v>1005</v>
      </c>
      <c r="O1714" s="8">
        <v>1019</v>
      </c>
      <c r="P1714" s="8" t="s">
        <v>9226</v>
      </c>
      <c r="Q1714" s="8" t="s">
        <v>4262</v>
      </c>
      <c r="R1714" s="8">
        <v>0.34899999999999998</v>
      </c>
      <c r="S1714" s="8">
        <v>35733363</v>
      </c>
      <c r="T1714" s="8" t="s">
        <v>46</v>
      </c>
      <c r="U1714" s="8" t="s">
        <v>25</v>
      </c>
    </row>
    <row r="1715" spans="1:21">
      <c r="A1715" s="8" t="s">
        <v>8531</v>
      </c>
      <c r="B1715" s="8" t="s">
        <v>1047</v>
      </c>
      <c r="C1715" s="8">
        <v>160851</v>
      </c>
      <c r="D1715" s="8" t="s">
        <v>339</v>
      </c>
      <c r="E1715" s="8">
        <v>42788698</v>
      </c>
      <c r="F1715" s="8">
        <v>42788698</v>
      </c>
      <c r="G1715" s="8" t="s">
        <v>24</v>
      </c>
      <c r="H1715" s="8" t="s">
        <v>41</v>
      </c>
      <c r="I1715" s="8" t="s">
        <v>23</v>
      </c>
      <c r="J1715" s="8" t="s">
        <v>9227</v>
      </c>
      <c r="K1715" s="8" t="s">
        <v>9229</v>
      </c>
      <c r="L1715" s="8" t="s">
        <v>19</v>
      </c>
      <c r="M1715" s="8">
        <v>3137</v>
      </c>
      <c r="N1715" s="8" t="s">
        <v>1248</v>
      </c>
      <c r="O1715" s="8">
        <v>1024</v>
      </c>
      <c r="P1715" s="8" t="s">
        <v>9228</v>
      </c>
      <c r="Q1715" s="8" t="s">
        <v>4262</v>
      </c>
      <c r="R1715" s="8">
        <v>0.35</v>
      </c>
      <c r="S1715" s="8">
        <v>42788698</v>
      </c>
      <c r="T1715" s="8" t="s">
        <v>24</v>
      </c>
      <c r="U1715" s="8" t="s">
        <v>41</v>
      </c>
    </row>
    <row r="1716" spans="1:21">
      <c r="A1716" s="8" t="s">
        <v>8531</v>
      </c>
      <c r="B1716" s="8" t="s">
        <v>3246</v>
      </c>
      <c r="C1716" s="8">
        <v>9628</v>
      </c>
      <c r="D1716" s="8" t="s">
        <v>118</v>
      </c>
      <c r="E1716" s="8">
        <v>72925039</v>
      </c>
      <c r="F1716" s="8">
        <v>72925039</v>
      </c>
      <c r="G1716" s="8" t="s">
        <v>25</v>
      </c>
      <c r="H1716" s="8" t="s">
        <v>24</v>
      </c>
      <c r="I1716" s="8" t="s">
        <v>23</v>
      </c>
      <c r="J1716" s="8" t="s">
        <v>9230</v>
      </c>
      <c r="K1716" s="8" t="s">
        <v>9232</v>
      </c>
      <c r="L1716" s="8" t="s">
        <v>19</v>
      </c>
      <c r="M1716" s="8">
        <v>819</v>
      </c>
      <c r="N1716" s="8" t="s">
        <v>551</v>
      </c>
      <c r="O1716" s="8">
        <v>99</v>
      </c>
      <c r="P1716" s="8" t="s">
        <v>9231</v>
      </c>
      <c r="Q1716" s="8" t="s">
        <v>4262</v>
      </c>
      <c r="R1716" s="8">
        <v>0.27</v>
      </c>
      <c r="S1716" s="8">
        <v>72925039</v>
      </c>
      <c r="T1716" s="8" t="s">
        <v>25</v>
      </c>
      <c r="U1716" s="8" t="s">
        <v>24</v>
      </c>
    </row>
    <row r="1717" spans="1:21">
      <c r="A1717" s="8" t="s">
        <v>8531</v>
      </c>
      <c r="B1717" s="8" t="s">
        <v>3247</v>
      </c>
      <c r="C1717" s="8">
        <v>55237</v>
      </c>
      <c r="D1717" s="8" t="s">
        <v>118</v>
      </c>
      <c r="E1717" s="8">
        <v>74823911</v>
      </c>
      <c r="F1717" s="8">
        <v>74823911</v>
      </c>
      <c r="G1717" s="8" t="s">
        <v>46</v>
      </c>
      <c r="H1717" s="8" t="s">
        <v>25</v>
      </c>
      <c r="I1717" s="8" t="s">
        <v>23</v>
      </c>
      <c r="J1717" s="8" t="s">
        <v>3248</v>
      </c>
      <c r="K1717" s="8" t="s">
        <v>6986</v>
      </c>
      <c r="L1717" s="8" t="s">
        <v>19</v>
      </c>
      <c r="M1717" s="8">
        <v>616</v>
      </c>
      <c r="N1717" s="8" t="s">
        <v>637</v>
      </c>
      <c r="O1717" s="8">
        <v>142</v>
      </c>
      <c r="P1717" s="8" t="s">
        <v>9233</v>
      </c>
      <c r="Q1717" s="8" t="s">
        <v>4262</v>
      </c>
      <c r="R1717" s="8">
        <v>0.44700000000000001</v>
      </c>
      <c r="S1717" s="8">
        <v>74823911</v>
      </c>
      <c r="T1717" s="8" t="s">
        <v>46</v>
      </c>
      <c r="U1717" s="8" t="s">
        <v>25</v>
      </c>
    </row>
    <row r="1718" spans="1:21">
      <c r="A1718" s="8" t="s">
        <v>8531</v>
      </c>
      <c r="B1718" s="8" t="s">
        <v>3249</v>
      </c>
      <c r="C1718" s="8">
        <v>283571</v>
      </c>
      <c r="D1718" s="8" t="s">
        <v>118</v>
      </c>
      <c r="E1718" s="8">
        <v>75330302</v>
      </c>
      <c r="F1718" s="8">
        <v>75330302</v>
      </c>
      <c r="G1718" s="8" t="s">
        <v>24</v>
      </c>
      <c r="H1718" s="8" t="s">
        <v>41</v>
      </c>
      <c r="I1718" s="8" t="s">
        <v>23</v>
      </c>
      <c r="J1718" s="8" t="s">
        <v>9234</v>
      </c>
      <c r="K1718" s="8" t="s">
        <v>9236</v>
      </c>
      <c r="L1718" s="8" t="s">
        <v>19</v>
      </c>
      <c r="M1718" s="8">
        <v>236</v>
      </c>
      <c r="N1718" s="8" t="s">
        <v>1622</v>
      </c>
      <c r="O1718" s="8">
        <v>79</v>
      </c>
      <c r="P1718" s="8" t="s">
        <v>9235</v>
      </c>
      <c r="Q1718" s="8" t="s">
        <v>4262</v>
      </c>
      <c r="R1718" s="8">
        <v>0.40699999999999997</v>
      </c>
      <c r="S1718" s="8">
        <v>75330302</v>
      </c>
      <c r="T1718" s="8" t="s">
        <v>24</v>
      </c>
      <c r="U1718" s="8" t="s">
        <v>41</v>
      </c>
    </row>
    <row r="1719" spans="1:21">
      <c r="A1719" s="8" t="s">
        <v>8531</v>
      </c>
      <c r="B1719" s="8" t="s">
        <v>3470</v>
      </c>
      <c r="C1719" s="8">
        <v>9895</v>
      </c>
      <c r="D1719" s="8" t="s">
        <v>118</v>
      </c>
      <c r="E1719" s="8">
        <v>102901135</v>
      </c>
      <c r="F1719" s="8">
        <v>102901135</v>
      </c>
      <c r="G1719" s="8" t="s">
        <v>24</v>
      </c>
      <c r="H1719" s="8" t="s">
        <v>41</v>
      </c>
      <c r="I1719" s="8" t="s">
        <v>23</v>
      </c>
      <c r="J1719" s="8" t="s">
        <v>6183</v>
      </c>
      <c r="K1719" s="8" t="s">
        <v>6185</v>
      </c>
      <c r="L1719" s="8" t="s">
        <v>76</v>
      </c>
      <c r="M1719" s="8">
        <v>2207</v>
      </c>
      <c r="N1719" s="8" t="s">
        <v>625</v>
      </c>
      <c r="O1719" s="8">
        <v>661</v>
      </c>
      <c r="P1719" s="8" t="s">
        <v>9237</v>
      </c>
      <c r="Q1719" s="8" t="s">
        <v>9238</v>
      </c>
      <c r="R1719" s="8">
        <v>0.17599999999999999</v>
      </c>
      <c r="S1719" s="8">
        <v>102901135</v>
      </c>
      <c r="T1719" s="8" t="s">
        <v>24</v>
      </c>
      <c r="U1719" s="8" t="s">
        <v>41</v>
      </c>
    </row>
    <row r="1720" spans="1:21">
      <c r="A1720" s="8" t="s">
        <v>8531</v>
      </c>
      <c r="B1720" s="8" t="s">
        <v>6499</v>
      </c>
      <c r="C1720" s="8">
        <v>79895</v>
      </c>
      <c r="D1720" s="8" t="s">
        <v>120</v>
      </c>
      <c r="E1720" s="8">
        <v>50288901</v>
      </c>
      <c r="F1720" s="8">
        <v>50288901</v>
      </c>
      <c r="G1720" s="8" t="s">
        <v>46</v>
      </c>
      <c r="H1720" s="8" t="s">
        <v>25</v>
      </c>
      <c r="I1720" s="8" t="s">
        <v>23</v>
      </c>
      <c r="J1720" s="8" t="s">
        <v>6500</v>
      </c>
      <c r="K1720" s="8" t="s">
        <v>6501</v>
      </c>
      <c r="L1720" s="8" t="s">
        <v>19</v>
      </c>
      <c r="M1720" s="8">
        <v>704</v>
      </c>
      <c r="N1720" s="8" t="s">
        <v>883</v>
      </c>
      <c r="O1720" s="8">
        <v>188</v>
      </c>
      <c r="P1720" s="8" t="s">
        <v>9239</v>
      </c>
      <c r="Q1720" s="8" t="s">
        <v>4262</v>
      </c>
      <c r="R1720" s="8">
        <v>0.23499999999999999</v>
      </c>
      <c r="S1720" s="8">
        <v>50288901</v>
      </c>
      <c r="T1720" s="8" t="s">
        <v>46</v>
      </c>
      <c r="U1720" s="8" t="s">
        <v>25</v>
      </c>
    </row>
    <row r="1721" spans="1:21">
      <c r="A1721" s="8" t="s">
        <v>8531</v>
      </c>
      <c r="B1721" s="8" t="s">
        <v>3255</v>
      </c>
      <c r="C1721" s="8">
        <v>54816</v>
      </c>
      <c r="D1721" s="8" t="s">
        <v>120</v>
      </c>
      <c r="E1721" s="8">
        <v>56974565</v>
      </c>
      <c r="F1721" s="8">
        <v>56974565</v>
      </c>
      <c r="G1721" s="8" t="s">
        <v>46</v>
      </c>
      <c r="H1721" s="8" t="s">
        <v>41</v>
      </c>
      <c r="I1721" s="8" t="s">
        <v>23</v>
      </c>
      <c r="J1721" s="8" t="s">
        <v>9240</v>
      </c>
      <c r="K1721" s="8" t="s">
        <v>9242</v>
      </c>
      <c r="L1721" s="8" t="s">
        <v>19</v>
      </c>
      <c r="M1721" s="8">
        <v>1108</v>
      </c>
      <c r="N1721" s="8" t="s">
        <v>2439</v>
      </c>
      <c r="O1721" s="8">
        <v>297</v>
      </c>
      <c r="P1721" s="8" t="s">
        <v>9241</v>
      </c>
      <c r="Q1721" s="8" t="s">
        <v>4262</v>
      </c>
      <c r="R1721" s="8">
        <v>0.255</v>
      </c>
      <c r="S1721" s="8">
        <v>56974565</v>
      </c>
      <c r="T1721" s="8" t="s">
        <v>46</v>
      </c>
      <c r="U1721" s="8" t="s">
        <v>41</v>
      </c>
    </row>
    <row r="1722" spans="1:21">
      <c r="A1722" s="8" t="s">
        <v>8531</v>
      </c>
      <c r="B1722" s="8" t="s">
        <v>9243</v>
      </c>
      <c r="C1722" s="8">
        <v>348094</v>
      </c>
      <c r="D1722" s="8" t="s">
        <v>120</v>
      </c>
      <c r="E1722" s="8">
        <v>65219112</v>
      </c>
      <c r="F1722" s="8">
        <v>65219112</v>
      </c>
      <c r="G1722" s="8" t="s">
        <v>24</v>
      </c>
      <c r="H1722" s="8" t="s">
        <v>41</v>
      </c>
      <c r="I1722" s="8" t="s">
        <v>23</v>
      </c>
      <c r="J1722" s="8" t="s">
        <v>9244</v>
      </c>
      <c r="K1722" s="8" t="s">
        <v>9246</v>
      </c>
      <c r="L1722" s="8" t="s">
        <v>19</v>
      </c>
      <c r="M1722" s="8">
        <v>513</v>
      </c>
      <c r="N1722" s="8" t="s">
        <v>519</v>
      </c>
      <c r="O1722" s="8">
        <v>162</v>
      </c>
      <c r="P1722" s="8" t="s">
        <v>9245</v>
      </c>
      <c r="Q1722" s="8" t="s">
        <v>4262</v>
      </c>
      <c r="R1722" s="8">
        <v>0.17</v>
      </c>
      <c r="S1722" s="8">
        <v>65219112</v>
      </c>
      <c r="T1722" s="8" t="s">
        <v>24</v>
      </c>
      <c r="U1722" s="8" t="s">
        <v>41</v>
      </c>
    </row>
    <row r="1723" spans="1:21">
      <c r="A1723" s="8" t="s">
        <v>8531</v>
      </c>
      <c r="B1723" s="8" t="s">
        <v>695</v>
      </c>
      <c r="C1723" s="8">
        <v>8483</v>
      </c>
      <c r="D1723" s="8" t="s">
        <v>120</v>
      </c>
      <c r="E1723" s="8">
        <v>65497694</v>
      </c>
      <c r="F1723" s="8">
        <v>65497694</v>
      </c>
      <c r="G1723" s="8" t="s">
        <v>46</v>
      </c>
      <c r="H1723" s="8" t="s">
        <v>41</v>
      </c>
      <c r="I1723" s="8" t="s">
        <v>23</v>
      </c>
      <c r="J1723" s="8" t="s">
        <v>696</v>
      </c>
      <c r="K1723" s="8" t="s">
        <v>9248</v>
      </c>
      <c r="L1723" s="8" t="s">
        <v>19</v>
      </c>
      <c r="M1723" s="8">
        <v>716</v>
      </c>
      <c r="N1723" s="8" t="s">
        <v>1070</v>
      </c>
      <c r="O1723" s="8">
        <v>179</v>
      </c>
      <c r="P1723" s="8" t="s">
        <v>9247</v>
      </c>
      <c r="Q1723" s="8" t="s">
        <v>4262</v>
      </c>
      <c r="R1723" s="8">
        <v>0.25</v>
      </c>
      <c r="S1723" s="8">
        <v>65497694</v>
      </c>
      <c r="T1723" s="8" t="s">
        <v>46</v>
      </c>
      <c r="U1723" s="8" t="s">
        <v>41</v>
      </c>
    </row>
    <row r="1724" spans="1:21">
      <c r="A1724" s="8" t="s">
        <v>8531</v>
      </c>
      <c r="B1724" s="8" t="s">
        <v>9249</v>
      </c>
      <c r="C1724" s="8">
        <v>5315</v>
      </c>
      <c r="D1724" s="8" t="s">
        <v>120</v>
      </c>
      <c r="E1724" s="8">
        <v>72511344</v>
      </c>
      <c r="F1724" s="8">
        <v>72511344</v>
      </c>
      <c r="G1724" s="8" t="s">
        <v>46</v>
      </c>
      <c r="H1724" s="8" t="s">
        <v>25</v>
      </c>
      <c r="I1724" s="8" t="s">
        <v>23</v>
      </c>
      <c r="J1724" s="8" t="s">
        <v>9250</v>
      </c>
      <c r="K1724" s="8" t="s">
        <v>9252</v>
      </c>
      <c r="L1724" s="8" t="s">
        <v>19</v>
      </c>
      <c r="M1724" s="8">
        <v>716</v>
      </c>
      <c r="N1724" s="8" t="s">
        <v>1288</v>
      </c>
      <c r="O1724" s="8">
        <v>106</v>
      </c>
      <c r="P1724" s="8" t="s">
        <v>9251</v>
      </c>
      <c r="Q1724" s="8" t="s">
        <v>4262</v>
      </c>
      <c r="R1724" s="8">
        <v>0.27300000000000002</v>
      </c>
      <c r="S1724" s="8">
        <v>72511344</v>
      </c>
      <c r="T1724" s="8" t="s">
        <v>46</v>
      </c>
      <c r="U1724" s="8" t="s">
        <v>25</v>
      </c>
    </row>
    <row r="1725" spans="1:21">
      <c r="A1725" s="8" t="s">
        <v>8531</v>
      </c>
      <c r="B1725" s="8" t="s">
        <v>9253</v>
      </c>
      <c r="C1725" s="8">
        <v>1543</v>
      </c>
      <c r="D1725" s="8" t="s">
        <v>120</v>
      </c>
      <c r="E1725" s="8">
        <v>75013369</v>
      </c>
      <c r="F1725" s="8">
        <v>75013369</v>
      </c>
      <c r="G1725" s="8" t="s">
        <v>46</v>
      </c>
      <c r="H1725" s="8" t="s">
        <v>24</v>
      </c>
      <c r="I1725" s="8" t="s">
        <v>23</v>
      </c>
      <c r="J1725" s="8" t="s">
        <v>9254</v>
      </c>
      <c r="K1725" s="8" t="s">
        <v>9256</v>
      </c>
      <c r="L1725" s="8" t="s">
        <v>19</v>
      </c>
      <c r="M1725" s="8">
        <v>1314</v>
      </c>
      <c r="N1725" s="8" t="s">
        <v>3440</v>
      </c>
      <c r="O1725" s="8">
        <v>398</v>
      </c>
      <c r="P1725" s="8" t="s">
        <v>9255</v>
      </c>
      <c r="Q1725" s="8" t="s">
        <v>4262</v>
      </c>
      <c r="R1725" s="8">
        <v>0.16300000000000001</v>
      </c>
      <c r="S1725" s="8">
        <v>75013369</v>
      </c>
      <c r="T1725" s="8" t="s">
        <v>46</v>
      </c>
      <c r="U1725" s="8" t="s">
        <v>24</v>
      </c>
    </row>
    <row r="1726" spans="1:21">
      <c r="A1726" s="8" t="s">
        <v>8531</v>
      </c>
      <c r="B1726" s="8" t="s">
        <v>3256</v>
      </c>
      <c r="C1726" s="8">
        <v>646</v>
      </c>
      <c r="D1726" s="8" t="s">
        <v>120</v>
      </c>
      <c r="E1726" s="8">
        <v>83932305</v>
      </c>
      <c r="F1726" s="8">
        <v>83932305</v>
      </c>
      <c r="G1726" s="8" t="s">
        <v>24</v>
      </c>
      <c r="H1726" s="8" t="s">
        <v>41</v>
      </c>
      <c r="I1726" s="8" t="s">
        <v>23</v>
      </c>
      <c r="J1726" s="8" t="s">
        <v>3257</v>
      </c>
      <c r="K1726" s="8" t="s">
        <v>9258</v>
      </c>
      <c r="L1726" s="8" t="s">
        <v>19</v>
      </c>
      <c r="M1726" s="8">
        <v>1786</v>
      </c>
      <c r="N1726" s="8" t="s">
        <v>247</v>
      </c>
      <c r="O1726" s="8">
        <v>566</v>
      </c>
      <c r="P1726" s="8" t="s">
        <v>9257</v>
      </c>
      <c r="Q1726" s="8" t="s">
        <v>4262</v>
      </c>
      <c r="R1726" s="8">
        <v>0.34100000000000003</v>
      </c>
      <c r="S1726" s="8">
        <v>83932305</v>
      </c>
      <c r="T1726" s="8" t="s">
        <v>24</v>
      </c>
      <c r="U1726" s="8" t="s">
        <v>41</v>
      </c>
    </row>
    <row r="1727" spans="1:21">
      <c r="A1727" s="8" t="s">
        <v>8531</v>
      </c>
      <c r="B1727" s="8" t="s">
        <v>3541</v>
      </c>
      <c r="C1727" s="8">
        <v>55784</v>
      </c>
      <c r="D1727" s="8" t="s">
        <v>120</v>
      </c>
      <c r="E1727" s="8">
        <v>94841688</v>
      </c>
      <c r="F1727" s="8">
        <v>94841688</v>
      </c>
      <c r="G1727" s="8" t="s">
        <v>24</v>
      </c>
      <c r="H1727" s="8" t="s">
        <v>41</v>
      </c>
      <c r="I1727" s="8" t="s">
        <v>23</v>
      </c>
      <c r="J1727" s="8" t="s">
        <v>6508</v>
      </c>
      <c r="K1727" s="8" t="s">
        <v>6510</v>
      </c>
      <c r="L1727" s="8" t="s">
        <v>19</v>
      </c>
      <c r="M1727" s="8">
        <v>259</v>
      </c>
      <c r="N1727" s="8" t="s">
        <v>710</v>
      </c>
      <c r="O1727" s="8">
        <v>65</v>
      </c>
      <c r="P1727" s="8" t="s">
        <v>9259</v>
      </c>
      <c r="Q1727" s="8" t="s">
        <v>4262</v>
      </c>
      <c r="R1727" s="8">
        <v>0.17599999999999999</v>
      </c>
      <c r="S1727" s="8">
        <v>94841688</v>
      </c>
      <c r="T1727" s="8" t="s">
        <v>24</v>
      </c>
      <c r="U1727" s="8" t="s">
        <v>41</v>
      </c>
    </row>
    <row r="1728" spans="1:21">
      <c r="A1728" s="8" t="s">
        <v>8531</v>
      </c>
      <c r="B1728" s="8" t="s">
        <v>3250</v>
      </c>
      <c r="C1728" s="8">
        <v>79705</v>
      </c>
      <c r="D1728" s="8" t="s">
        <v>120</v>
      </c>
      <c r="E1728" s="8">
        <v>101606197</v>
      </c>
      <c r="F1728" s="8">
        <v>101606197</v>
      </c>
      <c r="G1728" s="8" t="s">
        <v>46</v>
      </c>
      <c r="H1728" s="8" t="s">
        <v>25</v>
      </c>
      <c r="I1728" s="8" t="s">
        <v>23</v>
      </c>
      <c r="J1728" s="8" t="s">
        <v>3251</v>
      </c>
      <c r="K1728" s="8" t="s">
        <v>7582</v>
      </c>
      <c r="L1728" s="8" t="s">
        <v>19</v>
      </c>
      <c r="M1728" s="8">
        <v>5874</v>
      </c>
      <c r="N1728" s="8" t="s">
        <v>530</v>
      </c>
      <c r="O1728" s="8">
        <v>1852</v>
      </c>
      <c r="P1728" s="8" t="s">
        <v>9260</v>
      </c>
      <c r="Q1728" s="8" t="s">
        <v>4262</v>
      </c>
      <c r="R1728" s="8">
        <v>0.34</v>
      </c>
      <c r="S1728" s="8">
        <v>101606197</v>
      </c>
      <c r="T1728" s="8" t="s">
        <v>46</v>
      </c>
      <c r="U1728" s="8" t="s">
        <v>25</v>
      </c>
    </row>
    <row r="1729" spans="1:21">
      <c r="A1729" s="8" t="s">
        <v>8531</v>
      </c>
      <c r="B1729" s="8" t="s">
        <v>9261</v>
      </c>
      <c r="C1729" s="8">
        <v>54551</v>
      </c>
      <c r="D1729" s="8" t="s">
        <v>120</v>
      </c>
      <c r="E1729" s="8">
        <v>23889286</v>
      </c>
      <c r="F1729" s="8">
        <v>23889286</v>
      </c>
      <c r="G1729" s="8" t="s">
        <v>46</v>
      </c>
      <c r="H1729" s="8" t="s">
        <v>25</v>
      </c>
      <c r="I1729" s="8" t="s">
        <v>23</v>
      </c>
      <c r="J1729" s="8" t="s">
        <v>9262</v>
      </c>
      <c r="K1729" s="8" t="s">
        <v>9264</v>
      </c>
      <c r="L1729" s="8" t="s">
        <v>19</v>
      </c>
      <c r="M1729" s="8">
        <v>3708</v>
      </c>
      <c r="N1729" s="8" t="s">
        <v>256</v>
      </c>
      <c r="O1729" s="8">
        <v>1202</v>
      </c>
      <c r="P1729" s="8" t="s">
        <v>9263</v>
      </c>
      <c r="Q1729" s="8" t="s">
        <v>4262</v>
      </c>
      <c r="R1729" s="8">
        <v>0.14000000000000001</v>
      </c>
      <c r="S1729" s="8">
        <v>23889286</v>
      </c>
      <c r="T1729" s="8" t="s">
        <v>46</v>
      </c>
      <c r="U1729" s="8" t="s">
        <v>25</v>
      </c>
    </row>
    <row r="1730" spans="1:21">
      <c r="A1730" s="8" t="s">
        <v>8531</v>
      </c>
      <c r="B1730" s="8" t="s">
        <v>897</v>
      </c>
      <c r="C1730" s="8">
        <v>100652815</v>
      </c>
      <c r="D1730" s="8" t="s">
        <v>120</v>
      </c>
      <c r="E1730" s="8">
        <v>33446356</v>
      </c>
      <c r="F1730" s="8">
        <v>33446356</v>
      </c>
      <c r="G1730" s="8" t="s">
        <v>46</v>
      </c>
      <c r="H1730" s="8" t="s">
        <v>25</v>
      </c>
      <c r="I1730" s="8" t="s">
        <v>23</v>
      </c>
      <c r="J1730" s="8" t="s">
        <v>9265</v>
      </c>
      <c r="K1730" s="8" t="s">
        <v>9267</v>
      </c>
      <c r="L1730" s="8" t="s">
        <v>76</v>
      </c>
      <c r="M1730" s="8">
        <v>1227</v>
      </c>
      <c r="N1730" s="8" t="s">
        <v>263</v>
      </c>
      <c r="O1730" s="8">
        <v>254</v>
      </c>
      <c r="P1730" s="8" t="s">
        <v>9266</v>
      </c>
      <c r="Q1730" s="8" t="s">
        <v>4262</v>
      </c>
      <c r="R1730" s="8">
        <v>0.217</v>
      </c>
      <c r="S1730" s="8">
        <v>33446356</v>
      </c>
      <c r="T1730" s="8" t="s">
        <v>46</v>
      </c>
      <c r="U1730" s="8" t="s">
        <v>25</v>
      </c>
    </row>
    <row r="1731" spans="1:21">
      <c r="A1731" s="8" t="s">
        <v>8531</v>
      </c>
      <c r="B1731" s="8" t="s">
        <v>9268</v>
      </c>
      <c r="C1731" s="8">
        <v>161779</v>
      </c>
      <c r="D1731" s="8" t="s">
        <v>120</v>
      </c>
      <c r="E1731" s="8">
        <v>34396320</v>
      </c>
      <c r="F1731" s="8">
        <v>34396320</v>
      </c>
      <c r="G1731" s="8" t="s">
        <v>24</v>
      </c>
      <c r="H1731" s="8" t="s">
        <v>41</v>
      </c>
      <c r="I1731" s="8" t="s">
        <v>23</v>
      </c>
      <c r="J1731" s="8" t="s">
        <v>9269</v>
      </c>
      <c r="K1731" s="8" t="s">
        <v>9271</v>
      </c>
      <c r="L1731" s="8" t="s">
        <v>19</v>
      </c>
      <c r="M1731" s="8">
        <v>2047</v>
      </c>
      <c r="N1731" s="8" t="s">
        <v>124</v>
      </c>
      <c r="O1731" s="8">
        <v>530</v>
      </c>
      <c r="P1731" s="8" t="s">
        <v>9270</v>
      </c>
      <c r="Q1731" s="8" t="s">
        <v>4262</v>
      </c>
      <c r="R1731" s="8">
        <v>0.21299999999999999</v>
      </c>
      <c r="S1731" s="8">
        <v>34396320</v>
      </c>
      <c r="T1731" s="8" t="s">
        <v>24</v>
      </c>
      <c r="U1731" s="8" t="s">
        <v>41</v>
      </c>
    </row>
    <row r="1732" spans="1:21">
      <c r="A1732" s="8" t="s">
        <v>8531</v>
      </c>
      <c r="B1732" s="8" t="s">
        <v>3252</v>
      </c>
      <c r="C1732" s="8">
        <v>256646</v>
      </c>
      <c r="D1732" s="8" t="s">
        <v>120</v>
      </c>
      <c r="E1732" s="8">
        <v>34648917</v>
      </c>
      <c r="F1732" s="8">
        <v>34648917</v>
      </c>
      <c r="G1732" s="8" t="s">
        <v>46</v>
      </c>
      <c r="H1732" s="8" t="s">
        <v>25</v>
      </c>
      <c r="I1732" s="8" t="s">
        <v>23</v>
      </c>
      <c r="J1732" s="8" t="s">
        <v>3253</v>
      </c>
      <c r="K1732" s="8" t="s">
        <v>9273</v>
      </c>
      <c r="L1732" s="8" t="s">
        <v>19</v>
      </c>
      <c r="M1732" s="8">
        <v>2779</v>
      </c>
      <c r="N1732" s="8" t="s">
        <v>637</v>
      </c>
      <c r="O1732" s="8">
        <v>875</v>
      </c>
      <c r="P1732" s="8" t="s">
        <v>9272</v>
      </c>
      <c r="Q1732" s="8" t="s">
        <v>4262</v>
      </c>
      <c r="R1732" s="8">
        <v>0.158</v>
      </c>
      <c r="S1732" s="8">
        <v>34648917</v>
      </c>
      <c r="T1732" s="8" t="s">
        <v>46</v>
      </c>
      <c r="U1732" s="8" t="s">
        <v>25</v>
      </c>
    </row>
    <row r="1733" spans="1:21">
      <c r="A1733" s="8" t="s">
        <v>8531</v>
      </c>
      <c r="B1733" s="8" t="s">
        <v>3252</v>
      </c>
      <c r="C1733" s="8">
        <v>256646</v>
      </c>
      <c r="D1733" s="8" t="s">
        <v>120</v>
      </c>
      <c r="E1733" s="8">
        <v>34649477</v>
      </c>
      <c r="F1733" s="8">
        <v>34649477</v>
      </c>
      <c r="G1733" s="8" t="s">
        <v>46</v>
      </c>
      <c r="H1733" s="8" t="s">
        <v>25</v>
      </c>
      <c r="I1733" s="8" t="s">
        <v>23</v>
      </c>
      <c r="J1733" s="8" t="s">
        <v>3253</v>
      </c>
      <c r="K1733" s="8" t="s">
        <v>9273</v>
      </c>
      <c r="L1733" s="8" t="s">
        <v>19</v>
      </c>
      <c r="M1733" s="8">
        <v>3339</v>
      </c>
      <c r="N1733" s="8" t="s">
        <v>3150</v>
      </c>
      <c r="O1733" s="8">
        <v>1062</v>
      </c>
      <c r="P1733" s="8" t="s">
        <v>9274</v>
      </c>
      <c r="Q1733" s="8" t="s">
        <v>4262</v>
      </c>
      <c r="R1733" s="8">
        <v>0.32</v>
      </c>
      <c r="S1733" s="8">
        <v>34649477</v>
      </c>
      <c r="T1733" s="8" t="s">
        <v>46</v>
      </c>
      <c r="U1733" s="8" t="s">
        <v>25</v>
      </c>
    </row>
    <row r="1734" spans="1:21">
      <c r="A1734" s="8" t="s">
        <v>8531</v>
      </c>
      <c r="B1734" s="8" t="s">
        <v>9275</v>
      </c>
      <c r="C1734" s="8">
        <v>56924</v>
      </c>
      <c r="D1734" s="8" t="s">
        <v>120</v>
      </c>
      <c r="E1734" s="8">
        <v>40558584</v>
      </c>
      <c r="F1734" s="8">
        <v>40558584</v>
      </c>
      <c r="G1734" s="8" t="s">
        <v>46</v>
      </c>
      <c r="H1734" s="8" t="s">
        <v>41</v>
      </c>
      <c r="I1734" s="8" t="s">
        <v>23</v>
      </c>
      <c r="J1734" s="8" t="s">
        <v>9276</v>
      </c>
      <c r="K1734" s="8" t="s">
        <v>9278</v>
      </c>
      <c r="L1734" s="8" t="s">
        <v>19</v>
      </c>
      <c r="M1734" s="8">
        <v>1186</v>
      </c>
      <c r="N1734" s="8" t="s">
        <v>1140</v>
      </c>
      <c r="O1734" s="8">
        <v>249</v>
      </c>
      <c r="P1734" s="8" t="s">
        <v>9277</v>
      </c>
      <c r="Q1734" s="8" t="s">
        <v>4262</v>
      </c>
      <c r="R1734" s="8">
        <v>0.214</v>
      </c>
      <c r="S1734" s="8">
        <v>40558584</v>
      </c>
      <c r="T1734" s="8" t="s">
        <v>46</v>
      </c>
      <c r="U1734" s="8" t="s">
        <v>41</v>
      </c>
    </row>
    <row r="1735" spans="1:21">
      <c r="A1735" s="8" t="s">
        <v>8531</v>
      </c>
      <c r="B1735" s="8" t="s">
        <v>9279</v>
      </c>
      <c r="C1735" s="8">
        <v>51332</v>
      </c>
      <c r="D1735" s="8" t="s">
        <v>120</v>
      </c>
      <c r="E1735" s="8">
        <v>42144379</v>
      </c>
      <c r="F1735" s="8">
        <v>42144379</v>
      </c>
      <c r="G1735" s="8" t="s">
        <v>46</v>
      </c>
      <c r="H1735" s="8" t="s">
        <v>25</v>
      </c>
      <c r="I1735" s="8" t="s">
        <v>23</v>
      </c>
      <c r="J1735" s="8" t="s">
        <v>9280</v>
      </c>
      <c r="K1735" s="8" t="s">
        <v>9281</v>
      </c>
      <c r="L1735" s="8" t="s">
        <v>68</v>
      </c>
      <c r="M1735" s="8">
        <v>0</v>
      </c>
      <c r="N1735" s="8" t="s">
        <v>35</v>
      </c>
      <c r="O1735" s="8">
        <v>0</v>
      </c>
      <c r="P1735" s="8" t="s">
        <v>35</v>
      </c>
      <c r="Q1735" s="8" t="s">
        <v>4262</v>
      </c>
      <c r="R1735" s="8">
        <v>0.16700000000000001</v>
      </c>
      <c r="S1735" s="8">
        <v>42144379</v>
      </c>
      <c r="T1735" s="8" t="s">
        <v>46</v>
      </c>
      <c r="U1735" s="8" t="s">
        <v>25</v>
      </c>
    </row>
    <row r="1736" spans="1:21">
      <c r="A1736" s="8" t="s">
        <v>8531</v>
      </c>
      <c r="B1736" s="8" t="s">
        <v>9282</v>
      </c>
      <c r="C1736" s="8">
        <v>64397</v>
      </c>
      <c r="D1736" s="8" t="s">
        <v>120</v>
      </c>
      <c r="E1736" s="8">
        <v>42743642</v>
      </c>
      <c r="F1736" s="8">
        <v>42743642</v>
      </c>
      <c r="G1736" s="8" t="s">
        <v>24</v>
      </c>
      <c r="H1736" s="8" t="s">
        <v>46</v>
      </c>
      <c r="I1736" s="8" t="s">
        <v>23</v>
      </c>
      <c r="J1736" s="8" t="s">
        <v>9283</v>
      </c>
      <c r="K1736" s="8" t="s">
        <v>9285</v>
      </c>
      <c r="L1736" s="8" t="s">
        <v>19</v>
      </c>
      <c r="M1736" s="8">
        <v>1086</v>
      </c>
      <c r="N1736" s="8" t="s">
        <v>361</v>
      </c>
      <c r="O1736" s="8">
        <v>253</v>
      </c>
      <c r="P1736" s="8" t="s">
        <v>9284</v>
      </c>
      <c r="Q1736" s="8" t="s">
        <v>4262</v>
      </c>
      <c r="R1736" s="8">
        <v>0.187</v>
      </c>
      <c r="S1736" s="8">
        <v>42743642</v>
      </c>
      <c r="T1736" s="8" t="s">
        <v>24</v>
      </c>
      <c r="U1736" s="8" t="s">
        <v>46</v>
      </c>
    </row>
    <row r="1737" spans="1:21">
      <c r="A1737" s="8" t="s">
        <v>8531</v>
      </c>
      <c r="B1737" s="8" t="s">
        <v>1329</v>
      </c>
      <c r="C1737" s="8">
        <v>116179</v>
      </c>
      <c r="D1737" s="8" t="s">
        <v>120</v>
      </c>
      <c r="E1737" s="8">
        <v>43585119</v>
      </c>
      <c r="F1737" s="8">
        <v>43585119</v>
      </c>
      <c r="G1737" s="8" t="s">
        <v>24</v>
      </c>
      <c r="H1737" s="8" t="s">
        <v>41</v>
      </c>
      <c r="I1737" s="8" t="s">
        <v>23</v>
      </c>
      <c r="J1737" s="8" t="s">
        <v>1330</v>
      </c>
      <c r="K1737" s="8" t="s">
        <v>9287</v>
      </c>
      <c r="L1737" s="8" t="s">
        <v>19</v>
      </c>
      <c r="M1737" s="8">
        <v>232</v>
      </c>
      <c r="N1737" s="8" t="s">
        <v>3048</v>
      </c>
      <c r="O1737" s="8">
        <v>76</v>
      </c>
      <c r="P1737" s="8" t="s">
        <v>9286</v>
      </c>
      <c r="Q1737" s="8" t="s">
        <v>4262</v>
      </c>
      <c r="R1737" s="8">
        <v>0.27300000000000002</v>
      </c>
      <c r="S1737" s="8">
        <v>43585119</v>
      </c>
      <c r="T1737" s="8" t="s">
        <v>24</v>
      </c>
      <c r="U1737" s="8" t="s">
        <v>41</v>
      </c>
    </row>
    <row r="1738" spans="1:21">
      <c r="A1738" s="8" t="s">
        <v>8531</v>
      </c>
      <c r="B1738" s="8" t="s">
        <v>9288</v>
      </c>
      <c r="C1738" s="8">
        <v>161497</v>
      </c>
      <c r="D1738" s="8" t="s">
        <v>120</v>
      </c>
      <c r="E1738" s="8">
        <v>43900136</v>
      </c>
      <c r="F1738" s="8">
        <v>43900136</v>
      </c>
      <c r="G1738" s="8" t="s">
        <v>24</v>
      </c>
      <c r="H1738" s="8" t="s">
        <v>25</v>
      </c>
      <c r="I1738" s="8" t="s">
        <v>23</v>
      </c>
      <c r="J1738" s="8" t="s">
        <v>9289</v>
      </c>
      <c r="K1738" s="8" t="s">
        <v>9291</v>
      </c>
      <c r="L1738" s="8" t="s">
        <v>19</v>
      </c>
      <c r="M1738" s="8">
        <v>3797</v>
      </c>
      <c r="N1738" s="8" t="s">
        <v>417</v>
      </c>
      <c r="O1738" s="8">
        <v>1240</v>
      </c>
      <c r="P1738" s="8" t="s">
        <v>9290</v>
      </c>
      <c r="Q1738" s="8" t="s">
        <v>4262</v>
      </c>
      <c r="R1738" s="8">
        <v>0.154</v>
      </c>
      <c r="S1738" s="8">
        <v>43900136</v>
      </c>
      <c r="T1738" s="8" t="s">
        <v>24</v>
      </c>
      <c r="U1738" s="8" t="s">
        <v>25</v>
      </c>
    </row>
    <row r="1739" spans="1:21">
      <c r="A1739" s="8" t="s">
        <v>8531</v>
      </c>
      <c r="B1739" s="8" t="s">
        <v>2017</v>
      </c>
      <c r="C1739" s="8">
        <v>113201</v>
      </c>
      <c r="D1739" s="8" t="s">
        <v>120</v>
      </c>
      <c r="E1739" s="8">
        <v>44671987</v>
      </c>
      <c r="F1739" s="8">
        <v>44671987</v>
      </c>
      <c r="G1739" s="8" t="s">
        <v>24</v>
      </c>
      <c r="H1739" s="8" t="s">
        <v>41</v>
      </c>
      <c r="I1739" s="8" t="s">
        <v>23</v>
      </c>
      <c r="J1739" s="8" t="s">
        <v>9292</v>
      </c>
      <c r="K1739" s="8" t="s">
        <v>9293</v>
      </c>
      <c r="L1739" s="8" t="s">
        <v>68</v>
      </c>
      <c r="M1739" s="8">
        <v>0</v>
      </c>
      <c r="N1739" s="8" t="s">
        <v>35</v>
      </c>
      <c r="O1739" s="8">
        <v>0</v>
      </c>
      <c r="P1739" s="8" t="s">
        <v>35</v>
      </c>
      <c r="Q1739" s="8" t="s">
        <v>4262</v>
      </c>
      <c r="R1739" s="8">
        <v>0.27</v>
      </c>
      <c r="S1739" s="8">
        <v>44671987</v>
      </c>
      <c r="T1739" s="8" t="s">
        <v>24</v>
      </c>
      <c r="U1739" s="8" t="s">
        <v>41</v>
      </c>
    </row>
    <row r="1740" spans="1:21">
      <c r="A1740" s="8" t="s">
        <v>8531</v>
      </c>
      <c r="B1740" s="8" t="s">
        <v>3263</v>
      </c>
      <c r="C1740" s="8">
        <v>55794</v>
      </c>
      <c r="D1740" s="8" t="s">
        <v>129</v>
      </c>
      <c r="E1740" s="8">
        <v>68056414</v>
      </c>
      <c r="F1740" s="8">
        <v>68056414</v>
      </c>
      <c r="G1740" s="8" t="s">
        <v>46</v>
      </c>
      <c r="H1740" s="8" t="s">
        <v>25</v>
      </c>
      <c r="I1740" s="8" t="s">
        <v>23</v>
      </c>
      <c r="J1740" s="8" t="s">
        <v>3264</v>
      </c>
      <c r="K1740" s="8" t="s">
        <v>9294</v>
      </c>
      <c r="L1740" s="8" t="s">
        <v>19</v>
      </c>
      <c r="M1740" s="8">
        <v>1357</v>
      </c>
      <c r="N1740" s="8" t="s">
        <v>710</v>
      </c>
      <c r="O1740" s="8">
        <v>231</v>
      </c>
      <c r="P1740" s="8" t="s">
        <v>8928</v>
      </c>
      <c r="Q1740" s="8" t="s">
        <v>4262</v>
      </c>
      <c r="R1740" s="8">
        <v>0.38500000000000001</v>
      </c>
      <c r="S1740" s="8">
        <v>68056414</v>
      </c>
      <c r="T1740" s="8" t="s">
        <v>46</v>
      </c>
      <c r="U1740" s="8" t="s">
        <v>25</v>
      </c>
    </row>
    <row r="1741" spans="1:21">
      <c r="A1741" s="8" t="s">
        <v>8531</v>
      </c>
      <c r="B1741" s="8" t="s">
        <v>1797</v>
      </c>
      <c r="C1741" s="8">
        <v>54715</v>
      </c>
      <c r="D1741" s="8" t="s">
        <v>129</v>
      </c>
      <c r="E1741" s="8">
        <v>7568301</v>
      </c>
      <c r="F1741" s="8">
        <v>7568301</v>
      </c>
      <c r="G1741" s="8" t="s">
        <v>24</v>
      </c>
      <c r="H1741" s="8" t="s">
        <v>41</v>
      </c>
      <c r="I1741" s="8" t="s">
        <v>23</v>
      </c>
      <c r="J1741" s="8" t="s">
        <v>7936</v>
      </c>
      <c r="K1741" s="8" t="s">
        <v>7938</v>
      </c>
      <c r="L1741" s="8" t="s">
        <v>19</v>
      </c>
      <c r="M1741" s="8">
        <v>492</v>
      </c>
      <c r="N1741" s="8" t="s">
        <v>1180</v>
      </c>
      <c r="O1741" s="8">
        <v>80</v>
      </c>
      <c r="P1741" s="8" t="s">
        <v>9295</v>
      </c>
      <c r="Q1741" s="8" t="s">
        <v>4262</v>
      </c>
      <c r="R1741" s="8">
        <v>0.314</v>
      </c>
      <c r="S1741" s="8">
        <v>7568301</v>
      </c>
      <c r="T1741" s="8" t="s">
        <v>24</v>
      </c>
      <c r="U1741" s="8" t="s">
        <v>41</v>
      </c>
    </row>
    <row r="1742" spans="1:21">
      <c r="A1742" s="8" t="s">
        <v>8531</v>
      </c>
      <c r="B1742" s="8" t="s">
        <v>9296</v>
      </c>
      <c r="C1742" s="8">
        <v>170692</v>
      </c>
      <c r="D1742" s="8" t="s">
        <v>129</v>
      </c>
      <c r="E1742" s="8">
        <v>77389939</v>
      </c>
      <c r="F1742" s="8">
        <v>77389939</v>
      </c>
      <c r="G1742" s="8" t="s">
        <v>46</v>
      </c>
      <c r="H1742" s="8" t="s">
        <v>41</v>
      </c>
      <c r="I1742" s="8" t="s">
        <v>23</v>
      </c>
      <c r="J1742" s="8" t="s">
        <v>9297</v>
      </c>
      <c r="K1742" s="8" t="s">
        <v>9299</v>
      </c>
      <c r="L1742" s="8" t="s">
        <v>19</v>
      </c>
      <c r="M1742" s="8">
        <v>1777</v>
      </c>
      <c r="N1742" s="8" t="s">
        <v>732</v>
      </c>
      <c r="O1742" s="8">
        <v>453</v>
      </c>
      <c r="P1742" s="8" t="s">
        <v>9298</v>
      </c>
      <c r="Q1742" s="8" t="s">
        <v>4262</v>
      </c>
      <c r="R1742" s="8">
        <v>0.442</v>
      </c>
      <c r="S1742" s="8">
        <v>77389939</v>
      </c>
      <c r="T1742" s="8" t="s">
        <v>46</v>
      </c>
      <c r="U1742" s="8" t="s">
        <v>41</v>
      </c>
    </row>
    <row r="1743" spans="1:21">
      <c r="A1743" s="8" t="s">
        <v>8531</v>
      </c>
      <c r="B1743" s="8" t="s">
        <v>6230</v>
      </c>
      <c r="C1743" s="8">
        <v>5930</v>
      </c>
      <c r="D1743" s="8" t="s">
        <v>129</v>
      </c>
      <c r="E1743" s="8">
        <v>24583428</v>
      </c>
      <c r="F1743" s="8">
        <v>24583428</v>
      </c>
      <c r="G1743" s="8" t="s">
        <v>24</v>
      </c>
      <c r="H1743" s="8" t="s">
        <v>41</v>
      </c>
      <c r="I1743" s="8" t="s">
        <v>23</v>
      </c>
      <c r="J1743" s="8" t="s">
        <v>6231</v>
      </c>
      <c r="K1743" s="8" t="s">
        <v>6233</v>
      </c>
      <c r="L1743" s="8" t="s">
        <v>19</v>
      </c>
      <c r="M1743" s="8">
        <v>6081</v>
      </c>
      <c r="N1743" s="8" t="s">
        <v>124</v>
      </c>
      <c r="O1743" s="8">
        <v>1681</v>
      </c>
      <c r="P1743" s="8" t="s">
        <v>9300</v>
      </c>
      <c r="Q1743" s="8" t="s">
        <v>4262</v>
      </c>
      <c r="R1743" s="8">
        <v>0.27100000000000002</v>
      </c>
      <c r="S1743" s="8">
        <v>24583428</v>
      </c>
      <c r="T1743" s="8" t="s">
        <v>24</v>
      </c>
      <c r="U1743" s="8" t="s">
        <v>41</v>
      </c>
    </row>
    <row r="1744" spans="1:21">
      <c r="A1744" s="8" t="s">
        <v>8531</v>
      </c>
      <c r="B1744" s="8" t="s">
        <v>3258</v>
      </c>
      <c r="C1744" s="8">
        <v>9074</v>
      </c>
      <c r="D1744" s="8" t="s">
        <v>129</v>
      </c>
      <c r="E1744" s="8">
        <v>3065476</v>
      </c>
      <c r="F1744" s="8">
        <v>3065476</v>
      </c>
      <c r="G1744" s="8" t="s">
        <v>25</v>
      </c>
      <c r="H1744" s="8" t="s">
        <v>41</v>
      </c>
      <c r="I1744" s="8" t="s">
        <v>23</v>
      </c>
      <c r="J1744" s="8" t="s">
        <v>3259</v>
      </c>
      <c r="K1744" s="8" t="s">
        <v>9302</v>
      </c>
      <c r="L1744" s="8" t="s">
        <v>19</v>
      </c>
      <c r="M1744" s="8">
        <v>607</v>
      </c>
      <c r="N1744" s="8" t="s">
        <v>3260</v>
      </c>
      <c r="O1744" s="8">
        <v>183</v>
      </c>
      <c r="P1744" s="8" t="s">
        <v>9301</v>
      </c>
      <c r="Q1744" s="8" t="s">
        <v>4262</v>
      </c>
      <c r="R1744" s="8">
        <v>0.25600000000000001</v>
      </c>
      <c r="S1744" s="8">
        <v>3065476</v>
      </c>
      <c r="T1744" s="8" t="s">
        <v>25</v>
      </c>
      <c r="U1744" s="8" t="s">
        <v>41</v>
      </c>
    </row>
    <row r="1745" spans="1:21">
      <c r="A1745" s="8" t="s">
        <v>8531</v>
      </c>
      <c r="B1745" s="8" t="s">
        <v>9303</v>
      </c>
      <c r="C1745" s="8">
        <v>7627</v>
      </c>
      <c r="D1745" s="8" t="s">
        <v>129</v>
      </c>
      <c r="E1745" s="8">
        <v>3363080</v>
      </c>
      <c r="F1745" s="8">
        <v>3363080</v>
      </c>
      <c r="G1745" s="8" t="s">
        <v>25</v>
      </c>
      <c r="H1745" s="8" t="s">
        <v>24</v>
      </c>
      <c r="I1745" s="8" t="s">
        <v>23</v>
      </c>
      <c r="J1745" s="8" t="s">
        <v>9304</v>
      </c>
      <c r="K1745" s="8" t="s">
        <v>9306</v>
      </c>
      <c r="L1745" s="8" t="s">
        <v>19</v>
      </c>
      <c r="M1745" s="8">
        <v>531</v>
      </c>
      <c r="N1745" s="8" t="s">
        <v>1055</v>
      </c>
      <c r="O1745" s="8">
        <v>2</v>
      </c>
      <c r="P1745" s="8" t="s">
        <v>9305</v>
      </c>
      <c r="Q1745" s="8" t="s">
        <v>4262</v>
      </c>
      <c r="R1745" s="8">
        <v>0.25</v>
      </c>
      <c r="S1745" s="8">
        <v>3363080</v>
      </c>
      <c r="T1745" s="8" t="s">
        <v>25</v>
      </c>
      <c r="U1745" s="8" t="s">
        <v>24</v>
      </c>
    </row>
    <row r="1746" spans="1:21">
      <c r="A1746" s="8" t="s">
        <v>8531</v>
      </c>
      <c r="B1746" s="8" t="s">
        <v>3261</v>
      </c>
      <c r="C1746" s="8">
        <v>23090</v>
      </c>
      <c r="D1746" s="8" t="s">
        <v>129</v>
      </c>
      <c r="E1746" s="8">
        <v>49672129</v>
      </c>
      <c r="F1746" s="8">
        <v>49672129</v>
      </c>
      <c r="G1746" s="8" t="s">
        <v>46</v>
      </c>
      <c r="H1746" s="8" t="s">
        <v>41</v>
      </c>
      <c r="I1746" s="8" t="s">
        <v>23</v>
      </c>
      <c r="J1746" s="8" t="s">
        <v>3262</v>
      </c>
      <c r="K1746" s="8" t="s">
        <v>9308</v>
      </c>
      <c r="L1746" s="8" t="s">
        <v>19</v>
      </c>
      <c r="M1746" s="8">
        <v>1232</v>
      </c>
      <c r="N1746" s="8" t="s">
        <v>155</v>
      </c>
      <c r="O1746" s="8">
        <v>312</v>
      </c>
      <c r="P1746" s="8" t="s">
        <v>9307</v>
      </c>
      <c r="Q1746" s="8" t="s">
        <v>4262</v>
      </c>
      <c r="R1746" s="8">
        <v>0.36799999999999999</v>
      </c>
      <c r="S1746" s="8">
        <v>49672129</v>
      </c>
      <c r="T1746" s="8" t="s">
        <v>46</v>
      </c>
      <c r="U1746" s="8" t="s">
        <v>41</v>
      </c>
    </row>
    <row r="1747" spans="1:21">
      <c r="A1747" s="8" t="s">
        <v>8531</v>
      </c>
      <c r="B1747" s="8" t="s">
        <v>6752</v>
      </c>
      <c r="C1747" s="8">
        <v>84643</v>
      </c>
      <c r="D1747" s="8" t="s">
        <v>133</v>
      </c>
      <c r="E1747" s="8">
        <v>51900940</v>
      </c>
      <c r="F1747" s="8">
        <v>51900940</v>
      </c>
      <c r="G1747" s="8" t="s">
        <v>46</v>
      </c>
      <c r="H1747" s="8" t="s">
        <v>25</v>
      </c>
      <c r="I1747" s="8" t="s">
        <v>23</v>
      </c>
      <c r="J1747" s="8" t="s">
        <v>6753</v>
      </c>
      <c r="K1747" s="8" t="s">
        <v>6755</v>
      </c>
      <c r="L1747" s="8" t="s">
        <v>19</v>
      </c>
      <c r="M1747" s="8">
        <v>702</v>
      </c>
      <c r="N1747" s="8" t="s">
        <v>783</v>
      </c>
      <c r="O1747" s="8">
        <v>182</v>
      </c>
      <c r="P1747" s="8" t="s">
        <v>9309</v>
      </c>
      <c r="Q1747" s="8" t="s">
        <v>4262</v>
      </c>
      <c r="R1747" s="8">
        <v>0.11700000000000001</v>
      </c>
      <c r="S1747" s="8">
        <v>51900940</v>
      </c>
      <c r="T1747" s="8" t="s">
        <v>46</v>
      </c>
      <c r="U1747" s="8" t="s">
        <v>25</v>
      </c>
    </row>
    <row r="1748" spans="1:21">
      <c r="A1748" s="8" t="s">
        <v>8531</v>
      </c>
      <c r="B1748" s="8" t="s">
        <v>3271</v>
      </c>
      <c r="C1748" s="8">
        <v>56155</v>
      </c>
      <c r="D1748" s="8" t="s">
        <v>133</v>
      </c>
      <c r="E1748" s="8">
        <v>56663205</v>
      </c>
      <c r="F1748" s="8">
        <v>56663205</v>
      </c>
      <c r="G1748" s="8" t="s">
        <v>24</v>
      </c>
      <c r="H1748" s="8" t="s">
        <v>41</v>
      </c>
      <c r="I1748" s="8" t="s">
        <v>23</v>
      </c>
      <c r="J1748" s="8" t="s">
        <v>9310</v>
      </c>
      <c r="K1748" s="8" t="s">
        <v>9312</v>
      </c>
      <c r="L1748" s="8" t="s">
        <v>19</v>
      </c>
      <c r="M1748" s="8">
        <v>3163</v>
      </c>
      <c r="N1748" s="8" t="s">
        <v>247</v>
      </c>
      <c r="O1748" s="8">
        <v>1015</v>
      </c>
      <c r="P1748" s="8" t="s">
        <v>9311</v>
      </c>
      <c r="Q1748" s="8" t="s">
        <v>4262</v>
      </c>
      <c r="R1748" s="8">
        <v>0.59399999999999997</v>
      </c>
      <c r="S1748" s="8">
        <v>56663205</v>
      </c>
      <c r="T1748" s="8" t="s">
        <v>24</v>
      </c>
      <c r="U1748" s="8" t="s">
        <v>41</v>
      </c>
    </row>
    <row r="1749" spans="1:21">
      <c r="A1749" s="8" t="s">
        <v>8531</v>
      </c>
      <c r="B1749" s="8" t="s">
        <v>9313</v>
      </c>
      <c r="C1749" s="8">
        <v>9969</v>
      </c>
      <c r="D1749" s="8" t="s">
        <v>133</v>
      </c>
      <c r="E1749" s="8">
        <v>60140578</v>
      </c>
      <c r="F1749" s="8">
        <v>60140578</v>
      </c>
      <c r="G1749" s="8" t="s">
        <v>46</v>
      </c>
      <c r="H1749" s="8" t="s">
        <v>41</v>
      </c>
      <c r="I1749" s="8" t="s">
        <v>23</v>
      </c>
      <c r="J1749" s="8" t="s">
        <v>9314</v>
      </c>
      <c r="K1749" s="8" t="s">
        <v>9316</v>
      </c>
      <c r="L1749" s="8" t="s">
        <v>19</v>
      </c>
      <c r="M1749" s="8">
        <v>228</v>
      </c>
      <c r="N1749" s="8" t="s">
        <v>485</v>
      </c>
      <c r="O1749" s="8">
        <v>51</v>
      </c>
      <c r="P1749" s="8" t="s">
        <v>9315</v>
      </c>
      <c r="Q1749" s="8" t="s">
        <v>4262</v>
      </c>
      <c r="R1749" s="8">
        <v>0.14699999999999999</v>
      </c>
      <c r="S1749" s="8">
        <v>60140578</v>
      </c>
      <c r="T1749" s="8" t="s">
        <v>46</v>
      </c>
      <c r="U1749" s="8" t="s">
        <v>41</v>
      </c>
    </row>
    <row r="1750" spans="1:21">
      <c r="A1750" s="8" t="s">
        <v>8531</v>
      </c>
      <c r="B1750" s="8" t="s">
        <v>9317</v>
      </c>
      <c r="C1750" s="8">
        <v>81033</v>
      </c>
      <c r="D1750" s="8" t="s">
        <v>133</v>
      </c>
      <c r="E1750" s="8">
        <v>61607464</v>
      </c>
      <c r="F1750" s="8">
        <v>61607464</v>
      </c>
      <c r="G1750" s="8" t="s">
        <v>24</v>
      </c>
      <c r="H1750" s="8" t="s">
        <v>41</v>
      </c>
      <c r="I1750" s="8" t="s">
        <v>23</v>
      </c>
      <c r="J1750" s="8" t="s">
        <v>9318</v>
      </c>
      <c r="K1750" s="8" t="s">
        <v>9320</v>
      </c>
      <c r="L1750" s="8" t="s">
        <v>19</v>
      </c>
      <c r="M1750" s="8">
        <v>400</v>
      </c>
      <c r="N1750" s="8" t="s">
        <v>1288</v>
      </c>
      <c r="O1750" s="8">
        <v>107</v>
      </c>
      <c r="P1750" s="8" t="s">
        <v>9319</v>
      </c>
      <c r="Q1750" s="8" t="s">
        <v>4262</v>
      </c>
      <c r="R1750" s="8">
        <v>0.18099999999999999</v>
      </c>
      <c r="S1750" s="8">
        <v>61607464</v>
      </c>
      <c r="T1750" s="8" t="s">
        <v>24</v>
      </c>
      <c r="U1750" s="8" t="s">
        <v>41</v>
      </c>
    </row>
    <row r="1751" spans="1:21">
      <c r="A1751" s="8" t="s">
        <v>8531</v>
      </c>
      <c r="B1751" s="8" t="s">
        <v>3272</v>
      </c>
      <c r="C1751" s="8">
        <v>2081</v>
      </c>
      <c r="D1751" s="8" t="s">
        <v>133</v>
      </c>
      <c r="E1751" s="8">
        <v>62149452</v>
      </c>
      <c r="F1751" s="8">
        <v>62149452</v>
      </c>
      <c r="G1751" s="8" t="s">
        <v>46</v>
      </c>
      <c r="H1751" s="8" t="s">
        <v>25</v>
      </c>
      <c r="I1751" s="8" t="s">
        <v>23</v>
      </c>
      <c r="J1751" s="8" t="s">
        <v>3273</v>
      </c>
      <c r="K1751" s="8" t="s">
        <v>9322</v>
      </c>
      <c r="L1751" s="8" t="s">
        <v>19</v>
      </c>
      <c r="M1751" s="8">
        <v>480</v>
      </c>
      <c r="N1751" s="8" t="s">
        <v>463</v>
      </c>
      <c r="O1751" s="8">
        <v>123</v>
      </c>
      <c r="P1751" s="8" t="s">
        <v>9321</v>
      </c>
      <c r="Q1751" s="8" t="s">
        <v>4262</v>
      </c>
      <c r="R1751" s="8">
        <v>0.503</v>
      </c>
      <c r="S1751" s="8">
        <v>62149452</v>
      </c>
      <c r="T1751" s="8" t="s">
        <v>46</v>
      </c>
      <c r="U1751" s="8" t="s">
        <v>25</v>
      </c>
    </row>
    <row r="1752" spans="1:21">
      <c r="A1752" s="8" t="s">
        <v>8531</v>
      </c>
      <c r="B1752" s="8" t="s">
        <v>3272</v>
      </c>
      <c r="C1752" s="8">
        <v>2081</v>
      </c>
      <c r="D1752" s="8" t="s">
        <v>133</v>
      </c>
      <c r="E1752" s="8">
        <v>62149457</v>
      </c>
      <c r="F1752" s="8">
        <v>62149457</v>
      </c>
      <c r="G1752" s="8" t="s">
        <v>41</v>
      </c>
      <c r="H1752" s="8" t="s">
        <v>46</v>
      </c>
      <c r="I1752" s="8" t="s">
        <v>23</v>
      </c>
      <c r="J1752" s="8" t="s">
        <v>3273</v>
      </c>
      <c r="K1752" s="8" t="s">
        <v>9322</v>
      </c>
      <c r="L1752" s="8" t="s">
        <v>19</v>
      </c>
      <c r="M1752" s="8">
        <v>475</v>
      </c>
      <c r="N1752" s="8" t="s">
        <v>908</v>
      </c>
      <c r="O1752" s="8">
        <v>121</v>
      </c>
      <c r="P1752" s="8" t="s">
        <v>9323</v>
      </c>
      <c r="Q1752" s="8" t="s">
        <v>4262</v>
      </c>
      <c r="R1752" s="8">
        <v>0.497</v>
      </c>
      <c r="S1752" s="8">
        <v>62149457</v>
      </c>
      <c r="T1752" s="8" t="s">
        <v>41</v>
      </c>
      <c r="U1752" s="8" t="s">
        <v>46</v>
      </c>
    </row>
    <row r="1753" spans="1:21">
      <c r="A1753" s="8" t="s">
        <v>8531</v>
      </c>
      <c r="B1753" s="8" t="s">
        <v>9324</v>
      </c>
      <c r="C1753" s="8">
        <v>90799</v>
      </c>
      <c r="D1753" s="8" t="s">
        <v>133</v>
      </c>
      <c r="E1753" s="8">
        <v>62530738</v>
      </c>
      <c r="F1753" s="8">
        <v>62530738</v>
      </c>
      <c r="G1753" s="8" t="s">
        <v>24</v>
      </c>
      <c r="H1753" s="8" t="s">
        <v>41</v>
      </c>
      <c r="I1753" s="8" t="s">
        <v>23</v>
      </c>
      <c r="J1753" s="8" t="s">
        <v>9325</v>
      </c>
      <c r="K1753" s="8" t="s">
        <v>9327</v>
      </c>
      <c r="L1753" s="8" t="s">
        <v>19</v>
      </c>
      <c r="M1753" s="8">
        <v>2011</v>
      </c>
      <c r="N1753" s="8" t="s">
        <v>212</v>
      </c>
      <c r="O1753" s="8">
        <v>651</v>
      </c>
      <c r="P1753" s="8" t="s">
        <v>9326</v>
      </c>
      <c r="Q1753" s="8" t="s">
        <v>4262</v>
      </c>
      <c r="R1753" s="8">
        <v>0.04</v>
      </c>
      <c r="S1753" s="8">
        <v>62530738</v>
      </c>
      <c r="T1753" s="8" t="s">
        <v>24</v>
      </c>
      <c r="U1753" s="8" t="s">
        <v>41</v>
      </c>
    </row>
    <row r="1754" spans="1:21">
      <c r="A1754" s="8" t="s">
        <v>8531</v>
      </c>
      <c r="B1754" s="8" t="s">
        <v>130</v>
      </c>
      <c r="C1754" s="8">
        <v>7157</v>
      </c>
      <c r="D1754" s="8" t="s">
        <v>133</v>
      </c>
      <c r="E1754" s="8">
        <v>7577534</v>
      </c>
      <c r="F1754" s="8">
        <v>7577534</v>
      </c>
      <c r="G1754" s="8" t="s">
        <v>46</v>
      </c>
      <c r="H1754" s="8" t="s">
        <v>25</v>
      </c>
      <c r="I1754" s="8" t="s">
        <v>23</v>
      </c>
      <c r="J1754" s="8" t="s">
        <v>5804</v>
      </c>
      <c r="K1754" s="8" t="s">
        <v>5807</v>
      </c>
      <c r="L1754" s="8" t="s">
        <v>19</v>
      </c>
      <c r="M1754" s="8">
        <v>944</v>
      </c>
      <c r="N1754" s="8" t="s">
        <v>553</v>
      </c>
      <c r="O1754" s="8">
        <v>249</v>
      </c>
      <c r="P1754" s="8" t="s">
        <v>7623</v>
      </c>
      <c r="Q1754" s="8" t="s">
        <v>7624</v>
      </c>
      <c r="R1754" s="8">
        <v>0.53600000000000003</v>
      </c>
      <c r="S1754" s="8">
        <v>7577534</v>
      </c>
      <c r="T1754" s="8" t="s">
        <v>46</v>
      </c>
      <c r="U1754" s="8" t="s">
        <v>25</v>
      </c>
    </row>
    <row r="1755" spans="1:21">
      <c r="A1755" s="8" t="s">
        <v>8531</v>
      </c>
      <c r="B1755" s="8"/>
      <c r="C1755" s="8">
        <v>100653515</v>
      </c>
      <c r="D1755" s="8" t="s">
        <v>133</v>
      </c>
      <c r="E1755" s="8">
        <v>76887174</v>
      </c>
      <c r="F1755" s="8">
        <v>76887174</v>
      </c>
      <c r="G1755" s="8" t="s">
        <v>46</v>
      </c>
      <c r="H1755" s="8" t="s">
        <v>25</v>
      </c>
      <c r="I1755" s="8" t="s">
        <v>23</v>
      </c>
      <c r="J1755" s="8" t="s">
        <v>7625</v>
      </c>
      <c r="K1755" s="8" t="s">
        <v>7627</v>
      </c>
      <c r="L1755" s="8" t="s">
        <v>19</v>
      </c>
      <c r="M1755" s="8">
        <v>1594</v>
      </c>
      <c r="N1755" s="8" t="s">
        <v>780</v>
      </c>
      <c r="O1755" s="8">
        <v>471</v>
      </c>
      <c r="P1755" s="8" t="s">
        <v>9328</v>
      </c>
      <c r="Q1755" s="8" t="s">
        <v>4262</v>
      </c>
      <c r="R1755" s="8">
        <v>0.16900000000000001</v>
      </c>
      <c r="S1755" s="8">
        <v>76887174</v>
      </c>
      <c r="T1755" s="8" t="s">
        <v>46</v>
      </c>
      <c r="U1755" s="8" t="s">
        <v>25</v>
      </c>
    </row>
    <row r="1756" spans="1:21">
      <c r="A1756" s="8" t="s">
        <v>8531</v>
      </c>
      <c r="B1756" s="8"/>
      <c r="C1756" s="8">
        <v>100653515</v>
      </c>
      <c r="D1756" s="8" t="s">
        <v>133</v>
      </c>
      <c r="E1756" s="8">
        <v>76887508</v>
      </c>
      <c r="F1756" s="8">
        <v>76887508</v>
      </c>
      <c r="G1756" s="8" t="s">
        <v>25</v>
      </c>
      <c r="H1756" s="8" t="s">
        <v>41</v>
      </c>
      <c r="I1756" s="8" t="s">
        <v>23</v>
      </c>
      <c r="J1756" s="8" t="s">
        <v>7625</v>
      </c>
      <c r="K1756" s="8" t="s">
        <v>7627</v>
      </c>
      <c r="L1756" s="8" t="s">
        <v>19</v>
      </c>
      <c r="M1756" s="8">
        <v>1260</v>
      </c>
      <c r="N1756" s="8" t="s">
        <v>3260</v>
      </c>
      <c r="O1756" s="8">
        <v>360</v>
      </c>
      <c r="P1756" s="8" t="s">
        <v>9329</v>
      </c>
      <c r="Q1756" s="8" t="s">
        <v>4262</v>
      </c>
      <c r="R1756" s="8">
        <v>0.222</v>
      </c>
      <c r="S1756" s="8">
        <v>76887508</v>
      </c>
      <c r="T1756" s="8" t="s">
        <v>25</v>
      </c>
      <c r="U1756" s="8" t="s">
        <v>41</v>
      </c>
    </row>
    <row r="1757" spans="1:21">
      <c r="A1757" s="8" t="s">
        <v>8531</v>
      </c>
      <c r="B1757" s="8" t="s">
        <v>3274</v>
      </c>
      <c r="C1757" s="8">
        <v>4628</v>
      </c>
      <c r="D1757" s="8" t="s">
        <v>133</v>
      </c>
      <c r="E1757" s="8">
        <v>8395823</v>
      </c>
      <c r="F1757" s="8">
        <v>8395823</v>
      </c>
      <c r="G1757" s="8" t="s">
        <v>25</v>
      </c>
      <c r="H1757" s="8" t="s">
        <v>46</v>
      </c>
      <c r="I1757" s="8" t="s">
        <v>23</v>
      </c>
      <c r="J1757" s="8" t="s">
        <v>9330</v>
      </c>
      <c r="K1757" s="8" t="s">
        <v>9332</v>
      </c>
      <c r="L1757" s="8" t="s">
        <v>76</v>
      </c>
      <c r="M1757" s="8">
        <v>4466</v>
      </c>
      <c r="N1757" s="8" t="s">
        <v>3111</v>
      </c>
      <c r="O1757" s="8">
        <v>1457</v>
      </c>
      <c r="P1757" s="8" t="s">
        <v>9331</v>
      </c>
      <c r="Q1757" s="8" t="s">
        <v>4262</v>
      </c>
      <c r="R1757" s="8">
        <v>0.26100000000000001</v>
      </c>
      <c r="S1757" s="8">
        <v>8395823</v>
      </c>
      <c r="T1757" s="8" t="s">
        <v>25</v>
      </c>
      <c r="U1757" s="8" t="s">
        <v>46</v>
      </c>
    </row>
    <row r="1758" spans="1:21">
      <c r="A1758" s="8" t="s">
        <v>8531</v>
      </c>
      <c r="B1758" s="8" t="s">
        <v>1246</v>
      </c>
      <c r="C1758" s="8">
        <v>1770</v>
      </c>
      <c r="D1758" s="8" t="s">
        <v>133</v>
      </c>
      <c r="E1758" s="8">
        <v>11520908</v>
      </c>
      <c r="F1758" s="8">
        <v>11520908</v>
      </c>
      <c r="G1758" s="8" t="s">
        <v>41</v>
      </c>
      <c r="H1758" s="8" t="s">
        <v>46</v>
      </c>
      <c r="I1758" s="8" t="s">
        <v>23</v>
      </c>
      <c r="J1758" s="8" t="s">
        <v>1247</v>
      </c>
      <c r="K1758" s="8" t="s">
        <v>9334</v>
      </c>
      <c r="L1758" s="8" t="s">
        <v>19</v>
      </c>
      <c r="M1758" s="8">
        <v>1153</v>
      </c>
      <c r="N1758" s="8" t="s">
        <v>540</v>
      </c>
      <c r="O1758" s="8">
        <v>362</v>
      </c>
      <c r="P1758" s="8" t="s">
        <v>9333</v>
      </c>
      <c r="Q1758" s="8" t="s">
        <v>4262</v>
      </c>
      <c r="R1758" s="8">
        <v>0.123</v>
      </c>
      <c r="S1758" s="8">
        <v>11520908</v>
      </c>
      <c r="T1758" s="8" t="s">
        <v>41</v>
      </c>
      <c r="U1758" s="8" t="s">
        <v>46</v>
      </c>
    </row>
    <row r="1759" spans="1:21">
      <c r="A1759" s="8" t="s">
        <v>8531</v>
      </c>
      <c r="B1759" s="8" t="s">
        <v>3265</v>
      </c>
      <c r="C1759" s="8">
        <v>644815</v>
      </c>
      <c r="D1759" s="8" t="s">
        <v>133</v>
      </c>
      <c r="E1759" s="8">
        <v>18907233</v>
      </c>
      <c r="F1759" s="8">
        <v>18907233</v>
      </c>
      <c r="G1759" s="8" t="s">
        <v>46</v>
      </c>
      <c r="H1759" s="8" t="s">
        <v>25</v>
      </c>
      <c r="I1759" s="8" t="s">
        <v>23</v>
      </c>
      <c r="J1759" s="8" t="s">
        <v>3266</v>
      </c>
      <c r="K1759" s="8" t="s">
        <v>9336</v>
      </c>
      <c r="L1759" s="8" t="s">
        <v>19</v>
      </c>
      <c r="M1759" s="8">
        <v>289</v>
      </c>
      <c r="N1759" s="8" t="s">
        <v>1288</v>
      </c>
      <c r="O1759" s="8">
        <v>41</v>
      </c>
      <c r="P1759" s="8" t="s">
        <v>9335</v>
      </c>
      <c r="Q1759" s="8" t="s">
        <v>4262</v>
      </c>
      <c r="R1759" s="8">
        <v>0.31</v>
      </c>
      <c r="S1759" s="8">
        <v>18907233</v>
      </c>
      <c r="T1759" s="8" t="s">
        <v>46</v>
      </c>
      <c r="U1759" s="8" t="s">
        <v>25</v>
      </c>
    </row>
    <row r="1760" spans="1:21">
      <c r="A1760" s="8" t="s">
        <v>8531</v>
      </c>
      <c r="B1760" s="8" t="s">
        <v>3267</v>
      </c>
      <c r="C1760" s="8">
        <v>22905</v>
      </c>
      <c r="D1760" s="8" t="s">
        <v>133</v>
      </c>
      <c r="E1760" s="8">
        <v>19186509</v>
      </c>
      <c r="F1760" s="8">
        <v>19186509</v>
      </c>
      <c r="G1760" s="8" t="s">
        <v>25</v>
      </c>
      <c r="H1760" s="8" t="s">
        <v>41</v>
      </c>
      <c r="I1760" s="8" t="s">
        <v>23</v>
      </c>
      <c r="J1760" s="8" t="s">
        <v>9337</v>
      </c>
      <c r="K1760" s="8" t="s">
        <v>9339</v>
      </c>
      <c r="L1760" s="8" t="s">
        <v>19</v>
      </c>
      <c r="M1760" s="8">
        <v>525</v>
      </c>
      <c r="N1760" s="8" t="s">
        <v>3268</v>
      </c>
      <c r="O1760" s="8">
        <v>26</v>
      </c>
      <c r="P1760" s="8" t="s">
        <v>9338</v>
      </c>
      <c r="Q1760" s="8" t="s">
        <v>4262</v>
      </c>
      <c r="R1760" s="8">
        <v>0.245</v>
      </c>
      <c r="S1760" s="8">
        <v>19186509</v>
      </c>
      <c r="T1760" s="8" t="s">
        <v>25</v>
      </c>
      <c r="U1760" s="8" t="s">
        <v>41</v>
      </c>
    </row>
    <row r="1761" spans="1:21">
      <c r="A1761" s="8" t="s">
        <v>8531</v>
      </c>
      <c r="B1761" s="8" t="s">
        <v>9340</v>
      </c>
      <c r="C1761" s="8">
        <v>55244</v>
      </c>
      <c r="D1761" s="8" t="s">
        <v>133</v>
      </c>
      <c r="E1761" s="8">
        <v>19458958</v>
      </c>
      <c r="F1761" s="8">
        <v>19458958</v>
      </c>
      <c r="G1761" s="8" t="s">
        <v>41</v>
      </c>
      <c r="H1761" s="8" t="s">
        <v>46</v>
      </c>
      <c r="I1761" s="8" t="s">
        <v>23</v>
      </c>
      <c r="J1761" s="8" t="s">
        <v>9341</v>
      </c>
      <c r="K1761" s="8" t="s">
        <v>9343</v>
      </c>
      <c r="L1761" s="8" t="s">
        <v>19</v>
      </c>
      <c r="M1761" s="8">
        <v>780</v>
      </c>
      <c r="N1761" s="8" t="s">
        <v>200</v>
      </c>
      <c r="O1761" s="8">
        <v>232</v>
      </c>
      <c r="P1761" s="8" t="s">
        <v>9342</v>
      </c>
      <c r="Q1761" s="8" t="s">
        <v>4262</v>
      </c>
      <c r="R1761" s="8">
        <v>0.16500000000000001</v>
      </c>
      <c r="S1761" s="8">
        <v>19458958</v>
      </c>
      <c r="T1761" s="8" t="s">
        <v>41</v>
      </c>
      <c r="U1761" s="8" t="s">
        <v>46</v>
      </c>
    </row>
    <row r="1762" spans="1:21">
      <c r="A1762" s="8" t="s">
        <v>8531</v>
      </c>
      <c r="B1762" s="8" t="s">
        <v>1778</v>
      </c>
      <c r="C1762" s="8">
        <v>230</v>
      </c>
      <c r="D1762" s="8" t="s">
        <v>133</v>
      </c>
      <c r="E1762" s="8">
        <v>26902325</v>
      </c>
      <c r="F1762" s="8">
        <v>26902325</v>
      </c>
      <c r="G1762" s="8" t="s">
        <v>25</v>
      </c>
      <c r="H1762" s="8" t="s">
        <v>46</v>
      </c>
      <c r="I1762" s="8" t="s">
        <v>23</v>
      </c>
      <c r="J1762" s="8" t="s">
        <v>9344</v>
      </c>
      <c r="K1762" s="8" t="s">
        <v>9346</v>
      </c>
      <c r="L1762" s="8" t="s">
        <v>19</v>
      </c>
      <c r="M1762" s="8">
        <v>285</v>
      </c>
      <c r="N1762" s="8" t="s">
        <v>1328</v>
      </c>
      <c r="O1762" s="8">
        <v>47</v>
      </c>
      <c r="P1762" s="8" t="s">
        <v>9345</v>
      </c>
      <c r="Q1762" s="8" t="s">
        <v>4262</v>
      </c>
      <c r="R1762" s="8">
        <v>0.11600000000000001</v>
      </c>
      <c r="S1762" s="8">
        <v>26902325</v>
      </c>
      <c r="T1762" s="8" t="s">
        <v>25</v>
      </c>
      <c r="U1762" s="8" t="s">
        <v>46</v>
      </c>
    </row>
    <row r="1763" spans="1:21">
      <c r="A1763" s="8" t="s">
        <v>8531</v>
      </c>
      <c r="B1763" s="8" t="s">
        <v>9347</v>
      </c>
      <c r="C1763" s="8">
        <v>6354</v>
      </c>
      <c r="D1763" s="8" t="s">
        <v>133</v>
      </c>
      <c r="E1763" s="8">
        <v>32598218</v>
      </c>
      <c r="F1763" s="8">
        <v>32598218</v>
      </c>
      <c r="G1763" s="8" t="s">
        <v>46</v>
      </c>
      <c r="H1763" s="8" t="s">
        <v>25</v>
      </c>
      <c r="I1763" s="8" t="s">
        <v>23</v>
      </c>
      <c r="J1763" s="8" t="s">
        <v>9348</v>
      </c>
      <c r="K1763" s="8" t="s">
        <v>9350</v>
      </c>
      <c r="L1763" s="8" t="s">
        <v>19</v>
      </c>
      <c r="M1763" s="8">
        <v>200</v>
      </c>
      <c r="N1763" s="8" t="s">
        <v>1005</v>
      </c>
      <c r="O1763" s="8">
        <v>44</v>
      </c>
      <c r="P1763" s="8" t="s">
        <v>9349</v>
      </c>
      <c r="Q1763" s="8" t="s">
        <v>4262</v>
      </c>
      <c r="R1763" s="8">
        <v>0.129</v>
      </c>
      <c r="S1763" s="8">
        <v>32598218</v>
      </c>
      <c r="T1763" s="8" t="s">
        <v>46</v>
      </c>
      <c r="U1763" s="8" t="s">
        <v>25</v>
      </c>
    </row>
    <row r="1764" spans="1:21">
      <c r="A1764" s="8" t="s">
        <v>8531</v>
      </c>
      <c r="B1764" s="8" t="s">
        <v>3269</v>
      </c>
      <c r="C1764" s="8">
        <v>6521</v>
      </c>
      <c r="D1764" s="8" t="s">
        <v>133</v>
      </c>
      <c r="E1764" s="8">
        <v>42331981</v>
      </c>
      <c r="F1764" s="8">
        <v>42331981</v>
      </c>
      <c r="G1764" s="8" t="s">
        <v>46</v>
      </c>
      <c r="H1764" s="8" t="s">
        <v>25</v>
      </c>
      <c r="I1764" s="8" t="s">
        <v>23</v>
      </c>
      <c r="J1764" s="8" t="s">
        <v>3270</v>
      </c>
      <c r="K1764" s="8" t="s">
        <v>9353</v>
      </c>
      <c r="L1764" s="8" t="s">
        <v>19</v>
      </c>
      <c r="M1764" s="8">
        <v>2089</v>
      </c>
      <c r="N1764" s="8" t="s">
        <v>710</v>
      </c>
      <c r="O1764" s="8">
        <v>647</v>
      </c>
      <c r="P1764" s="8" t="s">
        <v>9351</v>
      </c>
      <c r="Q1764" s="8" t="s">
        <v>9352</v>
      </c>
      <c r="R1764" s="8">
        <v>0.32500000000000001</v>
      </c>
      <c r="S1764" s="8">
        <v>42331981</v>
      </c>
      <c r="T1764" s="8" t="s">
        <v>46</v>
      </c>
      <c r="U1764" s="8" t="s">
        <v>25</v>
      </c>
    </row>
    <row r="1765" spans="1:21">
      <c r="A1765" s="8" t="s">
        <v>8531</v>
      </c>
      <c r="B1765" s="8" t="s">
        <v>9354</v>
      </c>
      <c r="C1765" s="8">
        <v>3675</v>
      </c>
      <c r="D1765" s="8" t="s">
        <v>133</v>
      </c>
      <c r="E1765" s="8">
        <v>48154746</v>
      </c>
      <c r="F1765" s="8">
        <v>48154746</v>
      </c>
      <c r="G1765" s="8" t="s">
        <v>24</v>
      </c>
      <c r="H1765" s="8" t="s">
        <v>41</v>
      </c>
      <c r="I1765" s="8" t="s">
        <v>23</v>
      </c>
      <c r="J1765" s="8" t="s">
        <v>9355</v>
      </c>
      <c r="K1765" s="8" t="s">
        <v>9357</v>
      </c>
      <c r="L1765" s="8" t="s">
        <v>19</v>
      </c>
      <c r="M1765" s="8">
        <v>2538</v>
      </c>
      <c r="N1765" s="8" t="s">
        <v>132</v>
      </c>
      <c r="O1765" s="8">
        <v>692</v>
      </c>
      <c r="P1765" s="8" t="s">
        <v>9356</v>
      </c>
      <c r="Q1765" s="8" t="s">
        <v>4262</v>
      </c>
      <c r="R1765" s="8">
        <v>0.14399999999999999</v>
      </c>
      <c r="S1765" s="8">
        <v>48154746</v>
      </c>
      <c r="T1765" s="8" t="s">
        <v>24</v>
      </c>
      <c r="U1765" s="8" t="s">
        <v>41</v>
      </c>
    </row>
    <row r="1766" spans="1:21">
      <c r="A1766" s="8" t="s">
        <v>8531</v>
      </c>
      <c r="B1766" s="8" t="s">
        <v>1483</v>
      </c>
      <c r="C1766" s="8">
        <v>1277</v>
      </c>
      <c r="D1766" s="8" t="s">
        <v>133</v>
      </c>
      <c r="E1766" s="8">
        <v>48270030</v>
      </c>
      <c r="F1766" s="8">
        <v>48270030</v>
      </c>
      <c r="G1766" s="8" t="s">
        <v>24</v>
      </c>
      <c r="H1766" s="8" t="s">
        <v>41</v>
      </c>
      <c r="I1766" s="8" t="s">
        <v>23</v>
      </c>
      <c r="J1766" s="8" t="s">
        <v>1484</v>
      </c>
      <c r="K1766" s="8" t="s">
        <v>8260</v>
      </c>
      <c r="L1766" s="8" t="s">
        <v>19</v>
      </c>
      <c r="M1766" s="8">
        <v>2026</v>
      </c>
      <c r="N1766" s="8" t="s">
        <v>3144</v>
      </c>
      <c r="O1766" s="8">
        <v>634</v>
      </c>
      <c r="P1766" s="8" t="s">
        <v>9358</v>
      </c>
      <c r="Q1766" s="8" t="s">
        <v>4262</v>
      </c>
      <c r="R1766" s="8">
        <v>0.26700000000000002</v>
      </c>
      <c r="S1766" s="8">
        <v>48270030</v>
      </c>
      <c r="T1766" s="8" t="s">
        <v>24</v>
      </c>
      <c r="U1766" s="8" t="s">
        <v>41</v>
      </c>
    </row>
    <row r="1767" spans="1:21">
      <c r="A1767" s="8" t="s">
        <v>8531</v>
      </c>
      <c r="B1767" s="8" t="s">
        <v>4950</v>
      </c>
      <c r="C1767" s="8">
        <v>55205</v>
      </c>
      <c r="D1767" s="8" t="s">
        <v>135</v>
      </c>
      <c r="E1767" s="8">
        <v>56586325</v>
      </c>
      <c r="F1767" s="8">
        <v>56586325</v>
      </c>
      <c r="G1767" s="8" t="s">
        <v>46</v>
      </c>
      <c r="H1767" s="8" t="s">
        <v>41</v>
      </c>
      <c r="I1767" s="8" t="s">
        <v>23</v>
      </c>
      <c r="J1767" s="8" t="s">
        <v>4951</v>
      </c>
      <c r="K1767" s="8" t="s">
        <v>4953</v>
      </c>
      <c r="L1767" s="8" t="s">
        <v>19</v>
      </c>
      <c r="M1767" s="8">
        <v>1353</v>
      </c>
      <c r="N1767" s="8" t="s">
        <v>309</v>
      </c>
      <c r="O1767" s="8">
        <v>269</v>
      </c>
      <c r="P1767" s="8" t="s">
        <v>9359</v>
      </c>
      <c r="Q1767" s="8" t="s">
        <v>4262</v>
      </c>
      <c r="R1767" s="8">
        <v>0.06</v>
      </c>
      <c r="S1767" s="8">
        <v>56586325</v>
      </c>
      <c r="T1767" s="8" t="s">
        <v>46</v>
      </c>
      <c r="U1767" s="8" t="s">
        <v>41</v>
      </c>
    </row>
    <row r="1768" spans="1:21">
      <c r="A1768" s="8" t="s">
        <v>8531</v>
      </c>
      <c r="B1768" s="8" t="s">
        <v>9360</v>
      </c>
      <c r="C1768" s="8">
        <v>596</v>
      </c>
      <c r="D1768" s="8" t="s">
        <v>135</v>
      </c>
      <c r="E1768" s="8">
        <v>60985395</v>
      </c>
      <c r="F1768" s="8">
        <v>60985395</v>
      </c>
      <c r="G1768" s="8" t="s">
        <v>24</v>
      </c>
      <c r="H1768" s="8" t="s">
        <v>41</v>
      </c>
      <c r="I1768" s="8" t="s">
        <v>23</v>
      </c>
      <c r="J1768" s="8" t="s">
        <v>9361</v>
      </c>
      <c r="K1768" s="8" t="s">
        <v>9363</v>
      </c>
      <c r="L1768" s="8" t="s">
        <v>19</v>
      </c>
      <c r="M1768" s="8">
        <v>998</v>
      </c>
      <c r="N1768" s="8" t="s">
        <v>598</v>
      </c>
      <c r="O1768" s="8">
        <v>169</v>
      </c>
      <c r="P1768" s="8" t="s">
        <v>9362</v>
      </c>
      <c r="Q1768" s="8" t="s">
        <v>4262</v>
      </c>
      <c r="R1768" s="8">
        <v>0.192</v>
      </c>
      <c r="S1768" s="8">
        <v>60985395</v>
      </c>
      <c r="T1768" s="8" t="s">
        <v>24</v>
      </c>
      <c r="U1768" s="8" t="s">
        <v>41</v>
      </c>
    </row>
    <row r="1769" spans="1:21">
      <c r="A1769" s="8" t="s">
        <v>8531</v>
      </c>
      <c r="B1769" s="8" t="s">
        <v>9364</v>
      </c>
      <c r="C1769" s="8">
        <v>59340</v>
      </c>
      <c r="D1769" s="8" t="s">
        <v>135</v>
      </c>
      <c r="E1769" s="8">
        <v>22056840</v>
      </c>
      <c r="F1769" s="8">
        <v>22056840</v>
      </c>
      <c r="G1769" s="8" t="s">
        <v>24</v>
      </c>
      <c r="H1769" s="8" t="s">
        <v>41</v>
      </c>
      <c r="I1769" s="8" t="s">
        <v>23</v>
      </c>
      <c r="J1769" s="8" t="s">
        <v>9365</v>
      </c>
      <c r="K1769" s="8" t="s">
        <v>9367</v>
      </c>
      <c r="L1769" s="8" t="s">
        <v>76</v>
      </c>
      <c r="M1769" s="8">
        <v>587</v>
      </c>
      <c r="N1769" s="8" t="s">
        <v>625</v>
      </c>
      <c r="O1769" s="8">
        <v>163</v>
      </c>
      <c r="P1769" s="8" t="s">
        <v>9366</v>
      </c>
      <c r="Q1769" s="8" t="s">
        <v>4262</v>
      </c>
      <c r="R1769" s="8">
        <v>9.0999999999999998E-2</v>
      </c>
      <c r="S1769" s="8">
        <v>22056840</v>
      </c>
      <c r="T1769" s="8" t="s">
        <v>24</v>
      </c>
      <c r="U1769" s="8" t="s">
        <v>41</v>
      </c>
    </row>
    <row r="1770" spans="1:21">
      <c r="A1770" s="8" t="s">
        <v>8531</v>
      </c>
      <c r="B1770" s="8" t="s">
        <v>3275</v>
      </c>
      <c r="C1770" s="8">
        <v>81035</v>
      </c>
      <c r="D1770" s="8" t="s">
        <v>135</v>
      </c>
      <c r="E1770" s="8">
        <v>335140</v>
      </c>
      <c r="F1770" s="8">
        <v>335140</v>
      </c>
      <c r="G1770" s="8" t="s">
        <v>46</v>
      </c>
      <c r="H1770" s="8" t="s">
        <v>25</v>
      </c>
      <c r="I1770" s="8" t="s">
        <v>23</v>
      </c>
      <c r="J1770" s="8" t="s">
        <v>3276</v>
      </c>
      <c r="K1770" s="8" t="s">
        <v>6287</v>
      </c>
      <c r="L1770" s="8" t="s">
        <v>19</v>
      </c>
      <c r="M1770" s="8">
        <v>1633</v>
      </c>
      <c r="N1770" s="8" t="s">
        <v>270</v>
      </c>
      <c r="O1770" s="8">
        <v>473</v>
      </c>
      <c r="P1770" s="8" t="s">
        <v>9368</v>
      </c>
      <c r="Q1770" s="8" t="s">
        <v>4262</v>
      </c>
      <c r="R1770" s="8">
        <v>0.28100000000000003</v>
      </c>
      <c r="S1770" s="8">
        <v>335140</v>
      </c>
      <c r="T1770" s="8" t="s">
        <v>46</v>
      </c>
      <c r="U1770" s="8" t="s">
        <v>25</v>
      </c>
    </row>
    <row r="1771" spans="1:21">
      <c r="A1771" s="8" t="s">
        <v>8531</v>
      </c>
      <c r="B1771" s="8" t="s">
        <v>9369</v>
      </c>
      <c r="C1771" s="8">
        <v>25941</v>
      </c>
      <c r="D1771" s="8" t="s">
        <v>135</v>
      </c>
      <c r="E1771" s="8">
        <v>34376772</v>
      </c>
      <c r="F1771" s="8">
        <v>34376772</v>
      </c>
      <c r="G1771" s="8" t="s">
        <v>41</v>
      </c>
      <c r="H1771" s="8" t="s">
        <v>46</v>
      </c>
      <c r="I1771" s="8" t="s">
        <v>23</v>
      </c>
      <c r="J1771" s="8" t="s">
        <v>9370</v>
      </c>
      <c r="K1771" s="8" t="s">
        <v>9372</v>
      </c>
      <c r="L1771" s="8" t="s">
        <v>19</v>
      </c>
      <c r="M1771" s="8">
        <v>1327</v>
      </c>
      <c r="N1771" s="8" t="s">
        <v>908</v>
      </c>
      <c r="O1771" s="8">
        <v>300</v>
      </c>
      <c r="P1771" s="8" t="s">
        <v>9371</v>
      </c>
      <c r="Q1771" s="8" t="s">
        <v>4262</v>
      </c>
      <c r="R1771" s="8">
        <v>0.111</v>
      </c>
      <c r="S1771" s="8">
        <v>34376772</v>
      </c>
      <c r="T1771" s="8" t="s">
        <v>41</v>
      </c>
      <c r="U1771" s="8" t="s">
        <v>46</v>
      </c>
    </row>
    <row r="1772" spans="1:21">
      <c r="A1772" s="8" t="s">
        <v>8531</v>
      </c>
      <c r="B1772" s="8" t="s">
        <v>1798</v>
      </c>
      <c r="C1772" s="8">
        <v>4152</v>
      </c>
      <c r="D1772" s="8" t="s">
        <v>135</v>
      </c>
      <c r="E1772" s="8">
        <v>47802019</v>
      </c>
      <c r="F1772" s="8">
        <v>47802019</v>
      </c>
      <c r="G1772" s="8" t="s">
        <v>46</v>
      </c>
      <c r="H1772" s="8" t="s">
        <v>25</v>
      </c>
      <c r="I1772" s="8" t="s">
        <v>23</v>
      </c>
      <c r="J1772" s="8" t="s">
        <v>9373</v>
      </c>
      <c r="K1772" s="8" t="s">
        <v>9375</v>
      </c>
      <c r="L1772" s="8" t="s">
        <v>19</v>
      </c>
      <c r="M1772" s="8">
        <v>1180</v>
      </c>
      <c r="N1772" s="8" t="s">
        <v>1288</v>
      </c>
      <c r="O1772" s="8">
        <v>248</v>
      </c>
      <c r="P1772" s="8" t="s">
        <v>9374</v>
      </c>
      <c r="Q1772" s="8" t="s">
        <v>4262</v>
      </c>
      <c r="R1772" s="8">
        <v>0.38100000000000001</v>
      </c>
      <c r="S1772" s="8">
        <v>47802019</v>
      </c>
      <c r="T1772" s="8" t="s">
        <v>46</v>
      </c>
      <c r="U1772" s="8" t="s">
        <v>25</v>
      </c>
    </row>
    <row r="1773" spans="1:21">
      <c r="A1773" s="8" t="s">
        <v>8531</v>
      </c>
      <c r="B1773" s="8" t="s">
        <v>9376</v>
      </c>
      <c r="C1773" s="8">
        <v>284370</v>
      </c>
      <c r="D1773" s="8" t="s">
        <v>139</v>
      </c>
      <c r="E1773" s="8">
        <v>52505465</v>
      </c>
      <c r="F1773" s="8">
        <v>52505465</v>
      </c>
      <c r="G1773" s="8" t="s">
        <v>24</v>
      </c>
      <c r="H1773" s="8" t="s">
        <v>46</v>
      </c>
      <c r="I1773" s="8" t="s">
        <v>23</v>
      </c>
      <c r="J1773" s="8" t="s">
        <v>9377</v>
      </c>
      <c r="K1773" s="8" t="s">
        <v>9379</v>
      </c>
      <c r="L1773" s="8" t="s">
        <v>19</v>
      </c>
      <c r="M1773" s="8">
        <v>402</v>
      </c>
      <c r="N1773" s="8" t="s">
        <v>602</v>
      </c>
      <c r="O1773" s="8">
        <v>29</v>
      </c>
      <c r="P1773" s="8" t="s">
        <v>9378</v>
      </c>
      <c r="Q1773" s="8" t="s">
        <v>4262</v>
      </c>
      <c r="R1773" s="8">
        <v>5.8999999999999997E-2</v>
      </c>
      <c r="S1773" s="8">
        <v>52505465</v>
      </c>
      <c r="T1773" s="8" t="s">
        <v>24</v>
      </c>
      <c r="U1773" s="8" t="s">
        <v>46</v>
      </c>
    </row>
    <row r="1774" spans="1:21">
      <c r="A1774" s="8" t="s">
        <v>8531</v>
      </c>
      <c r="B1774" s="8" t="s">
        <v>1354</v>
      </c>
      <c r="C1774" s="8">
        <v>11027</v>
      </c>
      <c r="D1774" s="8" t="s">
        <v>139</v>
      </c>
      <c r="E1774" s="8">
        <v>55085965</v>
      </c>
      <c r="F1774" s="8">
        <v>55085965</v>
      </c>
      <c r="G1774" s="8" t="s">
        <v>24</v>
      </c>
      <c r="H1774" s="8" t="s">
        <v>41</v>
      </c>
      <c r="I1774" s="8" t="s">
        <v>23</v>
      </c>
      <c r="J1774" s="8" t="s">
        <v>9380</v>
      </c>
      <c r="K1774" s="8" t="s">
        <v>9382</v>
      </c>
      <c r="L1774" s="8" t="s">
        <v>76</v>
      </c>
      <c r="M1774" s="8">
        <v>357</v>
      </c>
      <c r="N1774" s="8" t="s">
        <v>625</v>
      </c>
      <c r="O1774" s="8">
        <v>90</v>
      </c>
      <c r="P1774" s="8" t="s">
        <v>9381</v>
      </c>
      <c r="Q1774" s="8" t="s">
        <v>4262</v>
      </c>
      <c r="R1774" s="8">
        <v>0.104</v>
      </c>
      <c r="S1774" s="8">
        <v>55085965</v>
      </c>
      <c r="T1774" s="8" t="s">
        <v>24</v>
      </c>
      <c r="U1774" s="8" t="s">
        <v>41</v>
      </c>
    </row>
    <row r="1775" spans="1:21">
      <c r="A1775" s="8" t="s">
        <v>8531</v>
      </c>
      <c r="B1775" s="8" t="s">
        <v>9383</v>
      </c>
      <c r="C1775" s="8">
        <v>11006</v>
      </c>
      <c r="D1775" s="8" t="s">
        <v>139</v>
      </c>
      <c r="E1775" s="8">
        <v>55175919</v>
      </c>
      <c r="F1775" s="8">
        <v>55175919</v>
      </c>
      <c r="G1775" s="8" t="s">
        <v>41</v>
      </c>
      <c r="H1775" s="8" t="s">
        <v>46</v>
      </c>
      <c r="I1775" s="8" t="s">
        <v>23</v>
      </c>
      <c r="J1775" s="8" t="s">
        <v>9384</v>
      </c>
      <c r="K1775" s="8" t="s">
        <v>9386</v>
      </c>
      <c r="L1775" s="8" t="s">
        <v>19</v>
      </c>
      <c r="M1775" s="8">
        <v>1000</v>
      </c>
      <c r="N1775" s="8" t="s">
        <v>3026</v>
      </c>
      <c r="O1775" s="8">
        <v>213</v>
      </c>
      <c r="P1775" s="8" t="s">
        <v>9385</v>
      </c>
      <c r="Q1775" s="8" t="s">
        <v>4262</v>
      </c>
      <c r="R1775" s="8">
        <v>0.183</v>
      </c>
      <c r="S1775" s="8">
        <v>55175919</v>
      </c>
      <c r="T1775" s="8" t="s">
        <v>41</v>
      </c>
      <c r="U1775" s="8" t="s">
        <v>46</v>
      </c>
    </row>
    <row r="1776" spans="1:21">
      <c r="A1776" s="8" t="s">
        <v>8531</v>
      </c>
      <c r="B1776" s="8" t="s">
        <v>9387</v>
      </c>
      <c r="C1776" s="8">
        <v>79763</v>
      </c>
      <c r="D1776" s="8" t="s">
        <v>139</v>
      </c>
      <c r="E1776" s="8">
        <v>55967847</v>
      </c>
      <c r="F1776" s="8">
        <v>55967847</v>
      </c>
      <c r="G1776" s="8" t="s">
        <v>46</v>
      </c>
      <c r="H1776" s="8" t="s">
        <v>41</v>
      </c>
      <c r="I1776" s="8" t="s">
        <v>23</v>
      </c>
      <c r="J1776" s="8" t="s">
        <v>9388</v>
      </c>
      <c r="K1776" s="8" t="s">
        <v>9389</v>
      </c>
      <c r="L1776" s="8" t="s">
        <v>19</v>
      </c>
      <c r="M1776" s="8">
        <v>181</v>
      </c>
      <c r="N1776" s="8" t="s">
        <v>768</v>
      </c>
      <c r="O1776" s="8">
        <v>3</v>
      </c>
      <c r="P1776" s="8" t="s">
        <v>8998</v>
      </c>
      <c r="Q1776" s="8" t="s">
        <v>4262</v>
      </c>
      <c r="R1776" s="8">
        <v>0.37</v>
      </c>
      <c r="S1776" s="8">
        <v>55967847</v>
      </c>
      <c r="T1776" s="8" t="s">
        <v>46</v>
      </c>
      <c r="U1776" s="8" t="s">
        <v>41</v>
      </c>
    </row>
    <row r="1777" spans="1:21">
      <c r="A1777" s="8" t="s">
        <v>8531</v>
      </c>
      <c r="B1777" s="8" t="s">
        <v>9390</v>
      </c>
      <c r="C1777" s="8">
        <v>204801</v>
      </c>
      <c r="D1777" s="8" t="s">
        <v>139</v>
      </c>
      <c r="E1777" s="8">
        <v>56329303</v>
      </c>
      <c r="F1777" s="8">
        <v>56329303</v>
      </c>
      <c r="G1777" s="8" t="s">
        <v>46</v>
      </c>
      <c r="H1777" s="8" t="s">
        <v>25</v>
      </c>
      <c r="I1777" s="8" t="s">
        <v>23</v>
      </c>
      <c r="J1777" s="8" t="s">
        <v>9391</v>
      </c>
      <c r="K1777" s="8" t="s">
        <v>9393</v>
      </c>
      <c r="L1777" s="8" t="s">
        <v>19</v>
      </c>
      <c r="M1777" s="8">
        <v>949</v>
      </c>
      <c r="N1777" s="8" t="s">
        <v>883</v>
      </c>
      <c r="O1777" s="8">
        <v>80</v>
      </c>
      <c r="P1777" s="8" t="s">
        <v>9392</v>
      </c>
      <c r="Q1777" s="8" t="s">
        <v>4262</v>
      </c>
      <c r="R1777" s="8">
        <v>0.115</v>
      </c>
      <c r="S1777" s="8">
        <v>56329303</v>
      </c>
      <c r="T1777" s="8" t="s">
        <v>46</v>
      </c>
      <c r="U1777" s="8" t="s">
        <v>25</v>
      </c>
    </row>
    <row r="1778" spans="1:21">
      <c r="A1778" s="8" t="s">
        <v>8531</v>
      </c>
      <c r="B1778" s="8" t="s">
        <v>9394</v>
      </c>
      <c r="C1778" s="8">
        <v>51710</v>
      </c>
      <c r="D1778" s="8" t="s">
        <v>139</v>
      </c>
      <c r="E1778" s="8">
        <v>12384472</v>
      </c>
      <c r="F1778" s="8">
        <v>12384472</v>
      </c>
      <c r="G1778" s="8" t="s">
        <v>46</v>
      </c>
      <c r="H1778" s="8" t="s">
        <v>24</v>
      </c>
      <c r="I1778" s="8" t="s">
        <v>23</v>
      </c>
      <c r="J1778" s="8" t="s">
        <v>9395</v>
      </c>
      <c r="K1778" s="8" t="s">
        <v>9397</v>
      </c>
      <c r="L1778" s="8" t="s">
        <v>19</v>
      </c>
      <c r="M1778" s="8">
        <v>947</v>
      </c>
      <c r="N1778" s="8" t="s">
        <v>564</v>
      </c>
      <c r="O1778" s="8">
        <v>248</v>
      </c>
      <c r="P1778" s="8" t="s">
        <v>9396</v>
      </c>
      <c r="Q1778" s="8" t="s">
        <v>4262</v>
      </c>
      <c r="R1778" s="8">
        <v>0.13400000000000001</v>
      </c>
      <c r="S1778" s="8">
        <v>12384472</v>
      </c>
      <c r="T1778" s="8" t="s">
        <v>46</v>
      </c>
      <c r="U1778" s="8" t="s">
        <v>24</v>
      </c>
    </row>
    <row r="1779" spans="1:21">
      <c r="A1779" s="8" t="s">
        <v>8531</v>
      </c>
      <c r="B1779" s="8" t="s">
        <v>9398</v>
      </c>
      <c r="C1779" s="8">
        <v>79973</v>
      </c>
      <c r="D1779" s="8" t="s">
        <v>139</v>
      </c>
      <c r="E1779" s="8">
        <v>12461773</v>
      </c>
      <c r="F1779" s="8">
        <v>12461773</v>
      </c>
      <c r="G1779" s="8" t="s">
        <v>41</v>
      </c>
      <c r="H1779" s="8" t="s">
        <v>25</v>
      </c>
      <c r="I1779" s="8" t="s">
        <v>23</v>
      </c>
      <c r="J1779" s="8" t="s">
        <v>9399</v>
      </c>
      <c r="K1779" s="8" t="s">
        <v>9401</v>
      </c>
      <c r="L1779" s="8" t="s">
        <v>19</v>
      </c>
      <c r="M1779" s="8">
        <v>1237</v>
      </c>
      <c r="N1779" s="8" t="s">
        <v>3761</v>
      </c>
      <c r="O1779" s="8">
        <v>209</v>
      </c>
      <c r="P1779" s="8" t="s">
        <v>9400</v>
      </c>
      <c r="Q1779" s="8" t="s">
        <v>4262</v>
      </c>
      <c r="R1779" s="8">
        <v>0.17599999999999999</v>
      </c>
      <c r="S1779" s="8">
        <v>12461773</v>
      </c>
      <c r="T1779" s="8" t="s">
        <v>41</v>
      </c>
      <c r="U1779" s="8" t="s">
        <v>25</v>
      </c>
    </row>
    <row r="1780" spans="1:21">
      <c r="A1780" s="8" t="s">
        <v>8531</v>
      </c>
      <c r="B1780" s="8" t="s">
        <v>3277</v>
      </c>
      <c r="C1780" s="8">
        <v>976</v>
      </c>
      <c r="D1780" s="8" t="s">
        <v>139</v>
      </c>
      <c r="E1780" s="8">
        <v>14513414</v>
      </c>
      <c r="F1780" s="8">
        <v>14513414</v>
      </c>
      <c r="G1780" s="8" t="s">
        <v>24</v>
      </c>
      <c r="H1780" s="8" t="s">
        <v>41</v>
      </c>
      <c r="I1780" s="8" t="s">
        <v>23</v>
      </c>
      <c r="J1780" s="8" t="s">
        <v>9402</v>
      </c>
      <c r="K1780" s="8" t="s">
        <v>9404</v>
      </c>
      <c r="L1780" s="8" t="s">
        <v>19</v>
      </c>
      <c r="M1780" s="8">
        <v>1569</v>
      </c>
      <c r="N1780" s="8" t="s">
        <v>256</v>
      </c>
      <c r="O1780" s="8">
        <v>397</v>
      </c>
      <c r="P1780" s="8" t="s">
        <v>9403</v>
      </c>
      <c r="Q1780" s="8" t="s">
        <v>4262</v>
      </c>
      <c r="R1780" s="8">
        <v>0.30399999999999999</v>
      </c>
      <c r="S1780" s="8">
        <v>14513414</v>
      </c>
      <c r="T1780" s="8" t="s">
        <v>24</v>
      </c>
      <c r="U1780" s="8" t="s">
        <v>41</v>
      </c>
    </row>
    <row r="1781" spans="1:21">
      <c r="A1781" s="8" t="s">
        <v>8531</v>
      </c>
      <c r="B1781" s="8" t="s">
        <v>9405</v>
      </c>
      <c r="C1781" s="8">
        <v>284434</v>
      </c>
      <c r="D1781" s="8" t="s">
        <v>139</v>
      </c>
      <c r="E1781" s="8">
        <v>16875872</v>
      </c>
      <c r="F1781" s="8">
        <v>16875872</v>
      </c>
      <c r="G1781" s="8" t="s">
        <v>24</v>
      </c>
      <c r="H1781" s="8" t="s">
        <v>41</v>
      </c>
      <c r="I1781" s="8" t="s">
        <v>23</v>
      </c>
      <c r="J1781" s="8" t="s">
        <v>9406</v>
      </c>
      <c r="K1781" s="8" t="s">
        <v>9408</v>
      </c>
      <c r="L1781" s="8" t="s">
        <v>19</v>
      </c>
      <c r="M1781" s="8">
        <v>2701</v>
      </c>
      <c r="N1781" s="8" t="s">
        <v>710</v>
      </c>
      <c r="O1781" s="8">
        <v>760</v>
      </c>
      <c r="P1781" s="8" t="s">
        <v>9407</v>
      </c>
      <c r="Q1781" s="8" t="s">
        <v>4262</v>
      </c>
      <c r="R1781" s="8">
        <v>0.106</v>
      </c>
      <c r="S1781" s="8">
        <v>16875872</v>
      </c>
      <c r="T1781" s="8" t="s">
        <v>24</v>
      </c>
      <c r="U1781" s="8" t="s">
        <v>41</v>
      </c>
    </row>
    <row r="1782" spans="1:21">
      <c r="A1782" s="8" t="s">
        <v>8531</v>
      </c>
      <c r="B1782" s="8" t="s">
        <v>3278</v>
      </c>
      <c r="C1782" s="8">
        <v>27151</v>
      </c>
      <c r="D1782" s="8" t="s">
        <v>139</v>
      </c>
      <c r="E1782" s="8">
        <v>17091399</v>
      </c>
      <c r="F1782" s="8">
        <v>17091399</v>
      </c>
      <c r="G1782" s="8" t="s">
        <v>46</v>
      </c>
      <c r="H1782" s="8" t="s">
        <v>25</v>
      </c>
      <c r="I1782" s="8" t="s">
        <v>23</v>
      </c>
      <c r="J1782" s="8" t="s">
        <v>3279</v>
      </c>
      <c r="K1782" s="8" t="s">
        <v>9410</v>
      </c>
      <c r="L1782" s="8" t="s">
        <v>19</v>
      </c>
      <c r="M1782" s="8">
        <v>1666</v>
      </c>
      <c r="N1782" s="8" t="s">
        <v>710</v>
      </c>
      <c r="O1782" s="8">
        <v>545</v>
      </c>
      <c r="P1782" s="8" t="s">
        <v>9409</v>
      </c>
      <c r="Q1782" s="8" t="s">
        <v>4262</v>
      </c>
      <c r="R1782" s="8">
        <v>0.36</v>
      </c>
      <c r="S1782" s="8">
        <v>17091399</v>
      </c>
      <c r="T1782" s="8" t="s">
        <v>46</v>
      </c>
      <c r="U1782" s="8" t="s">
        <v>25</v>
      </c>
    </row>
    <row r="1783" spans="1:21">
      <c r="A1783" s="8" t="s">
        <v>8531</v>
      </c>
      <c r="B1783" s="8" t="s">
        <v>2583</v>
      </c>
      <c r="C1783" s="8">
        <v>84902</v>
      </c>
      <c r="D1783" s="8" t="s">
        <v>139</v>
      </c>
      <c r="E1783" s="8">
        <v>33370105</v>
      </c>
      <c r="F1783" s="8">
        <v>33370105</v>
      </c>
      <c r="G1783" s="8" t="s">
        <v>46</v>
      </c>
      <c r="H1783" s="8" t="s">
        <v>25</v>
      </c>
      <c r="I1783" s="8" t="s">
        <v>23</v>
      </c>
      <c r="J1783" s="8" t="s">
        <v>2584</v>
      </c>
      <c r="K1783" s="8" t="s">
        <v>9412</v>
      </c>
      <c r="L1783" s="8" t="s">
        <v>19</v>
      </c>
      <c r="M1783" s="8">
        <v>2404</v>
      </c>
      <c r="N1783" s="8" t="s">
        <v>2922</v>
      </c>
      <c r="O1783" s="8">
        <v>772</v>
      </c>
      <c r="P1783" s="8" t="s">
        <v>9411</v>
      </c>
      <c r="Q1783" s="8" t="s">
        <v>4262</v>
      </c>
      <c r="R1783" s="8">
        <v>0.13200000000000001</v>
      </c>
      <c r="S1783" s="8">
        <v>33370105</v>
      </c>
      <c r="T1783" s="8" t="s">
        <v>46</v>
      </c>
      <c r="U1783" s="8" t="s">
        <v>25</v>
      </c>
    </row>
    <row r="1784" spans="1:21">
      <c r="A1784" s="8" t="s">
        <v>8531</v>
      </c>
      <c r="B1784" s="8" t="s">
        <v>2590</v>
      </c>
      <c r="C1784" s="8">
        <v>6261</v>
      </c>
      <c r="D1784" s="8" t="s">
        <v>139</v>
      </c>
      <c r="E1784" s="8">
        <v>38980771</v>
      </c>
      <c r="F1784" s="8">
        <v>38980771</v>
      </c>
      <c r="G1784" s="8" t="s">
        <v>46</v>
      </c>
      <c r="H1784" s="8" t="s">
        <v>24</v>
      </c>
      <c r="I1784" s="8" t="s">
        <v>23</v>
      </c>
      <c r="J1784" s="8" t="s">
        <v>4982</v>
      </c>
      <c r="K1784" s="8" t="s">
        <v>4984</v>
      </c>
      <c r="L1784" s="8" t="s">
        <v>19</v>
      </c>
      <c r="M1784" s="8">
        <v>6000</v>
      </c>
      <c r="N1784" s="8" t="s">
        <v>810</v>
      </c>
      <c r="O1784" s="8">
        <v>1957</v>
      </c>
      <c r="P1784" s="8" t="s">
        <v>9413</v>
      </c>
      <c r="Q1784" s="8" t="s">
        <v>4262</v>
      </c>
      <c r="R1784" s="8">
        <v>0.38800000000000001</v>
      </c>
      <c r="S1784" s="8">
        <v>38980771</v>
      </c>
      <c r="T1784" s="8" t="s">
        <v>46</v>
      </c>
      <c r="U1784" s="8" t="s">
        <v>24</v>
      </c>
    </row>
    <row r="1785" spans="1:21">
      <c r="A1785" s="8" t="s">
        <v>8531</v>
      </c>
      <c r="B1785" s="8" t="s">
        <v>9414</v>
      </c>
      <c r="C1785" s="8">
        <v>282617</v>
      </c>
      <c r="D1785" s="8" t="s">
        <v>139</v>
      </c>
      <c r="E1785" s="8">
        <v>39735598</v>
      </c>
      <c r="F1785" s="8">
        <v>39735598</v>
      </c>
      <c r="G1785" s="8" t="s">
        <v>46</v>
      </c>
      <c r="H1785" s="8" t="s">
        <v>24</v>
      </c>
      <c r="I1785" s="8" t="s">
        <v>23</v>
      </c>
      <c r="J1785" s="8" t="s">
        <v>9415</v>
      </c>
      <c r="K1785" s="8" t="s">
        <v>9417</v>
      </c>
      <c r="L1785" s="8" t="s">
        <v>19</v>
      </c>
      <c r="M1785" s="8">
        <v>14</v>
      </c>
      <c r="N1785" s="8" t="s">
        <v>128</v>
      </c>
      <c r="O1785" s="8">
        <v>4</v>
      </c>
      <c r="P1785" s="8" t="s">
        <v>9416</v>
      </c>
      <c r="Q1785" s="8" t="s">
        <v>4262</v>
      </c>
      <c r="R1785" s="8">
        <v>0.30599999999999999</v>
      </c>
      <c r="S1785" s="8">
        <v>39735598</v>
      </c>
      <c r="T1785" s="8" t="s">
        <v>46</v>
      </c>
      <c r="U1785" s="8" t="s">
        <v>24</v>
      </c>
    </row>
    <row r="1786" spans="1:21">
      <c r="A1786" s="8" t="s">
        <v>8531</v>
      </c>
      <c r="B1786" s="8" t="s">
        <v>3280</v>
      </c>
      <c r="C1786" s="8">
        <v>342900</v>
      </c>
      <c r="D1786" s="8" t="s">
        <v>139</v>
      </c>
      <c r="E1786" s="8">
        <v>40276405</v>
      </c>
      <c r="F1786" s="8">
        <v>40276405</v>
      </c>
      <c r="G1786" s="8" t="s">
        <v>46</v>
      </c>
      <c r="H1786" s="8" t="s">
        <v>25</v>
      </c>
      <c r="I1786" s="8" t="s">
        <v>23</v>
      </c>
      <c r="J1786" s="8" t="s">
        <v>3281</v>
      </c>
      <c r="K1786" s="8" t="s">
        <v>9419</v>
      </c>
      <c r="L1786" s="8" t="s">
        <v>76</v>
      </c>
      <c r="M1786" s="8">
        <v>302</v>
      </c>
      <c r="N1786" s="8" t="s">
        <v>609</v>
      </c>
      <c r="O1786" s="8">
        <v>46</v>
      </c>
      <c r="P1786" s="8" t="s">
        <v>9418</v>
      </c>
      <c r="Q1786" s="8" t="s">
        <v>4262</v>
      </c>
      <c r="R1786" s="8">
        <v>0.34</v>
      </c>
      <c r="S1786" s="8">
        <v>40276405</v>
      </c>
      <c r="T1786" s="8" t="s">
        <v>46</v>
      </c>
      <c r="U1786" s="8" t="s">
        <v>25</v>
      </c>
    </row>
    <row r="1787" spans="1:21">
      <c r="A1787" s="8" t="s">
        <v>8531</v>
      </c>
      <c r="B1787" s="8" t="s">
        <v>5378</v>
      </c>
      <c r="C1787" s="8">
        <v>64763</v>
      </c>
      <c r="D1787" s="8" t="s">
        <v>139</v>
      </c>
      <c r="E1787" s="8">
        <v>42584109</v>
      </c>
      <c r="F1787" s="8">
        <v>42584109</v>
      </c>
      <c r="G1787" s="8" t="s">
        <v>46</v>
      </c>
      <c r="H1787" s="8" t="s">
        <v>24</v>
      </c>
      <c r="I1787" s="8" t="s">
        <v>23</v>
      </c>
      <c r="J1787" s="8" t="s">
        <v>5379</v>
      </c>
      <c r="K1787" s="8" t="s">
        <v>5381</v>
      </c>
      <c r="L1787" s="8" t="s">
        <v>19</v>
      </c>
      <c r="M1787" s="8">
        <v>1520</v>
      </c>
      <c r="N1787" s="8" t="s">
        <v>1549</v>
      </c>
      <c r="O1787" s="8">
        <v>451</v>
      </c>
      <c r="P1787" s="8" t="s">
        <v>9420</v>
      </c>
      <c r="Q1787" s="8" t="s">
        <v>4262</v>
      </c>
      <c r="R1787" s="8">
        <v>0.16800000000000001</v>
      </c>
      <c r="S1787" s="8">
        <v>42584109</v>
      </c>
      <c r="T1787" s="8" t="s">
        <v>46</v>
      </c>
      <c r="U1787" s="8" t="s">
        <v>24</v>
      </c>
    </row>
    <row r="1788" spans="1:21">
      <c r="A1788" s="8" t="s">
        <v>8531</v>
      </c>
      <c r="B1788" s="8" t="s">
        <v>9421</v>
      </c>
      <c r="C1788" s="8">
        <v>5680</v>
      </c>
      <c r="D1788" s="8" t="s">
        <v>139</v>
      </c>
      <c r="E1788" s="8">
        <v>43523073</v>
      </c>
      <c r="F1788" s="8">
        <v>43523073</v>
      </c>
      <c r="G1788" s="8" t="s">
        <v>24</v>
      </c>
      <c r="H1788" s="8" t="s">
        <v>41</v>
      </c>
      <c r="I1788" s="8" t="s">
        <v>23</v>
      </c>
      <c r="J1788" s="8" t="s">
        <v>9422</v>
      </c>
      <c r="K1788" s="8" t="s">
        <v>9424</v>
      </c>
      <c r="L1788" s="8" t="s">
        <v>19</v>
      </c>
      <c r="M1788" s="8">
        <v>665</v>
      </c>
      <c r="N1788" s="8" t="s">
        <v>316</v>
      </c>
      <c r="O1788" s="8">
        <v>186</v>
      </c>
      <c r="P1788" s="8" t="s">
        <v>9423</v>
      </c>
      <c r="Q1788" s="8" t="s">
        <v>4262</v>
      </c>
      <c r="R1788" s="8">
        <v>0.30599999999999999</v>
      </c>
      <c r="S1788" s="8">
        <v>43523073</v>
      </c>
      <c r="T1788" s="8" t="s">
        <v>24</v>
      </c>
      <c r="U1788" s="8" t="s">
        <v>41</v>
      </c>
    </row>
    <row r="1789" spans="1:21">
      <c r="A1789" s="8" t="s">
        <v>8531</v>
      </c>
      <c r="B1789" s="8" t="s">
        <v>4220</v>
      </c>
      <c r="C1789" s="8">
        <v>125931</v>
      </c>
      <c r="D1789" s="8" t="s">
        <v>139</v>
      </c>
      <c r="E1789" s="8">
        <v>45010220</v>
      </c>
      <c r="F1789" s="8">
        <v>45010220</v>
      </c>
      <c r="G1789" s="8" t="s">
        <v>24</v>
      </c>
      <c r="H1789" s="8" t="s">
        <v>41</v>
      </c>
      <c r="I1789" s="8" t="s">
        <v>23</v>
      </c>
      <c r="J1789" s="8" t="s">
        <v>9425</v>
      </c>
      <c r="K1789" s="8" t="s">
        <v>9427</v>
      </c>
      <c r="L1789" s="8" t="s">
        <v>19</v>
      </c>
      <c r="M1789" s="8">
        <v>1764</v>
      </c>
      <c r="N1789" s="8" t="s">
        <v>637</v>
      </c>
      <c r="O1789" s="8">
        <v>583</v>
      </c>
      <c r="P1789" s="8" t="s">
        <v>9426</v>
      </c>
      <c r="Q1789" s="8" t="s">
        <v>4262</v>
      </c>
      <c r="R1789" s="8">
        <v>0.22600000000000001</v>
      </c>
      <c r="S1789" s="8">
        <v>45010220</v>
      </c>
      <c r="T1789" s="8" t="s">
        <v>24</v>
      </c>
      <c r="U1789" s="8" t="s">
        <v>41</v>
      </c>
    </row>
    <row r="1790" spans="1:21">
      <c r="A1790" s="8" t="s">
        <v>8531</v>
      </c>
      <c r="B1790" s="8" t="s">
        <v>3282</v>
      </c>
      <c r="C1790" s="8">
        <v>83987</v>
      </c>
      <c r="D1790" s="8" t="s">
        <v>139</v>
      </c>
      <c r="E1790" s="8">
        <v>46914903</v>
      </c>
      <c r="F1790" s="8">
        <v>46914903</v>
      </c>
      <c r="G1790" s="8" t="s">
        <v>46</v>
      </c>
      <c r="H1790" s="8" t="s">
        <v>24</v>
      </c>
      <c r="I1790" s="8" t="s">
        <v>23</v>
      </c>
      <c r="J1790" s="8" t="s">
        <v>3283</v>
      </c>
      <c r="K1790" s="8" t="s">
        <v>9429</v>
      </c>
      <c r="L1790" s="8" t="s">
        <v>19</v>
      </c>
      <c r="M1790" s="8">
        <v>2017</v>
      </c>
      <c r="N1790" s="8" t="s">
        <v>1410</v>
      </c>
      <c r="O1790" s="8">
        <v>389</v>
      </c>
      <c r="P1790" s="8" t="s">
        <v>9428</v>
      </c>
      <c r="Q1790" s="8" t="s">
        <v>4262</v>
      </c>
      <c r="R1790" s="8">
        <v>0.40300000000000002</v>
      </c>
      <c r="S1790" s="8">
        <v>46914903</v>
      </c>
      <c r="T1790" s="8" t="s">
        <v>46</v>
      </c>
      <c r="U1790" s="8" t="s">
        <v>24</v>
      </c>
    </row>
    <row r="1791" spans="1:21">
      <c r="A1791" s="8" t="s">
        <v>8531</v>
      </c>
      <c r="B1791" s="8" t="s">
        <v>723</v>
      </c>
      <c r="C1791" s="8">
        <v>23211</v>
      </c>
      <c r="D1791" s="8" t="s">
        <v>139</v>
      </c>
      <c r="E1791" s="8">
        <v>47569950</v>
      </c>
      <c r="F1791" s="8">
        <v>47569950</v>
      </c>
      <c r="G1791" s="8" t="s">
        <v>46</v>
      </c>
      <c r="H1791" s="8" t="s">
        <v>25</v>
      </c>
      <c r="I1791" s="8" t="s">
        <v>23</v>
      </c>
      <c r="J1791" s="8" t="s">
        <v>724</v>
      </c>
      <c r="K1791" s="8" t="s">
        <v>9430</v>
      </c>
      <c r="L1791" s="8" t="s">
        <v>19</v>
      </c>
      <c r="M1791" s="8">
        <v>3613</v>
      </c>
      <c r="N1791" s="8" t="s">
        <v>1288</v>
      </c>
      <c r="O1791" s="8">
        <v>1192</v>
      </c>
      <c r="P1791" s="8" t="s">
        <v>9053</v>
      </c>
      <c r="Q1791" s="8" t="s">
        <v>4262</v>
      </c>
      <c r="R1791" s="8">
        <v>0.26100000000000001</v>
      </c>
      <c r="S1791" s="8">
        <v>47569950</v>
      </c>
      <c r="T1791" s="8" t="s">
        <v>46</v>
      </c>
      <c r="U1791" s="8" t="s">
        <v>25</v>
      </c>
    </row>
    <row r="1792" spans="1:21">
      <c r="A1792" s="8" t="s">
        <v>8531</v>
      </c>
      <c r="B1792" s="8" t="s">
        <v>9431</v>
      </c>
      <c r="C1792" s="8">
        <v>29997</v>
      </c>
      <c r="D1792" s="8" t="s">
        <v>139</v>
      </c>
      <c r="E1792" s="8">
        <v>48253466</v>
      </c>
      <c r="F1792" s="8">
        <v>48253466</v>
      </c>
      <c r="G1792" s="8" t="s">
        <v>24</v>
      </c>
      <c r="H1792" s="8" t="s">
        <v>41</v>
      </c>
      <c r="I1792" s="8" t="s">
        <v>23</v>
      </c>
      <c r="J1792" s="8" t="s">
        <v>9432</v>
      </c>
      <c r="K1792" s="8" t="s">
        <v>9434</v>
      </c>
      <c r="L1792" s="8" t="s">
        <v>19</v>
      </c>
      <c r="M1792" s="8">
        <v>345</v>
      </c>
      <c r="N1792" s="8" t="s">
        <v>490</v>
      </c>
      <c r="O1792" s="8">
        <v>107</v>
      </c>
      <c r="P1792" s="8" t="s">
        <v>9433</v>
      </c>
      <c r="Q1792" s="8" t="s">
        <v>4262</v>
      </c>
      <c r="R1792" s="8">
        <v>0.14299999999999999</v>
      </c>
      <c r="S1792" s="8">
        <v>48253466</v>
      </c>
      <c r="T1792" s="8" t="s">
        <v>24</v>
      </c>
      <c r="U1792" s="8" t="s">
        <v>41</v>
      </c>
    </row>
    <row r="1793" spans="1:21">
      <c r="A1793" s="8" t="s">
        <v>8531</v>
      </c>
      <c r="B1793" s="8" t="s">
        <v>3289</v>
      </c>
      <c r="C1793" s="8">
        <v>63939</v>
      </c>
      <c r="D1793" s="8" t="s">
        <v>188</v>
      </c>
      <c r="E1793" s="8">
        <v>58519897</v>
      </c>
      <c r="F1793" s="8">
        <v>58519897</v>
      </c>
      <c r="G1793" s="8" t="s">
        <v>24</v>
      </c>
      <c r="H1793" s="8" t="s">
        <v>41</v>
      </c>
      <c r="I1793" s="8" t="s">
        <v>23</v>
      </c>
      <c r="J1793" s="8" t="s">
        <v>9435</v>
      </c>
      <c r="K1793" s="8" t="s">
        <v>9437</v>
      </c>
      <c r="L1793" s="8" t="s">
        <v>19</v>
      </c>
      <c r="M1793" s="8">
        <v>1248</v>
      </c>
      <c r="N1793" s="8" t="s">
        <v>2978</v>
      </c>
      <c r="O1793" s="8">
        <v>300</v>
      </c>
      <c r="P1793" s="8" t="s">
        <v>9436</v>
      </c>
      <c r="Q1793" s="8" t="s">
        <v>4262</v>
      </c>
      <c r="R1793" s="8">
        <v>0.29399999999999998</v>
      </c>
      <c r="S1793" s="8">
        <v>58519897</v>
      </c>
      <c r="T1793" s="8" t="s">
        <v>24</v>
      </c>
      <c r="U1793" s="8" t="s">
        <v>41</v>
      </c>
    </row>
    <row r="1794" spans="1:21">
      <c r="A1794" s="8" t="s">
        <v>8531</v>
      </c>
      <c r="B1794" s="8" t="s">
        <v>2640</v>
      </c>
      <c r="C1794" s="8">
        <v>51575</v>
      </c>
      <c r="D1794" s="8" t="s">
        <v>188</v>
      </c>
      <c r="E1794" s="8">
        <v>13695598</v>
      </c>
      <c r="F1794" s="8">
        <v>13695598</v>
      </c>
      <c r="G1794" s="8" t="s">
        <v>46</v>
      </c>
      <c r="H1794" s="8" t="s">
        <v>41</v>
      </c>
      <c r="I1794" s="8" t="s">
        <v>23</v>
      </c>
      <c r="J1794" s="8" t="s">
        <v>2641</v>
      </c>
      <c r="K1794" s="8" t="s">
        <v>9439</v>
      </c>
      <c r="L1794" s="8" t="s">
        <v>19</v>
      </c>
      <c r="M1794" s="8">
        <v>2587</v>
      </c>
      <c r="N1794" s="8" t="s">
        <v>768</v>
      </c>
      <c r="O1794" s="8">
        <v>827</v>
      </c>
      <c r="P1794" s="8" t="s">
        <v>9438</v>
      </c>
      <c r="Q1794" s="8" t="s">
        <v>4262</v>
      </c>
      <c r="R1794" s="8">
        <v>0.193</v>
      </c>
      <c r="S1794" s="8">
        <v>13695598</v>
      </c>
      <c r="T1794" s="8" t="s">
        <v>46</v>
      </c>
      <c r="U1794" s="8" t="s">
        <v>41</v>
      </c>
    </row>
    <row r="1795" spans="1:21">
      <c r="A1795" s="8" t="s">
        <v>8531</v>
      </c>
      <c r="B1795" s="8" t="s">
        <v>9440</v>
      </c>
      <c r="C1795" s="8">
        <v>64773</v>
      </c>
      <c r="D1795" s="8" t="s">
        <v>188</v>
      </c>
      <c r="E1795" s="8">
        <v>2819290</v>
      </c>
      <c r="F1795" s="8">
        <v>2819290</v>
      </c>
      <c r="G1795" s="8" t="s">
        <v>46</v>
      </c>
      <c r="H1795" s="8" t="s">
        <v>25</v>
      </c>
      <c r="I1795" s="8" t="s">
        <v>23</v>
      </c>
      <c r="J1795" s="8" t="s">
        <v>9441</v>
      </c>
      <c r="K1795" s="8" t="s">
        <v>9443</v>
      </c>
      <c r="L1795" s="8" t="s">
        <v>19</v>
      </c>
      <c r="M1795" s="8">
        <v>1043</v>
      </c>
      <c r="N1795" s="8" t="s">
        <v>2948</v>
      </c>
      <c r="O1795" s="8">
        <v>182</v>
      </c>
      <c r="P1795" s="8" t="s">
        <v>9442</v>
      </c>
      <c r="Q1795" s="8" t="s">
        <v>4262</v>
      </c>
      <c r="R1795" s="8">
        <v>0.17899999999999999</v>
      </c>
      <c r="S1795" s="8">
        <v>2819290</v>
      </c>
      <c r="T1795" s="8" t="s">
        <v>46</v>
      </c>
      <c r="U1795" s="8" t="s">
        <v>25</v>
      </c>
    </row>
    <row r="1796" spans="1:21">
      <c r="A1796" s="8" t="s">
        <v>8531</v>
      </c>
      <c r="B1796" s="8" t="s">
        <v>2644</v>
      </c>
      <c r="C1796" s="8">
        <v>6614</v>
      </c>
      <c r="D1796" s="8" t="s">
        <v>188</v>
      </c>
      <c r="E1796" s="8">
        <v>3683949</v>
      </c>
      <c r="F1796" s="8">
        <v>3683949</v>
      </c>
      <c r="G1796" s="8" t="s">
        <v>24</v>
      </c>
      <c r="H1796" s="8" t="s">
        <v>41</v>
      </c>
      <c r="I1796" s="8" t="s">
        <v>23</v>
      </c>
      <c r="J1796" s="8" t="s">
        <v>2645</v>
      </c>
      <c r="K1796" s="8" t="s">
        <v>8262</v>
      </c>
      <c r="L1796" s="8" t="s">
        <v>19</v>
      </c>
      <c r="M1796" s="8">
        <v>1123</v>
      </c>
      <c r="N1796" s="8" t="s">
        <v>9445</v>
      </c>
      <c r="O1796" s="8">
        <v>375</v>
      </c>
      <c r="P1796" s="8" t="s">
        <v>9444</v>
      </c>
      <c r="Q1796" s="8" t="s">
        <v>4262</v>
      </c>
      <c r="R1796" s="8">
        <v>0.15</v>
      </c>
      <c r="S1796" s="8">
        <v>3683949</v>
      </c>
      <c r="T1796" s="8" t="s">
        <v>24</v>
      </c>
      <c r="U1796" s="8" t="s">
        <v>41</v>
      </c>
    </row>
    <row r="1797" spans="1:21">
      <c r="A1797" s="8" t="s">
        <v>8531</v>
      </c>
      <c r="B1797" s="8" t="s">
        <v>9446</v>
      </c>
      <c r="C1797" s="8">
        <v>5335</v>
      </c>
      <c r="D1797" s="8" t="s">
        <v>188</v>
      </c>
      <c r="E1797" s="8">
        <v>39797787</v>
      </c>
      <c r="F1797" s="8">
        <v>39797787</v>
      </c>
      <c r="G1797" s="8" t="s">
        <v>25</v>
      </c>
      <c r="H1797" s="8" t="s">
        <v>24</v>
      </c>
      <c r="I1797" s="8" t="s">
        <v>23</v>
      </c>
      <c r="J1797" s="8" t="s">
        <v>9447</v>
      </c>
      <c r="K1797" s="8" t="s">
        <v>9449</v>
      </c>
      <c r="L1797" s="8" t="s">
        <v>19</v>
      </c>
      <c r="M1797" s="8">
        <v>2673</v>
      </c>
      <c r="N1797" s="8" t="s">
        <v>394</v>
      </c>
      <c r="O1797" s="8">
        <v>851</v>
      </c>
      <c r="P1797" s="8" t="s">
        <v>9448</v>
      </c>
      <c r="Q1797" s="8" t="s">
        <v>4262</v>
      </c>
      <c r="R1797" s="8">
        <v>0.182</v>
      </c>
      <c r="S1797" s="8">
        <v>39797787</v>
      </c>
      <c r="T1797" s="8" t="s">
        <v>25</v>
      </c>
      <c r="U1797" s="8" t="s">
        <v>24</v>
      </c>
    </row>
    <row r="1798" spans="1:21">
      <c r="A1798" s="8" t="s">
        <v>8531</v>
      </c>
      <c r="B1798" s="8" t="s">
        <v>4010</v>
      </c>
      <c r="C1798" s="8">
        <v>11122</v>
      </c>
      <c r="D1798" s="8" t="s">
        <v>188</v>
      </c>
      <c r="E1798" s="8">
        <v>40944518</v>
      </c>
      <c r="F1798" s="8">
        <v>40944518</v>
      </c>
      <c r="G1798" s="8" t="s">
        <v>24</v>
      </c>
      <c r="H1798" s="8" t="s">
        <v>41</v>
      </c>
      <c r="I1798" s="8" t="s">
        <v>23</v>
      </c>
      <c r="J1798" s="8" t="s">
        <v>9450</v>
      </c>
      <c r="K1798" s="8" t="s">
        <v>9452</v>
      </c>
      <c r="L1798" s="8" t="s">
        <v>19</v>
      </c>
      <c r="M1798" s="8">
        <v>2168</v>
      </c>
      <c r="N1798" s="8" t="s">
        <v>2925</v>
      </c>
      <c r="O1798" s="8">
        <v>662</v>
      </c>
      <c r="P1798" s="8" t="s">
        <v>9451</v>
      </c>
      <c r="Q1798" s="8" t="s">
        <v>4262</v>
      </c>
      <c r="R1798" s="8">
        <v>0.13600000000000001</v>
      </c>
      <c r="S1798" s="8">
        <v>40944518</v>
      </c>
      <c r="T1798" s="8" t="s">
        <v>24</v>
      </c>
      <c r="U1798" s="8" t="s">
        <v>41</v>
      </c>
    </row>
    <row r="1799" spans="1:21">
      <c r="A1799" s="8" t="s">
        <v>8531</v>
      </c>
      <c r="B1799" s="8" t="s">
        <v>9453</v>
      </c>
      <c r="C1799" s="8">
        <v>57580</v>
      </c>
      <c r="D1799" s="8" t="s">
        <v>188</v>
      </c>
      <c r="E1799" s="8">
        <v>47295919</v>
      </c>
      <c r="F1799" s="8">
        <v>47295919</v>
      </c>
      <c r="G1799" s="8" t="s">
        <v>46</v>
      </c>
      <c r="H1799" s="8" t="s">
        <v>41</v>
      </c>
      <c r="I1799" s="8" t="s">
        <v>23</v>
      </c>
      <c r="J1799" s="8" t="s">
        <v>9454</v>
      </c>
      <c r="K1799" s="8" t="s">
        <v>9456</v>
      </c>
      <c r="L1799" s="8" t="s">
        <v>19</v>
      </c>
      <c r="M1799" s="8">
        <v>1591</v>
      </c>
      <c r="N1799" s="8" t="s">
        <v>708</v>
      </c>
      <c r="O1799" s="8">
        <v>523</v>
      </c>
      <c r="P1799" s="8" t="s">
        <v>9455</v>
      </c>
      <c r="Q1799" s="8" t="s">
        <v>4262</v>
      </c>
      <c r="R1799" s="8">
        <v>9.6000000000000002E-2</v>
      </c>
      <c r="S1799" s="8">
        <v>47295919</v>
      </c>
      <c r="T1799" s="8" t="s">
        <v>46</v>
      </c>
      <c r="U1799" s="8" t="s">
        <v>41</v>
      </c>
    </row>
    <row r="1800" spans="1:21">
      <c r="A1800" s="8" t="s">
        <v>8531</v>
      </c>
      <c r="B1800" s="8" t="s">
        <v>2912</v>
      </c>
      <c r="C1800" s="8">
        <v>8204</v>
      </c>
      <c r="D1800" s="8" t="s">
        <v>193</v>
      </c>
      <c r="E1800" s="8">
        <v>16337125</v>
      </c>
      <c r="F1800" s="8">
        <v>16337125</v>
      </c>
      <c r="G1800" s="8" t="s">
        <v>46</v>
      </c>
      <c r="H1800" s="8" t="s">
        <v>25</v>
      </c>
      <c r="I1800" s="8" t="s">
        <v>23</v>
      </c>
      <c r="J1800" s="8" t="s">
        <v>2913</v>
      </c>
      <c r="K1800" s="8" t="s">
        <v>8310</v>
      </c>
      <c r="L1800" s="8" t="s">
        <v>19</v>
      </c>
      <c r="M1800" s="8">
        <v>3987</v>
      </c>
      <c r="N1800" s="8" t="s">
        <v>780</v>
      </c>
      <c r="O1800" s="8">
        <v>1130</v>
      </c>
      <c r="P1800" s="8" t="s">
        <v>9457</v>
      </c>
      <c r="Q1800" s="8" t="s">
        <v>4262</v>
      </c>
      <c r="R1800" s="8">
        <v>0.24399999999999999</v>
      </c>
      <c r="S1800" s="8">
        <v>16337125</v>
      </c>
      <c r="T1800" s="8" t="s">
        <v>46</v>
      </c>
      <c r="U1800" s="8" t="s">
        <v>25</v>
      </c>
    </row>
    <row r="1801" spans="1:21">
      <c r="A1801" s="8" t="s">
        <v>8531</v>
      </c>
      <c r="B1801" s="8" t="s">
        <v>2063</v>
      </c>
      <c r="C1801" s="8">
        <v>79174</v>
      </c>
      <c r="D1801" s="8" t="s">
        <v>197</v>
      </c>
      <c r="E1801" s="8">
        <v>50312914</v>
      </c>
      <c r="F1801" s="8">
        <v>50312914</v>
      </c>
      <c r="G1801" s="8" t="s">
        <v>24</v>
      </c>
      <c r="H1801" s="8" t="s">
        <v>41</v>
      </c>
      <c r="I1801" s="8" t="s">
        <v>23</v>
      </c>
      <c r="J1801" s="8" t="s">
        <v>9458</v>
      </c>
      <c r="K1801" s="8" t="s">
        <v>9460</v>
      </c>
      <c r="L1801" s="8" t="s">
        <v>19</v>
      </c>
      <c r="M1801" s="8">
        <v>301</v>
      </c>
      <c r="N1801" s="8" t="s">
        <v>132</v>
      </c>
      <c r="O1801" s="8">
        <v>56</v>
      </c>
      <c r="P1801" s="8" t="s">
        <v>9459</v>
      </c>
      <c r="Q1801" s="8" t="s">
        <v>4262</v>
      </c>
      <c r="R1801" s="8">
        <v>0.29899999999999999</v>
      </c>
      <c r="S1801" s="8">
        <v>50312914</v>
      </c>
      <c r="T1801" s="8" t="s">
        <v>24</v>
      </c>
      <c r="U1801" s="8" t="s">
        <v>41</v>
      </c>
    </row>
    <row r="1802" spans="1:21">
      <c r="A1802" s="8" t="s">
        <v>8531</v>
      </c>
      <c r="B1802" s="8" t="s">
        <v>1123</v>
      </c>
      <c r="C1802" s="8">
        <v>128954</v>
      </c>
      <c r="D1802" s="8" t="s">
        <v>197</v>
      </c>
      <c r="E1802" s="8">
        <v>17447048</v>
      </c>
      <c r="F1802" s="8">
        <v>17447048</v>
      </c>
      <c r="G1802" s="8" t="s">
        <v>24</v>
      </c>
      <c r="H1802" s="8" t="s">
        <v>41</v>
      </c>
      <c r="I1802" s="8" t="s">
        <v>23</v>
      </c>
      <c r="J1802" s="8" t="s">
        <v>1124</v>
      </c>
      <c r="K1802" s="8" t="s">
        <v>9462</v>
      </c>
      <c r="L1802" s="8" t="s">
        <v>19</v>
      </c>
      <c r="M1802" s="8">
        <v>1338</v>
      </c>
      <c r="N1802" s="8" t="s">
        <v>316</v>
      </c>
      <c r="O1802" s="8">
        <v>410</v>
      </c>
      <c r="P1802" s="8" t="s">
        <v>9461</v>
      </c>
      <c r="Q1802" s="8" t="s">
        <v>4262</v>
      </c>
      <c r="R1802" s="8">
        <v>0.17</v>
      </c>
      <c r="S1802" s="8">
        <v>17447048</v>
      </c>
      <c r="T1802" s="8" t="s">
        <v>24</v>
      </c>
      <c r="U1802" s="8" t="s">
        <v>41</v>
      </c>
    </row>
    <row r="1803" spans="1:21">
      <c r="A1803" s="8" t="s">
        <v>8531</v>
      </c>
      <c r="B1803" s="8" t="s">
        <v>1129</v>
      </c>
      <c r="C1803" s="8">
        <v>164592</v>
      </c>
      <c r="D1803" s="8" t="s">
        <v>197</v>
      </c>
      <c r="E1803" s="8">
        <v>21989391</v>
      </c>
      <c r="F1803" s="8">
        <v>21989391</v>
      </c>
      <c r="G1803" s="8" t="s">
        <v>46</v>
      </c>
      <c r="H1803" s="8" t="s">
        <v>41</v>
      </c>
      <c r="I1803" s="8" t="s">
        <v>23</v>
      </c>
      <c r="J1803" s="8" t="s">
        <v>1130</v>
      </c>
      <c r="K1803" s="8" t="s">
        <v>9464</v>
      </c>
      <c r="L1803" s="8" t="s">
        <v>19</v>
      </c>
      <c r="M1803" s="8">
        <v>1132</v>
      </c>
      <c r="N1803" s="8" t="s">
        <v>2440</v>
      </c>
      <c r="O1803" s="8">
        <v>347</v>
      </c>
      <c r="P1803" s="8" t="s">
        <v>9463</v>
      </c>
      <c r="Q1803" s="8" t="s">
        <v>4262</v>
      </c>
      <c r="R1803" s="8">
        <v>0.20699999999999999</v>
      </c>
      <c r="S1803" s="8">
        <v>21989391</v>
      </c>
      <c r="T1803" s="8" t="s">
        <v>46</v>
      </c>
      <c r="U1803" s="8" t="s">
        <v>41</v>
      </c>
    </row>
    <row r="1804" spans="1:21">
      <c r="A1804" s="8" t="s">
        <v>8531</v>
      </c>
      <c r="B1804" s="8" t="s">
        <v>9465</v>
      </c>
      <c r="C1804" s="8">
        <v>23523</v>
      </c>
      <c r="D1804" s="8" t="s">
        <v>197</v>
      </c>
      <c r="E1804" s="8">
        <v>24437615</v>
      </c>
      <c r="F1804" s="8">
        <v>24437615</v>
      </c>
      <c r="G1804" s="8" t="s">
        <v>24</v>
      </c>
      <c r="H1804" s="8" t="s">
        <v>41</v>
      </c>
      <c r="I1804" s="8" t="s">
        <v>23</v>
      </c>
      <c r="J1804" s="8" t="s">
        <v>9466</v>
      </c>
      <c r="K1804" s="8" t="s">
        <v>9468</v>
      </c>
      <c r="L1804" s="8" t="s">
        <v>19</v>
      </c>
      <c r="M1804" s="8">
        <v>366</v>
      </c>
      <c r="N1804" s="8" t="s">
        <v>270</v>
      </c>
      <c r="O1804" s="8">
        <v>80</v>
      </c>
      <c r="P1804" s="8" t="s">
        <v>9467</v>
      </c>
      <c r="Q1804" s="8" t="s">
        <v>4262</v>
      </c>
      <c r="R1804" s="8">
        <v>0.155</v>
      </c>
      <c r="S1804" s="8">
        <v>24437615</v>
      </c>
      <c r="T1804" s="8" t="s">
        <v>24</v>
      </c>
      <c r="U1804" s="8" t="s">
        <v>41</v>
      </c>
    </row>
    <row r="1805" spans="1:21">
      <c r="A1805" s="8" t="s">
        <v>8531</v>
      </c>
      <c r="B1805" s="8" t="s">
        <v>9469</v>
      </c>
      <c r="C1805" s="8">
        <v>23384</v>
      </c>
      <c r="D1805" s="8" t="s">
        <v>197</v>
      </c>
      <c r="E1805" s="8">
        <v>24765221</v>
      </c>
      <c r="F1805" s="8">
        <v>24765221</v>
      </c>
      <c r="G1805" s="8" t="s">
        <v>24</v>
      </c>
      <c r="H1805" s="8" t="s">
        <v>41</v>
      </c>
      <c r="I1805" s="8" t="s">
        <v>23</v>
      </c>
      <c r="J1805" s="8" t="s">
        <v>9470</v>
      </c>
      <c r="K1805" s="8" t="s">
        <v>9472</v>
      </c>
      <c r="L1805" s="8" t="s">
        <v>19</v>
      </c>
      <c r="M1805" s="8">
        <v>3223</v>
      </c>
      <c r="N1805" s="8" t="s">
        <v>185</v>
      </c>
      <c r="O1805" s="8">
        <v>1007</v>
      </c>
      <c r="P1805" s="8" t="s">
        <v>9471</v>
      </c>
      <c r="Q1805" s="8" t="s">
        <v>4262</v>
      </c>
      <c r="R1805" s="8">
        <v>5.7000000000000002E-2</v>
      </c>
      <c r="S1805" s="8">
        <v>24765221</v>
      </c>
      <c r="T1805" s="8" t="s">
        <v>24</v>
      </c>
      <c r="U1805" s="8" t="s">
        <v>41</v>
      </c>
    </row>
    <row r="1806" spans="1:21">
      <c r="A1806" s="8" t="s">
        <v>8531</v>
      </c>
      <c r="B1806" s="8" t="s">
        <v>9473</v>
      </c>
      <c r="C1806" s="8">
        <v>171568</v>
      </c>
      <c r="D1806" s="8" t="s">
        <v>197</v>
      </c>
      <c r="E1806" s="8">
        <v>41926861</v>
      </c>
      <c r="F1806" s="8">
        <v>41926861</v>
      </c>
      <c r="G1806" s="8" t="s">
        <v>25</v>
      </c>
      <c r="H1806" s="8" t="s">
        <v>46</v>
      </c>
      <c r="I1806" s="8" t="s">
        <v>23</v>
      </c>
      <c r="J1806" s="8" t="s">
        <v>9474</v>
      </c>
      <c r="K1806" s="8" t="s">
        <v>9476</v>
      </c>
      <c r="L1806" s="8" t="s">
        <v>19</v>
      </c>
      <c r="M1806" s="8">
        <v>456</v>
      </c>
      <c r="N1806" s="8" t="s">
        <v>5127</v>
      </c>
      <c r="O1806" s="8">
        <v>131</v>
      </c>
      <c r="P1806" s="8" t="s">
        <v>9475</v>
      </c>
      <c r="Q1806" s="8" t="s">
        <v>4262</v>
      </c>
      <c r="R1806" s="8">
        <v>0.109</v>
      </c>
      <c r="S1806" s="8">
        <v>41926861</v>
      </c>
      <c r="T1806" s="8" t="s">
        <v>25</v>
      </c>
      <c r="U1806" s="8" t="s">
        <v>46</v>
      </c>
    </row>
    <row r="1807" spans="1:21">
      <c r="A1807" s="8" t="s">
        <v>8531</v>
      </c>
      <c r="B1807" s="8" t="s">
        <v>3290</v>
      </c>
      <c r="C1807" s="8">
        <v>150365</v>
      </c>
      <c r="D1807" s="8" t="s">
        <v>197</v>
      </c>
      <c r="E1807" s="8">
        <v>42177688</v>
      </c>
      <c r="F1807" s="8">
        <v>42177688</v>
      </c>
      <c r="G1807" s="8" t="s">
        <v>24</v>
      </c>
      <c r="H1807" s="8" t="s">
        <v>41</v>
      </c>
      <c r="I1807" s="8" t="s">
        <v>23</v>
      </c>
      <c r="J1807" s="8" t="s">
        <v>3291</v>
      </c>
      <c r="K1807" s="8" t="s">
        <v>5028</v>
      </c>
      <c r="L1807" s="8" t="s">
        <v>68</v>
      </c>
      <c r="M1807" s="8">
        <v>0</v>
      </c>
      <c r="N1807" s="8" t="s">
        <v>35</v>
      </c>
      <c r="O1807" s="8">
        <v>0</v>
      </c>
      <c r="P1807" s="8" t="s">
        <v>35</v>
      </c>
      <c r="Q1807" s="8" t="s">
        <v>4262</v>
      </c>
      <c r="R1807" s="8">
        <v>0.33800000000000002</v>
      </c>
      <c r="S1807" s="8">
        <v>42177688</v>
      </c>
      <c r="T1807" s="8" t="s">
        <v>24</v>
      </c>
      <c r="U1807" s="8" t="s">
        <v>41</v>
      </c>
    </row>
    <row r="1808" spans="1:21">
      <c r="A1808" s="8" t="s">
        <v>8531</v>
      </c>
      <c r="B1808" s="8" t="s">
        <v>9477</v>
      </c>
      <c r="C1808" s="8">
        <v>51512</v>
      </c>
      <c r="D1808" s="8" t="s">
        <v>197</v>
      </c>
      <c r="E1808" s="8">
        <v>46704312</v>
      </c>
      <c r="F1808" s="8">
        <v>46704312</v>
      </c>
      <c r="G1808" s="8" t="s">
        <v>24</v>
      </c>
      <c r="H1808" s="8" t="s">
        <v>41</v>
      </c>
      <c r="I1808" s="8" t="s">
        <v>23</v>
      </c>
      <c r="J1808" s="8" t="s">
        <v>9478</v>
      </c>
      <c r="K1808" s="8" t="s">
        <v>9480</v>
      </c>
      <c r="L1808" s="8" t="s">
        <v>19</v>
      </c>
      <c r="M1808" s="8">
        <v>446</v>
      </c>
      <c r="N1808" s="8" t="s">
        <v>251</v>
      </c>
      <c r="O1808" s="8">
        <v>78</v>
      </c>
      <c r="P1808" s="8" t="s">
        <v>9479</v>
      </c>
      <c r="Q1808" s="8" t="s">
        <v>4262</v>
      </c>
      <c r="R1808" s="8">
        <v>0.125</v>
      </c>
      <c r="S1808" s="8">
        <v>46704312</v>
      </c>
      <c r="T1808" s="8" t="s">
        <v>24</v>
      </c>
      <c r="U1808" s="8" t="s">
        <v>41</v>
      </c>
    </row>
    <row r="1809" spans="1:21">
      <c r="A1809" s="8" t="s">
        <v>8531</v>
      </c>
      <c r="B1809" s="8" t="s">
        <v>3336</v>
      </c>
      <c r="C1809" s="8">
        <v>139189</v>
      </c>
      <c r="D1809" s="8" t="s">
        <v>418</v>
      </c>
      <c r="E1809" s="8">
        <v>50213220</v>
      </c>
      <c r="F1809" s="8">
        <v>50213220</v>
      </c>
      <c r="G1809" s="8" t="s">
        <v>24</v>
      </c>
      <c r="H1809" s="8" t="s">
        <v>41</v>
      </c>
      <c r="I1809" s="8" t="s">
        <v>23</v>
      </c>
      <c r="J1809" s="8" t="s">
        <v>3337</v>
      </c>
      <c r="K1809" s="8" t="s">
        <v>9482</v>
      </c>
      <c r="L1809" s="8" t="s">
        <v>19</v>
      </c>
      <c r="M1809" s="8">
        <v>502</v>
      </c>
      <c r="N1809" s="8" t="s">
        <v>1622</v>
      </c>
      <c r="O1809" s="8">
        <v>153</v>
      </c>
      <c r="P1809" s="8" t="s">
        <v>9481</v>
      </c>
      <c r="Q1809" s="8" t="s">
        <v>4262</v>
      </c>
      <c r="R1809" s="8">
        <v>0.59099999999999997</v>
      </c>
      <c r="S1809" s="8">
        <v>50213220</v>
      </c>
      <c r="T1809" s="8" t="s">
        <v>24</v>
      </c>
      <c r="U1809" s="8" t="s">
        <v>41</v>
      </c>
    </row>
    <row r="1810" spans="1:21">
      <c r="A1810" s="8" t="s">
        <v>8531</v>
      </c>
      <c r="B1810" s="8" t="s">
        <v>3338</v>
      </c>
      <c r="C1810" s="8">
        <v>347365</v>
      </c>
      <c r="D1810" s="8" t="s">
        <v>418</v>
      </c>
      <c r="E1810" s="8">
        <v>54817482</v>
      </c>
      <c r="F1810" s="8">
        <v>54817482</v>
      </c>
      <c r="G1810" s="8" t="s">
        <v>46</v>
      </c>
      <c r="H1810" s="8" t="s">
        <v>41</v>
      </c>
      <c r="I1810" s="8" t="s">
        <v>23</v>
      </c>
      <c r="J1810" s="8" t="s">
        <v>3339</v>
      </c>
      <c r="K1810" s="8" t="s">
        <v>9484</v>
      </c>
      <c r="L1810" s="8" t="s">
        <v>19</v>
      </c>
      <c r="M1810" s="8">
        <v>434</v>
      </c>
      <c r="N1810" s="8" t="s">
        <v>708</v>
      </c>
      <c r="O1810" s="8">
        <v>135</v>
      </c>
      <c r="P1810" s="8" t="s">
        <v>9483</v>
      </c>
      <c r="Q1810" s="8" t="s">
        <v>4262</v>
      </c>
      <c r="R1810" s="8">
        <v>0.55000000000000004</v>
      </c>
      <c r="S1810" s="8">
        <v>54817482</v>
      </c>
      <c r="T1810" s="8" t="s">
        <v>46</v>
      </c>
      <c r="U1810" s="8" t="s">
        <v>41</v>
      </c>
    </row>
    <row r="1811" spans="1:21">
      <c r="A1811" s="8" t="s">
        <v>8531</v>
      </c>
      <c r="B1811" s="8" t="s">
        <v>9485</v>
      </c>
      <c r="C1811" s="8">
        <v>84443</v>
      </c>
      <c r="D1811" s="8" t="s">
        <v>418</v>
      </c>
      <c r="E1811" s="8">
        <v>106844367</v>
      </c>
      <c r="F1811" s="8">
        <v>106844367</v>
      </c>
      <c r="G1811" s="8" t="s">
        <v>24</v>
      </c>
      <c r="H1811" s="8" t="s">
        <v>41</v>
      </c>
      <c r="I1811" s="8" t="s">
        <v>23</v>
      </c>
      <c r="J1811" s="8" t="s">
        <v>9486</v>
      </c>
      <c r="K1811" s="8" t="s">
        <v>9488</v>
      </c>
      <c r="L1811" s="8" t="s">
        <v>19</v>
      </c>
      <c r="M1811" s="8">
        <v>3332</v>
      </c>
      <c r="N1811" s="8" t="s">
        <v>2954</v>
      </c>
      <c r="O1811" s="8">
        <v>1111</v>
      </c>
      <c r="P1811" s="8" t="s">
        <v>9487</v>
      </c>
      <c r="Q1811" s="8" t="s">
        <v>4262</v>
      </c>
      <c r="R1811" s="8">
        <v>0.35699999999999998</v>
      </c>
      <c r="S1811" s="8">
        <v>106844367</v>
      </c>
      <c r="T1811" s="8" t="s">
        <v>24</v>
      </c>
      <c r="U1811" s="8" t="s">
        <v>41</v>
      </c>
    </row>
    <row r="1812" spans="1:21">
      <c r="A1812" s="8" t="s">
        <v>8531</v>
      </c>
      <c r="B1812" s="8" t="s">
        <v>3332</v>
      </c>
      <c r="C1812" s="8">
        <v>347468</v>
      </c>
      <c r="D1812" s="8" t="s">
        <v>418</v>
      </c>
      <c r="E1812" s="8">
        <v>130678402</v>
      </c>
      <c r="F1812" s="8">
        <v>130678402</v>
      </c>
      <c r="G1812" s="8" t="s">
        <v>24</v>
      </c>
      <c r="H1812" s="8" t="s">
        <v>41</v>
      </c>
      <c r="I1812" s="8" t="s">
        <v>23</v>
      </c>
      <c r="J1812" s="8" t="s">
        <v>3333</v>
      </c>
      <c r="K1812" s="8" t="s">
        <v>9490</v>
      </c>
      <c r="L1812" s="8" t="s">
        <v>19</v>
      </c>
      <c r="M1812" s="8">
        <v>355</v>
      </c>
      <c r="N1812" s="8" t="s">
        <v>256</v>
      </c>
      <c r="O1812" s="8">
        <v>119</v>
      </c>
      <c r="P1812" s="8" t="s">
        <v>9489</v>
      </c>
      <c r="Q1812" s="8" t="s">
        <v>4262</v>
      </c>
      <c r="R1812" s="8">
        <v>0.56899999999999995</v>
      </c>
      <c r="S1812" s="8">
        <v>130678402</v>
      </c>
      <c r="T1812" s="8" t="s">
        <v>24</v>
      </c>
      <c r="U1812" s="8" t="s">
        <v>41</v>
      </c>
    </row>
    <row r="1813" spans="1:21">
      <c r="A1813" s="8" t="s">
        <v>8531</v>
      </c>
      <c r="B1813" s="8" t="s">
        <v>3334</v>
      </c>
      <c r="C1813" s="8">
        <v>51270</v>
      </c>
      <c r="D1813" s="8" t="s">
        <v>418</v>
      </c>
      <c r="E1813" s="8">
        <v>132352063</v>
      </c>
      <c r="F1813" s="8">
        <v>132352063</v>
      </c>
      <c r="G1813" s="8" t="s">
        <v>24</v>
      </c>
      <c r="H1813" s="8" t="s">
        <v>41</v>
      </c>
      <c r="I1813" s="8" t="s">
        <v>23</v>
      </c>
      <c r="J1813" s="8" t="s">
        <v>3335</v>
      </c>
      <c r="K1813" s="8" t="s">
        <v>9492</v>
      </c>
      <c r="L1813" s="8" t="s">
        <v>19</v>
      </c>
      <c r="M1813" s="8">
        <v>314</v>
      </c>
      <c r="N1813" s="8" t="s">
        <v>316</v>
      </c>
      <c r="O1813" s="8">
        <v>75</v>
      </c>
      <c r="P1813" s="8" t="s">
        <v>9491</v>
      </c>
      <c r="Q1813" s="8" t="s">
        <v>4262</v>
      </c>
      <c r="R1813" s="8">
        <v>0.56699999999999995</v>
      </c>
      <c r="S1813" s="8">
        <v>132352063</v>
      </c>
      <c r="T1813" s="8" t="s">
        <v>24</v>
      </c>
      <c r="U1813" s="8" t="s">
        <v>41</v>
      </c>
    </row>
    <row r="1814" spans="1:21">
      <c r="A1814" s="8" t="s">
        <v>8531</v>
      </c>
      <c r="B1814" s="8" t="s">
        <v>9493</v>
      </c>
      <c r="C1814" s="8">
        <v>158506</v>
      </c>
      <c r="D1814" s="8" t="s">
        <v>418</v>
      </c>
      <c r="E1814" s="8">
        <v>22291120</v>
      </c>
      <c r="F1814" s="8">
        <v>22291120</v>
      </c>
      <c r="G1814" s="8" t="s">
        <v>24</v>
      </c>
      <c r="H1814" s="8" t="s">
        <v>46</v>
      </c>
      <c r="I1814" s="8" t="s">
        <v>23</v>
      </c>
      <c r="J1814" s="8" t="s">
        <v>9494</v>
      </c>
      <c r="K1814" s="8" t="s">
        <v>9496</v>
      </c>
      <c r="L1814" s="8" t="s">
        <v>19</v>
      </c>
      <c r="M1814" s="8">
        <v>61</v>
      </c>
      <c r="N1814" s="8" t="s">
        <v>3231</v>
      </c>
      <c r="O1814" s="8">
        <v>4</v>
      </c>
      <c r="P1814" s="8" t="s">
        <v>9495</v>
      </c>
      <c r="Q1814" s="8" t="s">
        <v>4262</v>
      </c>
      <c r="R1814" s="8">
        <v>0.57699999999999996</v>
      </c>
      <c r="S1814" s="8">
        <v>22291120</v>
      </c>
      <c r="T1814" s="8" t="s">
        <v>24</v>
      </c>
      <c r="U1814" s="8" t="s">
        <v>46</v>
      </c>
    </row>
    <row r="1815" spans="1:21">
      <c r="A1815" s="8" t="s">
        <v>9499</v>
      </c>
      <c r="B1815" s="8" t="s">
        <v>1558</v>
      </c>
      <c r="C1815" s="8">
        <v>2331</v>
      </c>
      <c r="D1815" s="8" t="s">
        <v>22</v>
      </c>
      <c r="E1815" s="8">
        <v>203316450</v>
      </c>
      <c r="F1815" s="8">
        <v>203316450</v>
      </c>
      <c r="G1815" s="8" t="s">
        <v>41</v>
      </c>
      <c r="H1815" s="8" t="s">
        <v>46</v>
      </c>
      <c r="I1815" s="8" t="s">
        <v>23</v>
      </c>
      <c r="J1815" s="8" t="s">
        <v>1559</v>
      </c>
      <c r="K1815" s="8" t="s">
        <v>9498</v>
      </c>
      <c r="L1815" s="8" t="s">
        <v>19</v>
      </c>
      <c r="M1815" s="8">
        <v>1085</v>
      </c>
      <c r="N1815" s="8" t="s">
        <v>950</v>
      </c>
      <c r="O1815" s="8">
        <v>317</v>
      </c>
      <c r="P1815" s="8" t="s">
        <v>9497</v>
      </c>
      <c r="Q1815" s="8" t="s">
        <v>4262</v>
      </c>
      <c r="R1815" s="8">
        <v>0.373</v>
      </c>
      <c r="S1815" s="8">
        <v>203316450</v>
      </c>
      <c r="T1815" s="8" t="s">
        <v>41</v>
      </c>
      <c r="U1815" s="8" t="s">
        <v>46</v>
      </c>
    </row>
    <row r="1816" spans="1:21">
      <c r="A1816" s="8" t="s">
        <v>9499</v>
      </c>
      <c r="B1816" s="8" t="s">
        <v>2853</v>
      </c>
      <c r="C1816" s="8">
        <v>255928</v>
      </c>
      <c r="D1816" s="8" t="s">
        <v>22</v>
      </c>
      <c r="E1816" s="8">
        <v>210273703</v>
      </c>
      <c r="F1816" s="8">
        <v>210273703</v>
      </c>
      <c r="G1816" s="8" t="s">
        <v>25</v>
      </c>
      <c r="H1816" s="8" t="s">
        <v>24</v>
      </c>
      <c r="I1816" s="8" t="s">
        <v>23</v>
      </c>
      <c r="J1816" s="8" t="s">
        <v>9500</v>
      </c>
      <c r="K1816" s="8" t="s">
        <v>9502</v>
      </c>
      <c r="L1816" s="8" t="s">
        <v>19</v>
      </c>
      <c r="M1816" s="8">
        <v>1254</v>
      </c>
      <c r="N1816" s="8" t="s">
        <v>1043</v>
      </c>
      <c r="O1816" s="8">
        <v>399</v>
      </c>
      <c r="P1816" s="8" t="s">
        <v>9501</v>
      </c>
      <c r="Q1816" s="8" t="s">
        <v>4262</v>
      </c>
      <c r="R1816" s="8">
        <v>0.30199999999999999</v>
      </c>
      <c r="S1816" s="8">
        <v>210273703</v>
      </c>
      <c r="T1816" s="8" t="s">
        <v>25</v>
      </c>
      <c r="U1816" s="8" t="s">
        <v>24</v>
      </c>
    </row>
    <row r="1817" spans="1:21">
      <c r="A1817" s="8" t="s">
        <v>9499</v>
      </c>
      <c r="B1817" s="8" t="s">
        <v>9503</v>
      </c>
      <c r="C1817" s="8">
        <v>5968</v>
      </c>
      <c r="D1817" s="8" t="s">
        <v>172</v>
      </c>
      <c r="E1817" s="8">
        <v>79313937</v>
      </c>
      <c r="F1817" s="8">
        <v>79313937</v>
      </c>
      <c r="G1817" s="8" t="s">
        <v>46</v>
      </c>
      <c r="H1817" s="8" t="s">
        <v>41</v>
      </c>
      <c r="I1817" s="8" t="s">
        <v>23</v>
      </c>
      <c r="J1817" s="8" t="s">
        <v>9504</v>
      </c>
      <c r="K1817" s="8" t="s">
        <v>9505</v>
      </c>
      <c r="L1817" s="8" t="s">
        <v>68</v>
      </c>
      <c r="M1817" s="8">
        <v>0</v>
      </c>
      <c r="N1817" s="8" t="s">
        <v>35</v>
      </c>
      <c r="O1817" s="8">
        <v>0</v>
      </c>
      <c r="P1817" s="8" t="s">
        <v>35</v>
      </c>
      <c r="Q1817" s="8" t="s">
        <v>4262</v>
      </c>
      <c r="R1817" s="8">
        <v>0.129</v>
      </c>
      <c r="S1817" s="8">
        <v>79313937</v>
      </c>
      <c r="T1817" s="8" t="s">
        <v>46</v>
      </c>
      <c r="U1817" s="8" t="s">
        <v>41</v>
      </c>
    </row>
    <row r="1818" spans="1:21">
      <c r="A1818" s="8" t="s">
        <v>9499</v>
      </c>
      <c r="B1818" s="8" t="s">
        <v>2631</v>
      </c>
      <c r="C1818" s="8">
        <v>790</v>
      </c>
      <c r="D1818" s="8" t="s">
        <v>172</v>
      </c>
      <c r="E1818" s="8">
        <v>27456987</v>
      </c>
      <c r="F1818" s="8">
        <v>27456987</v>
      </c>
      <c r="G1818" s="8" t="s">
        <v>46</v>
      </c>
      <c r="H1818" s="8" t="s">
        <v>24</v>
      </c>
      <c r="I1818" s="8" t="s">
        <v>23</v>
      </c>
      <c r="J1818" s="8" t="s">
        <v>2632</v>
      </c>
      <c r="K1818" s="8" t="s">
        <v>9507</v>
      </c>
      <c r="L1818" s="8" t="s">
        <v>19</v>
      </c>
      <c r="M1818" s="8">
        <v>3673</v>
      </c>
      <c r="N1818" s="8" t="s">
        <v>2869</v>
      </c>
      <c r="O1818" s="8">
        <v>1171</v>
      </c>
      <c r="P1818" s="8" t="s">
        <v>9506</v>
      </c>
      <c r="Q1818" s="8" t="s">
        <v>4262</v>
      </c>
      <c r="R1818" s="8">
        <v>0.45800000000000002</v>
      </c>
      <c r="S1818" s="8">
        <v>27456987</v>
      </c>
      <c r="T1818" s="8" t="s">
        <v>46</v>
      </c>
      <c r="U1818" s="8" t="s">
        <v>24</v>
      </c>
    </row>
    <row r="1819" spans="1:21">
      <c r="A1819" s="8" t="s">
        <v>9499</v>
      </c>
      <c r="B1819" s="8" t="s">
        <v>4290</v>
      </c>
      <c r="C1819" s="8">
        <v>11148</v>
      </c>
      <c r="D1819" s="8" t="s">
        <v>201</v>
      </c>
      <c r="E1819" s="8">
        <v>108074051</v>
      </c>
      <c r="F1819" s="8">
        <v>108074051</v>
      </c>
      <c r="G1819" s="8" t="s">
        <v>25</v>
      </c>
      <c r="H1819" s="8" t="s">
        <v>41</v>
      </c>
      <c r="I1819" s="8" t="s">
        <v>23</v>
      </c>
      <c r="J1819" s="8" t="s">
        <v>4291</v>
      </c>
      <c r="K1819" s="8" t="s">
        <v>4293</v>
      </c>
      <c r="L1819" s="8" t="s">
        <v>19</v>
      </c>
      <c r="M1819" s="8">
        <v>922</v>
      </c>
      <c r="N1819" s="8" t="s">
        <v>1607</v>
      </c>
      <c r="O1819" s="8">
        <v>170</v>
      </c>
      <c r="P1819" s="8" t="s">
        <v>9508</v>
      </c>
      <c r="Q1819" s="8" t="s">
        <v>4262</v>
      </c>
      <c r="R1819" s="8">
        <v>0.373</v>
      </c>
      <c r="S1819" s="8">
        <v>108074051</v>
      </c>
      <c r="T1819" s="8" t="s">
        <v>25</v>
      </c>
      <c r="U1819" s="8" t="s">
        <v>41</v>
      </c>
    </row>
    <row r="1820" spans="1:21">
      <c r="A1820" s="8" t="s">
        <v>9499</v>
      </c>
      <c r="B1820" s="8" t="s">
        <v>2872</v>
      </c>
      <c r="C1820" s="8">
        <v>56945</v>
      </c>
      <c r="D1820" s="8" t="s">
        <v>201</v>
      </c>
      <c r="E1820" s="8">
        <v>139067041</v>
      </c>
      <c r="F1820" s="8">
        <v>139067041</v>
      </c>
      <c r="G1820" s="8" t="s">
        <v>25</v>
      </c>
      <c r="H1820" s="8" t="s">
        <v>46</v>
      </c>
      <c r="I1820" s="8" t="s">
        <v>23</v>
      </c>
      <c r="J1820" s="8" t="s">
        <v>2873</v>
      </c>
      <c r="K1820" s="8" t="s">
        <v>9510</v>
      </c>
      <c r="L1820" s="8" t="s">
        <v>19</v>
      </c>
      <c r="M1820" s="8">
        <v>387</v>
      </c>
      <c r="N1820" s="8" t="s">
        <v>1626</v>
      </c>
      <c r="O1820" s="8">
        <v>127</v>
      </c>
      <c r="P1820" s="8" t="s">
        <v>9509</v>
      </c>
      <c r="Q1820" s="8" t="s">
        <v>4262</v>
      </c>
      <c r="R1820" s="8">
        <v>0.42899999999999999</v>
      </c>
      <c r="S1820" s="8">
        <v>139067041</v>
      </c>
      <c r="T1820" s="8" t="s">
        <v>25</v>
      </c>
      <c r="U1820" s="8" t="s">
        <v>46</v>
      </c>
    </row>
    <row r="1821" spans="1:21">
      <c r="A1821" s="8" t="s">
        <v>9499</v>
      </c>
      <c r="B1821" s="8" t="s">
        <v>2874</v>
      </c>
      <c r="C1821" s="8">
        <v>22998</v>
      </c>
      <c r="D1821" s="8" t="s">
        <v>220</v>
      </c>
      <c r="E1821" s="8">
        <v>41648181</v>
      </c>
      <c r="F1821" s="8">
        <v>41648181</v>
      </c>
      <c r="G1821" s="8" t="s">
        <v>24</v>
      </c>
      <c r="H1821" s="8" t="s">
        <v>41</v>
      </c>
      <c r="I1821" s="8" t="s">
        <v>23</v>
      </c>
      <c r="J1821" s="8" t="s">
        <v>4637</v>
      </c>
      <c r="K1821" s="8" t="s">
        <v>4639</v>
      </c>
      <c r="L1821" s="8" t="s">
        <v>19</v>
      </c>
      <c r="M1821" s="8">
        <v>1194</v>
      </c>
      <c r="N1821" s="8" t="s">
        <v>251</v>
      </c>
      <c r="O1821" s="8">
        <v>380</v>
      </c>
      <c r="P1821" s="8" t="s">
        <v>9511</v>
      </c>
      <c r="Q1821" s="8" t="s">
        <v>4262</v>
      </c>
      <c r="R1821" s="8">
        <v>0.45800000000000002</v>
      </c>
      <c r="S1821" s="8">
        <v>41648181</v>
      </c>
      <c r="T1821" s="8" t="s">
        <v>24</v>
      </c>
      <c r="U1821" s="8" t="s">
        <v>41</v>
      </c>
    </row>
    <row r="1822" spans="1:21">
      <c r="A1822" s="8" t="s">
        <v>9499</v>
      </c>
      <c r="B1822" s="8" t="s">
        <v>2875</v>
      </c>
      <c r="C1822" s="8">
        <v>23120</v>
      </c>
      <c r="D1822" s="8" t="s">
        <v>226</v>
      </c>
      <c r="E1822" s="8">
        <v>160033872</v>
      </c>
      <c r="F1822" s="8">
        <v>160033872</v>
      </c>
      <c r="G1822" s="8" t="s">
        <v>46</v>
      </c>
      <c r="H1822" s="8" t="s">
        <v>25</v>
      </c>
      <c r="I1822" s="8" t="s">
        <v>23</v>
      </c>
      <c r="J1822" s="8" t="s">
        <v>2876</v>
      </c>
      <c r="K1822" s="8" t="s">
        <v>9513</v>
      </c>
      <c r="L1822" s="8" t="s">
        <v>19</v>
      </c>
      <c r="M1822" s="8">
        <v>3907</v>
      </c>
      <c r="N1822" s="8" t="s">
        <v>251</v>
      </c>
      <c r="O1822" s="8">
        <v>1020</v>
      </c>
      <c r="P1822" s="8" t="s">
        <v>9512</v>
      </c>
      <c r="Q1822" s="8" t="s">
        <v>4262</v>
      </c>
      <c r="R1822" s="8">
        <v>0.36399999999999999</v>
      </c>
      <c r="S1822" s="8">
        <v>160033872</v>
      </c>
      <c r="T1822" s="8" t="s">
        <v>46</v>
      </c>
      <c r="U1822" s="8" t="s">
        <v>25</v>
      </c>
    </row>
    <row r="1823" spans="1:21">
      <c r="A1823" s="8" t="s">
        <v>9499</v>
      </c>
      <c r="B1823" s="8" t="s">
        <v>2877</v>
      </c>
      <c r="C1823" s="8">
        <v>9096</v>
      </c>
      <c r="D1823" s="8" t="s">
        <v>237</v>
      </c>
      <c r="E1823" s="8">
        <v>85472269</v>
      </c>
      <c r="F1823" s="8">
        <v>85472269</v>
      </c>
      <c r="G1823" s="8" t="s">
        <v>46</v>
      </c>
      <c r="H1823" s="8" t="s">
        <v>25</v>
      </c>
      <c r="I1823" s="8" t="s">
        <v>23</v>
      </c>
      <c r="J1823" s="8" t="s">
        <v>2878</v>
      </c>
      <c r="K1823" s="8" t="s">
        <v>9515</v>
      </c>
      <c r="L1823" s="8" t="s">
        <v>19</v>
      </c>
      <c r="M1823" s="8">
        <v>490</v>
      </c>
      <c r="N1823" s="8" t="s">
        <v>256</v>
      </c>
      <c r="O1823" s="8">
        <v>164</v>
      </c>
      <c r="P1823" s="8" t="s">
        <v>9514</v>
      </c>
      <c r="Q1823" s="8" t="s">
        <v>4262</v>
      </c>
      <c r="R1823" s="8">
        <v>0.45500000000000002</v>
      </c>
      <c r="S1823" s="8">
        <v>85472269</v>
      </c>
      <c r="T1823" s="8" t="s">
        <v>46</v>
      </c>
      <c r="U1823" s="8" t="s">
        <v>25</v>
      </c>
    </row>
    <row r="1824" spans="1:21">
      <c r="A1824" s="8" t="s">
        <v>9499</v>
      </c>
      <c r="B1824" s="8" t="s">
        <v>2879</v>
      </c>
      <c r="C1824" s="8">
        <v>54443</v>
      </c>
      <c r="D1824" s="8" t="s">
        <v>257</v>
      </c>
      <c r="E1824" s="8">
        <v>36450198</v>
      </c>
      <c r="F1824" s="8">
        <v>36450198</v>
      </c>
      <c r="G1824" s="8" t="s">
        <v>24</v>
      </c>
      <c r="H1824" s="8" t="s">
        <v>25</v>
      </c>
      <c r="I1824" s="8" t="s">
        <v>23</v>
      </c>
      <c r="J1824" s="8" t="s">
        <v>2880</v>
      </c>
      <c r="K1824" s="8" t="s">
        <v>9517</v>
      </c>
      <c r="L1824" s="8" t="s">
        <v>19</v>
      </c>
      <c r="M1824" s="8">
        <v>1376</v>
      </c>
      <c r="N1824" s="8" t="s">
        <v>297</v>
      </c>
      <c r="O1824" s="8">
        <v>391</v>
      </c>
      <c r="P1824" s="8" t="s">
        <v>9516</v>
      </c>
      <c r="Q1824" s="8" t="s">
        <v>4262</v>
      </c>
      <c r="R1824" s="8">
        <v>0.5</v>
      </c>
      <c r="S1824" s="8">
        <v>36450198</v>
      </c>
      <c r="T1824" s="8" t="s">
        <v>24</v>
      </c>
      <c r="U1824" s="8" t="s">
        <v>25</v>
      </c>
    </row>
    <row r="1825" spans="1:21">
      <c r="A1825" s="8" t="s">
        <v>9499</v>
      </c>
      <c r="B1825" s="8" t="s">
        <v>3971</v>
      </c>
      <c r="C1825" s="8">
        <v>54212</v>
      </c>
      <c r="D1825" s="8" t="s">
        <v>279</v>
      </c>
      <c r="E1825" s="8">
        <v>51569472</v>
      </c>
      <c r="F1825" s="8">
        <v>51569472</v>
      </c>
      <c r="G1825" s="8" t="s">
        <v>24</v>
      </c>
      <c r="H1825" s="8" t="s">
        <v>41</v>
      </c>
      <c r="I1825" s="8" t="s">
        <v>23</v>
      </c>
      <c r="J1825" s="8" t="s">
        <v>9518</v>
      </c>
      <c r="K1825" s="8" t="s">
        <v>9520</v>
      </c>
      <c r="L1825" s="8" t="s">
        <v>19</v>
      </c>
      <c r="M1825" s="8">
        <v>1150</v>
      </c>
      <c r="N1825" s="8" t="s">
        <v>162</v>
      </c>
      <c r="O1825" s="8">
        <v>285</v>
      </c>
      <c r="P1825" s="8" t="s">
        <v>9519</v>
      </c>
      <c r="Q1825" s="8" t="s">
        <v>4262</v>
      </c>
      <c r="R1825" s="8">
        <v>9.5000000000000001E-2</v>
      </c>
      <c r="S1825" s="8">
        <v>51569472</v>
      </c>
      <c r="T1825" s="8" t="s">
        <v>24</v>
      </c>
      <c r="U1825" s="8" t="s">
        <v>41</v>
      </c>
    </row>
    <row r="1826" spans="1:21">
      <c r="A1826" s="8" t="s">
        <v>9499</v>
      </c>
      <c r="B1826" s="8" t="s">
        <v>2143</v>
      </c>
      <c r="C1826" s="8">
        <v>138046</v>
      </c>
      <c r="D1826" s="8" t="s">
        <v>279</v>
      </c>
      <c r="E1826" s="8">
        <v>85686877</v>
      </c>
      <c r="F1826" s="8">
        <v>85686877</v>
      </c>
      <c r="G1826" s="8" t="s">
        <v>46</v>
      </c>
      <c r="H1826" s="8" t="s">
        <v>24</v>
      </c>
      <c r="I1826" s="8" t="s">
        <v>23</v>
      </c>
      <c r="J1826" s="8" t="s">
        <v>9521</v>
      </c>
      <c r="K1826" s="8" t="s">
        <v>9523</v>
      </c>
      <c r="L1826" s="8" t="s">
        <v>19</v>
      </c>
      <c r="M1826" s="8">
        <v>493</v>
      </c>
      <c r="N1826" s="8" t="s">
        <v>435</v>
      </c>
      <c r="O1826" s="8">
        <v>120</v>
      </c>
      <c r="P1826" s="8" t="s">
        <v>9522</v>
      </c>
      <c r="Q1826" s="8" t="s">
        <v>4262</v>
      </c>
      <c r="R1826" s="8">
        <v>0.16</v>
      </c>
      <c r="S1826" s="8">
        <v>85686877</v>
      </c>
      <c r="T1826" s="8" t="s">
        <v>46</v>
      </c>
      <c r="U1826" s="8" t="s">
        <v>24</v>
      </c>
    </row>
    <row r="1827" spans="1:21">
      <c r="A1827" s="8" t="s">
        <v>9499</v>
      </c>
      <c r="B1827" s="8" t="s">
        <v>9524</v>
      </c>
      <c r="C1827" s="8">
        <v>3717</v>
      </c>
      <c r="D1827" s="8" t="s">
        <v>292</v>
      </c>
      <c r="E1827" s="8">
        <v>5123047</v>
      </c>
      <c r="F1827" s="8">
        <v>5123047</v>
      </c>
      <c r="G1827" s="8" t="s">
        <v>41</v>
      </c>
      <c r="H1827" s="8" t="s">
        <v>24</v>
      </c>
      <c r="I1827" s="8" t="s">
        <v>23</v>
      </c>
      <c r="J1827" s="8" t="s">
        <v>9525</v>
      </c>
      <c r="K1827" s="8" t="s">
        <v>9527</v>
      </c>
      <c r="L1827" s="8" t="s">
        <v>19</v>
      </c>
      <c r="M1827" s="8">
        <v>3597</v>
      </c>
      <c r="N1827" s="8" t="s">
        <v>2905</v>
      </c>
      <c r="O1827" s="8">
        <v>1035</v>
      </c>
      <c r="P1827" s="8" t="s">
        <v>9526</v>
      </c>
      <c r="Q1827" s="8" t="s">
        <v>4262</v>
      </c>
      <c r="R1827" s="8">
        <v>0.184</v>
      </c>
      <c r="S1827" s="8">
        <v>5123047</v>
      </c>
      <c r="T1827" s="8" t="s">
        <v>41</v>
      </c>
      <c r="U1827" s="8" t="s">
        <v>24</v>
      </c>
    </row>
    <row r="1828" spans="1:21">
      <c r="A1828" s="8" t="s">
        <v>9499</v>
      </c>
      <c r="B1828" s="8" t="s">
        <v>1212</v>
      </c>
      <c r="C1828" s="8">
        <v>58499</v>
      </c>
      <c r="D1828" s="8" t="s">
        <v>292</v>
      </c>
      <c r="E1828" s="8">
        <v>109746560</v>
      </c>
      <c r="F1828" s="8">
        <v>109746560</v>
      </c>
      <c r="G1828" s="8" t="s">
        <v>24</v>
      </c>
      <c r="H1828" s="8" t="s">
        <v>25</v>
      </c>
      <c r="I1828" s="8" t="s">
        <v>23</v>
      </c>
      <c r="J1828" s="8" t="s">
        <v>1213</v>
      </c>
      <c r="K1828" s="8" t="s">
        <v>7405</v>
      </c>
      <c r="L1828" s="8" t="s">
        <v>19</v>
      </c>
      <c r="M1828" s="8">
        <v>7215</v>
      </c>
      <c r="N1828" s="8" t="s">
        <v>732</v>
      </c>
      <c r="O1828" s="8">
        <v>2309</v>
      </c>
      <c r="P1828" s="8" t="s">
        <v>9528</v>
      </c>
      <c r="Q1828" s="8" t="s">
        <v>4262</v>
      </c>
      <c r="R1828" s="8">
        <v>0.16700000000000001</v>
      </c>
      <c r="S1828" s="8">
        <v>109746560</v>
      </c>
      <c r="T1828" s="8" t="s">
        <v>24</v>
      </c>
      <c r="U1828" s="8" t="s">
        <v>25</v>
      </c>
    </row>
    <row r="1829" spans="1:21">
      <c r="A1829" s="8" t="s">
        <v>9499</v>
      </c>
      <c r="B1829" s="8" t="s">
        <v>2881</v>
      </c>
      <c r="C1829" s="8">
        <v>8021</v>
      </c>
      <c r="D1829" s="8" t="s">
        <v>292</v>
      </c>
      <c r="E1829" s="8">
        <v>134019738</v>
      </c>
      <c r="F1829" s="8">
        <v>134019738</v>
      </c>
      <c r="G1829" s="8" t="s">
        <v>24</v>
      </c>
      <c r="H1829" s="8" t="s">
        <v>25</v>
      </c>
      <c r="I1829" s="8" t="s">
        <v>23</v>
      </c>
      <c r="J1829" s="8" t="s">
        <v>2882</v>
      </c>
      <c r="K1829" s="8" t="s">
        <v>9530</v>
      </c>
      <c r="L1829" s="8" t="s">
        <v>19</v>
      </c>
      <c r="M1829" s="8">
        <v>1477</v>
      </c>
      <c r="N1829" s="8" t="s">
        <v>155</v>
      </c>
      <c r="O1829" s="8">
        <v>456</v>
      </c>
      <c r="P1829" s="8" t="s">
        <v>9529</v>
      </c>
      <c r="Q1829" s="8" t="s">
        <v>4262</v>
      </c>
      <c r="R1829" s="8">
        <v>0.33700000000000002</v>
      </c>
      <c r="S1829" s="8">
        <v>134019738</v>
      </c>
      <c r="T1829" s="8" t="s">
        <v>24</v>
      </c>
      <c r="U1829" s="8" t="s">
        <v>25</v>
      </c>
    </row>
    <row r="1830" spans="1:21">
      <c r="A1830" s="8" t="s">
        <v>9499</v>
      </c>
      <c r="B1830" s="8" t="s">
        <v>2854</v>
      </c>
      <c r="C1830" s="8">
        <v>64429</v>
      </c>
      <c r="D1830" s="8" t="s">
        <v>69</v>
      </c>
      <c r="E1830" s="8">
        <v>114192997</v>
      </c>
      <c r="F1830" s="8">
        <v>114192997</v>
      </c>
      <c r="G1830" s="8" t="s">
        <v>46</v>
      </c>
      <c r="H1830" s="8" t="s">
        <v>41</v>
      </c>
      <c r="I1830" s="8" t="s">
        <v>23</v>
      </c>
      <c r="J1830" s="8" t="s">
        <v>2855</v>
      </c>
      <c r="K1830" s="8" t="s">
        <v>9531</v>
      </c>
      <c r="L1830" s="8" t="s">
        <v>68</v>
      </c>
      <c r="M1830" s="8">
        <v>0</v>
      </c>
      <c r="N1830" s="8" t="s">
        <v>35</v>
      </c>
      <c r="O1830" s="8">
        <v>0</v>
      </c>
      <c r="P1830" s="8" t="s">
        <v>35</v>
      </c>
      <c r="Q1830" s="8" t="s">
        <v>4262</v>
      </c>
      <c r="R1830" s="8">
        <v>0.52600000000000002</v>
      </c>
      <c r="S1830" s="8">
        <v>114192997</v>
      </c>
      <c r="T1830" s="8" t="s">
        <v>46</v>
      </c>
      <c r="U1830" s="8" t="s">
        <v>41</v>
      </c>
    </row>
    <row r="1831" spans="1:21">
      <c r="A1831" s="8" t="s">
        <v>9499</v>
      </c>
      <c r="B1831" s="8" t="s">
        <v>2859</v>
      </c>
      <c r="C1831" s="8">
        <v>340980</v>
      </c>
      <c r="D1831" s="8" t="s">
        <v>83</v>
      </c>
      <c r="E1831" s="8">
        <v>5602203</v>
      </c>
      <c r="F1831" s="8">
        <v>5602203</v>
      </c>
      <c r="G1831" s="8" t="s">
        <v>41</v>
      </c>
      <c r="H1831" s="8" t="s">
        <v>24</v>
      </c>
      <c r="I1831" s="8" t="s">
        <v>23</v>
      </c>
      <c r="J1831" s="8" t="s">
        <v>2860</v>
      </c>
      <c r="K1831" s="8" t="s">
        <v>6111</v>
      </c>
      <c r="L1831" s="8" t="s">
        <v>19</v>
      </c>
      <c r="M1831" s="8">
        <v>97</v>
      </c>
      <c r="N1831" s="8" t="s">
        <v>2861</v>
      </c>
      <c r="O1831" s="8">
        <v>33</v>
      </c>
      <c r="P1831" s="8" t="s">
        <v>9532</v>
      </c>
      <c r="Q1831" s="8" t="s">
        <v>4262</v>
      </c>
      <c r="R1831" s="8">
        <v>0.48299999999999998</v>
      </c>
      <c r="S1831" s="8">
        <v>5602203</v>
      </c>
      <c r="T1831" s="8" t="s">
        <v>41</v>
      </c>
      <c r="U1831" s="8" t="s">
        <v>24</v>
      </c>
    </row>
    <row r="1832" spans="1:21">
      <c r="A1832" s="8" t="s">
        <v>9499</v>
      </c>
      <c r="B1832" s="8" t="s">
        <v>9533</v>
      </c>
      <c r="C1832" s="8">
        <v>390181</v>
      </c>
      <c r="D1832" s="8" t="s">
        <v>83</v>
      </c>
      <c r="E1832" s="8">
        <v>56756773</v>
      </c>
      <c r="F1832" s="8">
        <v>56756773</v>
      </c>
      <c r="G1832" s="8" t="s">
        <v>46</v>
      </c>
      <c r="H1832" s="8" t="s">
        <v>25</v>
      </c>
      <c r="I1832" s="8" t="s">
        <v>23</v>
      </c>
      <c r="J1832" s="8" t="s">
        <v>9534</v>
      </c>
      <c r="K1832" s="8" t="s">
        <v>9536</v>
      </c>
      <c r="L1832" s="8" t="s">
        <v>19</v>
      </c>
      <c r="M1832" s="8">
        <v>385</v>
      </c>
      <c r="N1832" s="8" t="s">
        <v>3150</v>
      </c>
      <c r="O1832" s="8">
        <v>129</v>
      </c>
      <c r="P1832" s="8" t="s">
        <v>9535</v>
      </c>
      <c r="Q1832" s="8" t="s">
        <v>4262</v>
      </c>
      <c r="R1832" s="8">
        <v>0.245</v>
      </c>
      <c r="S1832" s="8">
        <v>56756773</v>
      </c>
      <c r="T1832" s="8" t="s">
        <v>46</v>
      </c>
      <c r="U1832" s="8" t="s">
        <v>25</v>
      </c>
    </row>
    <row r="1833" spans="1:21">
      <c r="A1833" s="8" t="s">
        <v>9499</v>
      </c>
      <c r="B1833" s="8" t="s">
        <v>1987</v>
      </c>
      <c r="C1833" s="8">
        <v>823</v>
      </c>
      <c r="D1833" s="8" t="s">
        <v>83</v>
      </c>
      <c r="E1833" s="8">
        <v>64976792</v>
      </c>
      <c r="F1833" s="8">
        <v>64976792</v>
      </c>
      <c r="G1833" s="8" t="s">
        <v>25</v>
      </c>
      <c r="H1833" s="8" t="s">
        <v>24</v>
      </c>
      <c r="I1833" s="8" t="s">
        <v>23</v>
      </c>
      <c r="J1833" s="8" t="s">
        <v>9537</v>
      </c>
      <c r="K1833" s="8" t="s">
        <v>9538</v>
      </c>
      <c r="L1833" s="8" t="s">
        <v>68</v>
      </c>
      <c r="M1833" s="8">
        <v>0</v>
      </c>
      <c r="N1833" s="8" t="s">
        <v>35</v>
      </c>
      <c r="O1833" s="8">
        <v>0</v>
      </c>
      <c r="P1833" s="8" t="s">
        <v>35</v>
      </c>
      <c r="Q1833" s="8" t="s">
        <v>4262</v>
      </c>
      <c r="R1833" s="8">
        <v>0.13600000000000001</v>
      </c>
      <c r="S1833" s="8">
        <v>64976792</v>
      </c>
      <c r="T1833" s="8" t="s">
        <v>25</v>
      </c>
      <c r="U1833" s="8" t="s">
        <v>24</v>
      </c>
    </row>
    <row r="1834" spans="1:21">
      <c r="A1834" s="8" t="s">
        <v>9499</v>
      </c>
      <c r="B1834" s="8" t="s">
        <v>2857</v>
      </c>
      <c r="C1834" s="8">
        <v>10894</v>
      </c>
      <c r="D1834" s="8" t="s">
        <v>83</v>
      </c>
      <c r="E1834" s="8">
        <v>10582171</v>
      </c>
      <c r="F1834" s="8">
        <v>10582171</v>
      </c>
      <c r="G1834" s="8" t="s">
        <v>25</v>
      </c>
      <c r="H1834" s="8" t="s">
        <v>24</v>
      </c>
      <c r="I1834" s="8" t="s">
        <v>23</v>
      </c>
      <c r="J1834" s="8" t="s">
        <v>2858</v>
      </c>
      <c r="K1834" s="8" t="s">
        <v>9540</v>
      </c>
      <c r="L1834" s="8" t="s">
        <v>19</v>
      </c>
      <c r="M1834" s="8">
        <v>860</v>
      </c>
      <c r="N1834" s="8" t="s">
        <v>1489</v>
      </c>
      <c r="O1834" s="8">
        <v>192</v>
      </c>
      <c r="P1834" s="8" t="s">
        <v>9539</v>
      </c>
      <c r="Q1834" s="8" t="s">
        <v>4262</v>
      </c>
      <c r="R1834" s="8">
        <v>0.64500000000000002</v>
      </c>
      <c r="S1834" s="8">
        <v>10582171</v>
      </c>
      <c r="T1834" s="8" t="s">
        <v>25</v>
      </c>
      <c r="U1834" s="8" t="s">
        <v>24</v>
      </c>
    </row>
    <row r="1835" spans="1:21">
      <c r="A1835" s="8" t="s">
        <v>9499</v>
      </c>
      <c r="B1835" s="8" t="s">
        <v>888</v>
      </c>
      <c r="C1835" s="8">
        <v>7007</v>
      </c>
      <c r="D1835" s="8" t="s">
        <v>83</v>
      </c>
      <c r="E1835" s="8">
        <v>121039591</v>
      </c>
      <c r="F1835" s="8">
        <v>121039591</v>
      </c>
      <c r="G1835" s="8" t="s">
        <v>46</v>
      </c>
      <c r="H1835" s="8" t="s">
        <v>41</v>
      </c>
      <c r="I1835" s="8" t="s">
        <v>23</v>
      </c>
      <c r="J1835" s="8" t="s">
        <v>889</v>
      </c>
      <c r="K1835" s="8" t="s">
        <v>9542</v>
      </c>
      <c r="L1835" s="8" t="s">
        <v>76</v>
      </c>
      <c r="M1835" s="8">
        <v>5956</v>
      </c>
      <c r="N1835" s="8" t="s">
        <v>103</v>
      </c>
      <c r="O1835" s="8">
        <v>1986</v>
      </c>
      <c r="P1835" s="8" t="s">
        <v>9541</v>
      </c>
      <c r="Q1835" s="8" t="s">
        <v>4262</v>
      </c>
      <c r="R1835" s="8">
        <v>0.45500000000000002</v>
      </c>
      <c r="S1835" s="8">
        <v>121039591</v>
      </c>
      <c r="T1835" s="8" t="s">
        <v>46</v>
      </c>
      <c r="U1835" s="8" t="s">
        <v>41</v>
      </c>
    </row>
    <row r="1836" spans="1:21">
      <c r="A1836" s="8" t="s">
        <v>9499</v>
      </c>
      <c r="B1836" s="8" t="s">
        <v>2862</v>
      </c>
      <c r="C1836" s="8">
        <v>160419</v>
      </c>
      <c r="D1836" s="8" t="s">
        <v>104</v>
      </c>
      <c r="E1836" s="8">
        <v>88420348</v>
      </c>
      <c r="F1836" s="8">
        <v>88420348</v>
      </c>
      <c r="G1836" s="8" t="s">
        <v>24</v>
      </c>
      <c r="H1836" s="8" t="s">
        <v>41</v>
      </c>
      <c r="I1836" s="8" t="s">
        <v>23</v>
      </c>
      <c r="J1836" s="8" t="s">
        <v>2863</v>
      </c>
      <c r="K1836" s="8" t="s">
        <v>9544</v>
      </c>
      <c r="L1836" s="8" t="s">
        <v>19</v>
      </c>
      <c r="M1836" s="8">
        <v>218</v>
      </c>
      <c r="N1836" s="8" t="s">
        <v>622</v>
      </c>
      <c r="O1836" s="8">
        <v>17</v>
      </c>
      <c r="P1836" s="8" t="s">
        <v>9543</v>
      </c>
      <c r="Q1836" s="8" t="s">
        <v>4262</v>
      </c>
      <c r="R1836" s="8">
        <v>0.5</v>
      </c>
      <c r="S1836" s="8">
        <v>88420348</v>
      </c>
      <c r="T1836" s="8" t="s">
        <v>24</v>
      </c>
      <c r="U1836" s="8" t="s">
        <v>41</v>
      </c>
    </row>
    <row r="1837" spans="1:21">
      <c r="A1837" s="8" t="s">
        <v>9499</v>
      </c>
      <c r="B1837" s="8" t="s">
        <v>2864</v>
      </c>
      <c r="C1837" s="8">
        <v>1948</v>
      </c>
      <c r="D1837" s="8" t="s">
        <v>339</v>
      </c>
      <c r="E1837" s="8">
        <v>107145447</v>
      </c>
      <c r="F1837" s="8">
        <v>107145447</v>
      </c>
      <c r="G1837" s="8" t="s">
        <v>46</v>
      </c>
      <c r="H1837" s="8" t="s">
        <v>25</v>
      </c>
      <c r="I1837" s="8" t="s">
        <v>23</v>
      </c>
      <c r="J1837" s="8" t="s">
        <v>2865</v>
      </c>
      <c r="K1837" s="8" t="s">
        <v>9546</v>
      </c>
      <c r="L1837" s="8" t="s">
        <v>19</v>
      </c>
      <c r="M1837" s="8">
        <v>1019</v>
      </c>
      <c r="N1837" s="8" t="s">
        <v>1248</v>
      </c>
      <c r="O1837" s="8">
        <v>315</v>
      </c>
      <c r="P1837" s="8" t="s">
        <v>9545</v>
      </c>
      <c r="Q1837" s="8" t="s">
        <v>4262</v>
      </c>
      <c r="R1837" s="8">
        <v>0.41699999999999998</v>
      </c>
      <c r="S1837" s="8">
        <v>107145447</v>
      </c>
      <c r="T1837" s="8" t="s">
        <v>46</v>
      </c>
      <c r="U1837" s="8" t="s">
        <v>25</v>
      </c>
    </row>
    <row r="1838" spans="1:21">
      <c r="A1838" s="8" t="s">
        <v>9499</v>
      </c>
      <c r="B1838" s="8" t="s">
        <v>2868</v>
      </c>
      <c r="C1838" s="8">
        <v>1012</v>
      </c>
      <c r="D1838" s="8" t="s">
        <v>129</v>
      </c>
      <c r="E1838" s="8">
        <v>83817060</v>
      </c>
      <c r="F1838" s="8">
        <v>83817060</v>
      </c>
      <c r="G1838" s="8" t="s">
        <v>24</v>
      </c>
      <c r="H1838" s="8" t="s">
        <v>25</v>
      </c>
      <c r="I1838" s="8" t="s">
        <v>23</v>
      </c>
      <c r="J1838" s="8" t="s">
        <v>9547</v>
      </c>
      <c r="K1838" s="8" t="s">
        <v>9549</v>
      </c>
      <c r="L1838" s="8" t="s">
        <v>19</v>
      </c>
      <c r="M1838" s="8">
        <v>2522</v>
      </c>
      <c r="N1838" s="8" t="s">
        <v>708</v>
      </c>
      <c r="O1838" s="8">
        <v>753</v>
      </c>
      <c r="P1838" s="8" t="s">
        <v>9548</v>
      </c>
      <c r="Q1838" s="8" t="s">
        <v>4262</v>
      </c>
      <c r="R1838" s="8">
        <v>0.45</v>
      </c>
      <c r="S1838" s="8">
        <v>83817060</v>
      </c>
      <c r="T1838" s="8" t="s">
        <v>24</v>
      </c>
      <c r="U1838" s="8" t="s">
        <v>25</v>
      </c>
    </row>
    <row r="1839" spans="1:21">
      <c r="A1839" s="8" t="s">
        <v>9499</v>
      </c>
      <c r="B1839" s="8" t="s">
        <v>2870</v>
      </c>
      <c r="C1839" s="8">
        <v>1890</v>
      </c>
      <c r="D1839" s="8" t="s">
        <v>197</v>
      </c>
      <c r="E1839" s="8">
        <v>50966113</v>
      </c>
      <c r="F1839" s="8">
        <v>50966113</v>
      </c>
      <c r="G1839" s="8" t="s">
        <v>41</v>
      </c>
      <c r="H1839" s="8" t="s">
        <v>24</v>
      </c>
      <c r="I1839" s="8" t="s">
        <v>23</v>
      </c>
      <c r="J1839" s="8" t="s">
        <v>9550</v>
      </c>
      <c r="K1839" s="8" t="s">
        <v>9552</v>
      </c>
      <c r="L1839" s="8" t="s">
        <v>19</v>
      </c>
      <c r="M1839" s="8">
        <v>670</v>
      </c>
      <c r="N1839" s="8" t="s">
        <v>2871</v>
      </c>
      <c r="O1839" s="8">
        <v>184</v>
      </c>
      <c r="P1839" s="8" t="s">
        <v>9551</v>
      </c>
      <c r="Q1839" s="8" t="s">
        <v>4262</v>
      </c>
      <c r="R1839" s="8">
        <v>0.375</v>
      </c>
      <c r="S1839" s="8">
        <v>50966113</v>
      </c>
      <c r="T1839" s="8" t="s">
        <v>41</v>
      </c>
      <c r="U1839" s="8" t="s">
        <v>24</v>
      </c>
    </row>
    <row r="1840" spans="1:21">
      <c r="A1840" s="8" t="s">
        <v>9499</v>
      </c>
      <c r="B1840" s="8" t="s">
        <v>9553</v>
      </c>
      <c r="C1840" s="8">
        <v>9947</v>
      </c>
      <c r="D1840" s="8" t="s">
        <v>418</v>
      </c>
      <c r="E1840" s="8">
        <v>140994932</v>
      </c>
      <c r="F1840" s="8">
        <v>140994932</v>
      </c>
      <c r="G1840" s="8" t="s">
        <v>46</v>
      </c>
      <c r="H1840" s="8" t="s">
        <v>25</v>
      </c>
      <c r="I1840" s="8" t="s">
        <v>23</v>
      </c>
      <c r="J1840" s="8" t="s">
        <v>9554</v>
      </c>
      <c r="K1840" s="8" t="s">
        <v>9556</v>
      </c>
      <c r="L1840" s="8" t="s">
        <v>19</v>
      </c>
      <c r="M1840" s="8">
        <v>2066</v>
      </c>
      <c r="N1840" s="8" t="s">
        <v>622</v>
      </c>
      <c r="O1840" s="8">
        <v>581</v>
      </c>
      <c r="P1840" s="8" t="s">
        <v>9555</v>
      </c>
      <c r="Q1840" s="8" t="s">
        <v>4262</v>
      </c>
      <c r="R1840" s="8">
        <v>8.5999999999999993E-2</v>
      </c>
      <c r="S1840" s="8">
        <v>140994932</v>
      </c>
      <c r="T1840" s="8" t="s">
        <v>46</v>
      </c>
      <c r="U1840" s="8" t="s">
        <v>25</v>
      </c>
    </row>
    <row r="1841" spans="1:21">
      <c r="A1841" s="8" t="s">
        <v>9561</v>
      </c>
      <c r="B1841" s="8" t="s">
        <v>9557</v>
      </c>
      <c r="C1841" s="8">
        <v>23169</v>
      </c>
      <c r="D1841" s="8" t="s">
        <v>22</v>
      </c>
      <c r="E1841" s="8">
        <v>67487260</v>
      </c>
      <c r="F1841" s="8">
        <v>67487260</v>
      </c>
      <c r="G1841" s="8" t="s">
        <v>41</v>
      </c>
      <c r="H1841" s="8" t="s">
        <v>46</v>
      </c>
      <c r="I1841" s="8" t="s">
        <v>23</v>
      </c>
      <c r="J1841" s="8" t="s">
        <v>9558</v>
      </c>
      <c r="K1841" s="8" t="s">
        <v>9560</v>
      </c>
      <c r="L1841" s="8" t="s">
        <v>19</v>
      </c>
      <c r="M1841" s="8">
        <v>1139</v>
      </c>
      <c r="N1841" s="8" t="s">
        <v>551</v>
      </c>
      <c r="O1841" s="8">
        <v>252</v>
      </c>
      <c r="P1841" s="8" t="s">
        <v>9559</v>
      </c>
      <c r="Q1841" s="8" t="s">
        <v>4262</v>
      </c>
      <c r="R1841" s="8">
        <v>7.0999999999999994E-2</v>
      </c>
      <c r="S1841" s="8">
        <v>67487260</v>
      </c>
      <c r="T1841" s="8" t="s">
        <v>41</v>
      </c>
      <c r="U1841" s="8" t="s">
        <v>46</v>
      </c>
    </row>
    <row r="1842" spans="1:21">
      <c r="A1842" s="8" t="s">
        <v>9561</v>
      </c>
      <c r="B1842" s="8" t="s">
        <v>2890</v>
      </c>
      <c r="C1842" s="8">
        <v>57554</v>
      </c>
      <c r="D1842" s="8" t="s">
        <v>22</v>
      </c>
      <c r="E1842" s="8">
        <v>70488860</v>
      </c>
      <c r="F1842" s="8">
        <v>70488860</v>
      </c>
      <c r="G1842" s="8" t="s">
        <v>46</v>
      </c>
      <c r="H1842" s="8" t="s">
        <v>24</v>
      </c>
      <c r="I1842" s="8" t="s">
        <v>23</v>
      </c>
      <c r="J1842" s="8" t="s">
        <v>2891</v>
      </c>
      <c r="K1842" s="8" t="s">
        <v>6602</v>
      </c>
      <c r="L1842" s="8" t="s">
        <v>19</v>
      </c>
      <c r="M1842" s="8">
        <v>1513</v>
      </c>
      <c r="N1842" s="8" t="s">
        <v>2992</v>
      </c>
      <c r="O1842" s="8">
        <v>495</v>
      </c>
      <c r="P1842" s="8" t="s">
        <v>9562</v>
      </c>
      <c r="Q1842" s="8" t="s">
        <v>4262</v>
      </c>
      <c r="R1842" s="8">
        <v>0.41299999999999998</v>
      </c>
      <c r="S1842" s="8">
        <v>70488860</v>
      </c>
      <c r="T1842" s="8" t="s">
        <v>46</v>
      </c>
      <c r="U1842" s="8" t="s">
        <v>24</v>
      </c>
    </row>
    <row r="1843" spans="1:21">
      <c r="A1843" s="8" t="s">
        <v>9561</v>
      </c>
      <c r="B1843" s="8" t="s">
        <v>2969</v>
      </c>
      <c r="C1843" s="8">
        <v>164045</v>
      </c>
      <c r="D1843" s="8" t="s">
        <v>22</v>
      </c>
      <c r="E1843" s="8">
        <v>91733313</v>
      </c>
      <c r="F1843" s="8">
        <v>91733313</v>
      </c>
      <c r="G1843" s="8" t="s">
        <v>24</v>
      </c>
      <c r="H1843" s="8" t="s">
        <v>41</v>
      </c>
      <c r="I1843" s="8" t="s">
        <v>23</v>
      </c>
      <c r="J1843" s="8" t="s">
        <v>2970</v>
      </c>
      <c r="K1843" s="8" t="s">
        <v>8451</v>
      </c>
      <c r="L1843" s="8" t="s">
        <v>19</v>
      </c>
      <c r="M1843" s="8">
        <v>3971</v>
      </c>
      <c r="N1843" s="8" t="s">
        <v>219</v>
      </c>
      <c r="O1843" s="8">
        <v>1291</v>
      </c>
      <c r="P1843" s="8" t="s">
        <v>9563</v>
      </c>
      <c r="Q1843" s="8" t="s">
        <v>4262</v>
      </c>
      <c r="R1843" s="8">
        <v>0.157</v>
      </c>
      <c r="S1843" s="8">
        <v>91733313</v>
      </c>
      <c r="T1843" s="8" t="s">
        <v>24</v>
      </c>
      <c r="U1843" s="8" t="s">
        <v>41</v>
      </c>
    </row>
    <row r="1844" spans="1:21">
      <c r="A1844" s="8" t="s">
        <v>9561</v>
      </c>
      <c r="B1844" s="8" t="s">
        <v>1933</v>
      </c>
      <c r="C1844" s="8">
        <v>23095</v>
      </c>
      <c r="D1844" s="8" t="s">
        <v>22</v>
      </c>
      <c r="E1844" s="8">
        <v>10342494</v>
      </c>
      <c r="F1844" s="8">
        <v>10342494</v>
      </c>
      <c r="G1844" s="8" t="s">
        <v>24</v>
      </c>
      <c r="H1844" s="8" t="s">
        <v>46</v>
      </c>
      <c r="I1844" s="8" t="s">
        <v>23</v>
      </c>
      <c r="J1844" s="8" t="s">
        <v>9564</v>
      </c>
      <c r="K1844" s="8" t="s">
        <v>9566</v>
      </c>
      <c r="L1844" s="8" t="s">
        <v>19</v>
      </c>
      <c r="M1844" s="8">
        <v>1451</v>
      </c>
      <c r="N1844" s="8" t="s">
        <v>6108</v>
      </c>
      <c r="O1844" s="8">
        <v>400</v>
      </c>
      <c r="P1844" s="8" t="s">
        <v>9565</v>
      </c>
      <c r="Q1844" s="8" t="s">
        <v>4262</v>
      </c>
      <c r="R1844" s="8">
        <v>0.18099999999999999</v>
      </c>
      <c r="S1844" s="8">
        <v>10342494</v>
      </c>
      <c r="T1844" s="8" t="s">
        <v>24</v>
      </c>
      <c r="U1844" s="8" t="s">
        <v>46</v>
      </c>
    </row>
    <row r="1845" spans="1:21">
      <c r="A1845" s="8" t="s">
        <v>9561</v>
      </c>
      <c r="B1845" s="8" t="s">
        <v>2923</v>
      </c>
      <c r="C1845" s="8">
        <v>1952</v>
      </c>
      <c r="D1845" s="8" t="s">
        <v>22</v>
      </c>
      <c r="E1845" s="8">
        <v>109794719</v>
      </c>
      <c r="F1845" s="8">
        <v>109794719</v>
      </c>
      <c r="G1845" s="8" t="s">
        <v>41</v>
      </c>
      <c r="H1845" s="8" t="s">
        <v>46</v>
      </c>
      <c r="I1845" s="8" t="s">
        <v>23</v>
      </c>
      <c r="J1845" s="8" t="s">
        <v>2924</v>
      </c>
      <c r="K1845" s="8" t="s">
        <v>9568</v>
      </c>
      <c r="L1845" s="8" t="s">
        <v>19</v>
      </c>
      <c r="M1845" s="8">
        <v>2079</v>
      </c>
      <c r="N1845" s="8" t="s">
        <v>3026</v>
      </c>
      <c r="O1845" s="8">
        <v>673</v>
      </c>
      <c r="P1845" s="8" t="s">
        <v>9567</v>
      </c>
      <c r="Q1845" s="8" t="s">
        <v>4262</v>
      </c>
      <c r="R1845" s="8">
        <v>0.17799999999999999</v>
      </c>
      <c r="S1845" s="8">
        <v>109794719</v>
      </c>
      <c r="T1845" s="8" t="s">
        <v>41</v>
      </c>
      <c r="U1845" s="8" t="s">
        <v>46</v>
      </c>
    </row>
    <row r="1846" spans="1:21">
      <c r="A1846" s="8" t="s">
        <v>9561</v>
      </c>
      <c r="B1846" s="8" t="s">
        <v>2389</v>
      </c>
      <c r="C1846" s="8">
        <v>79679</v>
      </c>
      <c r="D1846" s="8" t="s">
        <v>22</v>
      </c>
      <c r="E1846" s="8">
        <v>117695985</v>
      </c>
      <c r="F1846" s="8">
        <v>117695985</v>
      </c>
      <c r="G1846" s="8" t="s">
        <v>46</v>
      </c>
      <c r="H1846" s="8" t="s">
        <v>24</v>
      </c>
      <c r="I1846" s="8" t="s">
        <v>23</v>
      </c>
      <c r="J1846" s="8" t="s">
        <v>9569</v>
      </c>
      <c r="K1846" s="8" t="s">
        <v>9571</v>
      </c>
      <c r="L1846" s="8" t="s">
        <v>19</v>
      </c>
      <c r="M1846" s="8">
        <v>524</v>
      </c>
      <c r="N1846" s="8" t="s">
        <v>2996</v>
      </c>
      <c r="O1846" s="8">
        <v>151</v>
      </c>
      <c r="P1846" s="8" t="s">
        <v>9570</v>
      </c>
      <c r="Q1846" s="8" t="s">
        <v>4262</v>
      </c>
      <c r="R1846" s="8">
        <v>0.157</v>
      </c>
      <c r="S1846" s="8">
        <v>117695985</v>
      </c>
      <c r="T1846" s="8" t="s">
        <v>46</v>
      </c>
      <c r="U1846" s="8" t="s">
        <v>24</v>
      </c>
    </row>
    <row r="1847" spans="1:21">
      <c r="A1847" s="8" t="s">
        <v>9561</v>
      </c>
      <c r="B1847" s="8" t="s">
        <v>2260</v>
      </c>
      <c r="C1847" s="8">
        <v>23126</v>
      </c>
      <c r="D1847" s="8" t="s">
        <v>22</v>
      </c>
      <c r="E1847" s="8">
        <v>151377549</v>
      </c>
      <c r="F1847" s="8">
        <v>151377549</v>
      </c>
      <c r="G1847" s="8" t="s">
        <v>46</v>
      </c>
      <c r="H1847" s="8" t="s">
        <v>41</v>
      </c>
      <c r="I1847" s="8" t="s">
        <v>23</v>
      </c>
      <c r="J1847" s="8" t="s">
        <v>9572</v>
      </c>
      <c r="K1847" s="8" t="s">
        <v>9574</v>
      </c>
      <c r="L1847" s="8" t="s">
        <v>19</v>
      </c>
      <c r="M1847" s="8">
        <v>4277</v>
      </c>
      <c r="N1847" s="8" t="s">
        <v>73</v>
      </c>
      <c r="O1847" s="8">
        <v>1321</v>
      </c>
      <c r="P1847" s="8" t="s">
        <v>9573</v>
      </c>
      <c r="Q1847" s="8" t="s">
        <v>4262</v>
      </c>
      <c r="R1847" s="8">
        <v>0.121</v>
      </c>
      <c r="S1847" s="8">
        <v>151377549</v>
      </c>
      <c r="T1847" s="8" t="s">
        <v>46</v>
      </c>
      <c r="U1847" s="8" t="s">
        <v>41</v>
      </c>
    </row>
    <row r="1848" spans="1:21">
      <c r="A1848" s="8" t="s">
        <v>9561</v>
      </c>
      <c r="B1848" s="8" t="s">
        <v>9575</v>
      </c>
      <c r="C1848" s="8">
        <v>353132</v>
      </c>
      <c r="D1848" s="8" t="s">
        <v>22</v>
      </c>
      <c r="E1848" s="8">
        <v>152785148</v>
      </c>
      <c r="F1848" s="8">
        <v>152785148</v>
      </c>
      <c r="G1848" s="8" t="s">
        <v>41</v>
      </c>
      <c r="H1848" s="8" t="s">
        <v>46</v>
      </c>
      <c r="I1848" s="8" t="s">
        <v>23</v>
      </c>
      <c r="J1848" s="8" t="s">
        <v>9576</v>
      </c>
      <c r="K1848" s="8" t="s">
        <v>9578</v>
      </c>
      <c r="L1848" s="8" t="s">
        <v>19</v>
      </c>
      <c r="M1848" s="8">
        <v>702</v>
      </c>
      <c r="N1848" s="8" t="s">
        <v>449</v>
      </c>
      <c r="O1848" s="8">
        <v>76</v>
      </c>
      <c r="P1848" s="8" t="s">
        <v>9577</v>
      </c>
      <c r="Q1848" s="8" t="s">
        <v>4262</v>
      </c>
      <c r="R1848" s="8">
        <v>0.42</v>
      </c>
      <c r="S1848" s="8">
        <v>152785148</v>
      </c>
      <c r="T1848" s="8" t="s">
        <v>41</v>
      </c>
      <c r="U1848" s="8" t="s">
        <v>46</v>
      </c>
    </row>
    <row r="1849" spans="1:21">
      <c r="A1849" s="8" t="s">
        <v>9561</v>
      </c>
      <c r="B1849" s="8" t="s">
        <v>9579</v>
      </c>
      <c r="C1849" s="8">
        <v>57198</v>
      </c>
      <c r="D1849" s="8" t="s">
        <v>22</v>
      </c>
      <c r="E1849" s="8">
        <v>154314988</v>
      </c>
      <c r="F1849" s="8">
        <v>154314988</v>
      </c>
      <c r="G1849" s="8" t="s">
        <v>24</v>
      </c>
      <c r="H1849" s="8" t="s">
        <v>25</v>
      </c>
      <c r="I1849" s="8" t="s">
        <v>23</v>
      </c>
      <c r="J1849" s="8" t="s">
        <v>9580</v>
      </c>
      <c r="K1849" s="8" t="s">
        <v>9582</v>
      </c>
      <c r="L1849" s="8" t="s">
        <v>19</v>
      </c>
      <c r="M1849" s="8">
        <v>1375</v>
      </c>
      <c r="N1849" s="8" t="s">
        <v>758</v>
      </c>
      <c r="O1849" s="8">
        <v>459</v>
      </c>
      <c r="P1849" s="8" t="s">
        <v>9581</v>
      </c>
      <c r="Q1849" s="8" t="s">
        <v>4262</v>
      </c>
      <c r="R1849" s="8">
        <v>0.188</v>
      </c>
      <c r="S1849" s="8">
        <v>154314988</v>
      </c>
      <c r="T1849" s="8" t="s">
        <v>24</v>
      </c>
      <c r="U1849" s="8" t="s">
        <v>25</v>
      </c>
    </row>
    <row r="1850" spans="1:21">
      <c r="A1850" s="8" t="s">
        <v>9561</v>
      </c>
      <c r="B1850" s="8" t="s">
        <v>9583</v>
      </c>
      <c r="C1850" s="8">
        <v>284618</v>
      </c>
      <c r="D1850" s="8" t="s">
        <v>22</v>
      </c>
      <c r="E1850" s="8">
        <v>155290786</v>
      </c>
      <c r="F1850" s="8">
        <v>155290786</v>
      </c>
      <c r="G1850" s="8" t="s">
        <v>25</v>
      </c>
      <c r="H1850" s="8" t="s">
        <v>41</v>
      </c>
      <c r="I1850" s="8" t="s">
        <v>23</v>
      </c>
      <c r="J1850" s="8" t="s">
        <v>9584</v>
      </c>
      <c r="K1850" s="8" t="s">
        <v>9586</v>
      </c>
      <c r="L1850" s="8" t="s">
        <v>19</v>
      </c>
      <c r="M1850" s="8">
        <v>771</v>
      </c>
      <c r="N1850" s="8" t="s">
        <v>3834</v>
      </c>
      <c r="O1850" s="8">
        <v>165</v>
      </c>
      <c r="P1850" s="8" t="s">
        <v>9585</v>
      </c>
      <c r="Q1850" s="8" t="s">
        <v>4262</v>
      </c>
      <c r="R1850" s="8">
        <v>0.29299999999999998</v>
      </c>
      <c r="S1850" s="8">
        <v>155290786</v>
      </c>
      <c r="T1850" s="8" t="s">
        <v>25</v>
      </c>
      <c r="U1850" s="8" t="s">
        <v>41</v>
      </c>
    </row>
    <row r="1851" spans="1:21">
      <c r="A1851" s="8" t="s">
        <v>9561</v>
      </c>
      <c r="B1851" s="8" t="s">
        <v>9587</v>
      </c>
      <c r="C1851" s="8">
        <v>257106</v>
      </c>
      <c r="D1851" s="8" t="s">
        <v>22</v>
      </c>
      <c r="E1851" s="8">
        <v>161021247</v>
      </c>
      <c r="F1851" s="8">
        <v>161021247</v>
      </c>
      <c r="G1851" s="8" t="s">
        <v>24</v>
      </c>
      <c r="H1851" s="8" t="s">
        <v>41</v>
      </c>
      <c r="I1851" s="8" t="s">
        <v>23</v>
      </c>
      <c r="J1851" s="8" t="s">
        <v>9588</v>
      </c>
      <c r="K1851" s="8" t="s">
        <v>9590</v>
      </c>
      <c r="L1851" s="8" t="s">
        <v>19</v>
      </c>
      <c r="M1851" s="8">
        <v>1623</v>
      </c>
      <c r="N1851" s="8" t="s">
        <v>642</v>
      </c>
      <c r="O1851" s="8">
        <v>426</v>
      </c>
      <c r="P1851" s="8" t="s">
        <v>9589</v>
      </c>
      <c r="Q1851" s="8" t="s">
        <v>4262</v>
      </c>
      <c r="R1851" s="8">
        <v>9.0999999999999998E-2</v>
      </c>
      <c r="S1851" s="8">
        <v>161021247</v>
      </c>
      <c r="T1851" s="8" t="s">
        <v>24</v>
      </c>
      <c r="U1851" s="8" t="s">
        <v>41</v>
      </c>
    </row>
    <row r="1852" spans="1:21">
      <c r="A1852" s="8" t="s">
        <v>9561</v>
      </c>
      <c r="B1852" s="8" t="s">
        <v>2405</v>
      </c>
      <c r="C1852" s="8">
        <v>9857</v>
      </c>
      <c r="D1852" s="8" t="s">
        <v>22</v>
      </c>
      <c r="E1852" s="8">
        <v>180056759</v>
      </c>
      <c r="F1852" s="8">
        <v>180056759</v>
      </c>
      <c r="G1852" s="8" t="s">
        <v>25</v>
      </c>
      <c r="H1852" s="8" t="s">
        <v>41</v>
      </c>
      <c r="I1852" s="8" t="s">
        <v>23</v>
      </c>
      <c r="J1852" s="8" t="s">
        <v>2406</v>
      </c>
      <c r="K1852" s="8" t="s">
        <v>9592</v>
      </c>
      <c r="L1852" s="8" t="s">
        <v>19</v>
      </c>
      <c r="M1852" s="8">
        <v>6715</v>
      </c>
      <c r="N1852" s="8" t="s">
        <v>771</v>
      </c>
      <c r="O1852" s="8">
        <v>2111</v>
      </c>
      <c r="P1852" s="8" t="s">
        <v>9591</v>
      </c>
      <c r="Q1852" s="8" t="s">
        <v>4262</v>
      </c>
      <c r="R1852" s="8">
        <v>0.03</v>
      </c>
      <c r="S1852" s="8">
        <v>180056759</v>
      </c>
      <c r="T1852" s="8" t="s">
        <v>25</v>
      </c>
      <c r="U1852" s="8" t="s">
        <v>41</v>
      </c>
    </row>
    <row r="1853" spans="1:21">
      <c r="A1853" s="8" t="s">
        <v>9561</v>
      </c>
      <c r="B1853" s="8" t="s">
        <v>9593</v>
      </c>
      <c r="C1853" s="8">
        <v>2563</v>
      </c>
      <c r="D1853" s="8" t="s">
        <v>22</v>
      </c>
      <c r="E1853" s="8">
        <v>1956398</v>
      </c>
      <c r="F1853" s="8">
        <v>1956398</v>
      </c>
      <c r="G1853" s="8" t="s">
        <v>24</v>
      </c>
      <c r="H1853" s="8" t="s">
        <v>25</v>
      </c>
      <c r="I1853" s="8" t="s">
        <v>23</v>
      </c>
      <c r="J1853" s="8" t="s">
        <v>9594</v>
      </c>
      <c r="K1853" s="8" t="s">
        <v>9596</v>
      </c>
      <c r="L1853" s="8" t="s">
        <v>19</v>
      </c>
      <c r="M1853" s="8">
        <v>181</v>
      </c>
      <c r="N1853" s="8" t="s">
        <v>205</v>
      </c>
      <c r="O1853" s="8">
        <v>29</v>
      </c>
      <c r="P1853" s="8" t="s">
        <v>9595</v>
      </c>
      <c r="Q1853" s="8" t="s">
        <v>4262</v>
      </c>
      <c r="R1853" s="8">
        <v>0.14699999999999999</v>
      </c>
      <c r="S1853" s="8">
        <v>1956398</v>
      </c>
      <c r="T1853" s="8" t="s">
        <v>24</v>
      </c>
      <c r="U1853" s="8" t="s">
        <v>25</v>
      </c>
    </row>
    <row r="1854" spans="1:21">
      <c r="A1854" s="8" t="s">
        <v>9561</v>
      </c>
      <c r="B1854" s="8" t="s">
        <v>2411</v>
      </c>
      <c r="C1854" s="8">
        <v>23046</v>
      </c>
      <c r="D1854" s="8" t="s">
        <v>22</v>
      </c>
      <c r="E1854" s="8">
        <v>200954048</v>
      </c>
      <c r="F1854" s="8">
        <v>200954048</v>
      </c>
      <c r="G1854" s="8" t="s">
        <v>41</v>
      </c>
      <c r="H1854" s="8" t="s">
        <v>24</v>
      </c>
      <c r="I1854" s="8" t="s">
        <v>23</v>
      </c>
      <c r="J1854" s="8" t="s">
        <v>9597</v>
      </c>
      <c r="K1854" s="8" t="s">
        <v>9599</v>
      </c>
      <c r="L1854" s="8" t="s">
        <v>19</v>
      </c>
      <c r="M1854" s="8">
        <v>4059</v>
      </c>
      <c r="N1854" s="8" t="s">
        <v>181</v>
      </c>
      <c r="O1854" s="8">
        <v>1248</v>
      </c>
      <c r="P1854" s="8" t="s">
        <v>9598</v>
      </c>
      <c r="Q1854" s="8" t="s">
        <v>4262</v>
      </c>
      <c r="R1854" s="8">
        <v>0.247</v>
      </c>
      <c r="S1854" s="8">
        <v>200954048</v>
      </c>
      <c r="T1854" s="8" t="s">
        <v>41</v>
      </c>
      <c r="U1854" s="8" t="s">
        <v>24</v>
      </c>
    </row>
    <row r="1855" spans="1:21">
      <c r="A1855" s="8" t="s">
        <v>9561</v>
      </c>
      <c r="B1855" s="8" t="s">
        <v>9600</v>
      </c>
      <c r="C1855" s="8">
        <v>4179</v>
      </c>
      <c r="D1855" s="8" t="s">
        <v>22</v>
      </c>
      <c r="E1855" s="8">
        <v>207930969</v>
      </c>
      <c r="F1855" s="8">
        <v>207930969</v>
      </c>
      <c r="G1855" s="8" t="s">
        <v>25</v>
      </c>
      <c r="H1855" s="8" t="s">
        <v>24</v>
      </c>
      <c r="I1855" s="8" t="s">
        <v>23</v>
      </c>
      <c r="J1855" s="8" t="s">
        <v>9601</v>
      </c>
      <c r="K1855" s="8" t="s">
        <v>9603</v>
      </c>
      <c r="L1855" s="8" t="s">
        <v>19</v>
      </c>
      <c r="M1855" s="8">
        <v>546</v>
      </c>
      <c r="N1855" s="8" t="s">
        <v>1080</v>
      </c>
      <c r="O1855" s="8">
        <v>124</v>
      </c>
      <c r="P1855" s="8" t="s">
        <v>9602</v>
      </c>
      <c r="Q1855" s="8" t="s">
        <v>4262</v>
      </c>
      <c r="R1855" s="8">
        <v>0.25800000000000001</v>
      </c>
      <c r="S1855" s="8">
        <v>207930969</v>
      </c>
      <c r="T1855" s="8" t="s">
        <v>25</v>
      </c>
      <c r="U1855" s="8" t="s">
        <v>24</v>
      </c>
    </row>
    <row r="1856" spans="1:21">
      <c r="A1856" s="8" t="s">
        <v>9561</v>
      </c>
      <c r="B1856" s="8" t="s">
        <v>3911</v>
      </c>
      <c r="C1856" s="8">
        <v>56776</v>
      </c>
      <c r="D1856" s="8" t="s">
        <v>22</v>
      </c>
      <c r="E1856" s="8">
        <v>240371459</v>
      </c>
      <c r="F1856" s="8">
        <v>240371459</v>
      </c>
      <c r="G1856" s="8" t="s">
        <v>46</v>
      </c>
      <c r="H1856" s="8" t="s">
        <v>41</v>
      </c>
      <c r="I1856" s="8" t="s">
        <v>23</v>
      </c>
      <c r="J1856" s="8" t="s">
        <v>3912</v>
      </c>
      <c r="K1856" s="8" t="s">
        <v>7119</v>
      </c>
      <c r="L1856" s="8" t="s">
        <v>19</v>
      </c>
      <c r="M1856" s="8">
        <v>3572</v>
      </c>
      <c r="N1856" s="8" t="s">
        <v>230</v>
      </c>
      <c r="O1856" s="8">
        <v>1116</v>
      </c>
      <c r="P1856" s="8" t="s">
        <v>9604</v>
      </c>
      <c r="Q1856" s="8" t="s">
        <v>4262</v>
      </c>
      <c r="R1856" s="8">
        <v>0.4</v>
      </c>
      <c r="S1856" s="8">
        <v>240371459</v>
      </c>
      <c r="T1856" s="8" t="s">
        <v>46</v>
      </c>
      <c r="U1856" s="8" t="s">
        <v>41</v>
      </c>
    </row>
    <row r="1857" spans="1:21">
      <c r="A1857" s="8" t="s">
        <v>9561</v>
      </c>
      <c r="B1857" s="8" t="s">
        <v>9605</v>
      </c>
      <c r="C1857" s="8">
        <v>114625</v>
      </c>
      <c r="D1857" s="8" t="s">
        <v>22</v>
      </c>
      <c r="E1857" s="8">
        <v>43300817</v>
      </c>
      <c r="F1857" s="8">
        <v>43300817</v>
      </c>
      <c r="G1857" s="8" t="s">
        <v>24</v>
      </c>
      <c r="H1857" s="8" t="s">
        <v>25</v>
      </c>
      <c r="I1857" s="8" t="s">
        <v>23</v>
      </c>
      <c r="J1857" s="8" t="s">
        <v>9606</v>
      </c>
      <c r="K1857" s="8" t="s">
        <v>9608</v>
      </c>
      <c r="L1857" s="8" t="s">
        <v>19</v>
      </c>
      <c r="M1857" s="8">
        <v>708</v>
      </c>
      <c r="N1857" s="8" t="s">
        <v>736</v>
      </c>
      <c r="O1857" s="8">
        <v>181</v>
      </c>
      <c r="P1857" s="8" t="s">
        <v>9607</v>
      </c>
      <c r="Q1857" s="8" t="s">
        <v>4262</v>
      </c>
      <c r="R1857" s="8">
        <v>0.182</v>
      </c>
      <c r="S1857" s="8">
        <v>43300817</v>
      </c>
      <c r="T1857" s="8" t="s">
        <v>24</v>
      </c>
      <c r="U1857" s="8" t="s">
        <v>25</v>
      </c>
    </row>
    <row r="1858" spans="1:21">
      <c r="A1858" s="8" t="s">
        <v>9561</v>
      </c>
      <c r="B1858" s="8" t="s">
        <v>1671</v>
      </c>
      <c r="C1858" s="8">
        <v>1496</v>
      </c>
      <c r="D1858" s="8" t="s">
        <v>172</v>
      </c>
      <c r="E1858" s="8">
        <v>80772176</v>
      </c>
      <c r="F1858" s="8">
        <v>80772176</v>
      </c>
      <c r="G1858" s="8" t="s">
        <v>46</v>
      </c>
      <c r="H1858" s="8" t="s">
        <v>24</v>
      </c>
      <c r="I1858" s="8" t="s">
        <v>23</v>
      </c>
      <c r="J1858" s="8" t="s">
        <v>9609</v>
      </c>
      <c r="K1858" s="8" t="s">
        <v>9611</v>
      </c>
      <c r="L1858" s="8" t="s">
        <v>19</v>
      </c>
      <c r="M1858" s="8">
        <v>1639</v>
      </c>
      <c r="N1858" s="8" t="s">
        <v>602</v>
      </c>
      <c r="O1858" s="8">
        <v>454</v>
      </c>
      <c r="P1858" s="8" t="s">
        <v>9610</v>
      </c>
      <c r="Q1858" s="8" t="s">
        <v>4262</v>
      </c>
      <c r="R1858" s="8">
        <v>0.35599999999999998</v>
      </c>
      <c r="S1858" s="8">
        <v>80772176</v>
      </c>
      <c r="T1858" s="8" t="s">
        <v>46</v>
      </c>
      <c r="U1858" s="8" t="s">
        <v>24</v>
      </c>
    </row>
    <row r="1859" spans="1:21">
      <c r="A1859" s="8" t="s">
        <v>9561</v>
      </c>
      <c r="B1859" s="8" t="s">
        <v>3016</v>
      </c>
      <c r="C1859" s="8">
        <v>130576</v>
      </c>
      <c r="D1859" s="8" t="s">
        <v>172</v>
      </c>
      <c r="E1859" s="8">
        <v>150061915</v>
      </c>
      <c r="F1859" s="8">
        <v>150061915</v>
      </c>
      <c r="G1859" s="8" t="s">
        <v>24</v>
      </c>
      <c r="H1859" s="8" t="s">
        <v>25</v>
      </c>
      <c r="I1859" s="8" t="s">
        <v>23</v>
      </c>
      <c r="J1859" s="8" t="s">
        <v>3017</v>
      </c>
      <c r="K1859" s="8" t="s">
        <v>9613</v>
      </c>
      <c r="L1859" s="8" t="s">
        <v>19</v>
      </c>
      <c r="M1859" s="8">
        <v>627</v>
      </c>
      <c r="N1859" s="8" t="s">
        <v>485</v>
      </c>
      <c r="O1859" s="8">
        <v>76</v>
      </c>
      <c r="P1859" s="8" t="s">
        <v>9612</v>
      </c>
      <c r="Q1859" s="8" t="s">
        <v>4262</v>
      </c>
      <c r="R1859" s="8">
        <v>0.432</v>
      </c>
      <c r="S1859" s="8">
        <v>150061915</v>
      </c>
      <c r="T1859" s="8" t="s">
        <v>24</v>
      </c>
      <c r="U1859" s="8" t="s">
        <v>25</v>
      </c>
    </row>
    <row r="1860" spans="1:21">
      <c r="A1860" s="8" t="s">
        <v>9561</v>
      </c>
      <c r="B1860" s="8" t="s">
        <v>9614</v>
      </c>
      <c r="C1860" s="8">
        <v>4036</v>
      </c>
      <c r="D1860" s="8" t="s">
        <v>172</v>
      </c>
      <c r="E1860" s="8">
        <v>170081854</v>
      </c>
      <c r="F1860" s="8">
        <v>170081854</v>
      </c>
      <c r="G1860" s="8" t="s">
        <v>25</v>
      </c>
      <c r="H1860" s="8" t="s">
        <v>24</v>
      </c>
      <c r="I1860" s="8" t="s">
        <v>23</v>
      </c>
      <c r="J1860" s="8" t="s">
        <v>9615</v>
      </c>
      <c r="K1860" s="8" t="s">
        <v>9617</v>
      </c>
      <c r="L1860" s="8" t="s">
        <v>19</v>
      </c>
      <c r="M1860" s="8">
        <v>5717</v>
      </c>
      <c r="N1860" s="8" t="s">
        <v>6147</v>
      </c>
      <c r="O1860" s="8">
        <v>1835</v>
      </c>
      <c r="P1860" s="8" t="s">
        <v>9616</v>
      </c>
      <c r="Q1860" s="8" t="s">
        <v>4262</v>
      </c>
      <c r="R1860" s="8">
        <v>0.16800000000000001</v>
      </c>
      <c r="S1860" s="8">
        <v>170081854</v>
      </c>
      <c r="T1860" s="8" t="s">
        <v>25</v>
      </c>
      <c r="U1860" s="8" t="s">
        <v>24</v>
      </c>
    </row>
    <row r="1861" spans="1:21">
      <c r="A1861" s="8" t="s">
        <v>9561</v>
      </c>
      <c r="B1861" s="8" t="s">
        <v>9618</v>
      </c>
      <c r="C1861" s="8">
        <v>344191</v>
      </c>
      <c r="D1861" s="8" t="s">
        <v>172</v>
      </c>
      <c r="E1861" s="8">
        <v>176945527</v>
      </c>
      <c r="F1861" s="8">
        <v>176945527</v>
      </c>
      <c r="G1861" s="8" t="s">
        <v>24</v>
      </c>
      <c r="H1861" s="8" t="s">
        <v>25</v>
      </c>
      <c r="I1861" s="8" t="s">
        <v>23</v>
      </c>
      <c r="J1861" s="8" t="s">
        <v>9619</v>
      </c>
      <c r="K1861" s="8" t="s">
        <v>9621</v>
      </c>
      <c r="L1861" s="8" t="s">
        <v>19</v>
      </c>
      <c r="M1861" s="8">
        <v>925</v>
      </c>
      <c r="N1861" s="8" t="s">
        <v>560</v>
      </c>
      <c r="O1861" s="8">
        <v>247</v>
      </c>
      <c r="P1861" s="8" t="s">
        <v>9620</v>
      </c>
      <c r="Q1861" s="8" t="s">
        <v>4262</v>
      </c>
      <c r="R1861" s="8">
        <v>0.19400000000000001</v>
      </c>
      <c r="S1861" s="8">
        <v>176945527</v>
      </c>
      <c r="T1861" s="8" t="s">
        <v>24</v>
      </c>
      <c r="U1861" s="8" t="s">
        <v>25</v>
      </c>
    </row>
    <row r="1862" spans="1:21">
      <c r="A1862" s="8" t="s">
        <v>9561</v>
      </c>
      <c r="B1862" s="8" t="s">
        <v>737</v>
      </c>
      <c r="C1862" s="8">
        <v>7273</v>
      </c>
      <c r="D1862" s="8" t="s">
        <v>172</v>
      </c>
      <c r="E1862" s="8">
        <v>179594189</v>
      </c>
      <c r="F1862" s="8">
        <v>179594189</v>
      </c>
      <c r="G1862" s="8" t="s">
        <v>25</v>
      </c>
      <c r="H1862" s="8" t="s">
        <v>24</v>
      </c>
      <c r="I1862" s="8" t="s">
        <v>23</v>
      </c>
      <c r="J1862" s="8" t="s">
        <v>4530</v>
      </c>
      <c r="K1862" s="8" t="s">
        <v>4532</v>
      </c>
      <c r="L1862" s="8" t="s">
        <v>19</v>
      </c>
      <c r="M1862" s="8">
        <v>15187</v>
      </c>
      <c r="N1862" s="8" t="s">
        <v>3018</v>
      </c>
      <c r="O1862" s="8">
        <v>4988</v>
      </c>
      <c r="P1862" s="8" t="s">
        <v>9622</v>
      </c>
      <c r="Q1862" s="8" t="s">
        <v>4262</v>
      </c>
      <c r="R1862" s="8">
        <v>0.40500000000000003</v>
      </c>
      <c r="S1862" s="8">
        <v>179594189</v>
      </c>
      <c r="T1862" s="8" t="s">
        <v>25</v>
      </c>
      <c r="U1862" s="8" t="s">
        <v>24</v>
      </c>
    </row>
    <row r="1863" spans="1:21">
      <c r="A1863" s="8" t="s">
        <v>9561</v>
      </c>
      <c r="B1863" s="8" t="s">
        <v>3019</v>
      </c>
      <c r="C1863" s="8">
        <v>1290</v>
      </c>
      <c r="D1863" s="8" t="s">
        <v>172</v>
      </c>
      <c r="E1863" s="8">
        <v>189898902</v>
      </c>
      <c r="F1863" s="8">
        <v>189898902</v>
      </c>
      <c r="G1863" s="8" t="s">
        <v>46</v>
      </c>
      <c r="H1863" s="8" t="s">
        <v>41</v>
      </c>
      <c r="I1863" s="8" t="s">
        <v>23</v>
      </c>
      <c r="J1863" s="8" t="s">
        <v>3020</v>
      </c>
      <c r="K1863" s="8" t="s">
        <v>9624</v>
      </c>
      <c r="L1863" s="8" t="s">
        <v>19</v>
      </c>
      <c r="M1863" s="8">
        <v>4669</v>
      </c>
      <c r="N1863" s="8" t="s">
        <v>736</v>
      </c>
      <c r="O1863" s="8">
        <v>1465</v>
      </c>
      <c r="P1863" s="8" t="s">
        <v>9623</v>
      </c>
      <c r="Q1863" s="8" t="s">
        <v>4262</v>
      </c>
      <c r="R1863" s="8">
        <v>0.42199999999999999</v>
      </c>
      <c r="S1863" s="8">
        <v>189898902</v>
      </c>
      <c r="T1863" s="8" t="s">
        <v>46</v>
      </c>
      <c r="U1863" s="8" t="s">
        <v>41</v>
      </c>
    </row>
    <row r="1864" spans="1:21">
      <c r="A1864" s="8" t="s">
        <v>9561</v>
      </c>
      <c r="B1864" s="8" t="s">
        <v>173</v>
      </c>
      <c r="C1864" s="8">
        <v>338</v>
      </c>
      <c r="D1864" s="8" t="s">
        <v>172</v>
      </c>
      <c r="E1864" s="8">
        <v>21233075</v>
      </c>
      <c r="F1864" s="8">
        <v>21233075</v>
      </c>
      <c r="G1864" s="8" t="s">
        <v>25</v>
      </c>
      <c r="H1864" s="8" t="s">
        <v>46</v>
      </c>
      <c r="I1864" s="8" t="s">
        <v>23</v>
      </c>
      <c r="J1864" s="8" t="s">
        <v>174</v>
      </c>
      <c r="K1864" s="8" t="s">
        <v>9626</v>
      </c>
      <c r="L1864" s="8" t="s">
        <v>76</v>
      </c>
      <c r="M1864" s="8">
        <v>6793</v>
      </c>
      <c r="N1864" s="8" t="s">
        <v>3111</v>
      </c>
      <c r="O1864" s="8">
        <v>2222</v>
      </c>
      <c r="P1864" s="8" t="s">
        <v>9625</v>
      </c>
      <c r="Q1864" s="8" t="s">
        <v>4262</v>
      </c>
      <c r="R1864" s="8">
        <v>0.26400000000000001</v>
      </c>
      <c r="S1864" s="8">
        <v>21233075</v>
      </c>
      <c r="T1864" s="8" t="s">
        <v>25</v>
      </c>
      <c r="U1864" s="8" t="s">
        <v>46</v>
      </c>
    </row>
    <row r="1865" spans="1:21">
      <c r="A1865" s="8" t="s">
        <v>9561</v>
      </c>
      <c r="B1865" s="8" t="s">
        <v>769</v>
      </c>
      <c r="C1865" s="8">
        <v>8314</v>
      </c>
      <c r="D1865" s="8" t="s">
        <v>201</v>
      </c>
      <c r="E1865" s="8">
        <v>52440343</v>
      </c>
      <c r="F1865" s="8">
        <v>52440343</v>
      </c>
      <c r="G1865" s="8" t="s">
        <v>24</v>
      </c>
      <c r="H1865" s="8" t="s">
        <v>25</v>
      </c>
      <c r="I1865" s="8" t="s">
        <v>23</v>
      </c>
      <c r="J1865" s="8" t="s">
        <v>770</v>
      </c>
      <c r="K1865" s="8" t="s">
        <v>9628</v>
      </c>
      <c r="L1865" s="8" t="s">
        <v>19</v>
      </c>
      <c r="M1865" s="8">
        <v>824</v>
      </c>
      <c r="N1865" s="8" t="s">
        <v>560</v>
      </c>
      <c r="O1865" s="8">
        <v>237</v>
      </c>
      <c r="P1865" s="8" t="s">
        <v>9627</v>
      </c>
      <c r="Q1865" s="8" t="s">
        <v>4262</v>
      </c>
      <c r="R1865" s="8">
        <v>0.52500000000000002</v>
      </c>
      <c r="S1865" s="8">
        <v>52440343</v>
      </c>
      <c r="T1865" s="8" t="s">
        <v>24</v>
      </c>
      <c r="U1865" s="8" t="s">
        <v>25</v>
      </c>
    </row>
    <row r="1866" spans="1:21">
      <c r="A1866" s="8" t="s">
        <v>9561</v>
      </c>
      <c r="B1866" s="8" t="s">
        <v>2219</v>
      </c>
      <c r="C1866" s="8">
        <v>4071</v>
      </c>
      <c r="D1866" s="8" t="s">
        <v>201</v>
      </c>
      <c r="E1866" s="8">
        <v>149095196</v>
      </c>
      <c r="F1866" s="8">
        <v>149095196</v>
      </c>
      <c r="G1866" s="8" t="s">
        <v>46</v>
      </c>
      <c r="H1866" s="8" t="s">
        <v>25</v>
      </c>
      <c r="I1866" s="8" t="s">
        <v>23</v>
      </c>
      <c r="J1866" s="8" t="s">
        <v>9629</v>
      </c>
      <c r="K1866" s="8" t="s">
        <v>9631</v>
      </c>
      <c r="L1866" s="8" t="s">
        <v>19</v>
      </c>
      <c r="M1866" s="8">
        <v>373</v>
      </c>
      <c r="N1866" s="8" t="s">
        <v>1248</v>
      </c>
      <c r="O1866" s="8">
        <v>47</v>
      </c>
      <c r="P1866" s="8" t="s">
        <v>9630</v>
      </c>
      <c r="Q1866" s="8" t="s">
        <v>4262</v>
      </c>
      <c r="R1866" s="8">
        <v>0.09</v>
      </c>
      <c r="S1866" s="8">
        <v>149095196</v>
      </c>
      <c r="T1866" s="8" t="s">
        <v>46</v>
      </c>
      <c r="U1866" s="8" t="s">
        <v>25</v>
      </c>
    </row>
    <row r="1867" spans="1:21">
      <c r="A1867" s="8" t="s">
        <v>9561</v>
      </c>
      <c r="B1867" s="8" t="s">
        <v>9632</v>
      </c>
      <c r="C1867" s="8">
        <v>11235</v>
      </c>
      <c r="D1867" s="8" t="s">
        <v>201</v>
      </c>
      <c r="E1867" s="8">
        <v>167414848</v>
      </c>
      <c r="F1867" s="8">
        <v>167414848</v>
      </c>
      <c r="G1867" s="8" t="s">
        <v>46</v>
      </c>
      <c r="H1867" s="8" t="s">
        <v>41</v>
      </c>
      <c r="I1867" s="8" t="s">
        <v>23</v>
      </c>
      <c r="J1867" s="8" t="s">
        <v>9633</v>
      </c>
      <c r="K1867" s="8" t="s">
        <v>9635</v>
      </c>
      <c r="L1867" s="8" t="s">
        <v>19</v>
      </c>
      <c r="M1867" s="8">
        <v>370</v>
      </c>
      <c r="N1867" s="8" t="s">
        <v>758</v>
      </c>
      <c r="O1867" s="8">
        <v>73</v>
      </c>
      <c r="P1867" s="8" t="s">
        <v>9634</v>
      </c>
      <c r="Q1867" s="8" t="s">
        <v>4262</v>
      </c>
      <c r="R1867" s="8">
        <v>0.21299999999999999</v>
      </c>
      <c r="S1867" s="8">
        <v>167414848</v>
      </c>
      <c r="T1867" s="8" t="s">
        <v>46</v>
      </c>
      <c r="U1867" s="8" t="s">
        <v>41</v>
      </c>
    </row>
    <row r="1868" spans="1:21">
      <c r="A1868" s="8" t="s">
        <v>9561</v>
      </c>
      <c r="B1868" s="8" t="s">
        <v>4297</v>
      </c>
      <c r="C1868" s="8">
        <v>4585</v>
      </c>
      <c r="D1868" s="8" t="s">
        <v>201</v>
      </c>
      <c r="E1868" s="8">
        <v>195505838</v>
      </c>
      <c r="F1868" s="8">
        <v>195505838</v>
      </c>
      <c r="G1868" s="8" t="s">
        <v>24</v>
      </c>
      <c r="H1868" s="8" t="s">
        <v>46</v>
      </c>
      <c r="I1868" s="8" t="s">
        <v>23</v>
      </c>
      <c r="J1868" s="8" t="s">
        <v>4298</v>
      </c>
      <c r="K1868" s="8" t="s">
        <v>4300</v>
      </c>
      <c r="L1868" s="8" t="s">
        <v>19</v>
      </c>
      <c r="M1868" s="8">
        <v>12769</v>
      </c>
      <c r="N1868" s="8" t="s">
        <v>5245</v>
      </c>
      <c r="O1868" s="8">
        <v>4205</v>
      </c>
      <c r="P1868" s="8" t="s">
        <v>9636</v>
      </c>
      <c r="Q1868" s="8" t="s">
        <v>9637</v>
      </c>
      <c r="R1868" s="8">
        <v>6.4000000000000001E-2</v>
      </c>
      <c r="S1868" s="8">
        <v>195505838</v>
      </c>
      <c r="T1868" s="8" t="s">
        <v>24</v>
      </c>
      <c r="U1868" s="8" t="s">
        <v>46</v>
      </c>
    </row>
    <row r="1869" spans="1:21">
      <c r="A1869" s="8" t="s">
        <v>9561</v>
      </c>
      <c r="B1869" s="8" t="s">
        <v>9638</v>
      </c>
      <c r="C1869" s="8">
        <v>6769</v>
      </c>
      <c r="D1869" s="8" t="s">
        <v>201</v>
      </c>
      <c r="E1869" s="8">
        <v>36527695</v>
      </c>
      <c r="F1869" s="8">
        <v>36527695</v>
      </c>
      <c r="G1869" s="8" t="s">
        <v>25</v>
      </c>
      <c r="H1869" s="8" t="s">
        <v>41</v>
      </c>
      <c r="I1869" s="8" t="s">
        <v>23</v>
      </c>
      <c r="J1869" s="8" t="s">
        <v>9639</v>
      </c>
      <c r="K1869" s="8" t="s">
        <v>9641</v>
      </c>
      <c r="L1869" s="8" t="s">
        <v>19</v>
      </c>
      <c r="M1869" s="8">
        <v>680</v>
      </c>
      <c r="N1869" s="8" t="s">
        <v>457</v>
      </c>
      <c r="O1869" s="8">
        <v>214</v>
      </c>
      <c r="P1869" s="8" t="s">
        <v>9640</v>
      </c>
      <c r="Q1869" s="8" t="s">
        <v>4262</v>
      </c>
      <c r="R1869" s="8">
        <v>0.18099999999999999</v>
      </c>
      <c r="S1869" s="8">
        <v>36527695</v>
      </c>
      <c r="T1869" s="8" t="s">
        <v>25</v>
      </c>
      <c r="U1869" s="8" t="s">
        <v>41</v>
      </c>
    </row>
    <row r="1870" spans="1:21">
      <c r="A1870" s="8" t="s">
        <v>9561</v>
      </c>
      <c r="B1870" s="8" t="s">
        <v>2077</v>
      </c>
      <c r="C1870" s="8">
        <v>9209</v>
      </c>
      <c r="D1870" s="8" t="s">
        <v>201</v>
      </c>
      <c r="E1870" s="8">
        <v>37152521</v>
      </c>
      <c r="F1870" s="8">
        <v>37152521</v>
      </c>
      <c r="G1870" s="8" t="s">
        <v>25</v>
      </c>
      <c r="H1870" s="8" t="s">
        <v>41</v>
      </c>
      <c r="I1870" s="8" t="s">
        <v>23</v>
      </c>
      <c r="J1870" s="8" t="s">
        <v>9642</v>
      </c>
      <c r="K1870" s="8" t="s">
        <v>9643</v>
      </c>
      <c r="L1870" s="8" t="s">
        <v>19</v>
      </c>
      <c r="M1870" s="8">
        <v>897</v>
      </c>
      <c r="N1870" s="8" t="s">
        <v>3591</v>
      </c>
      <c r="O1870" s="8">
        <v>158</v>
      </c>
      <c r="P1870" s="8" t="s">
        <v>7300</v>
      </c>
      <c r="Q1870" s="8" t="s">
        <v>4262</v>
      </c>
      <c r="R1870" s="8">
        <v>0.27</v>
      </c>
      <c r="S1870" s="8">
        <v>37152521</v>
      </c>
      <c r="T1870" s="8" t="s">
        <v>25</v>
      </c>
      <c r="U1870" s="8" t="s">
        <v>41</v>
      </c>
    </row>
    <row r="1871" spans="1:21">
      <c r="A1871" s="8" t="s">
        <v>9561</v>
      </c>
      <c r="B1871" s="8" t="s">
        <v>376</v>
      </c>
      <c r="C1871" s="8">
        <v>64579</v>
      </c>
      <c r="D1871" s="8" t="s">
        <v>220</v>
      </c>
      <c r="E1871" s="8">
        <v>115997999</v>
      </c>
      <c r="F1871" s="8">
        <v>115997999</v>
      </c>
      <c r="G1871" s="8" t="s">
        <v>25</v>
      </c>
      <c r="H1871" s="8" t="s">
        <v>24</v>
      </c>
      <c r="I1871" s="8" t="s">
        <v>23</v>
      </c>
      <c r="J1871" s="8" t="s">
        <v>377</v>
      </c>
      <c r="K1871" s="8" t="s">
        <v>9645</v>
      </c>
      <c r="L1871" s="8" t="s">
        <v>19</v>
      </c>
      <c r="M1871" s="8">
        <v>873</v>
      </c>
      <c r="N1871" s="8" t="s">
        <v>3026</v>
      </c>
      <c r="O1871" s="8">
        <v>65</v>
      </c>
      <c r="P1871" s="8" t="s">
        <v>9644</v>
      </c>
      <c r="Q1871" s="8" t="s">
        <v>4262</v>
      </c>
      <c r="R1871" s="8">
        <v>0.47399999999999998</v>
      </c>
      <c r="S1871" s="8">
        <v>115997999</v>
      </c>
      <c r="T1871" s="8" t="s">
        <v>25</v>
      </c>
      <c r="U1871" s="8" t="s">
        <v>24</v>
      </c>
    </row>
    <row r="1872" spans="1:21">
      <c r="A1872" s="8" t="s">
        <v>9561</v>
      </c>
      <c r="B1872" s="8" t="s">
        <v>9646</v>
      </c>
      <c r="C1872" s="8">
        <v>987</v>
      </c>
      <c r="D1872" s="8" t="s">
        <v>220</v>
      </c>
      <c r="E1872" s="8">
        <v>151829912</v>
      </c>
      <c r="F1872" s="8">
        <v>151829912</v>
      </c>
      <c r="G1872" s="8" t="s">
        <v>24</v>
      </c>
      <c r="H1872" s="8" t="s">
        <v>41</v>
      </c>
      <c r="I1872" s="8" t="s">
        <v>23</v>
      </c>
      <c r="J1872" s="8" t="s">
        <v>9647</v>
      </c>
      <c r="K1872" s="8" t="s">
        <v>9649</v>
      </c>
      <c r="L1872" s="8" t="s">
        <v>19</v>
      </c>
      <c r="M1872" s="8">
        <v>1561</v>
      </c>
      <c r="N1872" s="8" t="s">
        <v>1304</v>
      </c>
      <c r="O1872" s="8">
        <v>420</v>
      </c>
      <c r="P1872" s="8" t="s">
        <v>9648</v>
      </c>
      <c r="Q1872" s="8" t="s">
        <v>4262</v>
      </c>
      <c r="R1872" s="8">
        <v>0.224</v>
      </c>
      <c r="S1872" s="8">
        <v>151829912</v>
      </c>
      <c r="T1872" s="8" t="s">
        <v>24</v>
      </c>
      <c r="U1872" s="8" t="s">
        <v>41</v>
      </c>
    </row>
    <row r="1873" spans="1:21">
      <c r="A1873" s="8" t="s">
        <v>9561</v>
      </c>
      <c r="B1873" s="8" t="s">
        <v>2193</v>
      </c>
      <c r="C1873" s="8">
        <v>2195</v>
      </c>
      <c r="D1873" s="8" t="s">
        <v>220</v>
      </c>
      <c r="E1873" s="8">
        <v>187540533</v>
      </c>
      <c r="F1873" s="8">
        <v>187540533</v>
      </c>
      <c r="G1873" s="8" t="s">
        <v>46</v>
      </c>
      <c r="H1873" s="8" t="s">
        <v>41</v>
      </c>
      <c r="I1873" s="8" t="s">
        <v>23</v>
      </c>
      <c r="J1873" s="8" t="s">
        <v>3663</v>
      </c>
      <c r="K1873" s="8" t="s">
        <v>5539</v>
      </c>
      <c r="L1873" s="8" t="s">
        <v>19</v>
      </c>
      <c r="M1873" s="8">
        <v>7395</v>
      </c>
      <c r="N1873" s="8" t="s">
        <v>155</v>
      </c>
      <c r="O1873" s="8">
        <v>2403</v>
      </c>
      <c r="P1873" s="8" t="s">
        <v>9650</v>
      </c>
      <c r="Q1873" s="8" t="s">
        <v>4262</v>
      </c>
      <c r="R1873" s="8">
        <v>0.182</v>
      </c>
      <c r="S1873" s="8">
        <v>187540533</v>
      </c>
      <c r="T1873" s="8" t="s">
        <v>46</v>
      </c>
      <c r="U1873" s="8" t="s">
        <v>41</v>
      </c>
    </row>
    <row r="1874" spans="1:21">
      <c r="A1874" s="8" t="s">
        <v>9561</v>
      </c>
      <c r="B1874" s="8" t="s">
        <v>9651</v>
      </c>
      <c r="C1874" s="8">
        <v>2483</v>
      </c>
      <c r="D1874" s="8" t="s">
        <v>220</v>
      </c>
      <c r="E1874" s="8">
        <v>190878625</v>
      </c>
      <c r="F1874" s="8">
        <v>190878625</v>
      </c>
      <c r="G1874" s="8" t="s">
        <v>25</v>
      </c>
      <c r="H1874" s="8" t="s">
        <v>24</v>
      </c>
      <c r="I1874" s="8" t="s">
        <v>23</v>
      </c>
      <c r="J1874" s="8" t="s">
        <v>9652</v>
      </c>
      <c r="K1874" s="8" t="s">
        <v>9654</v>
      </c>
      <c r="L1874" s="8" t="s">
        <v>19</v>
      </c>
      <c r="M1874" s="8">
        <v>696</v>
      </c>
      <c r="N1874" s="8" t="s">
        <v>1209</v>
      </c>
      <c r="O1874" s="8">
        <v>169</v>
      </c>
      <c r="P1874" s="8" t="s">
        <v>9653</v>
      </c>
      <c r="Q1874" s="8" t="s">
        <v>4262</v>
      </c>
      <c r="R1874" s="8">
        <v>3.5999999999999997E-2</v>
      </c>
      <c r="S1874" s="8">
        <v>190878625</v>
      </c>
      <c r="T1874" s="8" t="s">
        <v>25</v>
      </c>
      <c r="U1874" s="8" t="s">
        <v>24</v>
      </c>
    </row>
    <row r="1875" spans="1:21">
      <c r="A1875" s="8" t="s">
        <v>9561</v>
      </c>
      <c r="B1875" s="8" t="s">
        <v>2874</v>
      </c>
      <c r="C1875" s="8">
        <v>22998</v>
      </c>
      <c r="D1875" s="8" t="s">
        <v>220</v>
      </c>
      <c r="E1875" s="8">
        <v>41687737</v>
      </c>
      <c r="F1875" s="8">
        <v>41687737</v>
      </c>
      <c r="G1875" s="8" t="s">
        <v>24</v>
      </c>
      <c r="H1875" s="8" t="s">
        <v>46</v>
      </c>
      <c r="I1875" s="8" t="s">
        <v>23</v>
      </c>
      <c r="J1875" s="8" t="s">
        <v>4637</v>
      </c>
      <c r="K1875" s="8" t="s">
        <v>4639</v>
      </c>
      <c r="L1875" s="8" t="s">
        <v>19</v>
      </c>
      <c r="M1875" s="8">
        <v>2880</v>
      </c>
      <c r="N1875" s="8" t="s">
        <v>969</v>
      </c>
      <c r="O1875" s="8">
        <v>942</v>
      </c>
      <c r="P1875" s="8" t="s">
        <v>9655</v>
      </c>
      <c r="Q1875" s="8" t="s">
        <v>4262</v>
      </c>
      <c r="R1875" s="8">
        <v>0.13400000000000001</v>
      </c>
      <c r="S1875" s="8">
        <v>41687737</v>
      </c>
      <c r="T1875" s="8" t="s">
        <v>24</v>
      </c>
      <c r="U1875" s="8" t="s">
        <v>46</v>
      </c>
    </row>
    <row r="1876" spans="1:21">
      <c r="A1876" s="8" t="s">
        <v>9561</v>
      </c>
      <c r="B1876" s="8" t="s">
        <v>3027</v>
      </c>
      <c r="C1876" s="8">
        <v>7294</v>
      </c>
      <c r="D1876" s="8" t="s">
        <v>220</v>
      </c>
      <c r="E1876" s="8">
        <v>48076026</v>
      </c>
      <c r="F1876" s="8">
        <v>48076026</v>
      </c>
      <c r="G1876" s="8" t="s">
        <v>25</v>
      </c>
      <c r="H1876" s="8" t="s">
        <v>24</v>
      </c>
      <c r="I1876" s="8" t="s">
        <v>23</v>
      </c>
      <c r="J1876" s="8" t="s">
        <v>3028</v>
      </c>
      <c r="K1876" s="8" t="s">
        <v>9657</v>
      </c>
      <c r="L1876" s="8" t="s">
        <v>19</v>
      </c>
      <c r="M1876" s="8">
        <v>1369</v>
      </c>
      <c r="N1876" s="8" t="s">
        <v>3029</v>
      </c>
      <c r="O1876" s="8">
        <v>428</v>
      </c>
      <c r="P1876" s="8" t="s">
        <v>9656</v>
      </c>
      <c r="Q1876" s="8" t="s">
        <v>4262</v>
      </c>
      <c r="R1876" s="8">
        <v>0.41699999999999998</v>
      </c>
      <c r="S1876" s="8">
        <v>48076026</v>
      </c>
      <c r="T1876" s="8" t="s">
        <v>25</v>
      </c>
      <c r="U1876" s="8" t="s">
        <v>24</v>
      </c>
    </row>
    <row r="1877" spans="1:21">
      <c r="A1877" s="8" t="s">
        <v>9561</v>
      </c>
      <c r="B1877" s="8" t="s">
        <v>3033</v>
      </c>
      <c r="C1877" s="8">
        <v>285600</v>
      </c>
      <c r="D1877" s="8" t="s">
        <v>226</v>
      </c>
      <c r="E1877" s="8">
        <v>93856196</v>
      </c>
      <c r="F1877" s="8">
        <v>93856196</v>
      </c>
      <c r="G1877" s="8" t="s">
        <v>46</v>
      </c>
      <c r="H1877" s="8" t="s">
        <v>41</v>
      </c>
      <c r="I1877" s="8" t="s">
        <v>23</v>
      </c>
      <c r="J1877" s="8" t="s">
        <v>9658</v>
      </c>
      <c r="K1877" s="8" t="s">
        <v>9660</v>
      </c>
      <c r="L1877" s="8" t="s">
        <v>19</v>
      </c>
      <c r="M1877" s="8">
        <v>984</v>
      </c>
      <c r="N1877" s="8" t="s">
        <v>1364</v>
      </c>
      <c r="O1877" s="8">
        <v>243</v>
      </c>
      <c r="P1877" s="8" t="s">
        <v>9659</v>
      </c>
      <c r="Q1877" s="8" t="s">
        <v>4262</v>
      </c>
      <c r="R1877" s="8">
        <v>0.433</v>
      </c>
      <c r="S1877" s="8">
        <v>93856196</v>
      </c>
      <c r="T1877" s="8" t="s">
        <v>46</v>
      </c>
      <c r="U1877" s="8" t="s">
        <v>41</v>
      </c>
    </row>
    <row r="1878" spans="1:21">
      <c r="A1878" s="8" t="s">
        <v>9561</v>
      </c>
      <c r="B1878" s="8" t="s">
        <v>9661</v>
      </c>
      <c r="C1878" s="8">
        <v>5066</v>
      </c>
      <c r="D1878" s="8" t="s">
        <v>226</v>
      </c>
      <c r="E1878" s="8">
        <v>102286454</v>
      </c>
      <c r="F1878" s="8">
        <v>102286454</v>
      </c>
      <c r="G1878" s="8" t="s">
        <v>25</v>
      </c>
      <c r="H1878" s="8" t="s">
        <v>46</v>
      </c>
      <c r="I1878" s="8" t="s">
        <v>23</v>
      </c>
      <c r="J1878" s="8" t="s">
        <v>9662</v>
      </c>
      <c r="K1878" s="8" t="s">
        <v>9664</v>
      </c>
      <c r="L1878" s="8" t="s">
        <v>19</v>
      </c>
      <c r="M1878" s="8">
        <v>1208</v>
      </c>
      <c r="N1878" s="8" t="s">
        <v>9665</v>
      </c>
      <c r="O1878" s="8">
        <v>279</v>
      </c>
      <c r="P1878" s="8" t="s">
        <v>9663</v>
      </c>
      <c r="Q1878" s="8" t="s">
        <v>4262</v>
      </c>
      <c r="R1878" s="8">
        <v>4.3999999999999997E-2</v>
      </c>
      <c r="S1878" s="8">
        <v>102286454</v>
      </c>
      <c r="T1878" s="8" t="s">
        <v>25</v>
      </c>
      <c r="U1878" s="8" t="s">
        <v>46</v>
      </c>
    </row>
    <row r="1879" spans="1:21">
      <c r="A1879" s="8" t="s">
        <v>9561</v>
      </c>
      <c r="B1879" s="8" t="s">
        <v>2714</v>
      </c>
      <c r="C1879" s="8">
        <v>1657</v>
      </c>
      <c r="D1879" s="8" t="s">
        <v>226</v>
      </c>
      <c r="E1879" s="8">
        <v>118503511</v>
      </c>
      <c r="F1879" s="8">
        <v>118503511</v>
      </c>
      <c r="G1879" s="8" t="s">
        <v>25</v>
      </c>
      <c r="H1879" s="8" t="s">
        <v>24</v>
      </c>
      <c r="I1879" s="8" t="s">
        <v>23</v>
      </c>
      <c r="J1879" s="8" t="s">
        <v>2715</v>
      </c>
      <c r="K1879" s="8" t="s">
        <v>8289</v>
      </c>
      <c r="L1879" s="8" t="s">
        <v>19</v>
      </c>
      <c r="M1879" s="8">
        <v>5531</v>
      </c>
      <c r="N1879" s="8" t="s">
        <v>1209</v>
      </c>
      <c r="O1879" s="8">
        <v>1784</v>
      </c>
      <c r="P1879" s="8" t="s">
        <v>9666</v>
      </c>
      <c r="Q1879" s="8" t="s">
        <v>4262</v>
      </c>
      <c r="R1879" s="8">
        <v>0.36099999999999999</v>
      </c>
      <c r="S1879" s="8">
        <v>118503511</v>
      </c>
      <c r="T1879" s="8" t="s">
        <v>25</v>
      </c>
      <c r="U1879" s="8" t="s">
        <v>24</v>
      </c>
    </row>
    <row r="1880" spans="1:21">
      <c r="A1880" s="8" t="s">
        <v>9561</v>
      </c>
      <c r="B1880" s="8" t="s">
        <v>9667</v>
      </c>
      <c r="C1880" s="8">
        <v>56111</v>
      </c>
      <c r="D1880" s="8" t="s">
        <v>226</v>
      </c>
      <c r="E1880" s="8">
        <v>140736700</v>
      </c>
      <c r="F1880" s="8">
        <v>140736700</v>
      </c>
      <c r="G1880" s="8" t="s">
        <v>24</v>
      </c>
      <c r="H1880" s="8" t="s">
        <v>41</v>
      </c>
      <c r="I1880" s="8" t="s">
        <v>23</v>
      </c>
      <c r="J1880" s="8" t="s">
        <v>9668</v>
      </c>
      <c r="K1880" s="8" t="s">
        <v>9670</v>
      </c>
      <c r="L1880" s="8" t="s">
        <v>19</v>
      </c>
      <c r="M1880" s="8">
        <v>1933</v>
      </c>
      <c r="N1880" s="8" t="s">
        <v>162</v>
      </c>
      <c r="O1880" s="8">
        <v>645</v>
      </c>
      <c r="P1880" s="8" t="s">
        <v>9669</v>
      </c>
      <c r="Q1880" s="8" t="s">
        <v>4262</v>
      </c>
      <c r="R1880" s="8">
        <v>0.27300000000000002</v>
      </c>
      <c r="S1880" s="8">
        <v>140736700</v>
      </c>
      <c r="T1880" s="8" t="s">
        <v>24</v>
      </c>
      <c r="U1880" s="8" t="s">
        <v>41</v>
      </c>
    </row>
    <row r="1881" spans="1:21">
      <c r="A1881" s="8" t="s">
        <v>9561</v>
      </c>
      <c r="B1881" s="8" t="s">
        <v>9671</v>
      </c>
      <c r="C1881" s="8">
        <v>10007</v>
      </c>
      <c r="D1881" s="8" t="s">
        <v>226</v>
      </c>
      <c r="E1881" s="8">
        <v>141384642</v>
      </c>
      <c r="F1881" s="8">
        <v>141384642</v>
      </c>
      <c r="G1881" s="8" t="s">
        <v>46</v>
      </c>
      <c r="H1881" s="8" t="s">
        <v>25</v>
      </c>
      <c r="I1881" s="8" t="s">
        <v>23</v>
      </c>
      <c r="J1881" s="8" t="s">
        <v>9672</v>
      </c>
      <c r="K1881" s="8" t="s">
        <v>9674</v>
      </c>
      <c r="L1881" s="8" t="s">
        <v>19</v>
      </c>
      <c r="M1881" s="8">
        <v>516</v>
      </c>
      <c r="N1881" s="8" t="s">
        <v>710</v>
      </c>
      <c r="O1881" s="8">
        <v>150</v>
      </c>
      <c r="P1881" s="8" t="s">
        <v>9673</v>
      </c>
      <c r="Q1881" s="8" t="s">
        <v>4262</v>
      </c>
      <c r="R1881" s="8">
        <v>0.33300000000000002</v>
      </c>
      <c r="S1881" s="8">
        <v>141384642</v>
      </c>
      <c r="T1881" s="8" t="s">
        <v>46</v>
      </c>
      <c r="U1881" s="8" t="s">
        <v>25</v>
      </c>
    </row>
    <row r="1882" spans="1:21">
      <c r="A1882" s="8" t="s">
        <v>9561</v>
      </c>
      <c r="B1882" s="8" t="s">
        <v>2294</v>
      </c>
      <c r="C1882" s="8">
        <v>81792</v>
      </c>
      <c r="D1882" s="8" t="s">
        <v>226</v>
      </c>
      <c r="E1882" s="8">
        <v>33648986</v>
      </c>
      <c r="F1882" s="8">
        <v>33648986</v>
      </c>
      <c r="G1882" s="8" t="s">
        <v>46</v>
      </c>
      <c r="H1882" s="8" t="s">
        <v>41</v>
      </c>
      <c r="I1882" s="8" t="s">
        <v>23</v>
      </c>
      <c r="J1882" s="8" t="s">
        <v>3030</v>
      </c>
      <c r="K1882" s="8" t="s">
        <v>9676</v>
      </c>
      <c r="L1882" s="8" t="s">
        <v>19</v>
      </c>
      <c r="M1882" s="8">
        <v>1583</v>
      </c>
      <c r="N1882" s="8" t="s">
        <v>1440</v>
      </c>
      <c r="O1882" s="8">
        <v>474</v>
      </c>
      <c r="P1882" s="8" t="s">
        <v>9675</v>
      </c>
      <c r="Q1882" s="8" t="s">
        <v>4262</v>
      </c>
      <c r="R1882" s="8">
        <v>0.377</v>
      </c>
      <c r="S1882" s="8">
        <v>33648986</v>
      </c>
      <c r="T1882" s="8" t="s">
        <v>46</v>
      </c>
      <c r="U1882" s="8" t="s">
        <v>41</v>
      </c>
    </row>
    <row r="1883" spans="1:21">
      <c r="A1883" s="8" t="s">
        <v>9561</v>
      </c>
      <c r="B1883" s="8" t="s">
        <v>9677</v>
      </c>
      <c r="C1883" s="8">
        <v>25836</v>
      </c>
      <c r="D1883" s="8" t="s">
        <v>226</v>
      </c>
      <c r="E1883" s="8">
        <v>37007565</v>
      </c>
      <c r="F1883" s="8">
        <v>37007565</v>
      </c>
      <c r="G1883" s="8" t="s">
        <v>25</v>
      </c>
      <c r="H1883" s="8" t="s">
        <v>24</v>
      </c>
      <c r="I1883" s="8" t="s">
        <v>23</v>
      </c>
      <c r="J1883" s="8" t="s">
        <v>9678</v>
      </c>
      <c r="K1883" s="8" t="s">
        <v>9680</v>
      </c>
      <c r="L1883" s="8" t="s">
        <v>19</v>
      </c>
      <c r="M1883" s="8">
        <v>4727</v>
      </c>
      <c r="N1883" s="8" t="s">
        <v>319</v>
      </c>
      <c r="O1883" s="8">
        <v>1410</v>
      </c>
      <c r="P1883" s="8" t="s">
        <v>9679</v>
      </c>
      <c r="Q1883" s="8" t="s">
        <v>4262</v>
      </c>
      <c r="R1883" s="8">
        <v>0.13200000000000001</v>
      </c>
      <c r="S1883" s="8">
        <v>37007565</v>
      </c>
      <c r="T1883" s="8" t="s">
        <v>25</v>
      </c>
      <c r="U1883" s="8" t="s">
        <v>24</v>
      </c>
    </row>
    <row r="1884" spans="1:21">
      <c r="A1884" s="8" t="s">
        <v>9561</v>
      </c>
      <c r="B1884" s="8" t="s">
        <v>3031</v>
      </c>
      <c r="C1884" s="8">
        <v>133418</v>
      </c>
      <c r="D1884" s="8" t="s">
        <v>226</v>
      </c>
      <c r="E1884" s="8">
        <v>49699198</v>
      </c>
      <c r="F1884" s="8">
        <v>49699198</v>
      </c>
      <c r="G1884" s="8" t="s">
        <v>46</v>
      </c>
      <c r="H1884" s="8" t="s">
        <v>24</v>
      </c>
      <c r="I1884" s="8" t="s">
        <v>23</v>
      </c>
      <c r="J1884" s="8" t="s">
        <v>3032</v>
      </c>
      <c r="K1884" s="8" t="s">
        <v>9682</v>
      </c>
      <c r="L1884" s="8" t="s">
        <v>19</v>
      </c>
      <c r="M1884" s="8">
        <v>940</v>
      </c>
      <c r="N1884" s="8" t="s">
        <v>1410</v>
      </c>
      <c r="O1884" s="8">
        <v>231</v>
      </c>
      <c r="P1884" s="8" t="s">
        <v>9681</v>
      </c>
      <c r="Q1884" s="8" t="s">
        <v>4262</v>
      </c>
      <c r="R1884" s="8">
        <v>0.42299999999999999</v>
      </c>
      <c r="S1884" s="8">
        <v>49699198</v>
      </c>
      <c r="T1884" s="8" t="s">
        <v>46</v>
      </c>
      <c r="U1884" s="8" t="s">
        <v>24</v>
      </c>
    </row>
    <row r="1885" spans="1:21">
      <c r="A1885" s="8" t="s">
        <v>9561</v>
      </c>
      <c r="B1885" s="8" t="s">
        <v>2272</v>
      </c>
      <c r="C1885" s="8">
        <v>5558</v>
      </c>
      <c r="D1885" s="8" t="s">
        <v>237</v>
      </c>
      <c r="E1885" s="8">
        <v>57512660</v>
      </c>
      <c r="F1885" s="8">
        <v>57512660</v>
      </c>
      <c r="G1885" s="8" t="s">
        <v>24</v>
      </c>
      <c r="H1885" s="8" t="s">
        <v>41</v>
      </c>
      <c r="I1885" s="8" t="s">
        <v>23</v>
      </c>
      <c r="J1885" s="8" t="s">
        <v>9683</v>
      </c>
      <c r="K1885" s="8" t="s">
        <v>9685</v>
      </c>
      <c r="L1885" s="8" t="s">
        <v>19</v>
      </c>
      <c r="M1885" s="8">
        <v>1575</v>
      </c>
      <c r="N1885" s="8" t="s">
        <v>2948</v>
      </c>
      <c r="O1885" s="8">
        <v>496</v>
      </c>
      <c r="P1885" s="8" t="s">
        <v>9684</v>
      </c>
      <c r="Q1885" s="8" t="s">
        <v>4262</v>
      </c>
      <c r="R1885" s="8">
        <v>0.125</v>
      </c>
      <c r="S1885" s="8">
        <v>57512660</v>
      </c>
      <c r="T1885" s="8" t="s">
        <v>24</v>
      </c>
      <c r="U1885" s="8" t="s">
        <v>41</v>
      </c>
    </row>
    <row r="1886" spans="1:21">
      <c r="A1886" s="8" t="s">
        <v>9561</v>
      </c>
      <c r="B1886" s="8" t="s">
        <v>3034</v>
      </c>
      <c r="C1886" s="8">
        <v>254394</v>
      </c>
      <c r="D1886" s="8" t="s">
        <v>237</v>
      </c>
      <c r="E1886" s="8">
        <v>119137264</v>
      </c>
      <c r="F1886" s="8">
        <v>119137264</v>
      </c>
      <c r="G1886" s="8" t="s">
        <v>24</v>
      </c>
      <c r="H1886" s="8" t="s">
        <v>41</v>
      </c>
      <c r="I1886" s="8" t="s">
        <v>23</v>
      </c>
      <c r="J1886" s="8" t="s">
        <v>3035</v>
      </c>
      <c r="K1886" s="8" t="s">
        <v>9687</v>
      </c>
      <c r="L1886" s="8" t="s">
        <v>19</v>
      </c>
      <c r="M1886" s="8">
        <v>2170</v>
      </c>
      <c r="N1886" s="8" t="s">
        <v>2999</v>
      </c>
      <c r="O1886" s="8">
        <v>719</v>
      </c>
      <c r="P1886" s="8" t="s">
        <v>9686</v>
      </c>
      <c r="Q1886" s="8" t="s">
        <v>4262</v>
      </c>
      <c r="R1886" s="8">
        <v>0.53700000000000003</v>
      </c>
      <c r="S1886" s="8">
        <v>119137264</v>
      </c>
      <c r="T1886" s="8" t="s">
        <v>24</v>
      </c>
      <c r="U1886" s="8" t="s">
        <v>41</v>
      </c>
    </row>
    <row r="1887" spans="1:21">
      <c r="A1887" s="8" t="s">
        <v>9561</v>
      </c>
      <c r="B1887" s="8" t="s">
        <v>2121</v>
      </c>
      <c r="C1887" s="8">
        <v>79747</v>
      </c>
      <c r="D1887" s="8" t="s">
        <v>237</v>
      </c>
      <c r="E1887" s="8">
        <v>146956530</v>
      </c>
      <c r="F1887" s="8">
        <v>146956530</v>
      </c>
      <c r="G1887" s="8" t="s">
        <v>25</v>
      </c>
      <c r="H1887" s="8" t="s">
        <v>24</v>
      </c>
      <c r="I1887" s="8" t="s">
        <v>23</v>
      </c>
      <c r="J1887" s="8" t="s">
        <v>9688</v>
      </c>
      <c r="K1887" s="8" t="s">
        <v>9690</v>
      </c>
      <c r="L1887" s="8" t="s">
        <v>19</v>
      </c>
      <c r="M1887" s="8">
        <v>135</v>
      </c>
      <c r="N1887" s="8" t="s">
        <v>544</v>
      </c>
      <c r="O1887" s="8">
        <v>32</v>
      </c>
      <c r="P1887" s="8" t="s">
        <v>9689</v>
      </c>
      <c r="Q1887" s="8" t="s">
        <v>4262</v>
      </c>
      <c r="R1887" s="8">
        <v>4.3999999999999997E-2</v>
      </c>
      <c r="S1887" s="8">
        <v>146956530</v>
      </c>
      <c r="T1887" s="8" t="s">
        <v>25</v>
      </c>
      <c r="U1887" s="8" t="s">
        <v>24</v>
      </c>
    </row>
    <row r="1888" spans="1:21">
      <c r="A1888" s="8" t="s">
        <v>9561</v>
      </c>
      <c r="B1888" s="8" t="s">
        <v>1391</v>
      </c>
      <c r="C1888" s="8">
        <v>389434</v>
      </c>
      <c r="D1888" s="8" t="s">
        <v>237</v>
      </c>
      <c r="E1888" s="8">
        <v>150715255</v>
      </c>
      <c r="F1888" s="8">
        <v>150715255</v>
      </c>
      <c r="G1888" s="8" t="s">
        <v>25</v>
      </c>
      <c r="H1888" s="8" t="s">
        <v>24</v>
      </c>
      <c r="I1888" s="8" t="s">
        <v>23</v>
      </c>
      <c r="J1888" s="8" t="s">
        <v>9691</v>
      </c>
      <c r="K1888" s="8" t="s">
        <v>9693</v>
      </c>
      <c r="L1888" s="8" t="s">
        <v>19</v>
      </c>
      <c r="M1888" s="8">
        <v>691</v>
      </c>
      <c r="N1888" s="8" t="s">
        <v>176</v>
      </c>
      <c r="O1888" s="8">
        <v>184</v>
      </c>
      <c r="P1888" s="8" t="s">
        <v>9692</v>
      </c>
      <c r="Q1888" s="8" t="s">
        <v>4262</v>
      </c>
      <c r="R1888" s="8">
        <v>0.13600000000000001</v>
      </c>
      <c r="S1888" s="8">
        <v>150715255</v>
      </c>
      <c r="T1888" s="8" t="s">
        <v>25</v>
      </c>
      <c r="U1888" s="8" t="s">
        <v>24</v>
      </c>
    </row>
    <row r="1889" spans="1:21">
      <c r="A1889" s="8" t="s">
        <v>9561</v>
      </c>
      <c r="B1889" s="8" t="s">
        <v>3036</v>
      </c>
      <c r="C1889" s="8">
        <v>23564</v>
      </c>
      <c r="D1889" s="8" t="s">
        <v>237</v>
      </c>
      <c r="E1889" s="8">
        <v>31696661</v>
      </c>
      <c r="F1889" s="8">
        <v>31696661</v>
      </c>
      <c r="G1889" s="8" t="s">
        <v>46</v>
      </c>
      <c r="H1889" s="8" t="s">
        <v>41</v>
      </c>
      <c r="I1889" s="8" t="s">
        <v>23</v>
      </c>
      <c r="J1889" s="8" t="s">
        <v>3037</v>
      </c>
      <c r="K1889" s="8" t="s">
        <v>9695</v>
      </c>
      <c r="L1889" s="8" t="s">
        <v>19</v>
      </c>
      <c r="M1889" s="8">
        <v>554</v>
      </c>
      <c r="N1889" s="8" t="s">
        <v>708</v>
      </c>
      <c r="O1889" s="8">
        <v>93</v>
      </c>
      <c r="P1889" s="8" t="s">
        <v>9694</v>
      </c>
      <c r="Q1889" s="8" t="s">
        <v>4262</v>
      </c>
      <c r="R1889" s="8">
        <v>0.34699999999999998</v>
      </c>
      <c r="S1889" s="8">
        <v>31696661</v>
      </c>
      <c r="T1889" s="8" t="s">
        <v>46</v>
      </c>
      <c r="U1889" s="8" t="s">
        <v>41</v>
      </c>
    </row>
    <row r="1890" spans="1:21">
      <c r="A1890" s="8" t="s">
        <v>9561</v>
      </c>
      <c r="B1890" s="8" t="s">
        <v>1397</v>
      </c>
      <c r="C1890" s="8">
        <v>4855</v>
      </c>
      <c r="D1890" s="8" t="s">
        <v>237</v>
      </c>
      <c r="E1890" s="8">
        <v>32190552</v>
      </c>
      <c r="F1890" s="8">
        <v>32190552</v>
      </c>
      <c r="G1890" s="8" t="s">
        <v>24</v>
      </c>
      <c r="H1890" s="8" t="s">
        <v>25</v>
      </c>
      <c r="I1890" s="8" t="s">
        <v>23</v>
      </c>
      <c r="J1890" s="8" t="s">
        <v>1398</v>
      </c>
      <c r="K1890" s="8" t="s">
        <v>9697</v>
      </c>
      <c r="L1890" s="8" t="s">
        <v>76</v>
      </c>
      <c r="M1890" s="8">
        <v>326</v>
      </c>
      <c r="N1890" s="8" t="s">
        <v>371</v>
      </c>
      <c r="O1890" s="8">
        <v>63</v>
      </c>
      <c r="P1890" s="8" t="s">
        <v>9696</v>
      </c>
      <c r="Q1890" s="8" t="s">
        <v>4262</v>
      </c>
      <c r="R1890" s="8">
        <v>0.24399999999999999</v>
      </c>
      <c r="S1890" s="8">
        <v>32190552</v>
      </c>
      <c r="T1890" s="8" t="s">
        <v>24</v>
      </c>
      <c r="U1890" s="8" t="s">
        <v>25</v>
      </c>
    </row>
    <row r="1891" spans="1:21">
      <c r="A1891" s="8" t="s">
        <v>9561</v>
      </c>
      <c r="B1891" s="8" t="s">
        <v>3038</v>
      </c>
      <c r="C1891" s="8">
        <v>9820</v>
      </c>
      <c r="D1891" s="8" t="s">
        <v>237</v>
      </c>
      <c r="E1891" s="8">
        <v>43006417</v>
      </c>
      <c r="F1891" s="8">
        <v>43006417</v>
      </c>
      <c r="G1891" s="8" t="s">
        <v>41</v>
      </c>
      <c r="H1891" s="8" t="s">
        <v>46</v>
      </c>
      <c r="I1891" s="8" t="s">
        <v>23</v>
      </c>
      <c r="J1891" s="8" t="s">
        <v>9698</v>
      </c>
      <c r="K1891" s="8" t="s">
        <v>9700</v>
      </c>
      <c r="L1891" s="8" t="s">
        <v>19</v>
      </c>
      <c r="M1891" s="8">
        <v>4793</v>
      </c>
      <c r="N1891" s="8" t="s">
        <v>574</v>
      </c>
      <c r="O1891" s="8">
        <v>1569</v>
      </c>
      <c r="P1891" s="8" t="s">
        <v>9699</v>
      </c>
      <c r="Q1891" s="8" t="s">
        <v>4262</v>
      </c>
      <c r="R1891" s="8">
        <v>0.59399999999999997</v>
      </c>
      <c r="S1891" s="8">
        <v>43006417</v>
      </c>
      <c r="T1891" s="8" t="s">
        <v>41</v>
      </c>
      <c r="U1891" s="8" t="s">
        <v>46</v>
      </c>
    </row>
    <row r="1892" spans="1:21">
      <c r="A1892" s="8" t="s">
        <v>9561</v>
      </c>
      <c r="B1892" s="8" t="s">
        <v>8920</v>
      </c>
      <c r="C1892" s="8">
        <v>221395</v>
      </c>
      <c r="D1892" s="8" t="s">
        <v>237</v>
      </c>
      <c r="E1892" s="8">
        <v>46825885</v>
      </c>
      <c r="F1892" s="8">
        <v>46825885</v>
      </c>
      <c r="G1892" s="8" t="s">
        <v>24</v>
      </c>
      <c r="H1892" s="8" t="s">
        <v>25</v>
      </c>
      <c r="I1892" s="8" t="s">
        <v>23</v>
      </c>
      <c r="J1892" s="8" t="s">
        <v>8921</v>
      </c>
      <c r="K1892" s="8" t="s">
        <v>8923</v>
      </c>
      <c r="L1892" s="8" t="s">
        <v>19</v>
      </c>
      <c r="M1892" s="8">
        <v>4044</v>
      </c>
      <c r="N1892" s="8" t="s">
        <v>1421</v>
      </c>
      <c r="O1892" s="8">
        <v>1252</v>
      </c>
      <c r="P1892" s="8" t="s">
        <v>9701</v>
      </c>
      <c r="Q1892" s="8" t="s">
        <v>4262</v>
      </c>
      <c r="R1892" s="8">
        <v>0.16800000000000001</v>
      </c>
      <c r="S1892" s="8">
        <v>46825885</v>
      </c>
      <c r="T1892" s="8" t="s">
        <v>24</v>
      </c>
      <c r="U1892" s="8" t="s">
        <v>25</v>
      </c>
    </row>
    <row r="1893" spans="1:21">
      <c r="A1893" s="8" t="s">
        <v>9561</v>
      </c>
      <c r="B1893" s="8" t="s">
        <v>260</v>
      </c>
      <c r="C1893" s="8">
        <v>346389</v>
      </c>
      <c r="D1893" s="8" t="s">
        <v>257</v>
      </c>
      <c r="E1893" s="8">
        <v>20199458</v>
      </c>
      <c r="F1893" s="8">
        <v>20199458</v>
      </c>
      <c r="G1893" s="8" t="s">
        <v>46</v>
      </c>
      <c r="H1893" s="8" t="s">
        <v>24</v>
      </c>
      <c r="I1893" s="8" t="s">
        <v>23</v>
      </c>
      <c r="J1893" s="8" t="s">
        <v>261</v>
      </c>
      <c r="K1893" s="8" t="s">
        <v>4716</v>
      </c>
      <c r="L1893" s="8" t="s">
        <v>19</v>
      </c>
      <c r="M1893" s="8">
        <v>835</v>
      </c>
      <c r="N1893" s="8" t="s">
        <v>588</v>
      </c>
      <c r="O1893" s="8">
        <v>176</v>
      </c>
      <c r="P1893" s="8" t="s">
        <v>9702</v>
      </c>
      <c r="Q1893" s="8" t="s">
        <v>4262</v>
      </c>
      <c r="R1893" s="8">
        <v>0.13500000000000001</v>
      </c>
      <c r="S1893" s="8">
        <v>20199458</v>
      </c>
      <c r="T1893" s="8" t="s">
        <v>46</v>
      </c>
      <c r="U1893" s="8" t="s">
        <v>24</v>
      </c>
    </row>
    <row r="1894" spans="1:21">
      <c r="A1894" s="8" t="s">
        <v>9561</v>
      </c>
      <c r="B1894" s="8" t="s">
        <v>3039</v>
      </c>
      <c r="C1894" s="8">
        <v>63974</v>
      </c>
      <c r="D1894" s="8" t="s">
        <v>257</v>
      </c>
      <c r="E1894" s="8">
        <v>31378702</v>
      </c>
      <c r="F1894" s="8">
        <v>31378702</v>
      </c>
      <c r="G1894" s="8" t="s">
        <v>46</v>
      </c>
      <c r="H1894" s="8" t="s">
        <v>25</v>
      </c>
      <c r="I1894" s="8" t="s">
        <v>23</v>
      </c>
      <c r="J1894" s="8" t="s">
        <v>3040</v>
      </c>
      <c r="K1894" s="8" t="s">
        <v>9704</v>
      </c>
      <c r="L1894" s="8" t="s">
        <v>76</v>
      </c>
      <c r="M1894" s="8">
        <v>534</v>
      </c>
      <c r="N1894" s="8" t="s">
        <v>263</v>
      </c>
      <c r="O1894" s="8">
        <v>61</v>
      </c>
      <c r="P1894" s="8" t="s">
        <v>9703</v>
      </c>
      <c r="Q1894" s="8" t="s">
        <v>4262</v>
      </c>
      <c r="R1894" s="8">
        <v>0.41299999999999998</v>
      </c>
      <c r="S1894" s="8">
        <v>31378702</v>
      </c>
      <c r="T1894" s="8" t="s">
        <v>46</v>
      </c>
      <c r="U1894" s="8" t="s">
        <v>25</v>
      </c>
    </row>
    <row r="1895" spans="1:21">
      <c r="A1895" s="8" t="s">
        <v>9561</v>
      </c>
      <c r="B1895" s="8" t="s">
        <v>9705</v>
      </c>
      <c r="C1895" s="8">
        <v>137872</v>
      </c>
      <c r="D1895" s="8" t="s">
        <v>279</v>
      </c>
      <c r="E1895" s="8">
        <v>67357609</v>
      </c>
      <c r="F1895" s="8">
        <v>67357609</v>
      </c>
      <c r="G1895" s="8" t="s">
        <v>24</v>
      </c>
      <c r="H1895" s="8" t="s">
        <v>41</v>
      </c>
      <c r="I1895" s="8" t="s">
        <v>23</v>
      </c>
      <c r="J1895" s="8" t="s">
        <v>9706</v>
      </c>
      <c r="K1895" s="8" t="s">
        <v>9708</v>
      </c>
      <c r="L1895" s="8" t="s">
        <v>19</v>
      </c>
      <c r="M1895" s="8">
        <v>544</v>
      </c>
      <c r="N1895" s="8" t="s">
        <v>490</v>
      </c>
      <c r="O1895" s="8">
        <v>170</v>
      </c>
      <c r="P1895" s="8" t="s">
        <v>9707</v>
      </c>
      <c r="Q1895" s="8" t="s">
        <v>4262</v>
      </c>
      <c r="R1895" s="8">
        <v>6.9000000000000006E-2</v>
      </c>
      <c r="S1895" s="8">
        <v>67357609</v>
      </c>
      <c r="T1895" s="8" t="s">
        <v>24</v>
      </c>
      <c r="U1895" s="8" t="s">
        <v>41</v>
      </c>
    </row>
    <row r="1896" spans="1:21">
      <c r="A1896" s="8" t="s">
        <v>9561</v>
      </c>
      <c r="B1896" s="8" t="s">
        <v>9709</v>
      </c>
      <c r="C1896" s="8">
        <v>81796</v>
      </c>
      <c r="D1896" s="8" t="s">
        <v>279</v>
      </c>
      <c r="E1896" s="8">
        <v>70585517</v>
      </c>
      <c r="F1896" s="8">
        <v>70585517</v>
      </c>
      <c r="G1896" s="8" t="s">
        <v>41</v>
      </c>
      <c r="H1896" s="8" t="s">
        <v>46</v>
      </c>
      <c r="I1896" s="8" t="s">
        <v>23</v>
      </c>
      <c r="J1896" s="8" t="s">
        <v>9710</v>
      </c>
      <c r="K1896" s="8" t="s">
        <v>9712</v>
      </c>
      <c r="L1896" s="8" t="s">
        <v>19</v>
      </c>
      <c r="M1896" s="8">
        <v>2841</v>
      </c>
      <c r="N1896" s="8" t="s">
        <v>283</v>
      </c>
      <c r="O1896" s="8">
        <v>712</v>
      </c>
      <c r="P1896" s="8" t="s">
        <v>9711</v>
      </c>
      <c r="Q1896" s="8" t="s">
        <v>4262</v>
      </c>
      <c r="R1896" s="8">
        <v>0.218</v>
      </c>
      <c r="S1896" s="8">
        <v>70585517</v>
      </c>
      <c r="T1896" s="8" t="s">
        <v>41</v>
      </c>
      <c r="U1896" s="8" t="s">
        <v>46</v>
      </c>
    </row>
    <row r="1897" spans="1:21">
      <c r="A1897" s="8" t="s">
        <v>9561</v>
      </c>
      <c r="B1897" s="8" t="s">
        <v>9713</v>
      </c>
      <c r="C1897" s="8">
        <v>94137</v>
      </c>
      <c r="D1897" s="8" t="s">
        <v>279</v>
      </c>
      <c r="E1897" s="8">
        <v>10465990</v>
      </c>
      <c r="F1897" s="8">
        <v>10465990</v>
      </c>
      <c r="G1897" s="8" t="s">
        <v>41</v>
      </c>
      <c r="H1897" s="8" t="s">
        <v>46</v>
      </c>
      <c r="I1897" s="8" t="s">
        <v>23</v>
      </c>
      <c r="J1897" s="8" t="s">
        <v>9714</v>
      </c>
      <c r="K1897" s="8" t="s">
        <v>9716</v>
      </c>
      <c r="L1897" s="8" t="s">
        <v>19</v>
      </c>
      <c r="M1897" s="8">
        <v>5847</v>
      </c>
      <c r="N1897" s="8" t="s">
        <v>1033</v>
      </c>
      <c r="O1897" s="8">
        <v>1873</v>
      </c>
      <c r="P1897" s="8" t="s">
        <v>9715</v>
      </c>
      <c r="Q1897" s="8" t="s">
        <v>4262</v>
      </c>
      <c r="R1897" s="8">
        <v>5.2999999999999999E-2</v>
      </c>
      <c r="S1897" s="8">
        <v>10465990</v>
      </c>
      <c r="T1897" s="8" t="s">
        <v>41</v>
      </c>
      <c r="U1897" s="8" t="s">
        <v>46</v>
      </c>
    </row>
    <row r="1898" spans="1:21">
      <c r="A1898" s="8" t="s">
        <v>9561</v>
      </c>
      <c r="B1898" s="8" t="s">
        <v>2197</v>
      </c>
      <c r="C1898" s="8">
        <v>11156</v>
      </c>
      <c r="D1898" s="8" t="s">
        <v>279</v>
      </c>
      <c r="E1898" s="8">
        <v>142432381</v>
      </c>
      <c r="F1898" s="8">
        <v>142432381</v>
      </c>
      <c r="G1898" s="8" t="s">
        <v>25</v>
      </c>
      <c r="H1898" s="8" t="s">
        <v>41</v>
      </c>
      <c r="I1898" s="8" t="s">
        <v>23</v>
      </c>
      <c r="J1898" s="8" t="s">
        <v>9717</v>
      </c>
      <c r="K1898" s="8" t="s">
        <v>9719</v>
      </c>
      <c r="L1898" s="8" t="s">
        <v>19</v>
      </c>
      <c r="M1898" s="8">
        <v>375</v>
      </c>
      <c r="N1898" s="8" t="s">
        <v>3041</v>
      </c>
      <c r="O1898" s="8">
        <v>14</v>
      </c>
      <c r="P1898" s="8" t="s">
        <v>9718</v>
      </c>
      <c r="Q1898" s="8" t="s">
        <v>4262</v>
      </c>
      <c r="R1898" s="8">
        <v>0.41199999999999998</v>
      </c>
      <c r="S1898" s="8">
        <v>142432381</v>
      </c>
      <c r="T1898" s="8" t="s">
        <v>25</v>
      </c>
      <c r="U1898" s="8" t="s">
        <v>41</v>
      </c>
    </row>
    <row r="1899" spans="1:21">
      <c r="A1899" s="8" t="s">
        <v>9561</v>
      </c>
      <c r="B1899" s="8" t="s">
        <v>9720</v>
      </c>
      <c r="C1899" s="8">
        <v>23189</v>
      </c>
      <c r="D1899" s="8" t="s">
        <v>292</v>
      </c>
      <c r="E1899" s="8">
        <v>742340</v>
      </c>
      <c r="F1899" s="8">
        <v>742340</v>
      </c>
      <c r="G1899" s="8" t="s">
        <v>24</v>
      </c>
      <c r="H1899" s="8" t="s">
        <v>25</v>
      </c>
      <c r="I1899" s="8" t="s">
        <v>23</v>
      </c>
      <c r="J1899" s="8" t="s">
        <v>9721</v>
      </c>
      <c r="K1899" s="8" t="s">
        <v>9723</v>
      </c>
      <c r="L1899" s="8" t="s">
        <v>19</v>
      </c>
      <c r="M1899" s="8">
        <v>3967</v>
      </c>
      <c r="N1899" s="8" t="s">
        <v>1364</v>
      </c>
      <c r="O1899" s="8">
        <v>1278</v>
      </c>
      <c r="P1899" s="8" t="s">
        <v>9722</v>
      </c>
      <c r="Q1899" s="8" t="s">
        <v>4262</v>
      </c>
      <c r="R1899" s="8">
        <v>0.23100000000000001</v>
      </c>
      <c r="S1899" s="8">
        <v>742340</v>
      </c>
      <c r="T1899" s="8" t="s">
        <v>24</v>
      </c>
      <c r="U1899" s="8" t="s">
        <v>25</v>
      </c>
    </row>
    <row r="1900" spans="1:21">
      <c r="A1900" s="8" t="s">
        <v>9561</v>
      </c>
      <c r="B1900" s="8" t="s">
        <v>9724</v>
      </c>
      <c r="C1900" s="8">
        <v>158431</v>
      </c>
      <c r="D1900" s="8" t="s">
        <v>292</v>
      </c>
      <c r="E1900" s="8">
        <v>99581848</v>
      </c>
      <c r="F1900" s="8">
        <v>99581848</v>
      </c>
      <c r="G1900" s="8" t="s">
        <v>24</v>
      </c>
      <c r="H1900" s="8" t="s">
        <v>25</v>
      </c>
      <c r="I1900" s="8" t="s">
        <v>23</v>
      </c>
      <c r="J1900" s="8" t="s">
        <v>9725</v>
      </c>
      <c r="K1900" s="8" t="s">
        <v>9727</v>
      </c>
      <c r="L1900" s="8" t="s">
        <v>19</v>
      </c>
      <c r="M1900" s="8">
        <v>738</v>
      </c>
      <c r="N1900" s="8" t="s">
        <v>423</v>
      </c>
      <c r="O1900" s="8">
        <v>153</v>
      </c>
      <c r="P1900" s="8" t="s">
        <v>9726</v>
      </c>
      <c r="Q1900" s="8" t="s">
        <v>4262</v>
      </c>
      <c r="R1900" s="8">
        <v>0.125</v>
      </c>
      <c r="S1900" s="8">
        <v>99581848</v>
      </c>
      <c r="T1900" s="8" t="s">
        <v>24</v>
      </c>
      <c r="U1900" s="8" t="s">
        <v>25</v>
      </c>
    </row>
    <row r="1901" spans="1:21">
      <c r="A1901" s="8" t="s">
        <v>9561</v>
      </c>
      <c r="B1901" s="8" t="s">
        <v>9728</v>
      </c>
      <c r="C1901" s="8">
        <v>116443</v>
      </c>
      <c r="D1901" s="8" t="s">
        <v>292</v>
      </c>
      <c r="E1901" s="8">
        <v>104449256</v>
      </c>
      <c r="F1901" s="8">
        <v>104449256</v>
      </c>
      <c r="G1901" s="8" t="s">
        <v>46</v>
      </c>
      <c r="H1901" s="8" t="s">
        <v>24</v>
      </c>
      <c r="I1901" s="8" t="s">
        <v>23</v>
      </c>
      <c r="J1901" s="8" t="s">
        <v>9729</v>
      </c>
      <c r="K1901" s="8" t="s">
        <v>9731</v>
      </c>
      <c r="L1901" s="8" t="s">
        <v>19</v>
      </c>
      <c r="M1901" s="8">
        <v>1527</v>
      </c>
      <c r="N1901" s="8" t="s">
        <v>2996</v>
      </c>
      <c r="O1901" s="8">
        <v>309</v>
      </c>
      <c r="P1901" s="8" t="s">
        <v>9730</v>
      </c>
      <c r="Q1901" s="8" t="s">
        <v>4262</v>
      </c>
      <c r="R1901" s="8">
        <v>0.33700000000000002</v>
      </c>
      <c r="S1901" s="8">
        <v>104449256</v>
      </c>
      <c r="T1901" s="8" t="s">
        <v>46</v>
      </c>
      <c r="U1901" s="8" t="s">
        <v>24</v>
      </c>
    </row>
    <row r="1902" spans="1:21">
      <c r="A1902" s="8" t="s">
        <v>9561</v>
      </c>
      <c r="B1902" s="8" t="s">
        <v>9732</v>
      </c>
      <c r="C1902" s="8">
        <v>4300</v>
      </c>
      <c r="D1902" s="8" t="s">
        <v>292</v>
      </c>
      <c r="E1902" s="8">
        <v>20363496</v>
      </c>
      <c r="F1902" s="8">
        <v>20363496</v>
      </c>
      <c r="G1902" s="8" t="s">
        <v>41</v>
      </c>
      <c r="H1902" s="8" t="s">
        <v>46</v>
      </c>
      <c r="I1902" s="8" t="s">
        <v>23</v>
      </c>
      <c r="J1902" s="8" t="s">
        <v>9733</v>
      </c>
      <c r="K1902" s="8" t="s">
        <v>9735</v>
      </c>
      <c r="L1902" s="8" t="s">
        <v>19</v>
      </c>
      <c r="M1902" s="8">
        <v>1568</v>
      </c>
      <c r="N1902" s="8" t="s">
        <v>382</v>
      </c>
      <c r="O1902" s="8">
        <v>437</v>
      </c>
      <c r="P1902" s="8" t="s">
        <v>9734</v>
      </c>
      <c r="Q1902" s="8" t="s">
        <v>4262</v>
      </c>
      <c r="R1902" s="8">
        <v>0.22</v>
      </c>
      <c r="S1902" s="8">
        <v>20363496</v>
      </c>
      <c r="T1902" s="8" t="s">
        <v>41</v>
      </c>
      <c r="U1902" s="8" t="s">
        <v>46</v>
      </c>
    </row>
    <row r="1903" spans="1:21">
      <c r="A1903" s="8" t="s">
        <v>9561</v>
      </c>
      <c r="B1903" s="8" t="s">
        <v>1012</v>
      </c>
      <c r="C1903" s="8">
        <v>55753</v>
      </c>
      <c r="D1903" s="8" t="s">
        <v>69</v>
      </c>
      <c r="E1903" s="8">
        <v>50944446</v>
      </c>
      <c r="F1903" s="8">
        <v>50944446</v>
      </c>
      <c r="G1903" s="8" t="s">
        <v>46</v>
      </c>
      <c r="H1903" s="8" t="s">
        <v>24</v>
      </c>
      <c r="I1903" s="8" t="s">
        <v>23</v>
      </c>
      <c r="J1903" s="8" t="s">
        <v>1013</v>
      </c>
      <c r="K1903" s="8" t="s">
        <v>9737</v>
      </c>
      <c r="L1903" s="8" t="s">
        <v>19</v>
      </c>
      <c r="M1903" s="8">
        <v>2853</v>
      </c>
      <c r="N1903" s="8" t="s">
        <v>2996</v>
      </c>
      <c r="O1903" s="8">
        <v>904</v>
      </c>
      <c r="P1903" s="8" t="s">
        <v>9736</v>
      </c>
      <c r="Q1903" s="8" t="s">
        <v>4262</v>
      </c>
      <c r="R1903" s="8">
        <v>0.46200000000000002</v>
      </c>
      <c r="S1903" s="8">
        <v>50944446</v>
      </c>
      <c r="T1903" s="8" t="s">
        <v>46</v>
      </c>
      <c r="U1903" s="8" t="s">
        <v>24</v>
      </c>
    </row>
    <row r="1904" spans="1:21">
      <c r="A1904" s="8" t="s">
        <v>9561</v>
      </c>
      <c r="B1904" s="8" t="s">
        <v>2434</v>
      </c>
      <c r="C1904" s="8">
        <v>7511</v>
      </c>
      <c r="D1904" s="8" t="s">
        <v>69</v>
      </c>
      <c r="E1904" s="8">
        <v>111651486</v>
      </c>
      <c r="F1904" s="8">
        <v>111651486</v>
      </c>
      <c r="G1904" s="8" t="s">
        <v>41</v>
      </c>
      <c r="H1904" s="8" t="s">
        <v>46</v>
      </c>
      <c r="I1904" s="8" t="s">
        <v>23</v>
      </c>
      <c r="J1904" s="8" t="s">
        <v>9738</v>
      </c>
      <c r="K1904" s="8" t="s">
        <v>9740</v>
      </c>
      <c r="L1904" s="8" t="s">
        <v>19</v>
      </c>
      <c r="M1904" s="8">
        <v>529</v>
      </c>
      <c r="N1904" s="8" t="s">
        <v>5485</v>
      </c>
      <c r="O1904" s="8">
        <v>137</v>
      </c>
      <c r="P1904" s="8" t="s">
        <v>9739</v>
      </c>
      <c r="Q1904" s="8" t="s">
        <v>4262</v>
      </c>
      <c r="R1904" s="8">
        <v>0.153</v>
      </c>
      <c r="S1904" s="8">
        <v>111651486</v>
      </c>
      <c r="T1904" s="8" t="s">
        <v>41</v>
      </c>
      <c r="U1904" s="8" t="s">
        <v>46</v>
      </c>
    </row>
    <row r="1905" spans="1:21">
      <c r="A1905" s="8" t="s">
        <v>9561</v>
      </c>
      <c r="B1905" s="8" t="s">
        <v>2993</v>
      </c>
      <c r="C1905" s="8">
        <v>7431</v>
      </c>
      <c r="D1905" s="8" t="s">
        <v>69</v>
      </c>
      <c r="E1905" s="8">
        <v>17278320</v>
      </c>
      <c r="F1905" s="8">
        <v>17278320</v>
      </c>
      <c r="G1905" s="8" t="s">
        <v>41</v>
      </c>
      <c r="H1905" s="8" t="s">
        <v>24</v>
      </c>
      <c r="I1905" s="8" t="s">
        <v>23</v>
      </c>
      <c r="J1905" s="8" t="s">
        <v>2994</v>
      </c>
      <c r="K1905" s="8" t="s">
        <v>9742</v>
      </c>
      <c r="L1905" s="8" t="s">
        <v>19</v>
      </c>
      <c r="M1905" s="8">
        <v>1714</v>
      </c>
      <c r="N1905" s="8" t="s">
        <v>2995</v>
      </c>
      <c r="O1905" s="8">
        <v>434</v>
      </c>
      <c r="P1905" s="8" t="s">
        <v>9741</v>
      </c>
      <c r="Q1905" s="8" t="s">
        <v>4262</v>
      </c>
      <c r="R1905" s="8">
        <v>0.42199999999999999</v>
      </c>
      <c r="S1905" s="8">
        <v>17278320</v>
      </c>
      <c r="T1905" s="8" t="s">
        <v>41</v>
      </c>
      <c r="U1905" s="8" t="s">
        <v>24</v>
      </c>
    </row>
    <row r="1906" spans="1:21">
      <c r="A1906" s="8" t="s">
        <v>9561</v>
      </c>
      <c r="B1906" s="8" t="s">
        <v>2202</v>
      </c>
      <c r="C1906" s="8">
        <v>7582</v>
      </c>
      <c r="D1906" s="8" t="s">
        <v>69</v>
      </c>
      <c r="E1906" s="8">
        <v>43089628</v>
      </c>
      <c r="F1906" s="8">
        <v>43089628</v>
      </c>
      <c r="G1906" s="8" t="s">
        <v>46</v>
      </c>
      <c r="H1906" s="8" t="s">
        <v>25</v>
      </c>
      <c r="I1906" s="8" t="s">
        <v>23</v>
      </c>
      <c r="J1906" s="8" t="s">
        <v>7442</v>
      </c>
      <c r="K1906" s="8" t="s">
        <v>7444</v>
      </c>
      <c r="L1906" s="8" t="s">
        <v>19</v>
      </c>
      <c r="M1906" s="8">
        <v>885</v>
      </c>
      <c r="N1906" s="8" t="s">
        <v>1126</v>
      </c>
      <c r="O1906" s="8">
        <v>257</v>
      </c>
      <c r="P1906" s="8" t="s">
        <v>9743</v>
      </c>
      <c r="Q1906" s="8" t="s">
        <v>4262</v>
      </c>
      <c r="R1906" s="8">
        <v>0.17799999999999999</v>
      </c>
      <c r="S1906" s="8">
        <v>43089628</v>
      </c>
      <c r="T1906" s="8" t="s">
        <v>46</v>
      </c>
      <c r="U1906" s="8" t="s">
        <v>25</v>
      </c>
    </row>
    <row r="1907" spans="1:21">
      <c r="A1907" s="8" t="s">
        <v>9561</v>
      </c>
      <c r="B1907" s="8" t="s">
        <v>9744</v>
      </c>
      <c r="C1907" s="8">
        <v>390148</v>
      </c>
      <c r="D1907" s="8" t="s">
        <v>83</v>
      </c>
      <c r="E1907" s="8">
        <v>55681231</v>
      </c>
      <c r="F1907" s="8">
        <v>55681231</v>
      </c>
      <c r="G1907" s="8" t="s">
        <v>46</v>
      </c>
      <c r="H1907" s="8" t="s">
        <v>24</v>
      </c>
      <c r="I1907" s="8" t="s">
        <v>23</v>
      </c>
      <c r="J1907" s="8" t="s">
        <v>9745</v>
      </c>
      <c r="K1907" s="8" t="s">
        <v>9747</v>
      </c>
      <c r="L1907" s="8" t="s">
        <v>19</v>
      </c>
      <c r="M1907" s="8">
        <v>828</v>
      </c>
      <c r="N1907" s="8" t="s">
        <v>3342</v>
      </c>
      <c r="O1907" s="8">
        <v>276</v>
      </c>
      <c r="P1907" s="8" t="s">
        <v>9746</v>
      </c>
      <c r="Q1907" s="8" t="s">
        <v>4262</v>
      </c>
      <c r="R1907" s="8">
        <v>5.2999999999999999E-2</v>
      </c>
      <c r="S1907" s="8">
        <v>55681231</v>
      </c>
      <c r="T1907" s="8" t="s">
        <v>46</v>
      </c>
      <c r="U1907" s="8" t="s">
        <v>24</v>
      </c>
    </row>
    <row r="1908" spans="1:21">
      <c r="A1908" s="8" t="s">
        <v>9561</v>
      </c>
      <c r="B1908" s="8" t="s">
        <v>3797</v>
      </c>
      <c r="C1908" s="8">
        <v>51111</v>
      </c>
      <c r="D1908" s="8" t="s">
        <v>83</v>
      </c>
      <c r="E1908" s="8">
        <v>67939066</v>
      </c>
      <c r="F1908" s="8">
        <v>67939066</v>
      </c>
      <c r="G1908" s="8" t="s">
        <v>24</v>
      </c>
      <c r="H1908" s="8" t="s">
        <v>41</v>
      </c>
      <c r="I1908" s="8" t="s">
        <v>23</v>
      </c>
      <c r="J1908" s="8" t="s">
        <v>3798</v>
      </c>
      <c r="K1908" s="8" t="s">
        <v>5201</v>
      </c>
      <c r="L1908" s="8" t="s">
        <v>19</v>
      </c>
      <c r="M1908" s="8">
        <v>1020</v>
      </c>
      <c r="N1908" s="8" t="s">
        <v>637</v>
      </c>
      <c r="O1908" s="8">
        <v>255</v>
      </c>
      <c r="P1908" s="8" t="s">
        <v>9748</v>
      </c>
      <c r="Q1908" s="8" t="s">
        <v>4262</v>
      </c>
      <c r="R1908" s="8">
        <v>0.316</v>
      </c>
      <c r="S1908" s="8">
        <v>67939066</v>
      </c>
      <c r="T1908" s="8" t="s">
        <v>24</v>
      </c>
      <c r="U1908" s="8" t="s">
        <v>41</v>
      </c>
    </row>
    <row r="1909" spans="1:21">
      <c r="A1909" s="8" t="s">
        <v>9561</v>
      </c>
      <c r="B1909" s="8" t="s">
        <v>4078</v>
      </c>
      <c r="C1909" s="8">
        <v>79659</v>
      </c>
      <c r="D1909" s="8" t="s">
        <v>83</v>
      </c>
      <c r="E1909" s="8">
        <v>103091478</v>
      </c>
      <c r="F1909" s="8">
        <v>103091478</v>
      </c>
      <c r="G1909" s="8" t="s">
        <v>24</v>
      </c>
      <c r="H1909" s="8" t="s">
        <v>41</v>
      </c>
      <c r="I1909" s="8" t="s">
        <v>23</v>
      </c>
      <c r="J1909" s="8" t="s">
        <v>6952</v>
      </c>
      <c r="K1909" s="8" t="s">
        <v>6954</v>
      </c>
      <c r="L1909" s="8" t="s">
        <v>19</v>
      </c>
      <c r="M1909" s="8">
        <v>9217</v>
      </c>
      <c r="N1909" s="8" t="s">
        <v>1068</v>
      </c>
      <c r="O1909" s="8">
        <v>3025</v>
      </c>
      <c r="P1909" s="8" t="s">
        <v>9749</v>
      </c>
      <c r="Q1909" s="8" t="s">
        <v>4262</v>
      </c>
      <c r="R1909" s="8">
        <v>6.3E-2</v>
      </c>
      <c r="S1909" s="8">
        <v>103091478</v>
      </c>
      <c r="T1909" s="8" t="s">
        <v>24</v>
      </c>
      <c r="U1909" s="8" t="s">
        <v>41</v>
      </c>
    </row>
    <row r="1910" spans="1:21">
      <c r="A1910" s="8" t="s">
        <v>9561</v>
      </c>
      <c r="B1910" s="8" t="s">
        <v>9750</v>
      </c>
      <c r="C1910" s="8">
        <v>406</v>
      </c>
      <c r="D1910" s="8" t="s">
        <v>83</v>
      </c>
      <c r="E1910" s="8">
        <v>13380007</v>
      </c>
      <c r="F1910" s="8">
        <v>13380007</v>
      </c>
      <c r="G1910" s="8" t="s">
        <v>24</v>
      </c>
      <c r="H1910" s="8" t="s">
        <v>25</v>
      </c>
      <c r="I1910" s="8" t="s">
        <v>23</v>
      </c>
      <c r="J1910" s="8" t="s">
        <v>9751</v>
      </c>
      <c r="K1910" s="8" t="s">
        <v>9753</v>
      </c>
      <c r="L1910" s="8" t="s">
        <v>19</v>
      </c>
      <c r="M1910" s="8">
        <v>656</v>
      </c>
      <c r="N1910" s="8" t="s">
        <v>61</v>
      </c>
      <c r="O1910" s="8">
        <v>83</v>
      </c>
      <c r="P1910" s="8" t="s">
        <v>9752</v>
      </c>
      <c r="Q1910" s="8" t="s">
        <v>4262</v>
      </c>
      <c r="R1910" s="8">
        <v>0.04</v>
      </c>
      <c r="S1910" s="8">
        <v>13380007</v>
      </c>
      <c r="T1910" s="8" t="s">
        <v>24</v>
      </c>
      <c r="U1910" s="8" t="s">
        <v>25</v>
      </c>
    </row>
    <row r="1911" spans="1:21">
      <c r="A1911" s="8" t="s">
        <v>9561</v>
      </c>
      <c r="B1911" s="8" t="s">
        <v>2997</v>
      </c>
      <c r="C1911" s="8">
        <v>5896</v>
      </c>
      <c r="D1911" s="8" t="s">
        <v>83</v>
      </c>
      <c r="E1911" s="8">
        <v>36596688</v>
      </c>
      <c r="F1911" s="8">
        <v>36596688</v>
      </c>
      <c r="G1911" s="8" t="s">
        <v>46</v>
      </c>
      <c r="H1911" s="8" t="s">
        <v>25</v>
      </c>
      <c r="I1911" s="8" t="s">
        <v>23</v>
      </c>
      <c r="J1911" s="8" t="s">
        <v>2998</v>
      </c>
      <c r="K1911" s="8" t="s">
        <v>5730</v>
      </c>
      <c r="L1911" s="8" t="s">
        <v>19</v>
      </c>
      <c r="M1911" s="8">
        <v>1958</v>
      </c>
      <c r="N1911" s="8" t="s">
        <v>2999</v>
      </c>
      <c r="O1911" s="8">
        <v>612</v>
      </c>
      <c r="P1911" s="8" t="s">
        <v>9754</v>
      </c>
      <c r="Q1911" s="8" t="s">
        <v>4262</v>
      </c>
      <c r="R1911" s="8">
        <v>0.48299999999999998</v>
      </c>
      <c r="S1911" s="8">
        <v>36596688</v>
      </c>
      <c r="T1911" s="8" t="s">
        <v>46</v>
      </c>
      <c r="U1911" s="8" t="s">
        <v>25</v>
      </c>
    </row>
    <row r="1912" spans="1:21">
      <c r="A1912" s="8" t="s">
        <v>9561</v>
      </c>
      <c r="B1912" s="8" t="s">
        <v>3005</v>
      </c>
      <c r="C1912" s="8">
        <v>57122</v>
      </c>
      <c r="D1912" s="8" t="s">
        <v>104</v>
      </c>
      <c r="E1912" s="8">
        <v>69128593</v>
      </c>
      <c r="F1912" s="8">
        <v>69128593</v>
      </c>
      <c r="G1912" s="8" t="s">
        <v>46</v>
      </c>
      <c r="H1912" s="8" t="s">
        <v>41</v>
      </c>
      <c r="I1912" s="8" t="s">
        <v>23</v>
      </c>
      <c r="J1912" s="8" t="s">
        <v>3006</v>
      </c>
      <c r="K1912" s="8" t="s">
        <v>9756</v>
      </c>
      <c r="L1912" s="8" t="s">
        <v>19</v>
      </c>
      <c r="M1912" s="8">
        <v>2483</v>
      </c>
      <c r="N1912" s="8" t="s">
        <v>504</v>
      </c>
      <c r="O1912" s="8">
        <v>790</v>
      </c>
      <c r="P1912" s="8" t="s">
        <v>9755</v>
      </c>
      <c r="Q1912" s="8" t="s">
        <v>4262</v>
      </c>
      <c r="R1912" s="8">
        <v>0.52300000000000002</v>
      </c>
      <c r="S1912" s="8">
        <v>69128593</v>
      </c>
      <c r="T1912" s="8" t="s">
        <v>46</v>
      </c>
      <c r="U1912" s="8" t="s">
        <v>41</v>
      </c>
    </row>
    <row r="1913" spans="1:21">
      <c r="A1913" s="8" t="s">
        <v>9561</v>
      </c>
      <c r="B1913" s="8" t="s">
        <v>9757</v>
      </c>
      <c r="C1913" s="8">
        <v>7103</v>
      </c>
      <c r="D1913" s="8" t="s">
        <v>104</v>
      </c>
      <c r="E1913" s="8">
        <v>71533528</v>
      </c>
      <c r="F1913" s="8">
        <v>71533528</v>
      </c>
      <c r="G1913" s="8" t="s">
        <v>46</v>
      </c>
      <c r="H1913" s="8" t="s">
        <v>25</v>
      </c>
      <c r="I1913" s="8" t="s">
        <v>23</v>
      </c>
      <c r="J1913" s="8" t="s">
        <v>9758</v>
      </c>
      <c r="K1913" s="8" t="s">
        <v>9760</v>
      </c>
      <c r="L1913" s="8" t="s">
        <v>19</v>
      </c>
      <c r="M1913" s="8">
        <v>403</v>
      </c>
      <c r="N1913" s="8" t="s">
        <v>2922</v>
      </c>
      <c r="O1913" s="8">
        <v>75</v>
      </c>
      <c r="P1913" s="8" t="s">
        <v>9759</v>
      </c>
      <c r="Q1913" s="8" t="s">
        <v>4262</v>
      </c>
      <c r="R1913" s="8">
        <v>4.8000000000000001E-2</v>
      </c>
      <c r="S1913" s="8">
        <v>71533528</v>
      </c>
      <c r="T1913" s="8" t="s">
        <v>46</v>
      </c>
      <c r="U1913" s="8" t="s">
        <v>25</v>
      </c>
    </row>
    <row r="1914" spans="1:21">
      <c r="A1914" s="8" t="s">
        <v>9561</v>
      </c>
      <c r="B1914" s="8" t="s">
        <v>9761</v>
      </c>
      <c r="C1914" s="8">
        <v>55117</v>
      </c>
      <c r="D1914" s="8" t="s">
        <v>104</v>
      </c>
      <c r="E1914" s="8">
        <v>85266902</v>
      </c>
      <c r="F1914" s="8">
        <v>85266902</v>
      </c>
      <c r="G1914" s="8" t="s">
        <v>25</v>
      </c>
      <c r="H1914" s="8" t="s">
        <v>41</v>
      </c>
      <c r="I1914" s="8" t="s">
        <v>23</v>
      </c>
      <c r="J1914" s="8" t="s">
        <v>9762</v>
      </c>
      <c r="K1914" s="8" t="s">
        <v>9765</v>
      </c>
      <c r="L1914" s="8" t="s">
        <v>19</v>
      </c>
      <c r="M1914" s="8">
        <v>1566</v>
      </c>
      <c r="N1914" s="8" t="s">
        <v>397</v>
      </c>
      <c r="O1914" s="8">
        <v>358</v>
      </c>
      <c r="P1914" s="8" t="s">
        <v>9763</v>
      </c>
      <c r="Q1914" s="8" t="s">
        <v>9764</v>
      </c>
      <c r="R1914" s="8">
        <v>0.17299999999999999</v>
      </c>
      <c r="S1914" s="8">
        <v>85266902</v>
      </c>
      <c r="T1914" s="8" t="s">
        <v>25</v>
      </c>
      <c r="U1914" s="8" t="s">
        <v>41</v>
      </c>
    </row>
    <row r="1915" spans="1:21">
      <c r="A1915" s="8" t="s">
        <v>9561</v>
      </c>
      <c r="B1915" s="8" t="s">
        <v>3007</v>
      </c>
      <c r="C1915" s="8">
        <v>59277</v>
      </c>
      <c r="D1915" s="8" t="s">
        <v>104</v>
      </c>
      <c r="E1915" s="8">
        <v>96107000</v>
      </c>
      <c r="F1915" s="8">
        <v>96107000</v>
      </c>
      <c r="G1915" s="8" t="s">
        <v>24</v>
      </c>
      <c r="H1915" s="8" t="s">
        <v>41</v>
      </c>
      <c r="I1915" s="8" t="s">
        <v>23</v>
      </c>
      <c r="J1915" s="8" t="s">
        <v>3008</v>
      </c>
      <c r="K1915" s="8" t="s">
        <v>9767</v>
      </c>
      <c r="L1915" s="8" t="s">
        <v>19</v>
      </c>
      <c r="M1915" s="8">
        <v>1430</v>
      </c>
      <c r="N1915" s="8" t="s">
        <v>783</v>
      </c>
      <c r="O1915" s="8">
        <v>327</v>
      </c>
      <c r="P1915" s="8" t="s">
        <v>9766</v>
      </c>
      <c r="Q1915" s="8" t="s">
        <v>4262</v>
      </c>
      <c r="R1915" s="8">
        <v>0.39300000000000002</v>
      </c>
      <c r="S1915" s="8">
        <v>96107000</v>
      </c>
      <c r="T1915" s="8" t="s">
        <v>24</v>
      </c>
      <c r="U1915" s="8" t="s">
        <v>41</v>
      </c>
    </row>
    <row r="1916" spans="1:21">
      <c r="A1916" s="8" t="s">
        <v>9561</v>
      </c>
      <c r="B1916" s="8" t="s">
        <v>9768</v>
      </c>
      <c r="C1916" s="8">
        <v>7296</v>
      </c>
      <c r="D1916" s="8" t="s">
        <v>104</v>
      </c>
      <c r="E1916" s="8">
        <v>104714883</v>
      </c>
      <c r="F1916" s="8">
        <v>104714883</v>
      </c>
      <c r="G1916" s="8" t="s">
        <v>46</v>
      </c>
      <c r="H1916" s="8" t="s">
        <v>41</v>
      </c>
      <c r="I1916" s="8" t="s">
        <v>23</v>
      </c>
      <c r="J1916" s="8" t="s">
        <v>9769</v>
      </c>
      <c r="K1916" s="8" t="s">
        <v>9771</v>
      </c>
      <c r="L1916" s="8" t="s">
        <v>19</v>
      </c>
      <c r="M1916" s="8">
        <v>1026</v>
      </c>
      <c r="N1916" s="8" t="s">
        <v>309</v>
      </c>
      <c r="O1916" s="8">
        <v>335</v>
      </c>
      <c r="P1916" s="8" t="s">
        <v>9770</v>
      </c>
      <c r="Q1916" s="8" t="s">
        <v>4262</v>
      </c>
      <c r="R1916" s="8">
        <v>3.5999999999999997E-2</v>
      </c>
      <c r="S1916" s="8">
        <v>104714883</v>
      </c>
      <c r="T1916" s="8" t="s">
        <v>46</v>
      </c>
      <c r="U1916" s="8" t="s">
        <v>41</v>
      </c>
    </row>
    <row r="1917" spans="1:21">
      <c r="A1917" s="8" t="s">
        <v>9561</v>
      </c>
      <c r="B1917" s="8" t="s">
        <v>3000</v>
      </c>
      <c r="C1917" s="8">
        <v>50515</v>
      </c>
      <c r="D1917" s="8" t="s">
        <v>104</v>
      </c>
      <c r="E1917" s="8">
        <v>105150764</v>
      </c>
      <c r="F1917" s="8">
        <v>105150764</v>
      </c>
      <c r="G1917" s="8" t="s">
        <v>24</v>
      </c>
      <c r="H1917" s="8" t="s">
        <v>25</v>
      </c>
      <c r="I1917" s="8" t="s">
        <v>23</v>
      </c>
      <c r="J1917" s="8" t="s">
        <v>9772</v>
      </c>
      <c r="K1917" s="8" t="s">
        <v>9774</v>
      </c>
      <c r="L1917" s="8" t="s">
        <v>19</v>
      </c>
      <c r="M1917" s="8">
        <v>740</v>
      </c>
      <c r="N1917" s="8" t="s">
        <v>61</v>
      </c>
      <c r="O1917" s="8">
        <v>81</v>
      </c>
      <c r="P1917" s="8" t="s">
        <v>9773</v>
      </c>
      <c r="Q1917" s="8" t="s">
        <v>4262</v>
      </c>
      <c r="R1917" s="8">
        <v>0.33900000000000002</v>
      </c>
      <c r="S1917" s="8">
        <v>105150764</v>
      </c>
      <c r="T1917" s="8" t="s">
        <v>24</v>
      </c>
      <c r="U1917" s="8" t="s">
        <v>25</v>
      </c>
    </row>
    <row r="1918" spans="1:21">
      <c r="A1918" s="8" t="s">
        <v>9561</v>
      </c>
      <c r="B1918" s="8" t="s">
        <v>3003</v>
      </c>
      <c r="C1918" s="8">
        <v>84766</v>
      </c>
      <c r="D1918" s="8" t="s">
        <v>104</v>
      </c>
      <c r="E1918" s="8">
        <v>3736718</v>
      </c>
      <c r="F1918" s="8">
        <v>3736718</v>
      </c>
      <c r="G1918" s="8" t="s">
        <v>41</v>
      </c>
      <c r="H1918" s="8" t="s">
        <v>24</v>
      </c>
      <c r="I1918" s="8" t="s">
        <v>23</v>
      </c>
      <c r="J1918" s="8" t="s">
        <v>3004</v>
      </c>
      <c r="K1918" s="8" t="s">
        <v>9775</v>
      </c>
      <c r="L1918" s="8" t="s">
        <v>68</v>
      </c>
      <c r="M1918" s="8">
        <v>0</v>
      </c>
      <c r="N1918" s="8" t="s">
        <v>35</v>
      </c>
      <c r="O1918" s="8">
        <v>0</v>
      </c>
      <c r="P1918" s="8" t="s">
        <v>35</v>
      </c>
      <c r="Q1918" s="8" t="s">
        <v>4262</v>
      </c>
      <c r="R1918" s="8">
        <v>0.42399999999999999</v>
      </c>
      <c r="S1918" s="8">
        <v>3736718</v>
      </c>
      <c r="T1918" s="8" t="s">
        <v>41</v>
      </c>
      <c r="U1918" s="8" t="s">
        <v>24</v>
      </c>
    </row>
    <row r="1919" spans="1:21">
      <c r="A1919" s="8" t="s">
        <v>9561</v>
      </c>
      <c r="B1919" s="8" t="s">
        <v>9776</v>
      </c>
      <c r="C1919" s="8">
        <v>26278</v>
      </c>
      <c r="D1919" s="8" t="s">
        <v>339</v>
      </c>
      <c r="E1919" s="8">
        <v>23908260</v>
      </c>
      <c r="F1919" s="8">
        <v>23908260</v>
      </c>
      <c r="G1919" s="8" t="s">
        <v>46</v>
      </c>
      <c r="H1919" s="8" t="s">
        <v>24</v>
      </c>
      <c r="I1919" s="8" t="s">
        <v>23</v>
      </c>
      <c r="J1919" s="8" t="s">
        <v>9777</v>
      </c>
      <c r="K1919" s="8" t="s">
        <v>9779</v>
      </c>
      <c r="L1919" s="8" t="s">
        <v>19</v>
      </c>
      <c r="M1919" s="8">
        <v>10344</v>
      </c>
      <c r="N1919" s="8" t="s">
        <v>3887</v>
      </c>
      <c r="O1919" s="8">
        <v>3252</v>
      </c>
      <c r="P1919" s="8" t="s">
        <v>9778</v>
      </c>
      <c r="Q1919" s="8" t="s">
        <v>4262</v>
      </c>
      <c r="R1919" s="8">
        <v>0.17899999999999999</v>
      </c>
      <c r="S1919" s="8">
        <v>23908260</v>
      </c>
      <c r="T1919" s="8" t="s">
        <v>46</v>
      </c>
      <c r="U1919" s="8" t="s">
        <v>24</v>
      </c>
    </row>
    <row r="1920" spans="1:21">
      <c r="A1920" s="8" t="s">
        <v>9561</v>
      </c>
      <c r="B1920" s="8" t="s">
        <v>9780</v>
      </c>
      <c r="C1920" s="8">
        <v>219287</v>
      </c>
      <c r="D1920" s="8" t="s">
        <v>339</v>
      </c>
      <c r="E1920" s="8">
        <v>25744011</v>
      </c>
      <c r="F1920" s="8">
        <v>25744011</v>
      </c>
      <c r="G1920" s="8" t="s">
        <v>24</v>
      </c>
      <c r="H1920" s="8" t="s">
        <v>46</v>
      </c>
      <c r="I1920" s="8" t="s">
        <v>23</v>
      </c>
      <c r="J1920" s="8" t="s">
        <v>9781</v>
      </c>
      <c r="K1920" s="8" t="s">
        <v>9783</v>
      </c>
      <c r="L1920" s="8" t="s">
        <v>19</v>
      </c>
      <c r="M1920" s="8">
        <v>1847</v>
      </c>
      <c r="N1920" s="8" t="s">
        <v>667</v>
      </c>
      <c r="O1920" s="8">
        <v>583</v>
      </c>
      <c r="P1920" s="8" t="s">
        <v>9782</v>
      </c>
      <c r="Q1920" s="8" t="s">
        <v>4262</v>
      </c>
      <c r="R1920" s="8">
        <v>0.188</v>
      </c>
      <c r="S1920" s="8">
        <v>25744011</v>
      </c>
      <c r="T1920" s="8" t="s">
        <v>24</v>
      </c>
      <c r="U1920" s="8" t="s">
        <v>46</v>
      </c>
    </row>
    <row r="1921" spans="1:21">
      <c r="A1921" s="8" t="s">
        <v>9561</v>
      </c>
      <c r="B1921" s="8" t="s">
        <v>3009</v>
      </c>
      <c r="C1921" s="8">
        <v>5925</v>
      </c>
      <c r="D1921" s="8" t="s">
        <v>339</v>
      </c>
      <c r="E1921" s="8">
        <v>48951072</v>
      </c>
      <c r="F1921" s="8">
        <v>48951072</v>
      </c>
      <c r="G1921" s="8" t="s">
        <v>25</v>
      </c>
      <c r="H1921" s="8" t="s">
        <v>41</v>
      </c>
      <c r="I1921" s="8" t="s">
        <v>23</v>
      </c>
      <c r="J1921" s="8" t="s">
        <v>3010</v>
      </c>
      <c r="K1921" s="8" t="s">
        <v>9785</v>
      </c>
      <c r="L1921" s="8" t="s">
        <v>76</v>
      </c>
      <c r="M1921" s="8">
        <v>1400</v>
      </c>
      <c r="N1921" s="8" t="s">
        <v>2961</v>
      </c>
      <c r="O1921" s="8">
        <v>412</v>
      </c>
      <c r="P1921" s="8" t="s">
        <v>9784</v>
      </c>
      <c r="Q1921" s="8" t="s">
        <v>4262</v>
      </c>
      <c r="R1921" s="8">
        <v>0.70699999999999996</v>
      </c>
      <c r="S1921" s="8">
        <v>48951072</v>
      </c>
      <c r="T1921" s="8" t="s">
        <v>25</v>
      </c>
      <c r="U1921" s="8" t="s">
        <v>41</v>
      </c>
    </row>
    <row r="1922" spans="1:21">
      <c r="A1922" s="8" t="s">
        <v>9561</v>
      </c>
      <c r="B1922" s="8" t="s">
        <v>9786</v>
      </c>
      <c r="C1922" s="8">
        <v>57096</v>
      </c>
      <c r="D1922" s="8" t="s">
        <v>118</v>
      </c>
      <c r="E1922" s="8">
        <v>21793113</v>
      </c>
      <c r="F1922" s="8">
        <v>21793113</v>
      </c>
      <c r="G1922" s="8" t="s">
        <v>24</v>
      </c>
      <c r="H1922" s="8" t="s">
        <v>41</v>
      </c>
      <c r="I1922" s="8" t="s">
        <v>23</v>
      </c>
      <c r="J1922" s="8" t="s">
        <v>9787</v>
      </c>
      <c r="K1922" s="8" t="s">
        <v>9789</v>
      </c>
      <c r="L1922" s="8" t="s">
        <v>19</v>
      </c>
      <c r="M1922" s="8">
        <v>2099</v>
      </c>
      <c r="N1922" s="8" t="s">
        <v>196</v>
      </c>
      <c r="O1922" s="8">
        <v>700</v>
      </c>
      <c r="P1922" s="8" t="s">
        <v>9788</v>
      </c>
      <c r="Q1922" s="8" t="s">
        <v>4262</v>
      </c>
      <c r="R1922" s="8">
        <v>0.16300000000000001</v>
      </c>
      <c r="S1922" s="8">
        <v>21793113</v>
      </c>
      <c r="T1922" s="8" t="s">
        <v>24</v>
      </c>
      <c r="U1922" s="8" t="s">
        <v>41</v>
      </c>
    </row>
    <row r="1923" spans="1:21">
      <c r="A1923" s="8" t="s">
        <v>9561</v>
      </c>
      <c r="B1923" s="8" t="s">
        <v>695</v>
      </c>
      <c r="C1923" s="8">
        <v>8483</v>
      </c>
      <c r="D1923" s="8" t="s">
        <v>120</v>
      </c>
      <c r="E1923" s="8">
        <v>65496747</v>
      </c>
      <c r="F1923" s="8">
        <v>65496747</v>
      </c>
      <c r="G1923" s="8" t="s">
        <v>46</v>
      </c>
      <c r="H1923" s="8" t="s">
        <v>41</v>
      </c>
      <c r="I1923" s="8" t="s">
        <v>23</v>
      </c>
      <c r="J1923" s="8" t="s">
        <v>696</v>
      </c>
      <c r="K1923" s="8" t="s">
        <v>9248</v>
      </c>
      <c r="L1923" s="8" t="s">
        <v>19</v>
      </c>
      <c r="M1923" s="8">
        <v>959</v>
      </c>
      <c r="N1923" s="8" t="s">
        <v>28</v>
      </c>
      <c r="O1923" s="8">
        <v>260</v>
      </c>
      <c r="P1923" s="8" t="s">
        <v>9790</v>
      </c>
      <c r="Q1923" s="8" t="s">
        <v>4262</v>
      </c>
      <c r="R1923" s="8">
        <v>0.27300000000000002</v>
      </c>
      <c r="S1923" s="8">
        <v>65496747</v>
      </c>
      <c r="T1923" s="8" t="s">
        <v>46</v>
      </c>
      <c r="U1923" s="8" t="s">
        <v>41</v>
      </c>
    </row>
    <row r="1924" spans="1:21">
      <c r="A1924" s="8" t="s">
        <v>9561</v>
      </c>
      <c r="B1924" s="8" t="s">
        <v>3011</v>
      </c>
      <c r="C1924" s="8">
        <v>10021</v>
      </c>
      <c r="D1924" s="8" t="s">
        <v>120</v>
      </c>
      <c r="E1924" s="8">
        <v>73616167</v>
      </c>
      <c r="F1924" s="8">
        <v>73616167</v>
      </c>
      <c r="G1924" s="8" t="s">
        <v>24</v>
      </c>
      <c r="H1924" s="8" t="s">
        <v>25</v>
      </c>
      <c r="I1924" s="8" t="s">
        <v>23</v>
      </c>
      <c r="J1924" s="8" t="s">
        <v>3012</v>
      </c>
      <c r="K1924" s="8" t="s">
        <v>9792</v>
      </c>
      <c r="L1924" s="8" t="s">
        <v>19</v>
      </c>
      <c r="M1924" s="8">
        <v>3261</v>
      </c>
      <c r="N1924" s="8" t="s">
        <v>230</v>
      </c>
      <c r="O1924" s="8">
        <v>756</v>
      </c>
      <c r="P1924" s="8" t="s">
        <v>9791</v>
      </c>
      <c r="Q1924" s="8" t="s">
        <v>4262</v>
      </c>
      <c r="R1924" s="8">
        <v>0.41399999999999998</v>
      </c>
      <c r="S1924" s="8">
        <v>73616167</v>
      </c>
      <c r="T1924" s="8" t="s">
        <v>24</v>
      </c>
      <c r="U1924" s="8" t="s">
        <v>25</v>
      </c>
    </row>
    <row r="1925" spans="1:21">
      <c r="A1925" s="8" t="s">
        <v>9561</v>
      </c>
      <c r="B1925" s="8" t="s">
        <v>4016</v>
      </c>
      <c r="C1925" s="8">
        <v>170691</v>
      </c>
      <c r="D1925" s="8" t="s">
        <v>120</v>
      </c>
      <c r="E1925" s="8">
        <v>100821478</v>
      </c>
      <c r="F1925" s="8">
        <v>100821478</v>
      </c>
      <c r="G1925" s="8" t="s">
        <v>46</v>
      </c>
      <c r="H1925" s="8" t="s">
        <v>41</v>
      </c>
      <c r="I1925" s="8" t="s">
        <v>23</v>
      </c>
      <c r="J1925" s="8" t="s">
        <v>9793</v>
      </c>
      <c r="K1925" s="8" t="s">
        <v>9795</v>
      </c>
      <c r="L1925" s="8" t="s">
        <v>19</v>
      </c>
      <c r="M1925" s="8">
        <v>824</v>
      </c>
      <c r="N1925" s="8" t="s">
        <v>28</v>
      </c>
      <c r="O1925" s="8">
        <v>249</v>
      </c>
      <c r="P1925" s="8" t="s">
        <v>9794</v>
      </c>
      <c r="Q1925" s="8" t="s">
        <v>4262</v>
      </c>
      <c r="R1925" s="8">
        <v>0.215</v>
      </c>
      <c r="S1925" s="8">
        <v>100821478</v>
      </c>
      <c r="T1925" s="8" t="s">
        <v>46</v>
      </c>
      <c r="U1925" s="8" t="s">
        <v>41</v>
      </c>
    </row>
    <row r="1926" spans="1:21">
      <c r="A1926" s="8" t="s">
        <v>9561</v>
      </c>
      <c r="B1926" s="8" t="s">
        <v>3473</v>
      </c>
      <c r="C1926" s="8">
        <v>204219</v>
      </c>
      <c r="D1926" s="8" t="s">
        <v>120</v>
      </c>
      <c r="E1926" s="8">
        <v>101013140</v>
      </c>
      <c r="F1926" s="8">
        <v>101013140</v>
      </c>
      <c r="G1926" s="8" t="s">
        <v>41</v>
      </c>
      <c r="H1926" s="8" t="s">
        <v>25</v>
      </c>
      <c r="I1926" s="8" t="s">
        <v>23</v>
      </c>
      <c r="J1926" s="8" t="s">
        <v>3474</v>
      </c>
      <c r="K1926" s="8" t="s">
        <v>6198</v>
      </c>
      <c r="L1926" s="8" t="s">
        <v>19</v>
      </c>
      <c r="M1926" s="8">
        <v>1151</v>
      </c>
      <c r="N1926" s="8" t="s">
        <v>3850</v>
      </c>
      <c r="O1926" s="8">
        <v>243</v>
      </c>
      <c r="P1926" s="8" t="s">
        <v>9796</v>
      </c>
      <c r="Q1926" s="8" t="s">
        <v>4262</v>
      </c>
      <c r="R1926" s="8">
        <v>0.20699999999999999</v>
      </c>
      <c r="S1926" s="8">
        <v>101013140</v>
      </c>
      <c r="T1926" s="8" t="s">
        <v>41</v>
      </c>
      <c r="U1926" s="8" t="s">
        <v>25</v>
      </c>
    </row>
    <row r="1927" spans="1:21">
      <c r="A1927" s="8" t="s">
        <v>9561</v>
      </c>
      <c r="B1927" s="8" t="s">
        <v>1579</v>
      </c>
      <c r="C1927" s="8">
        <v>4948</v>
      </c>
      <c r="D1927" s="8" t="s">
        <v>120</v>
      </c>
      <c r="E1927" s="8">
        <v>28263683</v>
      </c>
      <c r="F1927" s="8">
        <v>28263683</v>
      </c>
      <c r="G1927" s="8" t="s">
        <v>46</v>
      </c>
      <c r="H1927" s="8" t="s">
        <v>41</v>
      </c>
      <c r="I1927" s="8" t="s">
        <v>23</v>
      </c>
      <c r="J1927" s="8" t="s">
        <v>1580</v>
      </c>
      <c r="K1927" s="8" t="s">
        <v>9798</v>
      </c>
      <c r="L1927" s="8" t="s">
        <v>19</v>
      </c>
      <c r="M1927" s="8">
        <v>777</v>
      </c>
      <c r="N1927" s="8" t="s">
        <v>171</v>
      </c>
      <c r="O1927" s="8">
        <v>223</v>
      </c>
      <c r="P1927" s="8" t="s">
        <v>9797</v>
      </c>
      <c r="Q1927" s="8" t="s">
        <v>4262</v>
      </c>
      <c r="R1927" s="8">
        <v>0.13800000000000001</v>
      </c>
      <c r="S1927" s="8">
        <v>28263683</v>
      </c>
      <c r="T1927" s="8" t="s">
        <v>46</v>
      </c>
      <c r="U1927" s="8" t="s">
        <v>41</v>
      </c>
    </row>
    <row r="1928" spans="1:21">
      <c r="A1928" s="8" t="s">
        <v>9561</v>
      </c>
      <c r="B1928" s="8" t="s">
        <v>1333</v>
      </c>
      <c r="C1928" s="8">
        <v>1009</v>
      </c>
      <c r="D1928" s="8" t="s">
        <v>129</v>
      </c>
      <c r="E1928" s="8">
        <v>64981586</v>
      </c>
      <c r="F1928" s="8">
        <v>64981586</v>
      </c>
      <c r="G1928" s="8" t="s">
        <v>25</v>
      </c>
      <c r="H1928" s="8" t="s">
        <v>46</v>
      </c>
      <c r="I1928" s="8" t="s">
        <v>23</v>
      </c>
      <c r="J1928" s="8" t="s">
        <v>1334</v>
      </c>
      <c r="K1928" s="8" t="s">
        <v>4389</v>
      </c>
      <c r="L1928" s="8" t="s">
        <v>19</v>
      </c>
      <c r="M1928" s="8">
        <v>2745</v>
      </c>
      <c r="N1928" s="8" t="s">
        <v>3013</v>
      </c>
      <c r="O1928" s="8">
        <v>771</v>
      </c>
      <c r="P1928" s="8" t="s">
        <v>9799</v>
      </c>
      <c r="Q1928" s="8" t="s">
        <v>4262</v>
      </c>
      <c r="R1928" s="8">
        <v>0.746</v>
      </c>
      <c r="S1928" s="8">
        <v>64981586</v>
      </c>
      <c r="T1928" s="8" t="s">
        <v>25</v>
      </c>
      <c r="U1928" s="8" t="s">
        <v>46</v>
      </c>
    </row>
    <row r="1929" spans="1:21">
      <c r="A1929" s="8" t="s">
        <v>9561</v>
      </c>
      <c r="B1929" s="8" t="s">
        <v>3014</v>
      </c>
      <c r="C1929" s="8">
        <v>85445</v>
      </c>
      <c r="D1929" s="8" t="s">
        <v>129</v>
      </c>
      <c r="E1929" s="8">
        <v>76528829</v>
      </c>
      <c r="F1929" s="8">
        <v>76528829</v>
      </c>
      <c r="G1929" s="8" t="s">
        <v>24</v>
      </c>
      <c r="H1929" s="8" t="s">
        <v>25</v>
      </c>
      <c r="I1929" s="8" t="s">
        <v>23</v>
      </c>
      <c r="J1929" s="8" t="s">
        <v>9800</v>
      </c>
      <c r="K1929" s="8" t="s">
        <v>9802</v>
      </c>
      <c r="L1929" s="8" t="s">
        <v>76</v>
      </c>
      <c r="M1929" s="8">
        <v>1943</v>
      </c>
      <c r="N1929" s="8" t="s">
        <v>716</v>
      </c>
      <c r="O1929" s="8">
        <v>628</v>
      </c>
      <c r="P1929" s="8" t="s">
        <v>9801</v>
      </c>
      <c r="Q1929" s="8" t="s">
        <v>4262</v>
      </c>
      <c r="R1929" s="8">
        <v>0.754</v>
      </c>
      <c r="S1929" s="8">
        <v>76528829</v>
      </c>
      <c r="T1929" s="8" t="s">
        <v>24</v>
      </c>
      <c r="U1929" s="8" t="s">
        <v>25</v>
      </c>
    </row>
    <row r="1930" spans="1:21">
      <c r="A1930" s="8" t="s">
        <v>9561</v>
      </c>
      <c r="B1930" s="8" t="s">
        <v>9803</v>
      </c>
      <c r="C1930" s="8">
        <v>10351</v>
      </c>
      <c r="D1930" s="8" t="s">
        <v>133</v>
      </c>
      <c r="E1930" s="8">
        <v>66883216</v>
      </c>
      <c r="F1930" s="8">
        <v>66883216</v>
      </c>
      <c r="G1930" s="8" t="s">
        <v>24</v>
      </c>
      <c r="H1930" s="8" t="s">
        <v>25</v>
      </c>
      <c r="I1930" s="8" t="s">
        <v>23</v>
      </c>
      <c r="J1930" s="8" t="s">
        <v>9804</v>
      </c>
      <c r="K1930" s="8" t="s">
        <v>9806</v>
      </c>
      <c r="L1930" s="8" t="s">
        <v>19</v>
      </c>
      <c r="M1930" s="8">
        <v>3430</v>
      </c>
      <c r="N1930" s="8" t="s">
        <v>309</v>
      </c>
      <c r="O1930" s="8">
        <v>1084</v>
      </c>
      <c r="P1930" s="8" t="s">
        <v>9805</v>
      </c>
      <c r="Q1930" s="8" t="s">
        <v>4262</v>
      </c>
      <c r="R1930" s="8">
        <v>0.313</v>
      </c>
      <c r="S1930" s="8">
        <v>66883216</v>
      </c>
      <c r="T1930" s="8" t="s">
        <v>24</v>
      </c>
      <c r="U1930" s="8" t="s">
        <v>25</v>
      </c>
    </row>
    <row r="1931" spans="1:21">
      <c r="A1931" s="8" t="s">
        <v>9561</v>
      </c>
      <c r="B1931" s="8" t="s">
        <v>130</v>
      </c>
      <c r="C1931" s="8">
        <v>7157</v>
      </c>
      <c r="D1931" s="8" t="s">
        <v>133</v>
      </c>
      <c r="E1931" s="8">
        <v>7577547</v>
      </c>
      <c r="F1931" s="8">
        <v>7577547</v>
      </c>
      <c r="G1931" s="8" t="s">
        <v>46</v>
      </c>
      <c r="H1931" s="8" t="s">
        <v>41</v>
      </c>
      <c r="I1931" s="8" t="s">
        <v>23</v>
      </c>
      <c r="J1931" s="8" t="s">
        <v>5804</v>
      </c>
      <c r="K1931" s="8" t="s">
        <v>5807</v>
      </c>
      <c r="L1931" s="8" t="s">
        <v>19</v>
      </c>
      <c r="M1931" s="8">
        <v>931</v>
      </c>
      <c r="N1931" s="8" t="s">
        <v>205</v>
      </c>
      <c r="O1931" s="8">
        <v>245</v>
      </c>
      <c r="P1931" s="8" t="s">
        <v>9807</v>
      </c>
      <c r="Q1931" s="8" t="s">
        <v>9808</v>
      </c>
      <c r="R1931" s="8">
        <v>7.0000000000000007E-2</v>
      </c>
      <c r="S1931" s="8">
        <v>7577547</v>
      </c>
      <c r="T1931" s="8" t="s">
        <v>46</v>
      </c>
      <c r="U1931" s="8" t="s">
        <v>41</v>
      </c>
    </row>
    <row r="1932" spans="1:21">
      <c r="A1932" s="8" t="s">
        <v>9561</v>
      </c>
      <c r="B1932" s="8" t="s">
        <v>3100</v>
      </c>
      <c r="C1932" s="8">
        <v>162394</v>
      </c>
      <c r="D1932" s="8" t="s">
        <v>133</v>
      </c>
      <c r="E1932" s="8">
        <v>33586101</v>
      </c>
      <c r="F1932" s="8">
        <v>33586101</v>
      </c>
      <c r="G1932" s="8" t="s">
        <v>25</v>
      </c>
      <c r="H1932" s="8" t="s">
        <v>46</v>
      </c>
      <c r="I1932" s="8" t="s">
        <v>23</v>
      </c>
      <c r="J1932" s="8" t="s">
        <v>3101</v>
      </c>
      <c r="K1932" s="8" t="s">
        <v>8097</v>
      </c>
      <c r="L1932" s="8" t="s">
        <v>19</v>
      </c>
      <c r="M1932" s="8">
        <v>509</v>
      </c>
      <c r="N1932" s="8" t="s">
        <v>944</v>
      </c>
      <c r="O1932" s="8">
        <v>131</v>
      </c>
      <c r="P1932" s="8" t="s">
        <v>9809</v>
      </c>
      <c r="Q1932" s="8" t="s">
        <v>4262</v>
      </c>
      <c r="R1932" s="8">
        <v>6.4000000000000001E-2</v>
      </c>
      <c r="S1932" s="8">
        <v>33586101</v>
      </c>
      <c r="T1932" s="8" t="s">
        <v>25</v>
      </c>
      <c r="U1932" s="8" t="s">
        <v>46</v>
      </c>
    </row>
    <row r="1933" spans="1:21">
      <c r="A1933" s="8" t="s">
        <v>9561</v>
      </c>
      <c r="B1933" s="8" t="s">
        <v>3709</v>
      </c>
      <c r="C1933" s="8">
        <v>7153</v>
      </c>
      <c r="D1933" s="8" t="s">
        <v>133</v>
      </c>
      <c r="E1933" s="8">
        <v>38563169</v>
      </c>
      <c r="F1933" s="8">
        <v>38563169</v>
      </c>
      <c r="G1933" s="8" t="s">
        <v>46</v>
      </c>
      <c r="H1933" s="8" t="s">
        <v>41</v>
      </c>
      <c r="I1933" s="8" t="s">
        <v>23</v>
      </c>
      <c r="J1933" s="8" t="s">
        <v>3710</v>
      </c>
      <c r="K1933" s="8" t="s">
        <v>5375</v>
      </c>
      <c r="L1933" s="8" t="s">
        <v>19</v>
      </c>
      <c r="M1933" s="8">
        <v>1811</v>
      </c>
      <c r="N1933" s="8" t="s">
        <v>205</v>
      </c>
      <c r="O1933" s="8">
        <v>551</v>
      </c>
      <c r="P1933" s="8" t="s">
        <v>9810</v>
      </c>
      <c r="Q1933" s="8" t="s">
        <v>4262</v>
      </c>
      <c r="R1933" s="8">
        <v>0.107</v>
      </c>
      <c r="S1933" s="8">
        <v>38563169</v>
      </c>
      <c r="T1933" s="8" t="s">
        <v>46</v>
      </c>
      <c r="U1933" s="8" t="s">
        <v>41</v>
      </c>
    </row>
    <row r="1934" spans="1:21">
      <c r="A1934" s="8" t="s">
        <v>9561</v>
      </c>
      <c r="B1934" s="8" t="s">
        <v>9811</v>
      </c>
      <c r="C1934" s="8">
        <v>65266</v>
      </c>
      <c r="D1934" s="8" t="s">
        <v>133</v>
      </c>
      <c r="E1934" s="8">
        <v>40933156</v>
      </c>
      <c r="F1934" s="8">
        <v>40933156</v>
      </c>
      <c r="G1934" s="8" t="s">
        <v>46</v>
      </c>
      <c r="H1934" s="8" t="s">
        <v>24</v>
      </c>
      <c r="I1934" s="8" t="s">
        <v>23</v>
      </c>
      <c r="J1934" s="8" t="s">
        <v>9812</v>
      </c>
      <c r="K1934" s="8" t="s">
        <v>9814</v>
      </c>
      <c r="L1934" s="8" t="s">
        <v>19</v>
      </c>
      <c r="M1934" s="8">
        <v>508</v>
      </c>
      <c r="N1934" s="8" t="s">
        <v>478</v>
      </c>
      <c r="O1934" s="8">
        <v>147</v>
      </c>
      <c r="P1934" s="8" t="s">
        <v>9813</v>
      </c>
      <c r="Q1934" s="8" t="s">
        <v>4262</v>
      </c>
      <c r="R1934" s="8">
        <v>0.41499999999999998</v>
      </c>
      <c r="S1934" s="8">
        <v>40933156</v>
      </c>
      <c r="T1934" s="8" t="s">
        <v>46</v>
      </c>
      <c r="U1934" s="8" t="s">
        <v>24</v>
      </c>
    </row>
    <row r="1935" spans="1:21">
      <c r="A1935" s="8" t="s">
        <v>9561</v>
      </c>
      <c r="B1935" s="8" t="s">
        <v>476</v>
      </c>
      <c r="C1935" s="8">
        <v>28316</v>
      </c>
      <c r="D1935" s="8" t="s">
        <v>135</v>
      </c>
      <c r="E1935" s="8">
        <v>59157952</v>
      </c>
      <c r="F1935" s="8">
        <v>59157952</v>
      </c>
      <c r="G1935" s="8" t="s">
        <v>46</v>
      </c>
      <c r="H1935" s="8" t="s">
        <v>41</v>
      </c>
      <c r="I1935" s="8" t="s">
        <v>23</v>
      </c>
      <c r="J1935" s="8" t="s">
        <v>477</v>
      </c>
      <c r="K1935" s="8" t="s">
        <v>9816</v>
      </c>
      <c r="L1935" s="8" t="s">
        <v>19</v>
      </c>
      <c r="M1935" s="8">
        <v>178</v>
      </c>
      <c r="N1935" s="8" t="s">
        <v>92</v>
      </c>
      <c r="O1935" s="8">
        <v>56</v>
      </c>
      <c r="P1935" s="8" t="s">
        <v>9815</v>
      </c>
      <c r="Q1935" s="8" t="s">
        <v>4262</v>
      </c>
      <c r="R1935" s="8">
        <v>0.11600000000000001</v>
      </c>
      <c r="S1935" s="8">
        <v>59157952</v>
      </c>
      <c r="T1935" s="8" t="s">
        <v>46</v>
      </c>
      <c r="U1935" s="8" t="s">
        <v>41</v>
      </c>
    </row>
    <row r="1936" spans="1:21">
      <c r="A1936" s="8" t="s">
        <v>9561</v>
      </c>
      <c r="B1936" s="8" t="s">
        <v>9817</v>
      </c>
      <c r="C1936" s="8">
        <v>57614</v>
      </c>
      <c r="D1936" s="8" t="s">
        <v>135</v>
      </c>
      <c r="E1936" s="8">
        <v>59949669</v>
      </c>
      <c r="F1936" s="8">
        <v>59949669</v>
      </c>
      <c r="G1936" s="8" t="s">
        <v>24</v>
      </c>
      <c r="H1936" s="8" t="s">
        <v>25</v>
      </c>
      <c r="I1936" s="8" t="s">
        <v>23</v>
      </c>
      <c r="J1936" s="8" t="s">
        <v>9818</v>
      </c>
      <c r="K1936" s="8" t="s">
        <v>9820</v>
      </c>
      <c r="L1936" s="8" t="s">
        <v>19</v>
      </c>
      <c r="M1936" s="8">
        <v>3460</v>
      </c>
      <c r="N1936" s="8" t="s">
        <v>577</v>
      </c>
      <c r="O1936" s="8">
        <v>1082</v>
      </c>
      <c r="P1936" s="8" t="s">
        <v>9819</v>
      </c>
      <c r="Q1936" s="8" t="s">
        <v>4262</v>
      </c>
      <c r="R1936" s="8">
        <v>3.5000000000000003E-2</v>
      </c>
      <c r="S1936" s="8">
        <v>59949669</v>
      </c>
      <c r="T1936" s="8" t="s">
        <v>24</v>
      </c>
      <c r="U1936" s="8" t="s">
        <v>25</v>
      </c>
    </row>
    <row r="1937" spans="1:21">
      <c r="A1937" s="8" t="s">
        <v>9561</v>
      </c>
      <c r="B1937" s="8" t="s">
        <v>9821</v>
      </c>
      <c r="C1937" s="8">
        <v>25800</v>
      </c>
      <c r="D1937" s="8" t="s">
        <v>135</v>
      </c>
      <c r="E1937" s="8">
        <v>33696640</v>
      </c>
      <c r="F1937" s="8">
        <v>33696640</v>
      </c>
      <c r="G1937" s="8" t="s">
        <v>46</v>
      </c>
      <c r="H1937" s="8" t="s">
        <v>25</v>
      </c>
      <c r="I1937" s="8" t="s">
        <v>23</v>
      </c>
      <c r="J1937" s="8" t="s">
        <v>9822</v>
      </c>
      <c r="K1937" s="8" t="s">
        <v>9824</v>
      </c>
      <c r="L1937" s="8" t="s">
        <v>19</v>
      </c>
      <c r="M1937" s="8">
        <v>1752</v>
      </c>
      <c r="N1937" s="8" t="s">
        <v>883</v>
      </c>
      <c r="O1937" s="8">
        <v>488</v>
      </c>
      <c r="P1937" s="8" t="s">
        <v>9823</v>
      </c>
      <c r="Q1937" s="8" t="s">
        <v>4262</v>
      </c>
      <c r="R1937" s="8">
        <v>0.31</v>
      </c>
      <c r="S1937" s="8">
        <v>33696640</v>
      </c>
      <c r="T1937" s="8" t="s">
        <v>46</v>
      </c>
      <c r="U1937" s="8" t="s">
        <v>25</v>
      </c>
    </row>
    <row r="1938" spans="1:21">
      <c r="A1938" s="8" t="s">
        <v>9561</v>
      </c>
      <c r="B1938" s="8" t="s">
        <v>167</v>
      </c>
      <c r="C1938" s="8">
        <v>2015</v>
      </c>
      <c r="D1938" s="8" t="s">
        <v>139</v>
      </c>
      <c r="E1938" s="8">
        <v>6903910</v>
      </c>
      <c r="F1938" s="8">
        <v>6903910</v>
      </c>
      <c r="G1938" s="8" t="s">
        <v>24</v>
      </c>
      <c r="H1938" s="8" t="s">
        <v>41</v>
      </c>
      <c r="I1938" s="8" t="s">
        <v>23</v>
      </c>
      <c r="J1938" s="8" t="s">
        <v>168</v>
      </c>
      <c r="K1938" s="8" t="s">
        <v>9826</v>
      </c>
      <c r="L1938" s="8" t="s">
        <v>19</v>
      </c>
      <c r="M1938" s="8">
        <v>789</v>
      </c>
      <c r="N1938" s="8" t="s">
        <v>124</v>
      </c>
      <c r="O1938" s="8">
        <v>251</v>
      </c>
      <c r="P1938" s="8" t="s">
        <v>9825</v>
      </c>
      <c r="Q1938" s="8" t="s">
        <v>4262</v>
      </c>
      <c r="R1938" s="8">
        <v>0.34699999999999998</v>
      </c>
      <c r="S1938" s="8">
        <v>6903910</v>
      </c>
      <c r="T1938" s="8" t="s">
        <v>24</v>
      </c>
      <c r="U1938" s="8" t="s">
        <v>41</v>
      </c>
    </row>
    <row r="1939" spans="1:21">
      <c r="A1939" s="8" t="s">
        <v>9561</v>
      </c>
      <c r="B1939" s="8" t="s">
        <v>7698</v>
      </c>
      <c r="C1939" s="8">
        <v>57662</v>
      </c>
      <c r="D1939" s="8" t="s">
        <v>139</v>
      </c>
      <c r="E1939" s="8">
        <v>7682471</v>
      </c>
      <c r="F1939" s="8">
        <v>7682471</v>
      </c>
      <c r="G1939" s="8" t="s">
        <v>41</v>
      </c>
      <c r="H1939" s="8" t="s">
        <v>46</v>
      </c>
      <c r="I1939" s="8" t="s">
        <v>23</v>
      </c>
      <c r="J1939" s="8" t="s">
        <v>7699</v>
      </c>
      <c r="K1939" s="8" t="s">
        <v>7701</v>
      </c>
      <c r="L1939" s="8" t="s">
        <v>19</v>
      </c>
      <c r="M1939" s="8">
        <v>3550</v>
      </c>
      <c r="N1939" s="8" t="s">
        <v>3029</v>
      </c>
      <c r="O1939" s="8">
        <v>1150</v>
      </c>
      <c r="P1939" s="8" t="s">
        <v>9827</v>
      </c>
      <c r="Q1939" s="8" t="s">
        <v>4262</v>
      </c>
      <c r="R1939" s="8">
        <v>0.29599999999999999</v>
      </c>
      <c r="S1939" s="8">
        <v>7682471</v>
      </c>
      <c r="T1939" s="8" t="s">
        <v>41</v>
      </c>
      <c r="U1939" s="8" t="s">
        <v>46</v>
      </c>
    </row>
    <row r="1940" spans="1:21">
      <c r="A1940" s="8" t="s">
        <v>9561</v>
      </c>
      <c r="B1940" s="8" t="s">
        <v>3015</v>
      </c>
      <c r="C1940" s="8">
        <v>58509</v>
      </c>
      <c r="D1940" s="8" t="s">
        <v>139</v>
      </c>
      <c r="E1940" s="8">
        <v>3612358</v>
      </c>
      <c r="F1940" s="8">
        <v>3612358</v>
      </c>
      <c r="G1940" s="8" t="s">
        <v>41</v>
      </c>
      <c r="H1940" s="8" t="s">
        <v>46</v>
      </c>
      <c r="I1940" s="8" t="s">
        <v>23</v>
      </c>
      <c r="J1940" s="8" t="s">
        <v>9828</v>
      </c>
      <c r="K1940" s="8" t="s">
        <v>9830</v>
      </c>
      <c r="L1940" s="8" t="s">
        <v>19</v>
      </c>
      <c r="M1940" s="8">
        <v>1893</v>
      </c>
      <c r="N1940" s="8" t="s">
        <v>974</v>
      </c>
      <c r="O1940" s="8">
        <v>614</v>
      </c>
      <c r="P1940" s="8" t="s">
        <v>9829</v>
      </c>
      <c r="Q1940" s="8" t="s">
        <v>4262</v>
      </c>
      <c r="R1940" s="8">
        <v>0.41699999999999998</v>
      </c>
      <c r="S1940" s="8">
        <v>3612358</v>
      </c>
      <c r="T1940" s="8" t="s">
        <v>41</v>
      </c>
      <c r="U1940" s="8" t="s">
        <v>46</v>
      </c>
    </row>
    <row r="1941" spans="1:21">
      <c r="A1941" s="8" t="s">
        <v>9561</v>
      </c>
      <c r="B1941" s="8" t="s">
        <v>9831</v>
      </c>
      <c r="C1941" s="8">
        <v>83743</v>
      </c>
      <c r="D1941" s="8" t="s">
        <v>139</v>
      </c>
      <c r="E1941" s="8">
        <v>48954321</v>
      </c>
      <c r="F1941" s="8">
        <v>48954321</v>
      </c>
      <c r="G1941" s="8" t="s">
        <v>25</v>
      </c>
      <c r="H1941" s="8" t="s">
        <v>24</v>
      </c>
      <c r="I1941" s="8" t="s">
        <v>23</v>
      </c>
      <c r="J1941" s="8" t="s">
        <v>9832</v>
      </c>
      <c r="K1941" s="8" t="s">
        <v>9834</v>
      </c>
      <c r="L1941" s="8" t="s">
        <v>19</v>
      </c>
      <c r="M1941" s="8">
        <v>1089</v>
      </c>
      <c r="N1941" s="8" t="s">
        <v>673</v>
      </c>
      <c r="O1941" s="8">
        <v>286</v>
      </c>
      <c r="P1941" s="8" t="s">
        <v>9833</v>
      </c>
      <c r="Q1941" s="8" t="s">
        <v>4262</v>
      </c>
      <c r="R1941" s="8">
        <v>0.311</v>
      </c>
      <c r="S1941" s="8">
        <v>48954321</v>
      </c>
      <c r="T1941" s="8" t="s">
        <v>25</v>
      </c>
      <c r="U1941" s="8" t="s">
        <v>24</v>
      </c>
    </row>
    <row r="1942" spans="1:21">
      <c r="A1942" s="8" t="s">
        <v>9561</v>
      </c>
      <c r="B1942" s="8" t="s">
        <v>3023</v>
      </c>
      <c r="C1942" s="8">
        <v>140731</v>
      </c>
      <c r="D1942" s="8" t="s">
        <v>188</v>
      </c>
      <c r="E1942" s="8">
        <v>56796481</v>
      </c>
      <c r="F1942" s="8">
        <v>56796481</v>
      </c>
      <c r="G1942" s="8" t="s">
        <v>24</v>
      </c>
      <c r="H1942" s="8" t="s">
        <v>25</v>
      </c>
      <c r="I1942" s="8" t="s">
        <v>23</v>
      </c>
      <c r="J1942" s="8" t="s">
        <v>9835</v>
      </c>
      <c r="K1942" s="8" t="s">
        <v>9837</v>
      </c>
      <c r="L1942" s="8" t="s">
        <v>19</v>
      </c>
      <c r="M1942" s="8">
        <v>808</v>
      </c>
      <c r="N1942" s="8" t="s">
        <v>504</v>
      </c>
      <c r="O1942" s="8">
        <v>270</v>
      </c>
      <c r="P1942" s="8" t="s">
        <v>9836</v>
      </c>
      <c r="Q1942" s="8" t="s">
        <v>4262</v>
      </c>
      <c r="R1942" s="8">
        <v>0.36299999999999999</v>
      </c>
      <c r="S1942" s="8">
        <v>56796481</v>
      </c>
      <c r="T1942" s="8" t="s">
        <v>24</v>
      </c>
      <c r="U1942" s="8" t="s">
        <v>25</v>
      </c>
    </row>
    <row r="1943" spans="1:21">
      <c r="A1943" s="8" t="s">
        <v>9561</v>
      </c>
      <c r="B1943" s="8" t="s">
        <v>3021</v>
      </c>
      <c r="C1943" s="8">
        <v>79953</v>
      </c>
      <c r="D1943" s="8" t="s">
        <v>188</v>
      </c>
      <c r="E1943" s="8">
        <v>24523815</v>
      </c>
      <c r="F1943" s="8">
        <v>24523815</v>
      </c>
      <c r="G1943" s="8" t="s">
        <v>25</v>
      </c>
      <c r="H1943" s="8" t="s">
        <v>24</v>
      </c>
      <c r="I1943" s="8" t="s">
        <v>23</v>
      </c>
      <c r="J1943" s="8" t="s">
        <v>3022</v>
      </c>
      <c r="K1943" s="8" t="s">
        <v>9839</v>
      </c>
      <c r="L1943" s="8" t="s">
        <v>19</v>
      </c>
      <c r="M1943" s="8">
        <v>715</v>
      </c>
      <c r="N1943" s="8" t="s">
        <v>283</v>
      </c>
      <c r="O1943" s="8">
        <v>28</v>
      </c>
      <c r="P1943" s="8" t="s">
        <v>9838</v>
      </c>
      <c r="Q1943" s="8" t="s">
        <v>4262</v>
      </c>
      <c r="R1943" s="8">
        <v>0.36099999999999999</v>
      </c>
      <c r="S1943" s="8">
        <v>24523815</v>
      </c>
      <c r="T1943" s="8" t="s">
        <v>25</v>
      </c>
      <c r="U1943" s="8" t="s">
        <v>24</v>
      </c>
    </row>
    <row r="1944" spans="1:21">
      <c r="A1944" s="8" t="s">
        <v>9561</v>
      </c>
      <c r="B1944" s="8" t="s">
        <v>501</v>
      </c>
      <c r="C1944" s="8">
        <v>23051</v>
      </c>
      <c r="D1944" s="8" t="s">
        <v>188</v>
      </c>
      <c r="E1944" s="8">
        <v>39833204</v>
      </c>
      <c r="F1944" s="8">
        <v>39833204</v>
      </c>
      <c r="G1944" s="8" t="s">
        <v>24</v>
      </c>
      <c r="H1944" s="8" t="s">
        <v>41</v>
      </c>
      <c r="I1944" s="8" t="s">
        <v>23</v>
      </c>
      <c r="J1944" s="8" t="s">
        <v>502</v>
      </c>
      <c r="K1944" s="8" t="s">
        <v>9841</v>
      </c>
      <c r="L1944" s="8" t="s">
        <v>19</v>
      </c>
      <c r="M1944" s="8">
        <v>731</v>
      </c>
      <c r="N1944" s="8" t="s">
        <v>1617</v>
      </c>
      <c r="O1944" s="8">
        <v>118</v>
      </c>
      <c r="P1944" s="8" t="s">
        <v>9840</v>
      </c>
      <c r="Q1944" s="8" t="s">
        <v>4262</v>
      </c>
      <c r="R1944" s="8">
        <v>0.36699999999999999</v>
      </c>
      <c r="S1944" s="8">
        <v>39833204</v>
      </c>
      <c r="T1944" s="8" t="s">
        <v>24</v>
      </c>
      <c r="U1944" s="8" t="s">
        <v>41</v>
      </c>
    </row>
    <row r="1945" spans="1:21">
      <c r="A1945" s="8" t="s">
        <v>9561</v>
      </c>
      <c r="B1945" s="8" t="s">
        <v>2235</v>
      </c>
      <c r="C1945" s="8">
        <v>387522</v>
      </c>
      <c r="D1945" s="8" t="s">
        <v>188</v>
      </c>
      <c r="E1945" s="8">
        <v>48713342</v>
      </c>
      <c r="F1945" s="8">
        <v>48713342</v>
      </c>
      <c r="G1945" s="8" t="s">
        <v>46</v>
      </c>
      <c r="H1945" s="8" t="s">
        <v>25</v>
      </c>
      <c r="I1945" s="8" t="s">
        <v>23</v>
      </c>
      <c r="J1945" s="8" t="s">
        <v>9842</v>
      </c>
      <c r="K1945" s="8" t="s">
        <v>9845</v>
      </c>
      <c r="L1945" s="8" t="s">
        <v>19</v>
      </c>
      <c r="M1945" s="8">
        <v>868</v>
      </c>
      <c r="N1945" s="8" t="s">
        <v>1288</v>
      </c>
      <c r="O1945" s="8">
        <v>236</v>
      </c>
      <c r="P1945" s="8" t="s">
        <v>9843</v>
      </c>
      <c r="Q1945" s="8" t="s">
        <v>9844</v>
      </c>
      <c r="R1945" s="8">
        <v>0.38</v>
      </c>
      <c r="S1945" s="8">
        <v>48713342</v>
      </c>
      <c r="T1945" s="8" t="s">
        <v>46</v>
      </c>
      <c r="U1945" s="8" t="s">
        <v>25</v>
      </c>
    </row>
    <row r="1946" spans="1:21">
      <c r="A1946" s="8" t="s">
        <v>9561</v>
      </c>
      <c r="B1946" s="8" t="s">
        <v>9846</v>
      </c>
      <c r="C1946" s="8">
        <v>643803</v>
      </c>
      <c r="D1946" s="8" t="s">
        <v>193</v>
      </c>
      <c r="E1946" s="8">
        <v>31654596</v>
      </c>
      <c r="F1946" s="8">
        <v>31654596</v>
      </c>
      <c r="G1946" s="8" t="s">
        <v>24</v>
      </c>
      <c r="H1946" s="8" t="s">
        <v>25</v>
      </c>
      <c r="I1946" s="8" t="s">
        <v>23</v>
      </c>
      <c r="J1946" s="8" t="s">
        <v>9847</v>
      </c>
      <c r="K1946" s="8" t="s">
        <v>9849</v>
      </c>
      <c r="L1946" s="8" t="s">
        <v>76</v>
      </c>
      <c r="M1946" s="8">
        <v>681</v>
      </c>
      <c r="N1946" s="8" t="s">
        <v>103</v>
      </c>
      <c r="O1946" s="8">
        <v>219</v>
      </c>
      <c r="P1946" s="8" t="s">
        <v>9848</v>
      </c>
      <c r="Q1946" s="8" t="s">
        <v>4262</v>
      </c>
      <c r="R1946" s="8">
        <v>3.7999999999999999E-2</v>
      </c>
      <c r="S1946" s="8">
        <v>31654596</v>
      </c>
      <c r="T1946" s="8" t="s">
        <v>24</v>
      </c>
      <c r="U1946" s="8" t="s">
        <v>25</v>
      </c>
    </row>
    <row r="1947" spans="1:21">
      <c r="A1947" s="8" t="s">
        <v>9561</v>
      </c>
      <c r="B1947" s="8" t="s">
        <v>2652</v>
      </c>
      <c r="C1947" s="8">
        <v>23515</v>
      </c>
      <c r="D1947" s="8" t="s">
        <v>193</v>
      </c>
      <c r="E1947" s="8">
        <v>37711075</v>
      </c>
      <c r="F1947" s="8">
        <v>37711075</v>
      </c>
      <c r="G1947" s="8" t="s">
        <v>25</v>
      </c>
      <c r="H1947" s="8" t="s">
        <v>24</v>
      </c>
      <c r="I1947" s="8" t="s">
        <v>23</v>
      </c>
      <c r="J1947" s="8" t="s">
        <v>2653</v>
      </c>
      <c r="K1947" s="8" t="s">
        <v>5240</v>
      </c>
      <c r="L1947" s="8" t="s">
        <v>19</v>
      </c>
      <c r="M1947" s="8">
        <v>540</v>
      </c>
      <c r="N1947" s="8" t="s">
        <v>386</v>
      </c>
      <c r="O1947" s="8">
        <v>155</v>
      </c>
      <c r="P1947" s="8" t="s">
        <v>9850</v>
      </c>
      <c r="Q1947" s="8" t="s">
        <v>4262</v>
      </c>
      <c r="R1947" s="8">
        <v>0.49</v>
      </c>
      <c r="S1947" s="8">
        <v>37711075</v>
      </c>
      <c r="T1947" s="8" t="s">
        <v>25</v>
      </c>
      <c r="U1947" s="8" t="s">
        <v>24</v>
      </c>
    </row>
    <row r="1948" spans="1:21">
      <c r="A1948" s="8" t="s">
        <v>9561</v>
      </c>
      <c r="B1948" s="8" t="s">
        <v>9851</v>
      </c>
      <c r="C1948" s="8">
        <v>5116</v>
      </c>
      <c r="D1948" s="8" t="s">
        <v>193</v>
      </c>
      <c r="E1948" s="8">
        <v>47836316</v>
      </c>
      <c r="F1948" s="8">
        <v>47836316</v>
      </c>
      <c r="G1948" s="8" t="s">
        <v>24</v>
      </c>
      <c r="H1948" s="8" t="s">
        <v>46</v>
      </c>
      <c r="I1948" s="8" t="s">
        <v>23</v>
      </c>
      <c r="J1948" s="8" t="s">
        <v>9852</v>
      </c>
      <c r="K1948" s="8" t="s">
        <v>9854</v>
      </c>
      <c r="L1948" s="8" t="s">
        <v>19</v>
      </c>
      <c r="M1948" s="8">
        <v>6591</v>
      </c>
      <c r="N1948" s="8" t="s">
        <v>9855</v>
      </c>
      <c r="O1948" s="8">
        <v>2162</v>
      </c>
      <c r="P1948" s="8" t="s">
        <v>9853</v>
      </c>
      <c r="Q1948" s="8" t="s">
        <v>4262</v>
      </c>
      <c r="R1948" s="8">
        <v>0.307</v>
      </c>
      <c r="S1948" s="8">
        <v>47836316</v>
      </c>
      <c r="T1948" s="8" t="s">
        <v>24</v>
      </c>
      <c r="U1948" s="8" t="s">
        <v>46</v>
      </c>
    </row>
    <row r="1949" spans="1:21">
      <c r="A1949" s="8" t="s">
        <v>9561</v>
      </c>
      <c r="B1949" s="8" t="s">
        <v>3024</v>
      </c>
      <c r="C1949" s="8">
        <v>9997</v>
      </c>
      <c r="D1949" s="8" t="s">
        <v>197</v>
      </c>
      <c r="E1949" s="8">
        <v>50962080</v>
      </c>
      <c r="F1949" s="8">
        <v>50962080</v>
      </c>
      <c r="G1949" s="8" t="s">
        <v>25</v>
      </c>
      <c r="H1949" s="8" t="s">
        <v>24</v>
      </c>
      <c r="I1949" s="8" t="s">
        <v>23</v>
      </c>
      <c r="J1949" s="8" t="s">
        <v>9856</v>
      </c>
      <c r="K1949" s="8" t="s">
        <v>9858</v>
      </c>
      <c r="L1949" s="8" t="s">
        <v>19</v>
      </c>
      <c r="M1949" s="8">
        <v>937</v>
      </c>
      <c r="N1949" s="8" t="s">
        <v>3025</v>
      </c>
      <c r="O1949" s="8">
        <v>254</v>
      </c>
      <c r="P1949" s="8" t="s">
        <v>9857</v>
      </c>
      <c r="Q1949" s="8" t="s">
        <v>4262</v>
      </c>
      <c r="R1949" s="8">
        <v>0.38300000000000001</v>
      </c>
      <c r="S1949" s="8">
        <v>50962080</v>
      </c>
      <c r="T1949" s="8" t="s">
        <v>25</v>
      </c>
      <c r="U1949" s="8" t="s">
        <v>24</v>
      </c>
    </row>
    <row r="1950" spans="1:21">
      <c r="A1950" s="8" t="s">
        <v>9561</v>
      </c>
      <c r="B1950" s="8" t="s">
        <v>9859</v>
      </c>
      <c r="C1950" s="8">
        <v>415</v>
      </c>
      <c r="D1950" s="8" t="s">
        <v>418</v>
      </c>
      <c r="E1950" s="8">
        <v>2876358</v>
      </c>
      <c r="F1950" s="8">
        <v>2876358</v>
      </c>
      <c r="G1950" s="8" t="s">
        <v>24</v>
      </c>
      <c r="H1950" s="8" t="s">
        <v>41</v>
      </c>
      <c r="I1950" s="8" t="s">
        <v>23</v>
      </c>
      <c r="J1950" s="8" t="s">
        <v>9860</v>
      </c>
      <c r="K1950" s="8" t="s">
        <v>9862</v>
      </c>
      <c r="L1950" s="8" t="s">
        <v>19</v>
      </c>
      <c r="M1950" s="8">
        <v>392</v>
      </c>
      <c r="N1950" s="8" t="s">
        <v>983</v>
      </c>
      <c r="O1950" s="8">
        <v>48</v>
      </c>
      <c r="P1950" s="8" t="s">
        <v>9861</v>
      </c>
      <c r="Q1950" s="8" t="s">
        <v>4262</v>
      </c>
      <c r="R1950" s="8">
        <v>0.27300000000000002</v>
      </c>
      <c r="S1950" s="8">
        <v>2876358</v>
      </c>
      <c r="T1950" s="8" t="s">
        <v>24</v>
      </c>
      <c r="U1950" s="8" t="s">
        <v>41</v>
      </c>
    </row>
    <row r="1951" spans="1:21">
      <c r="A1951" s="8" t="s">
        <v>9561</v>
      </c>
      <c r="B1951" s="8" t="s">
        <v>3042</v>
      </c>
      <c r="C1951" s="8">
        <v>10013</v>
      </c>
      <c r="D1951" s="8" t="s">
        <v>418</v>
      </c>
      <c r="E1951" s="8">
        <v>48682953</v>
      </c>
      <c r="F1951" s="8">
        <v>48682953</v>
      </c>
      <c r="G1951" s="8" t="s">
        <v>24</v>
      </c>
      <c r="H1951" s="8" t="s">
        <v>25</v>
      </c>
      <c r="I1951" s="8" t="s">
        <v>23</v>
      </c>
      <c r="J1951" s="8" t="s">
        <v>3043</v>
      </c>
      <c r="K1951" s="8" t="s">
        <v>9863</v>
      </c>
      <c r="L1951" s="8" t="s">
        <v>68</v>
      </c>
      <c r="M1951" s="8">
        <v>0</v>
      </c>
      <c r="N1951" s="8" t="s">
        <v>35</v>
      </c>
      <c r="O1951" s="8">
        <v>0</v>
      </c>
      <c r="P1951" s="8" t="s">
        <v>35</v>
      </c>
      <c r="Q1951" s="8" t="s">
        <v>4262</v>
      </c>
      <c r="R1951" s="8">
        <v>0.78300000000000003</v>
      </c>
      <c r="S1951" s="8">
        <v>48682953</v>
      </c>
      <c r="T1951" s="8" t="s">
        <v>24</v>
      </c>
      <c r="U1951" s="8" t="s">
        <v>25</v>
      </c>
    </row>
    <row r="1952" spans="1:21">
      <c r="A1952" s="8" t="s">
        <v>9865</v>
      </c>
      <c r="B1952" s="8" t="s">
        <v>2369</v>
      </c>
      <c r="C1952" s="8">
        <v>6708</v>
      </c>
      <c r="D1952" s="8" t="s">
        <v>22</v>
      </c>
      <c r="E1952" s="8">
        <v>158590004</v>
      </c>
      <c r="F1952" s="8">
        <v>158590004</v>
      </c>
      <c r="G1952" s="8" t="s">
        <v>46</v>
      </c>
      <c r="H1952" s="8" t="s">
        <v>25</v>
      </c>
      <c r="I1952" s="8" t="s">
        <v>23</v>
      </c>
      <c r="J1952" s="8" t="s">
        <v>2370</v>
      </c>
      <c r="K1952" s="8" t="s">
        <v>6803</v>
      </c>
      <c r="L1952" s="8" t="s">
        <v>76</v>
      </c>
      <c r="M1952" s="8">
        <v>6572</v>
      </c>
      <c r="N1952" s="8" t="s">
        <v>263</v>
      </c>
      <c r="O1952" s="8">
        <v>2125</v>
      </c>
      <c r="P1952" s="8" t="s">
        <v>9864</v>
      </c>
      <c r="Q1952" s="8" t="s">
        <v>4262</v>
      </c>
      <c r="R1952" s="8">
        <v>0.311</v>
      </c>
      <c r="S1952" s="8">
        <v>158590004</v>
      </c>
      <c r="T1952" s="8" t="s">
        <v>46</v>
      </c>
      <c r="U1952" s="8" t="s">
        <v>25</v>
      </c>
    </row>
    <row r="1953" spans="1:21">
      <c r="A1953" s="8" t="s">
        <v>9865</v>
      </c>
      <c r="B1953" s="8" t="s">
        <v>9866</v>
      </c>
      <c r="C1953" s="8">
        <v>651</v>
      </c>
      <c r="D1953" s="8" t="s">
        <v>220</v>
      </c>
      <c r="E1953" s="8">
        <v>81967245</v>
      </c>
      <c r="F1953" s="8">
        <v>81967245</v>
      </c>
      <c r="G1953" s="8" t="s">
        <v>25</v>
      </c>
      <c r="H1953" s="8" t="s">
        <v>24</v>
      </c>
      <c r="I1953" s="8" t="s">
        <v>23</v>
      </c>
      <c r="J1953" s="8" t="s">
        <v>9867</v>
      </c>
      <c r="K1953" s="8" t="s">
        <v>9869</v>
      </c>
      <c r="L1953" s="8" t="s">
        <v>19</v>
      </c>
      <c r="M1953" s="8">
        <v>990</v>
      </c>
      <c r="N1953" s="8" t="s">
        <v>5485</v>
      </c>
      <c r="O1953" s="8">
        <v>224</v>
      </c>
      <c r="P1953" s="8" t="s">
        <v>9868</v>
      </c>
      <c r="Q1953" s="8" t="s">
        <v>4262</v>
      </c>
      <c r="R1953" s="8">
        <v>8.3000000000000004E-2</v>
      </c>
      <c r="S1953" s="8">
        <v>81967245</v>
      </c>
      <c r="T1953" s="8" t="s">
        <v>25</v>
      </c>
      <c r="U1953" s="8" t="s">
        <v>24</v>
      </c>
    </row>
    <row r="1954" spans="1:21">
      <c r="A1954" s="8" t="s">
        <v>9865</v>
      </c>
      <c r="B1954" s="8" t="s">
        <v>3323</v>
      </c>
      <c r="C1954" s="8">
        <v>4986</v>
      </c>
      <c r="D1954" s="8" t="s">
        <v>279</v>
      </c>
      <c r="E1954" s="8">
        <v>54142179</v>
      </c>
      <c r="F1954" s="8">
        <v>54142179</v>
      </c>
      <c r="G1954" s="8" t="s">
        <v>46</v>
      </c>
      <c r="H1954" s="8" t="s">
        <v>25</v>
      </c>
      <c r="I1954" s="8" t="s">
        <v>23</v>
      </c>
      <c r="J1954" s="8" t="s">
        <v>3324</v>
      </c>
      <c r="K1954" s="8" t="s">
        <v>9871</v>
      </c>
      <c r="L1954" s="8" t="s">
        <v>19</v>
      </c>
      <c r="M1954" s="8">
        <v>1056</v>
      </c>
      <c r="N1954" s="8" t="s">
        <v>185</v>
      </c>
      <c r="O1954" s="8">
        <v>274</v>
      </c>
      <c r="P1954" s="8" t="s">
        <v>9870</v>
      </c>
      <c r="Q1954" s="8" t="s">
        <v>4262</v>
      </c>
      <c r="R1954" s="8">
        <v>0.41699999999999998</v>
      </c>
      <c r="S1954" s="8">
        <v>54142179</v>
      </c>
      <c r="T1954" s="8" t="s">
        <v>46</v>
      </c>
      <c r="U1954" s="8" t="s">
        <v>25</v>
      </c>
    </row>
    <row r="1955" spans="1:21">
      <c r="A1955" s="8" t="s">
        <v>9865</v>
      </c>
      <c r="B1955" s="8" t="s">
        <v>9872</v>
      </c>
      <c r="C1955" s="8">
        <v>55231</v>
      </c>
      <c r="D1955" s="8" t="s">
        <v>83</v>
      </c>
      <c r="E1955" s="8">
        <v>66358404</v>
      </c>
      <c r="F1955" s="8">
        <v>66358404</v>
      </c>
      <c r="G1955" s="8" t="s">
        <v>46</v>
      </c>
      <c r="H1955" s="8" t="s">
        <v>41</v>
      </c>
      <c r="I1955" s="8" t="s">
        <v>23</v>
      </c>
      <c r="J1955" s="8" t="s">
        <v>9873</v>
      </c>
      <c r="K1955" s="8" t="s">
        <v>9875</v>
      </c>
      <c r="L1955" s="8" t="s">
        <v>19</v>
      </c>
      <c r="M1955" s="8">
        <v>2151</v>
      </c>
      <c r="N1955" s="8" t="s">
        <v>485</v>
      </c>
      <c r="O1955" s="8">
        <v>695</v>
      </c>
      <c r="P1955" s="8" t="s">
        <v>9874</v>
      </c>
      <c r="Q1955" s="8" t="s">
        <v>4262</v>
      </c>
      <c r="R1955" s="8">
        <v>0.23300000000000001</v>
      </c>
      <c r="S1955" s="8">
        <v>66358404</v>
      </c>
      <c r="T1955" s="8" t="s">
        <v>46</v>
      </c>
      <c r="U1955" s="8" t="s">
        <v>41</v>
      </c>
    </row>
    <row r="1956" spans="1:21">
      <c r="A1956" s="8" t="s">
        <v>9865</v>
      </c>
      <c r="B1956" s="8" t="s">
        <v>2371</v>
      </c>
      <c r="C1956" s="8">
        <v>81570</v>
      </c>
      <c r="D1956" s="8" t="s">
        <v>83</v>
      </c>
      <c r="E1956" s="8">
        <v>72070040</v>
      </c>
      <c r="F1956" s="8">
        <v>72070040</v>
      </c>
      <c r="G1956" s="8" t="s">
        <v>46</v>
      </c>
      <c r="H1956" s="8" t="s">
        <v>25</v>
      </c>
      <c r="I1956" s="8" t="s">
        <v>23</v>
      </c>
      <c r="J1956" s="8" t="s">
        <v>9876</v>
      </c>
      <c r="K1956" s="8" t="s">
        <v>9878</v>
      </c>
      <c r="L1956" s="8" t="s">
        <v>19</v>
      </c>
      <c r="M1956" s="8">
        <v>799</v>
      </c>
      <c r="N1956" s="8" t="s">
        <v>437</v>
      </c>
      <c r="O1956" s="8">
        <v>250</v>
      </c>
      <c r="P1956" s="8" t="s">
        <v>9877</v>
      </c>
      <c r="Q1956" s="8" t="s">
        <v>4262</v>
      </c>
      <c r="R1956" s="8">
        <v>0.24</v>
      </c>
      <c r="S1956" s="8">
        <v>72070040</v>
      </c>
      <c r="T1956" s="8" t="s">
        <v>46</v>
      </c>
      <c r="U1956" s="8" t="s">
        <v>25</v>
      </c>
    </row>
    <row r="1957" spans="1:21">
      <c r="A1957" s="8" t="s">
        <v>9865</v>
      </c>
      <c r="B1957" s="8" t="s">
        <v>3164</v>
      </c>
      <c r="C1957" s="8">
        <v>9958</v>
      </c>
      <c r="D1957" s="8" t="s">
        <v>104</v>
      </c>
      <c r="E1957" s="8">
        <v>62790143</v>
      </c>
      <c r="F1957" s="8">
        <v>62790143</v>
      </c>
      <c r="G1957" s="8" t="s">
        <v>41</v>
      </c>
      <c r="H1957" s="8" t="s">
        <v>46</v>
      </c>
      <c r="I1957" s="8" t="s">
        <v>23</v>
      </c>
      <c r="J1957" s="8" t="s">
        <v>9879</v>
      </c>
      <c r="K1957" s="8" t="s">
        <v>9881</v>
      </c>
      <c r="L1957" s="8" t="s">
        <v>19</v>
      </c>
      <c r="M1957" s="8">
        <v>2561</v>
      </c>
      <c r="N1957" s="8" t="s">
        <v>525</v>
      </c>
      <c r="O1957" s="8">
        <v>851</v>
      </c>
      <c r="P1957" s="8" t="s">
        <v>9880</v>
      </c>
      <c r="Q1957" s="8" t="s">
        <v>4262</v>
      </c>
      <c r="R1957" s="8">
        <v>0.16</v>
      </c>
      <c r="S1957" s="8">
        <v>62790143</v>
      </c>
      <c r="T1957" s="8" t="s">
        <v>41</v>
      </c>
      <c r="U1957" s="8" t="s">
        <v>46</v>
      </c>
    </row>
    <row r="1958" spans="1:21">
      <c r="A1958" s="8" t="s">
        <v>9865</v>
      </c>
      <c r="B1958" s="8" t="s">
        <v>2372</v>
      </c>
      <c r="C1958" s="8">
        <v>2305</v>
      </c>
      <c r="D1958" s="8" t="s">
        <v>104</v>
      </c>
      <c r="E1958" s="8">
        <v>2977773</v>
      </c>
      <c r="F1958" s="8">
        <v>2977773</v>
      </c>
      <c r="G1958" s="8" t="s">
        <v>46</v>
      </c>
      <c r="H1958" s="8" t="s">
        <v>41</v>
      </c>
      <c r="I1958" s="8" t="s">
        <v>23</v>
      </c>
      <c r="J1958" s="8" t="s">
        <v>8486</v>
      </c>
      <c r="K1958" s="8" t="s">
        <v>8488</v>
      </c>
      <c r="L1958" s="8" t="s">
        <v>19</v>
      </c>
      <c r="M1958" s="8">
        <v>1067</v>
      </c>
      <c r="N1958" s="8" t="s">
        <v>485</v>
      </c>
      <c r="O1958" s="8">
        <v>268</v>
      </c>
      <c r="P1958" s="8" t="s">
        <v>9882</v>
      </c>
      <c r="Q1958" s="8" t="s">
        <v>4262</v>
      </c>
      <c r="R1958" s="8">
        <v>0.34499999999999997</v>
      </c>
      <c r="S1958" s="8">
        <v>2977773</v>
      </c>
      <c r="T1958" s="8" t="s">
        <v>46</v>
      </c>
      <c r="U1958" s="8" t="s">
        <v>41</v>
      </c>
    </row>
    <row r="1959" spans="1:21">
      <c r="A1959" s="8" t="s">
        <v>9865</v>
      </c>
      <c r="B1959" s="8" t="s">
        <v>9883</v>
      </c>
      <c r="C1959" s="8">
        <v>252983</v>
      </c>
      <c r="D1959" s="8" t="s">
        <v>133</v>
      </c>
      <c r="E1959" s="8">
        <v>53108607</v>
      </c>
      <c r="F1959" s="8">
        <v>53108607</v>
      </c>
      <c r="G1959" s="8" t="s">
        <v>24</v>
      </c>
      <c r="H1959" s="8" t="s">
        <v>25</v>
      </c>
      <c r="I1959" s="8" t="s">
        <v>23</v>
      </c>
      <c r="J1959" s="8" t="s">
        <v>9884</v>
      </c>
      <c r="K1959" s="8" t="s">
        <v>9885</v>
      </c>
      <c r="L1959" s="8" t="s">
        <v>19</v>
      </c>
      <c r="M1959" s="8">
        <v>952</v>
      </c>
      <c r="N1959" s="8" t="s">
        <v>28</v>
      </c>
      <c r="O1959" s="8">
        <v>249</v>
      </c>
      <c r="P1959" s="8" t="s">
        <v>9794</v>
      </c>
      <c r="Q1959" s="8" t="s">
        <v>4262</v>
      </c>
      <c r="R1959" s="8">
        <v>0.20599999999999999</v>
      </c>
      <c r="S1959" s="8">
        <v>53108607</v>
      </c>
      <c r="T1959" s="8" t="s">
        <v>24</v>
      </c>
      <c r="U1959" s="8" t="s">
        <v>25</v>
      </c>
    </row>
    <row r="1960" spans="1:21">
      <c r="A1960" s="8" t="s">
        <v>9865</v>
      </c>
      <c r="B1960" s="8" t="s">
        <v>6534</v>
      </c>
      <c r="C1960" s="8">
        <v>55106</v>
      </c>
      <c r="D1960" s="8" t="s">
        <v>133</v>
      </c>
      <c r="E1960" s="8">
        <v>33738695</v>
      </c>
      <c r="F1960" s="8">
        <v>33738695</v>
      </c>
      <c r="G1960" s="8" t="s">
        <v>41</v>
      </c>
      <c r="H1960" s="8" t="s">
        <v>24</v>
      </c>
      <c r="I1960" s="8" t="s">
        <v>23</v>
      </c>
      <c r="J1960" s="8" t="s">
        <v>6535</v>
      </c>
      <c r="K1960" s="8" t="s">
        <v>6537</v>
      </c>
      <c r="L1960" s="8" t="s">
        <v>19</v>
      </c>
      <c r="M1960" s="8">
        <v>1776</v>
      </c>
      <c r="N1960" s="8" t="s">
        <v>1626</v>
      </c>
      <c r="O1960" s="8">
        <v>467</v>
      </c>
      <c r="P1960" s="8" t="s">
        <v>9886</v>
      </c>
      <c r="Q1960" s="8" t="s">
        <v>4262</v>
      </c>
      <c r="R1960" s="8">
        <v>0.221</v>
      </c>
      <c r="S1960" s="8">
        <v>33738695</v>
      </c>
      <c r="T1960" s="8" t="s">
        <v>41</v>
      </c>
      <c r="U1960" s="8" t="s">
        <v>24</v>
      </c>
    </row>
    <row r="1961" spans="1:21">
      <c r="A1961" s="8" t="s">
        <v>9865</v>
      </c>
      <c r="B1961" s="8" t="s">
        <v>6292</v>
      </c>
      <c r="C1961" s="8">
        <v>126204</v>
      </c>
      <c r="D1961" s="8" t="s">
        <v>139</v>
      </c>
      <c r="E1961" s="8">
        <v>56407339</v>
      </c>
      <c r="F1961" s="8">
        <v>56407339</v>
      </c>
      <c r="G1961" s="8" t="s">
        <v>24</v>
      </c>
      <c r="H1961" s="8" t="s">
        <v>25</v>
      </c>
      <c r="I1961" s="8" t="s">
        <v>23</v>
      </c>
      <c r="J1961" s="8" t="s">
        <v>6293</v>
      </c>
      <c r="K1961" s="8" t="s">
        <v>6295</v>
      </c>
      <c r="L1961" s="8" t="s">
        <v>19</v>
      </c>
      <c r="M1961" s="8">
        <v>3129</v>
      </c>
      <c r="N1961" s="8" t="s">
        <v>3540</v>
      </c>
      <c r="O1961" s="8">
        <v>1035</v>
      </c>
      <c r="P1961" s="8" t="s">
        <v>9887</v>
      </c>
      <c r="Q1961" s="8" t="s">
        <v>4262</v>
      </c>
      <c r="R1961" s="8">
        <v>8.3000000000000004E-2</v>
      </c>
      <c r="S1961" s="8">
        <v>56407339</v>
      </c>
      <c r="T1961" s="8" t="s">
        <v>24</v>
      </c>
      <c r="U1961" s="8" t="s">
        <v>25</v>
      </c>
    </row>
    <row r="1962" spans="1:21">
      <c r="A1962" s="8" t="s">
        <v>9889</v>
      </c>
      <c r="B1962" s="8" t="s">
        <v>7082</v>
      </c>
      <c r="C1962" s="8">
        <v>163351</v>
      </c>
      <c r="D1962" s="8" t="s">
        <v>22</v>
      </c>
      <c r="E1962" s="8">
        <v>89849729</v>
      </c>
      <c r="F1962" s="8">
        <v>89849729</v>
      </c>
      <c r="G1962" s="8" t="s">
        <v>25</v>
      </c>
      <c r="H1962" s="8" t="s">
        <v>24</v>
      </c>
      <c r="I1962" s="8" t="s">
        <v>23</v>
      </c>
      <c r="J1962" s="8" t="s">
        <v>7083</v>
      </c>
      <c r="K1962" s="8" t="s">
        <v>7085</v>
      </c>
      <c r="L1962" s="8" t="s">
        <v>19</v>
      </c>
      <c r="M1962" s="8">
        <v>1820</v>
      </c>
      <c r="N1962" s="8" t="s">
        <v>974</v>
      </c>
      <c r="O1962" s="8">
        <v>516</v>
      </c>
      <c r="P1962" s="8" t="s">
        <v>9888</v>
      </c>
      <c r="Q1962" s="8" t="s">
        <v>4262</v>
      </c>
      <c r="R1962" s="8">
        <v>0.33</v>
      </c>
      <c r="S1962" s="8">
        <v>89849729</v>
      </c>
      <c r="T1962" s="8" t="s">
        <v>25</v>
      </c>
      <c r="U1962" s="8" t="s">
        <v>24</v>
      </c>
    </row>
    <row r="1963" spans="1:21">
      <c r="A1963" s="8" t="s">
        <v>9889</v>
      </c>
      <c r="B1963" s="8" t="s">
        <v>2923</v>
      </c>
      <c r="C1963" s="8">
        <v>1952</v>
      </c>
      <c r="D1963" s="8" t="s">
        <v>22</v>
      </c>
      <c r="E1963" s="8">
        <v>109813581</v>
      </c>
      <c r="F1963" s="8">
        <v>109813581</v>
      </c>
      <c r="G1963" s="8" t="s">
        <v>24</v>
      </c>
      <c r="H1963" s="8" t="s">
        <v>41</v>
      </c>
      <c r="I1963" s="8" t="s">
        <v>23</v>
      </c>
      <c r="J1963" s="8" t="s">
        <v>2924</v>
      </c>
      <c r="K1963" s="8" t="s">
        <v>9568</v>
      </c>
      <c r="L1963" s="8" t="s">
        <v>19</v>
      </c>
      <c r="M1963" s="8">
        <v>7577</v>
      </c>
      <c r="N1963" s="8" t="s">
        <v>132</v>
      </c>
      <c r="O1963" s="8">
        <v>2506</v>
      </c>
      <c r="P1963" s="8" t="s">
        <v>9890</v>
      </c>
      <c r="Q1963" s="8" t="s">
        <v>4262</v>
      </c>
      <c r="R1963" s="8">
        <v>0.38200000000000001</v>
      </c>
      <c r="S1963" s="8">
        <v>109813581</v>
      </c>
      <c r="T1963" s="8" t="s">
        <v>24</v>
      </c>
      <c r="U1963" s="8" t="s">
        <v>41</v>
      </c>
    </row>
    <row r="1964" spans="1:21">
      <c r="A1964" s="8" t="s">
        <v>9889</v>
      </c>
      <c r="B1964" s="8" t="s">
        <v>3522</v>
      </c>
      <c r="C1964" s="8">
        <v>2312</v>
      </c>
      <c r="D1964" s="8" t="s">
        <v>22</v>
      </c>
      <c r="E1964" s="8">
        <v>152287054</v>
      </c>
      <c r="F1964" s="8">
        <v>152287054</v>
      </c>
      <c r="G1964" s="8" t="s">
        <v>41</v>
      </c>
      <c r="H1964" s="8" t="s">
        <v>46</v>
      </c>
      <c r="I1964" s="8" t="s">
        <v>23</v>
      </c>
      <c r="J1964" s="8" t="s">
        <v>3523</v>
      </c>
      <c r="K1964" s="8" t="s">
        <v>4266</v>
      </c>
      <c r="L1964" s="8" t="s">
        <v>19</v>
      </c>
      <c r="M1964" s="8">
        <v>344</v>
      </c>
      <c r="N1964" s="8" t="s">
        <v>908</v>
      </c>
      <c r="O1964" s="8">
        <v>103</v>
      </c>
      <c r="P1964" s="8" t="s">
        <v>9891</v>
      </c>
      <c r="Q1964" s="8" t="s">
        <v>4262</v>
      </c>
      <c r="R1964" s="8">
        <v>0.39900000000000002</v>
      </c>
      <c r="S1964" s="8">
        <v>152287054</v>
      </c>
      <c r="T1964" s="8" t="s">
        <v>41</v>
      </c>
      <c r="U1964" s="8" t="s">
        <v>46</v>
      </c>
    </row>
    <row r="1965" spans="1:21">
      <c r="A1965" s="8" t="s">
        <v>9889</v>
      </c>
      <c r="B1965" s="8" t="s">
        <v>9892</v>
      </c>
      <c r="C1965" s="8">
        <v>81448</v>
      </c>
      <c r="D1965" s="8" t="s">
        <v>22</v>
      </c>
      <c r="E1965" s="8">
        <v>158670198</v>
      </c>
      <c r="F1965" s="8">
        <v>158670198</v>
      </c>
      <c r="G1965" s="8" t="s">
        <v>25</v>
      </c>
      <c r="H1965" s="8" t="s">
        <v>46</v>
      </c>
      <c r="I1965" s="8" t="s">
        <v>23</v>
      </c>
      <c r="J1965" s="8" t="s">
        <v>9893</v>
      </c>
      <c r="K1965" s="8" t="s">
        <v>9895</v>
      </c>
      <c r="L1965" s="8" t="s">
        <v>19</v>
      </c>
      <c r="M1965" s="8">
        <v>245</v>
      </c>
      <c r="N1965" s="8" t="s">
        <v>295</v>
      </c>
      <c r="O1965" s="8">
        <v>82</v>
      </c>
      <c r="P1965" s="8" t="s">
        <v>9894</v>
      </c>
      <c r="Q1965" s="8" t="s">
        <v>4262</v>
      </c>
      <c r="R1965" s="8">
        <v>0.28799999999999998</v>
      </c>
      <c r="S1965" s="8">
        <v>158670198</v>
      </c>
      <c r="T1965" s="8" t="s">
        <v>25</v>
      </c>
      <c r="U1965" s="8" t="s">
        <v>46</v>
      </c>
    </row>
    <row r="1966" spans="1:21">
      <c r="A1966" s="8" t="s">
        <v>9889</v>
      </c>
      <c r="B1966" s="8" t="s">
        <v>9896</v>
      </c>
      <c r="C1966" s="8">
        <v>3766</v>
      </c>
      <c r="D1966" s="8" t="s">
        <v>22</v>
      </c>
      <c r="E1966" s="8">
        <v>160011904</v>
      </c>
      <c r="F1966" s="8">
        <v>160011904</v>
      </c>
      <c r="G1966" s="8" t="s">
        <v>46</v>
      </c>
      <c r="H1966" s="8" t="s">
        <v>41</v>
      </c>
      <c r="I1966" s="8" t="s">
        <v>23</v>
      </c>
      <c r="J1966" s="8" t="s">
        <v>9897</v>
      </c>
      <c r="K1966" s="8" t="s">
        <v>9899</v>
      </c>
      <c r="L1966" s="8" t="s">
        <v>19</v>
      </c>
      <c r="M1966" s="8">
        <v>659</v>
      </c>
      <c r="N1966" s="8" t="s">
        <v>618</v>
      </c>
      <c r="O1966" s="8">
        <v>140</v>
      </c>
      <c r="P1966" s="8" t="s">
        <v>9898</v>
      </c>
      <c r="Q1966" s="8" t="s">
        <v>4262</v>
      </c>
      <c r="R1966" s="8">
        <v>0.217</v>
      </c>
      <c r="S1966" s="8">
        <v>160011904</v>
      </c>
      <c r="T1966" s="8" t="s">
        <v>46</v>
      </c>
      <c r="U1966" s="8" t="s">
        <v>41</v>
      </c>
    </row>
    <row r="1967" spans="1:21">
      <c r="A1967" s="8" t="s">
        <v>9889</v>
      </c>
      <c r="B1967" s="8" t="s">
        <v>3832</v>
      </c>
      <c r="C1967" s="8">
        <v>460</v>
      </c>
      <c r="D1967" s="8" t="s">
        <v>22</v>
      </c>
      <c r="E1967" s="8">
        <v>176918342</v>
      </c>
      <c r="F1967" s="8">
        <v>176918342</v>
      </c>
      <c r="G1967" s="8" t="s">
        <v>41</v>
      </c>
      <c r="H1967" s="8" t="s">
        <v>46</v>
      </c>
      <c r="I1967" s="8" t="s">
        <v>23</v>
      </c>
      <c r="J1967" s="8" t="s">
        <v>4453</v>
      </c>
      <c r="K1967" s="8" t="s">
        <v>4455</v>
      </c>
      <c r="L1967" s="8" t="s">
        <v>19</v>
      </c>
      <c r="M1967" s="8">
        <v>2245</v>
      </c>
      <c r="N1967" s="8" t="s">
        <v>1055</v>
      </c>
      <c r="O1967" s="8">
        <v>678</v>
      </c>
      <c r="P1967" s="8" t="s">
        <v>9900</v>
      </c>
      <c r="Q1967" s="8" t="s">
        <v>4262</v>
      </c>
      <c r="R1967" s="8">
        <v>0.20200000000000001</v>
      </c>
      <c r="S1967" s="8">
        <v>176918342</v>
      </c>
      <c r="T1967" s="8" t="s">
        <v>41</v>
      </c>
      <c r="U1967" s="8" t="s">
        <v>46</v>
      </c>
    </row>
    <row r="1968" spans="1:21">
      <c r="A1968" s="8" t="s">
        <v>9889</v>
      </c>
      <c r="B1968" s="8" t="s">
        <v>9901</v>
      </c>
      <c r="C1968" s="8">
        <v>23057</v>
      </c>
      <c r="D1968" s="8" t="s">
        <v>22</v>
      </c>
      <c r="E1968" s="8">
        <v>183253874</v>
      </c>
      <c r="F1968" s="8">
        <v>183253874</v>
      </c>
      <c r="G1968" s="8" t="s">
        <v>46</v>
      </c>
      <c r="H1968" s="8" t="s">
        <v>41</v>
      </c>
      <c r="I1968" s="8" t="s">
        <v>23</v>
      </c>
      <c r="J1968" s="8" t="s">
        <v>9902</v>
      </c>
      <c r="K1968" s="8" t="s">
        <v>9904</v>
      </c>
      <c r="L1968" s="8" t="s">
        <v>19</v>
      </c>
      <c r="M1968" s="8">
        <v>732</v>
      </c>
      <c r="N1968" s="8" t="s">
        <v>73</v>
      </c>
      <c r="O1968" s="8">
        <v>167</v>
      </c>
      <c r="P1968" s="8" t="s">
        <v>9903</v>
      </c>
      <c r="Q1968" s="8" t="s">
        <v>4262</v>
      </c>
      <c r="R1968" s="8">
        <v>0.192</v>
      </c>
      <c r="S1968" s="8">
        <v>183253874</v>
      </c>
      <c r="T1968" s="8" t="s">
        <v>46</v>
      </c>
      <c r="U1968" s="8" t="s">
        <v>41</v>
      </c>
    </row>
    <row r="1969" spans="1:21">
      <c r="A1969" s="8" t="s">
        <v>9889</v>
      </c>
      <c r="B1969" s="8" t="s">
        <v>2415</v>
      </c>
      <c r="C1969" s="8">
        <v>57568</v>
      </c>
      <c r="D1969" s="8" t="s">
        <v>22</v>
      </c>
      <c r="E1969" s="8">
        <v>232607181</v>
      </c>
      <c r="F1969" s="8">
        <v>232607181</v>
      </c>
      <c r="G1969" s="8" t="s">
        <v>24</v>
      </c>
      <c r="H1969" s="8" t="s">
        <v>41</v>
      </c>
      <c r="I1969" s="8" t="s">
        <v>23</v>
      </c>
      <c r="J1969" s="8" t="s">
        <v>2416</v>
      </c>
      <c r="K1969" s="8" t="s">
        <v>5131</v>
      </c>
      <c r="L1969" s="8" t="s">
        <v>19</v>
      </c>
      <c r="M1969" s="8">
        <v>2337</v>
      </c>
      <c r="N1969" s="8" t="s">
        <v>2925</v>
      </c>
      <c r="O1969" s="8">
        <v>727</v>
      </c>
      <c r="P1969" s="8" t="s">
        <v>9905</v>
      </c>
      <c r="Q1969" s="8" t="s">
        <v>4262</v>
      </c>
      <c r="R1969" s="8">
        <v>0.51</v>
      </c>
      <c r="S1969" s="8">
        <v>232607181</v>
      </c>
      <c r="T1969" s="8" t="s">
        <v>24</v>
      </c>
      <c r="U1969" s="8" t="s">
        <v>41</v>
      </c>
    </row>
    <row r="1970" spans="1:21">
      <c r="A1970" s="8" t="s">
        <v>9889</v>
      </c>
      <c r="B1970" s="8" t="s">
        <v>9906</v>
      </c>
      <c r="C1970" s="8">
        <v>400986</v>
      </c>
      <c r="D1970" s="8" t="s">
        <v>172</v>
      </c>
      <c r="E1970" s="8">
        <v>96517911</v>
      </c>
      <c r="F1970" s="8">
        <v>96517911</v>
      </c>
      <c r="G1970" s="8" t="s">
        <v>41</v>
      </c>
      <c r="H1970" s="8" t="s">
        <v>46</v>
      </c>
      <c r="I1970" s="8" t="s">
        <v>23</v>
      </c>
      <c r="J1970" s="8" t="s">
        <v>9907</v>
      </c>
      <c r="K1970" s="8" t="s">
        <v>9909</v>
      </c>
      <c r="L1970" s="8" t="s">
        <v>19</v>
      </c>
      <c r="M1970" s="8">
        <v>6151</v>
      </c>
      <c r="N1970" s="8" t="s">
        <v>99</v>
      </c>
      <c r="O1970" s="8">
        <v>2051</v>
      </c>
      <c r="P1970" s="8" t="s">
        <v>9908</v>
      </c>
      <c r="Q1970" s="8" t="s">
        <v>4262</v>
      </c>
      <c r="R1970" s="8">
        <v>0.03</v>
      </c>
      <c r="S1970" s="8">
        <v>96517911</v>
      </c>
      <c r="T1970" s="8" t="s">
        <v>41</v>
      </c>
      <c r="U1970" s="8" t="s">
        <v>46</v>
      </c>
    </row>
    <row r="1971" spans="1:21">
      <c r="A1971" s="8" t="s">
        <v>9889</v>
      </c>
      <c r="B1971" s="8" t="s">
        <v>3429</v>
      </c>
      <c r="C1971" s="8">
        <v>114880</v>
      </c>
      <c r="D1971" s="8" t="s">
        <v>172</v>
      </c>
      <c r="E1971" s="8">
        <v>179260239</v>
      </c>
      <c r="F1971" s="8">
        <v>179260239</v>
      </c>
      <c r="G1971" s="8" t="s">
        <v>46</v>
      </c>
      <c r="H1971" s="8" t="s">
        <v>41</v>
      </c>
      <c r="I1971" s="8" t="s">
        <v>23</v>
      </c>
      <c r="J1971" s="8" t="s">
        <v>6631</v>
      </c>
      <c r="K1971" s="8" t="s">
        <v>6633</v>
      </c>
      <c r="L1971" s="8" t="s">
        <v>76</v>
      </c>
      <c r="M1971" s="8">
        <v>3377</v>
      </c>
      <c r="N1971" s="8" t="s">
        <v>103</v>
      </c>
      <c r="O1971" s="8">
        <v>945</v>
      </c>
      <c r="P1971" s="8" t="s">
        <v>9910</v>
      </c>
      <c r="Q1971" s="8" t="s">
        <v>4262</v>
      </c>
      <c r="R1971" s="8">
        <v>0.39300000000000002</v>
      </c>
      <c r="S1971" s="8">
        <v>179260239</v>
      </c>
      <c r="T1971" s="8" t="s">
        <v>46</v>
      </c>
      <c r="U1971" s="8" t="s">
        <v>41</v>
      </c>
    </row>
    <row r="1972" spans="1:21">
      <c r="A1972" s="8" t="s">
        <v>9889</v>
      </c>
      <c r="B1972" s="8" t="s">
        <v>9911</v>
      </c>
      <c r="C1972" s="8">
        <v>91653</v>
      </c>
      <c r="D1972" s="8" t="s">
        <v>201</v>
      </c>
      <c r="E1972" s="8">
        <v>112992143</v>
      </c>
      <c r="F1972" s="8">
        <v>112992143</v>
      </c>
      <c r="G1972" s="8" t="s">
        <v>24</v>
      </c>
      <c r="H1972" s="8" t="s">
        <v>25</v>
      </c>
      <c r="I1972" s="8" t="s">
        <v>23</v>
      </c>
      <c r="J1972" s="8" t="s">
        <v>9912</v>
      </c>
      <c r="K1972" s="8" t="s">
        <v>9914</v>
      </c>
      <c r="L1972" s="8" t="s">
        <v>19</v>
      </c>
      <c r="M1972" s="8">
        <v>1528</v>
      </c>
      <c r="N1972" s="8" t="s">
        <v>1440</v>
      </c>
      <c r="O1972" s="8">
        <v>397</v>
      </c>
      <c r="P1972" s="8" t="s">
        <v>9913</v>
      </c>
      <c r="Q1972" s="8" t="s">
        <v>4262</v>
      </c>
      <c r="R1972" s="8">
        <v>0.35</v>
      </c>
      <c r="S1972" s="8">
        <v>112992143</v>
      </c>
      <c r="T1972" s="8" t="s">
        <v>24</v>
      </c>
      <c r="U1972" s="8" t="s">
        <v>25</v>
      </c>
    </row>
    <row r="1973" spans="1:21">
      <c r="A1973" s="8" t="s">
        <v>9889</v>
      </c>
      <c r="B1973" s="8" t="s">
        <v>9915</v>
      </c>
      <c r="C1973" s="8">
        <v>22820</v>
      </c>
      <c r="D1973" s="8" t="s">
        <v>201</v>
      </c>
      <c r="E1973" s="8">
        <v>128971128</v>
      </c>
      <c r="F1973" s="8">
        <v>128971128</v>
      </c>
      <c r="G1973" s="8" t="s">
        <v>24</v>
      </c>
      <c r="H1973" s="8" t="s">
        <v>25</v>
      </c>
      <c r="I1973" s="8" t="s">
        <v>23</v>
      </c>
      <c r="J1973" s="8" t="s">
        <v>9916</v>
      </c>
      <c r="K1973" s="8" t="s">
        <v>9918</v>
      </c>
      <c r="L1973" s="8" t="s">
        <v>19</v>
      </c>
      <c r="M1973" s="8">
        <v>195</v>
      </c>
      <c r="N1973" s="8" t="s">
        <v>297</v>
      </c>
      <c r="O1973" s="8">
        <v>32</v>
      </c>
      <c r="P1973" s="8" t="s">
        <v>9917</v>
      </c>
      <c r="Q1973" s="8" t="s">
        <v>4262</v>
      </c>
      <c r="R1973" s="8">
        <v>0.437</v>
      </c>
      <c r="S1973" s="8">
        <v>128971128</v>
      </c>
      <c r="T1973" s="8" t="s">
        <v>24</v>
      </c>
      <c r="U1973" s="8" t="s">
        <v>25</v>
      </c>
    </row>
    <row r="1974" spans="1:21">
      <c r="A1974" s="8" t="s">
        <v>9889</v>
      </c>
      <c r="B1974" s="8" t="s">
        <v>1944</v>
      </c>
      <c r="C1974" s="8">
        <v>9922</v>
      </c>
      <c r="D1974" s="8" t="s">
        <v>201</v>
      </c>
      <c r="E1974" s="8">
        <v>12977492</v>
      </c>
      <c r="F1974" s="8">
        <v>12977492</v>
      </c>
      <c r="G1974" s="8" t="s">
        <v>46</v>
      </c>
      <c r="H1974" s="8" t="s">
        <v>41</v>
      </c>
      <c r="I1974" s="8" t="s">
        <v>23</v>
      </c>
      <c r="J1974" s="8" t="s">
        <v>9919</v>
      </c>
      <c r="K1974" s="8" t="s">
        <v>9921</v>
      </c>
      <c r="L1974" s="8" t="s">
        <v>19</v>
      </c>
      <c r="M1974" s="8">
        <v>1075</v>
      </c>
      <c r="N1974" s="8" t="s">
        <v>485</v>
      </c>
      <c r="O1974" s="8">
        <v>356</v>
      </c>
      <c r="P1974" s="8" t="s">
        <v>9920</v>
      </c>
      <c r="Q1974" s="8" t="s">
        <v>4262</v>
      </c>
      <c r="R1974" s="8">
        <v>0.26100000000000001</v>
      </c>
      <c r="S1974" s="8">
        <v>12977492</v>
      </c>
      <c r="T1974" s="8" t="s">
        <v>46</v>
      </c>
      <c r="U1974" s="8" t="s">
        <v>41</v>
      </c>
    </row>
    <row r="1975" spans="1:21">
      <c r="A1975" s="8" t="s">
        <v>9889</v>
      </c>
      <c r="B1975" s="8" t="s">
        <v>2946</v>
      </c>
      <c r="C1975" s="8">
        <v>5290</v>
      </c>
      <c r="D1975" s="8" t="s">
        <v>201</v>
      </c>
      <c r="E1975" s="8">
        <v>178936091</v>
      </c>
      <c r="F1975" s="8">
        <v>178936091</v>
      </c>
      <c r="G1975" s="8" t="s">
        <v>24</v>
      </c>
      <c r="H1975" s="8" t="s">
        <v>25</v>
      </c>
      <c r="I1975" s="8" t="s">
        <v>23</v>
      </c>
      <c r="J1975" s="8" t="s">
        <v>2947</v>
      </c>
      <c r="K1975" s="8" t="s">
        <v>9924</v>
      </c>
      <c r="L1975" s="8" t="s">
        <v>19</v>
      </c>
      <c r="M1975" s="8">
        <v>1790</v>
      </c>
      <c r="N1975" s="8" t="s">
        <v>166</v>
      </c>
      <c r="O1975" s="8">
        <v>545</v>
      </c>
      <c r="P1975" s="8" t="s">
        <v>9922</v>
      </c>
      <c r="Q1975" s="8" t="s">
        <v>9923</v>
      </c>
      <c r="R1975" s="8">
        <v>0.46600000000000003</v>
      </c>
      <c r="S1975" s="8">
        <v>178936091</v>
      </c>
      <c r="T1975" s="8" t="s">
        <v>24</v>
      </c>
      <c r="U1975" s="8" t="s">
        <v>25</v>
      </c>
    </row>
    <row r="1976" spans="1:21">
      <c r="A1976" s="8" t="s">
        <v>9889</v>
      </c>
      <c r="B1976" s="8" t="s">
        <v>9925</v>
      </c>
      <c r="C1976" s="8">
        <v>285268</v>
      </c>
      <c r="D1976" s="8" t="s">
        <v>201</v>
      </c>
      <c r="E1976" s="8">
        <v>40573616</v>
      </c>
      <c r="F1976" s="8">
        <v>40573616</v>
      </c>
      <c r="G1976" s="8" t="s">
        <v>25</v>
      </c>
      <c r="H1976" s="8" t="s">
        <v>41</v>
      </c>
      <c r="I1976" s="8" t="s">
        <v>23</v>
      </c>
      <c r="J1976" s="8" t="s">
        <v>9926</v>
      </c>
      <c r="K1976" s="8" t="s">
        <v>9928</v>
      </c>
      <c r="L1976" s="8" t="s">
        <v>19</v>
      </c>
      <c r="M1976" s="8">
        <v>571</v>
      </c>
      <c r="N1976" s="8" t="s">
        <v>604</v>
      </c>
      <c r="O1976" s="8">
        <v>119</v>
      </c>
      <c r="P1976" s="8" t="s">
        <v>9927</v>
      </c>
      <c r="Q1976" s="8" t="s">
        <v>4262</v>
      </c>
      <c r="R1976" s="8">
        <v>0.45200000000000001</v>
      </c>
      <c r="S1976" s="8">
        <v>40573616</v>
      </c>
      <c r="T1976" s="8" t="s">
        <v>25</v>
      </c>
      <c r="U1976" s="8" t="s">
        <v>41</v>
      </c>
    </row>
    <row r="1977" spans="1:21">
      <c r="A1977" s="8" t="s">
        <v>9889</v>
      </c>
      <c r="B1977" s="8" t="s">
        <v>934</v>
      </c>
      <c r="C1977" s="8">
        <v>1499</v>
      </c>
      <c r="D1977" s="8" t="s">
        <v>201</v>
      </c>
      <c r="E1977" s="8">
        <v>41266098</v>
      </c>
      <c r="F1977" s="8">
        <v>41266098</v>
      </c>
      <c r="G1977" s="8" t="s">
        <v>25</v>
      </c>
      <c r="H1977" s="8" t="s">
        <v>24</v>
      </c>
      <c r="I1977" s="8" t="s">
        <v>23</v>
      </c>
      <c r="J1977" s="8" t="s">
        <v>4607</v>
      </c>
      <c r="K1977" s="8" t="s">
        <v>4610</v>
      </c>
      <c r="L1977" s="8" t="s">
        <v>19</v>
      </c>
      <c r="M1977" s="8">
        <v>363</v>
      </c>
      <c r="N1977" s="8" t="s">
        <v>551</v>
      </c>
      <c r="O1977" s="8">
        <v>32</v>
      </c>
      <c r="P1977" s="8" t="s">
        <v>9929</v>
      </c>
      <c r="Q1977" s="8" t="s">
        <v>9930</v>
      </c>
      <c r="R1977" s="8">
        <v>0.34499999999999997</v>
      </c>
      <c r="S1977" s="8">
        <v>41266098</v>
      </c>
      <c r="T1977" s="8" t="s">
        <v>25</v>
      </c>
      <c r="U1977" s="8" t="s">
        <v>24</v>
      </c>
    </row>
    <row r="1978" spans="1:21">
      <c r="A1978" s="8" t="s">
        <v>9889</v>
      </c>
      <c r="B1978" s="8" t="s">
        <v>9931</v>
      </c>
      <c r="C1978" s="8">
        <v>84892</v>
      </c>
      <c r="D1978" s="8" t="s">
        <v>201</v>
      </c>
      <c r="E1978" s="8">
        <v>43121332</v>
      </c>
      <c r="F1978" s="8">
        <v>43121332</v>
      </c>
      <c r="G1978" s="8" t="s">
        <v>41</v>
      </c>
      <c r="H1978" s="8" t="s">
        <v>25</v>
      </c>
      <c r="I1978" s="8" t="s">
        <v>23</v>
      </c>
      <c r="J1978" s="8" t="s">
        <v>9932</v>
      </c>
      <c r="K1978" s="8" t="s">
        <v>9934</v>
      </c>
      <c r="L1978" s="8" t="s">
        <v>19</v>
      </c>
      <c r="M1978" s="8">
        <v>1935</v>
      </c>
      <c r="N1978" s="8" t="s">
        <v>1115</v>
      </c>
      <c r="O1978" s="8">
        <v>531</v>
      </c>
      <c r="P1978" s="8" t="s">
        <v>9933</v>
      </c>
      <c r="Q1978" s="8" t="s">
        <v>4262</v>
      </c>
      <c r="R1978" s="8">
        <v>0.32700000000000001</v>
      </c>
      <c r="S1978" s="8">
        <v>43121332</v>
      </c>
      <c r="T1978" s="8" t="s">
        <v>41</v>
      </c>
      <c r="U1978" s="8" t="s">
        <v>25</v>
      </c>
    </row>
    <row r="1979" spans="1:21">
      <c r="A1979" s="8" t="s">
        <v>9889</v>
      </c>
      <c r="B1979" s="8" t="s">
        <v>9935</v>
      </c>
      <c r="C1979" s="8">
        <v>56144</v>
      </c>
      <c r="D1979" s="8" t="s">
        <v>226</v>
      </c>
      <c r="E1979" s="8">
        <v>140187069</v>
      </c>
      <c r="F1979" s="8">
        <v>140187069</v>
      </c>
      <c r="G1979" s="8" t="s">
        <v>46</v>
      </c>
      <c r="H1979" s="8" t="s">
        <v>25</v>
      </c>
      <c r="I1979" s="8" t="s">
        <v>23</v>
      </c>
      <c r="J1979" s="8" t="s">
        <v>9936</v>
      </c>
      <c r="K1979" s="8" t="s">
        <v>9938</v>
      </c>
      <c r="L1979" s="8" t="s">
        <v>19</v>
      </c>
      <c r="M1979" s="8">
        <v>398</v>
      </c>
      <c r="N1979" s="8" t="s">
        <v>316</v>
      </c>
      <c r="O1979" s="8">
        <v>99</v>
      </c>
      <c r="P1979" s="8" t="s">
        <v>9937</v>
      </c>
      <c r="Q1979" s="8" t="s">
        <v>4262</v>
      </c>
      <c r="R1979" s="8">
        <v>0.61199999999999999</v>
      </c>
      <c r="S1979" s="8">
        <v>140187069</v>
      </c>
      <c r="T1979" s="8" t="s">
        <v>46</v>
      </c>
      <c r="U1979" s="8" t="s">
        <v>25</v>
      </c>
    </row>
    <row r="1980" spans="1:21">
      <c r="A1980" s="8" t="s">
        <v>9889</v>
      </c>
      <c r="B1980" s="8"/>
      <c r="C1980" s="8">
        <v>100288018</v>
      </c>
      <c r="D1980" s="8" t="s">
        <v>226</v>
      </c>
      <c r="E1980" s="8">
        <v>17611273</v>
      </c>
      <c r="F1980" s="8">
        <v>17611273</v>
      </c>
      <c r="G1980" s="8" t="s">
        <v>25</v>
      </c>
      <c r="H1980" s="8" t="s">
        <v>24</v>
      </c>
      <c r="I1980" s="8" t="s">
        <v>23</v>
      </c>
      <c r="J1980" s="8" t="s">
        <v>9939</v>
      </c>
      <c r="K1980" s="8" t="s">
        <v>9941</v>
      </c>
      <c r="L1980" s="8" t="s">
        <v>19</v>
      </c>
      <c r="M1980" s="8">
        <v>130</v>
      </c>
      <c r="N1980" s="8" t="s">
        <v>544</v>
      </c>
      <c r="O1980" s="8">
        <v>44</v>
      </c>
      <c r="P1980" s="8" t="s">
        <v>9940</v>
      </c>
      <c r="Q1980" s="8" t="s">
        <v>4262</v>
      </c>
      <c r="R1980" s="8">
        <v>0.33300000000000002</v>
      </c>
      <c r="S1980" s="8">
        <v>17611273</v>
      </c>
      <c r="T1980" s="8" t="s">
        <v>25</v>
      </c>
      <c r="U1980" s="8" t="s">
        <v>24</v>
      </c>
    </row>
    <row r="1981" spans="1:21">
      <c r="A1981" s="8" t="s">
        <v>9889</v>
      </c>
      <c r="B1981" s="8" t="s">
        <v>9942</v>
      </c>
      <c r="C1981" s="8">
        <v>222584</v>
      </c>
      <c r="D1981" s="8" t="s">
        <v>237</v>
      </c>
      <c r="E1981" s="8">
        <v>54804641</v>
      </c>
      <c r="F1981" s="8">
        <v>54804641</v>
      </c>
      <c r="G1981" s="8" t="s">
        <v>46</v>
      </c>
      <c r="H1981" s="8" t="s">
        <v>41</v>
      </c>
      <c r="I1981" s="8" t="s">
        <v>23</v>
      </c>
      <c r="J1981" s="8" t="s">
        <v>9943</v>
      </c>
      <c r="K1981" s="8" t="s">
        <v>9945</v>
      </c>
      <c r="L1981" s="8" t="s">
        <v>19</v>
      </c>
      <c r="M1981" s="8">
        <v>988</v>
      </c>
      <c r="N1981" s="8" t="s">
        <v>2694</v>
      </c>
      <c r="O1981" s="8">
        <v>291</v>
      </c>
      <c r="P1981" s="8" t="s">
        <v>9944</v>
      </c>
      <c r="Q1981" s="8" t="s">
        <v>4262</v>
      </c>
      <c r="R1981" s="8">
        <v>0.17100000000000001</v>
      </c>
      <c r="S1981" s="8">
        <v>54804641</v>
      </c>
      <c r="T1981" s="8" t="s">
        <v>46</v>
      </c>
      <c r="U1981" s="8" t="s">
        <v>41</v>
      </c>
    </row>
    <row r="1982" spans="1:21">
      <c r="A1982" s="8" t="s">
        <v>9889</v>
      </c>
      <c r="B1982" s="8" t="s">
        <v>1400</v>
      </c>
      <c r="C1982" s="8">
        <v>9892</v>
      </c>
      <c r="D1982" s="8" t="s">
        <v>237</v>
      </c>
      <c r="E1982" s="8">
        <v>84417644</v>
      </c>
      <c r="F1982" s="8">
        <v>84417644</v>
      </c>
      <c r="G1982" s="8" t="s">
        <v>46</v>
      </c>
      <c r="H1982" s="8" t="s">
        <v>25</v>
      </c>
      <c r="I1982" s="8" t="s">
        <v>23</v>
      </c>
      <c r="J1982" s="8" t="s">
        <v>8852</v>
      </c>
      <c r="K1982" s="8" t="s">
        <v>8854</v>
      </c>
      <c r="L1982" s="8" t="s">
        <v>19</v>
      </c>
      <c r="M1982" s="8">
        <v>317</v>
      </c>
      <c r="N1982" s="8" t="s">
        <v>2948</v>
      </c>
      <c r="O1982" s="8">
        <v>1</v>
      </c>
      <c r="P1982" s="8" t="s">
        <v>9946</v>
      </c>
      <c r="Q1982" s="8" t="s">
        <v>4262</v>
      </c>
      <c r="R1982" s="8">
        <v>0.80500000000000005</v>
      </c>
      <c r="S1982" s="8">
        <v>84417644</v>
      </c>
      <c r="T1982" s="8" t="s">
        <v>46</v>
      </c>
      <c r="U1982" s="8" t="s">
        <v>25</v>
      </c>
    </row>
    <row r="1983" spans="1:21">
      <c r="A1983" s="8" t="s">
        <v>9889</v>
      </c>
      <c r="B1983" s="8" t="s">
        <v>9947</v>
      </c>
      <c r="C1983" s="8">
        <v>9436</v>
      </c>
      <c r="D1983" s="8" t="s">
        <v>237</v>
      </c>
      <c r="E1983" s="8">
        <v>41309866</v>
      </c>
      <c r="F1983" s="8">
        <v>41309866</v>
      </c>
      <c r="G1983" s="8" t="s">
        <v>41</v>
      </c>
      <c r="H1983" s="8" t="s">
        <v>46</v>
      </c>
      <c r="I1983" s="8" t="s">
        <v>23</v>
      </c>
      <c r="J1983" s="8" t="s">
        <v>9948</v>
      </c>
      <c r="K1983" s="8" t="s">
        <v>9950</v>
      </c>
      <c r="L1983" s="8" t="s">
        <v>19</v>
      </c>
      <c r="M1983" s="8">
        <v>710</v>
      </c>
      <c r="N1983" s="8" t="s">
        <v>3026</v>
      </c>
      <c r="O1983" s="8">
        <v>208</v>
      </c>
      <c r="P1983" s="8" t="s">
        <v>9949</v>
      </c>
      <c r="Q1983" s="8" t="s">
        <v>4262</v>
      </c>
      <c r="R1983" s="8">
        <v>4.4999999999999998E-2</v>
      </c>
      <c r="S1983" s="8">
        <v>41309866</v>
      </c>
      <c r="T1983" s="8" t="s">
        <v>41</v>
      </c>
      <c r="U1983" s="8" t="s">
        <v>46</v>
      </c>
    </row>
    <row r="1984" spans="1:21">
      <c r="A1984" s="8" t="s">
        <v>9889</v>
      </c>
      <c r="B1984" s="8" t="s">
        <v>9951</v>
      </c>
      <c r="C1984" s="8">
        <v>168417</v>
      </c>
      <c r="D1984" s="8" t="s">
        <v>257</v>
      </c>
      <c r="E1984" s="8">
        <v>63709518</v>
      </c>
      <c r="F1984" s="8">
        <v>63709518</v>
      </c>
      <c r="G1984" s="8" t="s">
        <v>46</v>
      </c>
      <c r="H1984" s="8" t="s">
        <v>24</v>
      </c>
      <c r="I1984" s="8" t="s">
        <v>23</v>
      </c>
      <c r="J1984" s="8" t="s">
        <v>9952</v>
      </c>
      <c r="K1984" s="8" t="s">
        <v>9954</v>
      </c>
      <c r="L1984" s="8" t="s">
        <v>19</v>
      </c>
      <c r="M1984" s="8">
        <v>292</v>
      </c>
      <c r="N1984" s="8" t="s">
        <v>87</v>
      </c>
      <c r="O1984" s="8">
        <v>8</v>
      </c>
      <c r="P1984" s="8" t="s">
        <v>9953</v>
      </c>
      <c r="Q1984" s="8" t="s">
        <v>4262</v>
      </c>
      <c r="R1984" s="8">
        <v>0.28299999999999997</v>
      </c>
      <c r="S1984" s="8">
        <v>63709518</v>
      </c>
      <c r="T1984" s="8" t="s">
        <v>46</v>
      </c>
      <c r="U1984" s="8" t="s">
        <v>24</v>
      </c>
    </row>
    <row r="1985" spans="1:21">
      <c r="A1985" s="8" t="s">
        <v>9889</v>
      </c>
      <c r="B1985" s="8" t="s">
        <v>2949</v>
      </c>
      <c r="C1985" s="8">
        <v>781</v>
      </c>
      <c r="D1985" s="8" t="s">
        <v>257</v>
      </c>
      <c r="E1985" s="8">
        <v>81634800</v>
      </c>
      <c r="F1985" s="8">
        <v>81634800</v>
      </c>
      <c r="G1985" s="8" t="s">
        <v>46</v>
      </c>
      <c r="H1985" s="8" t="s">
        <v>25</v>
      </c>
      <c r="I1985" s="8" t="s">
        <v>23</v>
      </c>
      <c r="J1985" s="8" t="s">
        <v>2950</v>
      </c>
      <c r="K1985" s="8" t="s">
        <v>9956</v>
      </c>
      <c r="L1985" s="8" t="s">
        <v>19</v>
      </c>
      <c r="M1985" s="8">
        <v>1785</v>
      </c>
      <c r="N1985" s="8" t="s">
        <v>270</v>
      </c>
      <c r="O1985" s="8">
        <v>510</v>
      </c>
      <c r="P1985" s="8" t="s">
        <v>9955</v>
      </c>
      <c r="Q1985" s="8" t="s">
        <v>4262</v>
      </c>
      <c r="R1985" s="8">
        <v>0.37</v>
      </c>
      <c r="S1985" s="8">
        <v>81634800</v>
      </c>
      <c r="T1985" s="8" t="s">
        <v>46</v>
      </c>
      <c r="U1985" s="8" t="s">
        <v>25</v>
      </c>
    </row>
    <row r="1986" spans="1:21">
      <c r="A1986" s="8" t="s">
        <v>9889</v>
      </c>
      <c r="B1986" s="8" t="s">
        <v>2951</v>
      </c>
      <c r="C1986" s="8">
        <v>55610</v>
      </c>
      <c r="D1986" s="8" t="s">
        <v>257</v>
      </c>
      <c r="E1986" s="8">
        <v>92985248</v>
      </c>
      <c r="F1986" s="8">
        <v>92985248</v>
      </c>
      <c r="G1986" s="8" t="s">
        <v>24</v>
      </c>
      <c r="H1986" s="8" t="s">
        <v>25</v>
      </c>
      <c r="I1986" s="8" t="s">
        <v>23</v>
      </c>
      <c r="J1986" s="8" t="s">
        <v>9957</v>
      </c>
      <c r="K1986" s="8" t="s">
        <v>9959</v>
      </c>
      <c r="L1986" s="8" t="s">
        <v>19</v>
      </c>
      <c r="M1986" s="8">
        <v>2759</v>
      </c>
      <c r="N1986" s="8" t="s">
        <v>2439</v>
      </c>
      <c r="O1986" s="8">
        <v>877</v>
      </c>
      <c r="P1986" s="8" t="s">
        <v>9958</v>
      </c>
      <c r="Q1986" s="8" t="s">
        <v>4262</v>
      </c>
      <c r="R1986" s="8">
        <v>0.44600000000000001</v>
      </c>
      <c r="S1986" s="8">
        <v>92985248</v>
      </c>
      <c r="T1986" s="8" t="s">
        <v>24</v>
      </c>
      <c r="U1986" s="8" t="s">
        <v>25</v>
      </c>
    </row>
    <row r="1987" spans="1:21">
      <c r="A1987" s="8" t="s">
        <v>9889</v>
      </c>
      <c r="B1987" s="8" t="s">
        <v>9960</v>
      </c>
      <c r="C1987" s="8">
        <v>4189</v>
      </c>
      <c r="D1987" s="8" t="s">
        <v>257</v>
      </c>
      <c r="E1987" s="8">
        <v>108213616</v>
      </c>
      <c r="F1987" s="8">
        <v>108213616</v>
      </c>
      <c r="G1987" s="8" t="s">
        <v>24</v>
      </c>
      <c r="H1987" s="8" t="s">
        <v>25</v>
      </c>
      <c r="I1987" s="8" t="s">
        <v>23</v>
      </c>
      <c r="J1987" s="8" t="s">
        <v>9961</v>
      </c>
      <c r="K1987" s="8" t="s">
        <v>9963</v>
      </c>
      <c r="L1987" s="8" t="s">
        <v>19</v>
      </c>
      <c r="M1987" s="8">
        <v>860</v>
      </c>
      <c r="N1987" s="8" t="s">
        <v>494</v>
      </c>
      <c r="O1987" s="8">
        <v>164</v>
      </c>
      <c r="P1987" s="8" t="s">
        <v>9962</v>
      </c>
      <c r="Q1987" s="8" t="s">
        <v>4262</v>
      </c>
      <c r="R1987" s="8">
        <v>0.36099999999999999</v>
      </c>
      <c r="S1987" s="8">
        <v>108213616</v>
      </c>
      <c r="T1987" s="8" t="s">
        <v>24</v>
      </c>
      <c r="U1987" s="8" t="s">
        <v>25</v>
      </c>
    </row>
    <row r="1988" spans="1:21">
      <c r="A1988" s="8" t="s">
        <v>9889</v>
      </c>
      <c r="B1988" s="8" t="s">
        <v>9964</v>
      </c>
      <c r="C1988" s="8">
        <v>6674</v>
      </c>
      <c r="D1988" s="8" t="s">
        <v>279</v>
      </c>
      <c r="E1988" s="8">
        <v>101178113</v>
      </c>
      <c r="F1988" s="8">
        <v>101178113</v>
      </c>
      <c r="G1988" s="8" t="s">
        <v>25</v>
      </c>
      <c r="H1988" s="8" t="s">
        <v>41</v>
      </c>
      <c r="I1988" s="8" t="s">
        <v>23</v>
      </c>
      <c r="J1988" s="8" t="s">
        <v>9965</v>
      </c>
      <c r="K1988" s="8" t="s">
        <v>9967</v>
      </c>
      <c r="L1988" s="8" t="s">
        <v>19</v>
      </c>
      <c r="M1988" s="8">
        <v>298</v>
      </c>
      <c r="N1988" s="8" t="s">
        <v>3268</v>
      </c>
      <c r="O1988" s="8">
        <v>71</v>
      </c>
      <c r="P1988" s="8" t="s">
        <v>9966</v>
      </c>
      <c r="Q1988" s="8" t="s">
        <v>4262</v>
      </c>
      <c r="R1988" s="8">
        <v>0.17899999999999999</v>
      </c>
      <c r="S1988" s="8">
        <v>101178113</v>
      </c>
      <c r="T1988" s="8" t="s">
        <v>25</v>
      </c>
      <c r="U1988" s="8" t="s">
        <v>41</v>
      </c>
    </row>
    <row r="1989" spans="1:21">
      <c r="A1989" s="8" t="s">
        <v>9889</v>
      </c>
      <c r="B1989" s="8" t="s">
        <v>4086</v>
      </c>
      <c r="C1989" s="8">
        <v>7994</v>
      </c>
      <c r="D1989" s="8" t="s">
        <v>279</v>
      </c>
      <c r="E1989" s="8">
        <v>41906141</v>
      </c>
      <c r="F1989" s="8">
        <v>41906141</v>
      </c>
      <c r="G1989" s="8" t="s">
        <v>41</v>
      </c>
      <c r="H1989" s="8" t="s">
        <v>24</v>
      </c>
      <c r="I1989" s="8" t="s">
        <v>23</v>
      </c>
      <c r="J1989" s="8" t="s">
        <v>9968</v>
      </c>
      <c r="K1989" s="8" t="s">
        <v>9971</v>
      </c>
      <c r="L1989" s="8" t="s">
        <v>19</v>
      </c>
      <c r="M1989" s="8">
        <v>767</v>
      </c>
      <c r="N1989" s="8" t="s">
        <v>1626</v>
      </c>
      <c r="O1989" s="8">
        <v>119</v>
      </c>
      <c r="P1989" s="8" t="s">
        <v>9969</v>
      </c>
      <c r="Q1989" s="8" t="s">
        <v>9970</v>
      </c>
      <c r="R1989" s="8">
        <v>0.68300000000000005</v>
      </c>
      <c r="S1989" s="8">
        <v>41906141</v>
      </c>
      <c r="T1989" s="8" t="s">
        <v>41</v>
      </c>
      <c r="U1989" s="8" t="s">
        <v>24</v>
      </c>
    </row>
    <row r="1990" spans="1:21">
      <c r="A1990" s="8" t="s">
        <v>9889</v>
      </c>
      <c r="B1990" s="8" t="s">
        <v>9972</v>
      </c>
      <c r="C1990" s="8">
        <v>79956</v>
      </c>
      <c r="D1990" s="8" t="s">
        <v>292</v>
      </c>
      <c r="E1990" s="8">
        <v>5830886</v>
      </c>
      <c r="F1990" s="8">
        <v>5830886</v>
      </c>
      <c r="G1990" s="8" t="s">
        <v>46</v>
      </c>
      <c r="H1990" s="8" t="s">
        <v>41</v>
      </c>
      <c r="I1990" s="8" t="s">
        <v>23</v>
      </c>
      <c r="J1990" s="8" t="s">
        <v>9973</v>
      </c>
      <c r="K1990" s="8" t="s">
        <v>9975</v>
      </c>
      <c r="L1990" s="8" t="s">
        <v>19</v>
      </c>
      <c r="M1990" s="8">
        <v>535</v>
      </c>
      <c r="N1990" s="8" t="s">
        <v>322</v>
      </c>
      <c r="O1990" s="8">
        <v>161</v>
      </c>
      <c r="P1990" s="8" t="s">
        <v>9974</v>
      </c>
      <c r="Q1990" s="8" t="s">
        <v>4262</v>
      </c>
      <c r="R1990" s="8">
        <v>0.39100000000000001</v>
      </c>
      <c r="S1990" s="8">
        <v>5830886</v>
      </c>
      <c r="T1990" s="8" t="s">
        <v>46</v>
      </c>
      <c r="U1990" s="8" t="s">
        <v>41</v>
      </c>
    </row>
    <row r="1991" spans="1:21">
      <c r="A1991" s="8" t="s">
        <v>9889</v>
      </c>
      <c r="B1991" s="8" t="s">
        <v>2926</v>
      </c>
      <c r="C1991" s="8">
        <v>119392</v>
      </c>
      <c r="D1991" s="8" t="s">
        <v>69</v>
      </c>
      <c r="E1991" s="8">
        <v>105883853</v>
      </c>
      <c r="F1991" s="8">
        <v>105883853</v>
      </c>
      <c r="G1991" s="8" t="s">
        <v>46</v>
      </c>
      <c r="H1991" s="8" t="s">
        <v>25</v>
      </c>
      <c r="I1991" s="8" t="s">
        <v>23</v>
      </c>
      <c r="J1991" s="8" t="s">
        <v>9976</v>
      </c>
      <c r="K1991" s="8" t="s">
        <v>9978</v>
      </c>
      <c r="L1991" s="8" t="s">
        <v>19</v>
      </c>
      <c r="M1991" s="8">
        <v>530</v>
      </c>
      <c r="N1991" s="8" t="s">
        <v>2927</v>
      </c>
      <c r="O1991" s="8">
        <v>173</v>
      </c>
      <c r="P1991" s="8" t="s">
        <v>9977</v>
      </c>
      <c r="Q1991" s="8" t="s">
        <v>4262</v>
      </c>
      <c r="R1991" s="8">
        <v>0.38700000000000001</v>
      </c>
      <c r="S1991" s="8">
        <v>105883853</v>
      </c>
      <c r="T1991" s="8" t="s">
        <v>46</v>
      </c>
      <c r="U1991" s="8" t="s">
        <v>25</v>
      </c>
    </row>
    <row r="1992" spans="1:21">
      <c r="A1992" s="8" t="s">
        <v>9889</v>
      </c>
      <c r="B1992" s="8" t="s">
        <v>2930</v>
      </c>
      <c r="C1992" s="8">
        <v>51287</v>
      </c>
      <c r="D1992" s="8" t="s">
        <v>83</v>
      </c>
      <c r="E1992" s="8">
        <v>73584222</v>
      </c>
      <c r="F1992" s="8">
        <v>73584222</v>
      </c>
      <c r="G1992" s="8" t="s">
        <v>24</v>
      </c>
      <c r="H1992" s="8" t="s">
        <v>41</v>
      </c>
      <c r="I1992" s="8" t="s">
        <v>23</v>
      </c>
      <c r="J1992" s="8" t="s">
        <v>2931</v>
      </c>
      <c r="K1992" s="8" t="s">
        <v>9980</v>
      </c>
      <c r="L1992" s="8" t="s">
        <v>19</v>
      </c>
      <c r="M1992" s="8">
        <v>307</v>
      </c>
      <c r="N1992" s="8" t="s">
        <v>54</v>
      </c>
      <c r="O1992" s="8">
        <v>68</v>
      </c>
      <c r="P1992" s="8" t="s">
        <v>9979</v>
      </c>
      <c r="Q1992" s="8" t="s">
        <v>4262</v>
      </c>
      <c r="R1992" s="8">
        <v>0.35</v>
      </c>
      <c r="S1992" s="8">
        <v>73584222</v>
      </c>
      <c r="T1992" s="8" t="s">
        <v>24</v>
      </c>
      <c r="U1992" s="8" t="s">
        <v>41</v>
      </c>
    </row>
    <row r="1993" spans="1:21">
      <c r="A1993" s="8" t="s">
        <v>9889</v>
      </c>
      <c r="B1993" s="8" t="s">
        <v>2928</v>
      </c>
      <c r="C1993" s="8">
        <v>1132</v>
      </c>
      <c r="D1993" s="8" t="s">
        <v>83</v>
      </c>
      <c r="E1993" s="8">
        <v>46408046</v>
      </c>
      <c r="F1993" s="8">
        <v>46408046</v>
      </c>
      <c r="G1993" s="8" t="s">
        <v>24</v>
      </c>
      <c r="H1993" s="8" t="s">
        <v>41</v>
      </c>
      <c r="I1993" s="8" t="s">
        <v>23</v>
      </c>
      <c r="J1993" s="8" t="s">
        <v>2929</v>
      </c>
      <c r="K1993" s="8" t="s">
        <v>9982</v>
      </c>
      <c r="L1993" s="8" t="s">
        <v>76</v>
      </c>
      <c r="M1993" s="8">
        <v>62</v>
      </c>
      <c r="N1993" s="8" t="s">
        <v>609</v>
      </c>
      <c r="O1993" s="8">
        <v>21</v>
      </c>
      <c r="P1993" s="8" t="s">
        <v>9981</v>
      </c>
      <c r="Q1993" s="8" t="s">
        <v>4262</v>
      </c>
      <c r="R1993" s="8">
        <v>0.36699999999999999</v>
      </c>
      <c r="S1993" s="8">
        <v>46408046</v>
      </c>
      <c r="T1993" s="8" t="s">
        <v>24</v>
      </c>
      <c r="U1993" s="8" t="s">
        <v>41</v>
      </c>
    </row>
    <row r="1994" spans="1:21">
      <c r="A1994" s="8" t="s">
        <v>9889</v>
      </c>
      <c r="B1994" s="8" t="s">
        <v>2010</v>
      </c>
      <c r="C1994" s="8">
        <v>341640</v>
      </c>
      <c r="D1994" s="8" t="s">
        <v>339</v>
      </c>
      <c r="E1994" s="8">
        <v>39451291</v>
      </c>
      <c r="F1994" s="8">
        <v>39451291</v>
      </c>
      <c r="G1994" s="8" t="s">
        <v>46</v>
      </c>
      <c r="H1994" s="8" t="s">
        <v>24</v>
      </c>
      <c r="I1994" s="8" t="s">
        <v>23</v>
      </c>
      <c r="J1994" s="8" t="s">
        <v>2932</v>
      </c>
      <c r="K1994" s="8" t="s">
        <v>9984</v>
      </c>
      <c r="L1994" s="8" t="s">
        <v>19</v>
      </c>
      <c r="M1994" s="8">
        <v>8891</v>
      </c>
      <c r="N1994" s="8" t="s">
        <v>1341</v>
      </c>
      <c r="O1994" s="8">
        <v>2861</v>
      </c>
      <c r="P1994" s="8" t="s">
        <v>9983</v>
      </c>
      <c r="Q1994" s="8" t="s">
        <v>4262</v>
      </c>
      <c r="R1994" s="8">
        <v>0.48599999999999999</v>
      </c>
      <c r="S1994" s="8">
        <v>39451291</v>
      </c>
      <c r="T1994" s="8" t="s">
        <v>46</v>
      </c>
      <c r="U1994" s="8" t="s">
        <v>24</v>
      </c>
    </row>
    <row r="1995" spans="1:21">
      <c r="A1995" s="8" t="s">
        <v>9889</v>
      </c>
      <c r="B1995" s="8" t="s">
        <v>2933</v>
      </c>
      <c r="C1995" s="8">
        <v>54207</v>
      </c>
      <c r="D1995" s="8" t="s">
        <v>118</v>
      </c>
      <c r="E1995" s="8">
        <v>88693813</v>
      </c>
      <c r="F1995" s="8">
        <v>88693813</v>
      </c>
      <c r="G1995" s="8" t="s">
        <v>46</v>
      </c>
      <c r="H1995" s="8" t="s">
        <v>25</v>
      </c>
      <c r="I1995" s="8" t="s">
        <v>23</v>
      </c>
      <c r="J1995" s="8" t="s">
        <v>9985</v>
      </c>
      <c r="K1995" s="8" t="s">
        <v>9987</v>
      </c>
      <c r="L1995" s="8" t="s">
        <v>19</v>
      </c>
      <c r="M1995" s="8">
        <v>1038</v>
      </c>
      <c r="N1995" s="8" t="s">
        <v>780</v>
      </c>
      <c r="O1995" s="8">
        <v>196</v>
      </c>
      <c r="P1995" s="8" t="s">
        <v>9986</v>
      </c>
      <c r="Q1995" s="8" t="s">
        <v>4262</v>
      </c>
      <c r="R1995" s="8">
        <v>0.36599999999999999</v>
      </c>
      <c r="S1995" s="8">
        <v>88693813</v>
      </c>
      <c r="T1995" s="8" t="s">
        <v>46</v>
      </c>
      <c r="U1995" s="8" t="s">
        <v>25</v>
      </c>
    </row>
    <row r="1996" spans="1:21">
      <c r="A1996" s="8" t="s">
        <v>9889</v>
      </c>
      <c r="B1996" s="8" t="s">
        <v>2934</v>
      </c>
      <c r="C1996" s="8">
        <v>3990</v>
      </c>
      <c r="D1996" s="8" t="s">
        <v>120</v>
      </c>
      <c r="E1996" s="8">
        <v>58838019</v>
      </c>
      <c r="F1996" s="8">
        <v>58838019</v>
      </c>
      <c r="G1996" s="8" t="s">
        <v>25</v>
      </c>
      <c r="H1996" s="8" t="s">
        <v>24</v>
      </c>
      <c r="I1996" s="8" t="s">
        <v>23</v>
      </c>
      <c r="J1996" s="8" t="s">
        <v>2935</v>
      </c>
      <c r="K1996" s="8" t="s">
        <v>9989</v>
      </c>
      <c r="L1996" s="8" t="s">
        <v>19</v>
      </c>
      <c r="M1996" s="8">
        <v>710</v>
      </c>
      <c r="N1996" s="8" t="s">
        <v>1033</v>
      </c>
      <c r="O1996" s="8">
        <v>218</v>
      </c>
      <c r="P1996" s="8" t="s">
        <v>9988</v>
      </c>
      <c r="Q1996" s="8" t="s">
        <v>4262</v>
      </c>
      <c r="R1996" s="8">
        <v>0.40500000000000003</v>
      </c>
      <c r="S1996" s="8">
        <v>58838019</v>
      </c>
      <c r="T1996" s="8" t="s">
        <v>25</v>
      </c>
      <c r="U1996" s="8" t="s">
        <v>24</v>
      </c>
    </row>
    <row r="1997" spans="1:21">
      <c r="A1997" s="8" t="s">
        <v>9889</v>
      </c>
      <c r="B1997" s="8" t="s">
        <v>2936</v>
      </c>
      <c r="C1997" s="8">
        <v>8925</v>
      </c>
      <c r="D1997" s="8" t="s">
        <v>120</v>
      </c>
      <c r="E1997" s="8">
        <v>63952137</v>
      </c>
      <c r="F1997" s="8">
        <v>63952137</v>
      </c>
      <c r="G1997" s="8" t="s">
        <v>41</v>
      </c>
      <c r="H1997" s="8" t="s">
        <v>46</v>
      </c>
      <c r="I1997" s="8" t="s">
        <v>23</v>
      </c>
      <c r="J1997" s="8" t="s">
        <v>2937</v>
      </c>
      <c r="K1997" s="8" t="s">
        <v>6503</v>
      </c>
      <c r="L1997" s="8" t="s">
        <v>68</v>
      </c>
      <c r="M1997" s="8">
        <v>0</v>
      </c>
      <c r="N1997" s="8" t="s">
        <v>35</v>
      </c>
      <c r="O1997" s="8">
        <v>0</v>
      </c>
      <c r="P1997" s="8" t="s">
        <v>35</v>
      </c>
      <c r="Q1997" s="8" t="s">
        <v>4262</v>
      </c>
      <c r="R1997" s="8">
        <v>0.48599999999999999</v>
      </c>
      <c r="S1997" s="8">
        <v>63952137</v>
      </c>
      <c r="T1997" s="8" t="s">
        <v>41</v>
      </c>
      <c r="U1997" s="8" t="s">
        <v>46</v>
      </c>
    </row>
    <row r="1998" spans="1:21">
      <c r="A1998" s="8" t="s">
        <v>9889</v>
      </c>
      <c r="B1998" s="8" t="s">
        <v>9990</v>
      </c>
      <c r="C1998" s="8">
        <v>440275</v>
      </c>
      <c r="D1998" s="8" t="s">
        <v>120</v>
      </c>
      <c r="E1998" s="8">
        <v>40259897</v>
      </c>
      <c r="F1998" s="8">
        <v>40259897</v>
      </c>
      <c r="G1998" s="8" t="s">
        <v>25</v>
      </c>
      <c r="H1998" s="8" t="s">
        <v>41</v>
      </c>
      <c r="I1998" s="8" t="s">
        <v>23</v>
      </c>
      <c r="J1998" s="8" t="s">
        <v>9991</v>
      </c>
      <c r="K1998" s="8" t="s">
        <v>9993</v>
      </c>
      <c r="L1998" s="8" t="s">
        <v>19</v>
      </c>
      <c r="M1998" s="8">
        <v>1420</v>
      </c>
      <c r="N1998" s="8" t="s">
        <v>771</v>
      </c>
      <c r="O1998" s="8">
        <v>457</v>
      </c>
      <c r="P1998" s="8" t="s">
        <v>9992</v>
      </c>
      <c r="Q1998" s="8" t="s">
        <v>4262</v>
      </c>
      <c r="R1998" s="8">
        <v>0.27600000000000002</v>
      </c>
      <c r="S1998" s="8">
        <v>40259897</v>
      </c>
      <c r="T1998" s="8" t="s">
        <v>25</v>
      </c>
      <c r="U1998" s="8" t="s">
        <v>41</v>
      </c>
    </row>
    <row r="1999" spans="1:21">
      <c r="A1999" s="8" t="s">
        <v>9889</v>
      </c>
      <c r="B1999" s="8" t="s">
        <v>1078</v>
      </c>
      <c r="C1999" s="8">
        <v>10743</v>
      </c>
      <c r="D1999" s="8" t="s">
        <v>133</v>
      </c>
      <c r="E1999" s="8">
        <v>17697956</v>
      </c>
      <c r="F1999" s="8">
        <v>17697956</v>
      </c>
      <c r="G1999" s="8" t="s">
        <v>46</v>
      </c>
      <c r="H1999" s="8" t="s">
        <v>41</v>
      </c>
      <c r="I1999" s="8" t="s">
        <v>23</v>
      </c>
      <c r="J1999" s="8" t="s">
        <v>1079</v>
      </c>
      <c r="K1999" s="8" t="s">
        <v>9995</v>
      </c>
      <c r="L1999" s="8" t="s">
        <v>19</v>
      </c>
      <c r="M1999" s="8">
        <v>2163</v>
      </c>
      <c r="N1999" s="8" t="s">
        <v>309</v>
      </c>
      <c r="O1999" s="8">
        <v>565</v>
      </c>
      <c r="P1999" s="8" t="s">
        <v>9994</v>
      </c>
      <c r="Q1999" s="8" t="s">
        <v>4262</v>
      </c>
      <c r="R1999" s="8">
        <v>0.57699999999999996</v>
      </c>
      <c r="S1999" s="8">
        <v>17697956</v>
      </c>
      <c r="T1999" s="8" t="s">
        <v>46</v>
      </c>
      <c r="U1999" s="8" t="s">
        <v>41</v>
      </c>
    </row>
    <row r="2000" spans="1:21">
      <c r="A2000" s="8" t="s">
        <v>9889</v>
      </c>
      <c r="B2000" s="8" t="s">
        <v>2940</v>
      </c>
      <c r="C2000" s="8">
        <v>10194</v>
      </c>
      <c r="D2000" s="8" t="s">
        <v>135</v>
      </c>
      <c r="E2000" s="8">
        <v>72999619</v>
      </c>
      <c r="F2000" s="8">
        <v>72999619</v>
      </c>
      <c r="G2000" s="8" t="s">
        <v>25</v>
      </c>
      <c r="H2000" s="8" t="s">
        <v>24</v>
      </c>
      <c r="I2000" s="8" t="s">
        <v>23</v>
      </c>
      <c r="J2000" s="8" t="s">
        <v>2941</v>
      </c>
      <c r="K2000" s="8" t="s">
        <v>9997</v>
      </c>
      <c r="L2000" s="8" t="s">
        <v>19</v>
      </c>
      <c r="M2000" s="8">
        <v>2685</v>
      </c>
      <c r="N2000" s="8" t="s">
        <v>974</v>
      </c>
      <c r="O2000" s="8">
        <v>708</v>
      </c>
      <c r="P2000" s="8" t="s">
        <v>9996</v>
      </c>
      <c r="Q2000" s="8" t="s">
        <v>4262</v>
      </c>
      <c r="R2000" s="8">
        <v>0.39500000000000002</v>
      </c>
      <c r="S2000" s="8">
        <v>72999619</v>
      </c>
      <c r="T2000" s="8" t="s">
        <v>25</v>
      </c>
      <c r="U2000" s="8" t="s">
        <v>24</v>
      </c>
    </row>
    <row r="2001" spans="1:21">
      <c r="A2001" s="8" t="s">
        <v>9889</v>
      </c>
      <c r="B2001" s="8" t="s">
        <v>9998</v>
      </c>
      <c r="C2001" s="8">
        <v>2854</v>
      </c>
      <c r="D2001" s="8" t="s">
        <v>139</v>
      </c>
      <c r="E2001" s="8">
        <v>51274411</v>
      </c>
      <c r="F2001" s="8">
        <v>51274411</v>
      </c>
      <c r="G2001" s="8" t="s">
        <v>24</v>
      </c>
      <c r="H2001" s="8" t="s">
        <v>41</v>
      </c>
      <c r="I2001" s="8" t="s">
        <v>23</v>
      </c>
      <c r="J2001" s="8" t="s">
        <v>9999</v>
      </c>
      <c r="K2001" s="8" t="s">
        <v>10001</v>
      </c>
      <c r="L2001" s="8" t="s">
        <v>19</v>
      </c>
      <c r="M2001" s="8">
        <v>554</v>
      </c>
      <c r="N2001" s="8" t="s">
        <v>2963</v>
      </c>
      <c r="O2001" s="8">
        <v>185</v>
      </c>
      <c r="P2001" s="8" t="s">
        <v>10000</v>
      </c>
      <c r="Q2001" s="8" t="s">
        <v>4262</v>
      </c>
      <c r="R2001" s="8">
        <v>0.34399999999999997</v>
      </c>
      <c r="S2001" s="8">
        <v>51274411</v>
      </c>
      <c r="T2001" s="8" t="s">
        <v>24</v>
      </c>
      <c r="U2001" s="8" t="s">
        <v>41</v>
      </c>
    </row>
    <row r="2002" spans="1:21">
      <c r="A2002" s="8" t="s">
        <v>9889</v>
      </c>
      <c r="B2002" s="8" t="s">
        <v>1354</v>
      </c>
      <c r="C2002" s="8">
        <v>11027</v>
      </c>
      <c r="D2002" s="8" t="s">
        <v>139</v>
      </c>
      <c r="E2002" s="8">
        <v>55087397</v>
      </c>
      <c r="F2002" s="8">
        <v>55087397</v>
      </c>
      <c r="G2002" s="8" t="s">
        <v>24</v>
      </c>
      <c r="H2002" s="8" t="s">
        <v>41</v>
      </c>
      <c r="I2002" s="8" t="s">
        <v>23</v>
      </c>
      <c r="J2002" s="8" t="s">
        <v>9380</v>
      </c>
      <c r="K2002" s="8" t="s">
        <v>9382</v>
      </c>
      <c r="L2002" s="8" t="s">
        <v>19</v>
      </c>
      <c r="M2002" s="8">
        <v>1165</v>
      </c>
      <c r="N2002" s="8" t="s">
        <v>270</v>
      </c>
      <c r="O2002" s="8">
        <v>359</v>
      </c>
      <c r="P2002" s="8" t="s">
        <v>10002</v>
      </c>
      <c r="Q2002" s="8" t="s">
        <v>4262</v>
      </c>
      <c r="R2002" s="8">
        <v>0.33</v>
      </c>
      <c r="S2002" s="8">
        <v>55087397</v>
      </c>
      <c r="T2002" s="8" t="s">
        <v>24</v>
      </c>
      <c r="U2002" s="8" t="s">
        <v>41</v>
      </c>
    </row>
    <row r="2003" spans="1:21">
      <c r="A2003" s="8" t="s">
        <v>9889</v>
      </c>
      <c r="B2003" s="8" t="s">
        <v>1093</v>
      </c>
      <c r="C2003" s="8">
        <v>94025</v>
      </c>
      <c r="D2003" s="8" t="s">
        <v>139</v>
      </c>
      <c r="E2003" s="8">
        <v>9049047</v>
      </c>
      <c r="F2003" s="8">
        <v>9049047</v>
      </c>
      <c r="G2003" s="8" t="s">
        <v>41</v>
      </c>
      <c r="H2003" s="8" t="s">
        <v>46</v>
      </c>
      <c r="I2003" s="8" t="s">
        <v>23</v>
      </c>
      <c r="J2003" s="8" t="s">
        <v>1094</v>
      </c>
      <c r="K2003" s="8" t="s">
        <v>4408</v>
      </c>
      <c r="L2003" s="8" t="s">
        <v>19</v>
      </c>
      <c r="M2003" s="8">
        <v>32788</v>
      </c>
      <c r="N2003" s="8" t="s">
        <v>1209</v>
      </c>
      <c r="O2003" s="8">
        <v>10862</v>
      </c>
      <c r="P2003" s="8" t="s">
        <v>10003</v>
      </c>
      <c r="Q2003" s="8" t="s">
        <v>4262</v>
      </c>
      <c r="R2003" s="8">
        <v>0.33800000000000002</v>
      </c>
      <c r="S2003" s="8">
        <v>9049047</v>
      </c>
      <c r="T2003" s="8" t="s">
        <v>41</v>
      </c>
      <c r="U2003" s="8" t="s">
        <v>46</v>
      </c>
    </row>
    <row r="2004" spans="1:21">
      <c r="A2004" s="8" t="s">
        <v>9889</v>
      </c>
      <c r="B2004" s="8" t="s">
        <v>10004</v>
      </c>
      <c r="C2004" s="8">
        <v>9817</v>
      </c>
      <c r="D2004" s="8" t="s">
        <v>139</v>
      </c>
      <c r="E2004" s="8">
        <v>10597459</v>
      </c>
      <c r="F2004" s="8">
        <v>10597459</v>
      </c>
      <c r="G2004" s="8" t="s">
        <v>46</v>
      </c>
      <c r="H2004" s="8" t="s">
        <v>41</v>
      </c>
      <c r="I2004" s="8" t="s">
        <v>23</v>
      </c>
      <c r="J2004" s="8" t="s">
        <v>10005</v>
      </c>
      <c r="K2004" s="8" t="s">
        <v>10007</v>
      </c>
      <c r="L2004" s="8" t="s">
        <v>19</v>
      </c>
      <c r="M2004" s="8">
        <v>1929</v>
      </c>
      <c r="N2004" s="8" t="s">
        <v>166</v>
      </c>
      <c r="O2004" s="8">
        <v>582</v>
      </c>
      <c r="P2004" s="8" t="s">
        <v>10006</v>
      </c>
      <c r="Q2004" s="8" t="s">
        <v>4262</v>
      </c>
      <c r="R2004" s="8">
        <v>0.122</v>
      </c>
      <c r="S2004" s="8">
        <v>10597459</v>
      </c>
      <c r="T2004" s="8" t="s">
        <v>46</v>
      </c>
      <c r="U2004" s="8" t="s">
        <v>41</v>
      </c>
    </row>
    <row r="2005" spans="1:21">
      <c r="A2005" s="8" t="s">
        <v>9889</v>
      </c>
      <c r="B2005" s="8" t="s">
        <v>1497</v>
      </c>
      <c r="C2005" s="8">
        <v>90649</v>
      </c>
      <c r="D2005" s="8" t="s">
        <v>139</v>
      </c>
      <c r="E2005" s="8">
        <v>20308465</v>
      </c>
      <c r="F2005" s="8">
        <v>20308465</v>
      </c>
      <c r="G2005" s="8" t="s">
        <v>46</v>
      </c>
      <c r="H2005" s="8" t="s">
        <v>41</v>
      </c>
      <c r="I2005" s="8" t="s">
        <v>23</v>
      </c>
      <c r="J2005" s="8" t="s">
        <v>1498</v>
      </c>
      <c r="K2005" s="8" t="s">
        <v>10009</v>
      </c>
      <c r="L2005" s="8" t="s">
        <v>19</v>
      </c>
      <c r="M2005" s="8">
        <v>1003</v>
      </c>
      <c r="N2005" s="8" t="s">
        <v>2843</v>
      </c>
      <c r="O2005" s="8">
        <v>316</v>
      </c>
      <c r="P2005" s="8" t="s">
        <v>10008</v>
      </c>
      <c r="Q2005" s="8" t="s">
        <v>4262</v>
      </c>
      <c r="R2005" s="8">
        <v>0.36699999999999999</v>
      </c>
      <c r="S2005" s="8">
        <v>20308465</v>
      </c>
      <c r="T2005" s="8" t="s">
        <v>46</v>
      </c>
      <c r="U2005" s="8" t="s">
        <v>41</v>
      </c>
    </row>
    <row r="2006" spans="1:21">
      <c r="A2006" s="8" t="s">
        <v>9889</v>
      </c>
      <c r="B2006" s="8" t="s">
        <v>10010</v>
      </c>
      <c r="C2006" s="8">
        <v>7638</v>
      </c>
      <c r="D2006" s="8" t="s">
        <v>139</v>
      </c>
      <c r="E2006" s="8">
        <v>44470540</v>
      </c>
      <c r="F2006" s="8">
        <v>44470540</v>
      </c>
      <c r="G2006" s="8" t="s">
        <v>46</v>
      </c>
      <c r="H2006" s="8" t="s">
        <v>41</v>
      </c>
      <c r="I2006" s="8" t="s">
        <v>23</v>
      </c>
      <c r="J2006" s="8" t="s">
        <v>10011</v>
      </c>
      <c r="K2006" s="8" t="s">
        <v>10013</v>
      </c>
      <c r="L2006" s="8" t="s">
        <v>76</v>
      </c>
      <c r="M2006" s="8">
        <v>1214</v>
      </c>
      <c r="N2006" s="8" t="s">
        <v>371</v>
      </c>
      <c r="O2006" s="8">
        <v>296</v>
      </c>
      <c r="P2006" s="8" t="s">
        <v>10012</v>
      </c>
      <c r="Q2006" s="8" t="s">
        <v>4262</v>
      </c>
      <c r="R2006" s="8">
        <v>0.41299999999999998</v>
      </c>
      <c r="S2006" s="8">
        <v>44470540</v>
      </c>
      <c r="T2006" s="8" t="s">
        <v>46</v>
      </c>
      <c r="U2006" s="8" t="s">
        <v>41</v>
      </c>
    </row>
    <row r="2007" spans="1:21">
      <c r="A2007" s="8" t="s">
        <v>9889</v>
      </c>
      <c r="B2007" s="8" t="s">
        <v>2942</v>
      </c>
      <c r="C2007" s="8">
        <v>55734</v>
      </c>
      <c r="D2007" s="8" t="s">
        <v>188</v>
      </c>
      <c r="E2007" s="8">
        <v>50803398</v>
      </c>
      <c r="F2007" s="8">
        <v>50803398</v>
      </c>
      <c r="G2007" s="8" t="s">
        <v>41</v>
      </c>
      <c r="H2007" s="8" t="s">
        <v>46</v>
      </c>
      <c r="I2007" s="8" t="s">
        <v>23</v>
      </c>
      <c r="J2007" s="8" t="s">
        <v>10014</v>
      </c>
      <c r="K2007" s="8" t="s">
        <v>10016</v>
      </c>
      <c r="L2007" s="8" t="s">
        <v>19</v>
      </c>
      <c r="M2007" s="8">
        <v>608</v>
      </c>
      <c r="N2007" s="8" t="s">
        <v>673</v>
      </c>
      <c r="O2007" s="8">
        <v>87</v>
      </c>
      <c r="P2007" s="8" t="s">
        <v>10015</v>
      </c>
      <c r="Q2007" s="8" t="s">
        <v>4262</v>
      </c>
      <c r="R2007" s="8">
        <v>0.56999999999999995</v>
      </c>
      <c r="S2007" s="8">
        <v>50803398</v>
      </c>
      <c r="T2007" s="8" t="s">
        <v>41</v>
      </c>
      <c r="U2007" s="8" t="s">
        <v>46</v>
      </c>
    </row>
    <row r="2008" spans="1:21">
      <c r="A2008" s="8" t="s">
        <v>9889</v>
      </c>
      <c r="B2008" s="8" t="s">
        <v>10017</v>
      </c>
      <c r="C2008" s="8">
        <v>2036</v>
      </c>
      <c r="D2008" s="8" t="s">
        <v>188</v>
      </c>
      <c r="E2008" s="8">
        <v>34809844</v>
      </c>
      <c r="F2008" s="8">
        <v>34809844</v>
      </c>
      <c r="G2008" s="8" t="s">
        <v>25</v>
      </c>
      <c r="H2008" s="8" t="s">
        <v>41</v>
      </c>
      <c r="I2008" s="8" t="s">
        <v>23</v>
      </c>
      <c r="J2008" s="8" t="s">
        <v>10018</v>
      </c>
      <c r="K2008" s="8" t="s">
        <v>10020</v>
      </c>
      <c r="L2008" s="8" t="s">
        <v>19</v>
      </c>
      <c r="M2008" s="8">
        <v>2669</v>
      </c>
      <c r="N2008" s="8" t="s">
        <v>771</v>
      </c>
      <c r="O2008" s="8">
        <v>833</v>
      </c>
      <c r="P2008" s="8" t="s">
        <v>10019</v>
      </c>
      <c r="Q2008" s="8" t="s">
        <v>4262</v>
      </c>
      <c r="R2008" s="8">
        <v>6.8000000000000005E-2</v>
      </c>
      <c r="S2008" s="8">
        <v>34809844</v>
      </c>
      <c r="T2008" s="8" t="s">
        <v>25</v>
      </c>
      <c r="U2008" s="8" t="s">
        <v>41</v>
      </c>
    </row>
    <row r="2009" spans="1:21">
      <c r="A2009" s="8" t="s">
        <v>9889</v>
      </c>
      <c r="B2009" s="8" t="s">
        <v>2943</v>
      </c>
      <c r="C2009" s="8">
        <v>337879</v>
      </c>
      <c r="D2009" s="8" t="s">
        <v>193</v>
      </c>
      <c r="E2009" s="8">
        <v>32185529</v>
      </c>
      <c r="F2009" s="8">
        <v>32185529</v>
      </c>
      <c r="G2009" s="8" t="s">
        <v>46</v>
      </c>
      <c r="H2009" s="8" t="s">
        <v>41</v>
      </c>
      <c r="I2009" s="8" t="s">
        <v>23</v>
      </c>
      <c r="J2009" s="8" t="s">
        <v>2944</v>
      </c>
      <c r="K2009" s="8" t="s">
        <v>10022</v>
      </c>
      <c r="L2009" s="8" t="s">
        <v>19</v>
      </c>
      <c r="M2009" s="8">
        <v>42</v>
      </c>
      <c r="N2009" s="8" t="s">
        <v>485</v>
      </c>
      <c r="O2009" s="8">
        <v>4</v>
      </c>
      <c r="P2009" s="8" t="s">
        <v>10021</v>
      </c>
      <c r="Q2009" s="8" t="s">
        <v>4262</v>
      </c>
      <c r="R2009" s="8">
        <v>0.41899999999999998</v>
      </c>
      <c r="S2009" s="8">
        <v>32185529</v>
      </c>
      <c r="T2009" s="8" t="s">
        <v>46</v>
      </c>
      <c r="U2009" s="8" t="s">
        <v>41</v>
      </c>
    </row>
    <row r="2010" spans="1:21">
      <c r="A2010" s="8" t="s">
        <v>9889</v>
      </c>
      <c r="B2010" s="8" t="s">
        <v>2945</v>
      </c>
      <c r="C2010" s="8">
        <v>2687</v>
      </c>
      <c r="D2010" s="8" t="s">
        <v>197</v>
      </c>
      <c r="E2010" s="8">
        <v>24640554</v>
      </c>
      <c r="F2010" s="8">
        <v>24640554</v>
      </c>
      <c r="G2010" s="8" t="s">
        <v>24</v>
      </c>
      <c r="H2010" s="8" t="s">
        <v>25</v>
      </c>
      <c r="I2010" s="8" t="s">
        <v>23</v>
      </c>
      <c r="J2010" s="8" t="s">
        <v>10023</v>
      </c>
      <c r="K2010" s="8" t="s">
        <v>10025</v>
      </c>
      <c r="L2010" s="8" t="s">
        <v>19</v>
      </c>
      <c r="M2010" s="8">
        <v>557</v>
      </c>
      <c r="N2010" s="8" t="s">
        <v>1421</v>
      </c>
      <c r="O2010" s="8">
        <v>47</v>
      </c>
      <c r="P2010" s="8" t="s">
        <v>10024</v>
      </c>
      <c r="Q2010" s="8" t="s">
        <v>4262</v>
      </c>
      <c r="R2010" s="8">
        <v>0.36</v>
      </c>
      <c r="S2010" s="8">
        <v>24640554</v>
      </c>
      <c r="T2010" s="8" t="s">
        <v>24</v>
      </c>
      <c r="U2010" s="8" t="s">
        <v>25</v>
      </c>
    </row>
    <row r="2011" spans="1:21">
      <c r="A2011" s="8" t="s">
        <v>9889</v>
      </c>
      <c r="B2011" s="8" t="s">
        <v>4093</v>
      </c>
      <c r="C2011" s="8">
        <v>84700</v>
      </c>
      <c r="D2011" s="8" t="s">
        <v>197</v>
      </c>
      <c r="E2011" s="8">
        <v>26343773</v>
      </c>
      <c r="F2011" s="8">
        <v>26343773</v>
      </c>
      <c r="G2011" s="8" t="s">
        <v>24</v>
      </c>
      <c r="H2011" s="8" t="s">
        <v>41</v>
      </c>
      <c r="I2011" s="8" t="s">
        <v>23</v>
      </c>
      <c r="J2011" s="8" t="s">
        <v>7056</v>
      </c>
      <c r="K2011" s="8" t="s">
        <v>7058</v>
      </c>
      <c r="L2011" s="8" t="s">
        <v>19</v>
      </c>
      <c r="M2011" s="8">
        <v>5977</v>
      </c>
      <c r="N2011" s="8" t="s">
        <v>490</v>
      </c>
      <c r="O2011" s="8">
        <v>1909</v>
      </c>
      <c r="P2011" s="8" t="s">
        <v>10026</v>
      </c>
      <c r="Q2011" s="8" t="s">
        <v>4262</v>
      </c>
      <c r="R2011" s="8">
        <v>0.377</v>
      </c>
      <c r="S2011" s="8">
        <v>26343773</v>
      </c>
      <c r="T2011" s="8" t="s">
        <v>24</v>
      </c>
      <c r="U2011" s="8" t="s">
        <v>41</v>
      </c>
    </row>
    <row r="2012" spans="1:21">
      <c r="A2012" s="8" t="s">
        <v>9889</v>
      </c>
      <c r="B2012" s="8" t="s">
        <v>2819</v>
      </c>
      <c r="C2012" s="8">
        <v>8471</v>
      </c>
      <c r="D2012" s="8" t="s">
        <v>418</v>
      </c>
      <c r="E2012" s="8">
        <v>107978167</v>
      </c>
      <c r="F2012" s="8">
        <v>107978167</v>
      </c>
      <c r="G2012" s="8" t="s">
        <v>46</v>
      </c>
      <c r="H2012" s="8" t="s">
        <v>24</v>
      </c>
      <c r="I2012" s="8" t="s">
        <v>23</v>
      </c>
      <c r="J2012" s="8" t="s">
        <v>2820</v>
      </c>
      <c r="K2012" s="8" t="s">
        <v>10028</v>
      </c>
      <c r="L2012" s="8" t="s">
        <v>19</v>
      </c>
      <c r="M2012" s="8">
        <v>1441</v>
      </c>
      <c r="N2012" s="8" t="s">
        <v>588</v>
      </c>
      <c r="O2012" s="8">
        <v>470</v>
      </c>
      <c r="P2012" s="8" t="s">
        <v>10027</v>
      </c>
      <c r="Q2012" s="8" t="s">
        <v>4262</v>
      </c>
      <c r="R2012" s="8">
        <v>0.79700000000000004</v>
      </c>
      <c r="S2012" s="8">
        <v>107978167</v>
      </c>
      <c r="T2012" s="8" t="s">
        <v>46</v>
      </c>
      <c r="U2012" s="8" t="s">
        <v>24</v>
      </c>
    </row>
    <row r="2013" spans="1:21">
      <c r="A2013" s="8" t="s">
        <v>10032</v>
      </c>
      <c r="B2013" s="8" t="s">
        <v>1992</v>
      </c>
      <c r="C2013" s="8">
        <v>7812</v>
      </c>
      <c r="D2013" s="8" t="s">
        <v>22</v>
      </c>
      <c r="E2013" s="8">
        <v>115276728</v>
      </c>
      <c r="F2013" s="8">
        <v>115276728</v>
      </c>
      <c r="G2013" s="8" t="s">
        <v>46</v>
      </c>
      <c r="H2013" s="8" t="s">
        <v>41</v>
      </c>
      <c r="I2013" s="8" t="s">
        <v>23</v>
      </c>
      <c r="J2013" s="8" t="s">
        <v>10029</v>
      </c>
      <c r="K2013" s="8" t="s">
        <v>10031</v>
      </c>
      <c r="L2013" s="8" t="s">
        <v>19</v>
      </c>
      <c r="M2013" s="8">
        <v>1253</v>
      </c>
      <c r="N2013" s="8" t="s">
        <v>205</v>
      </c>
      <c r="O2013" s="8">
        <v>244</v>
      </c>
      <c r="P2013" s="8" t="s">
        <v>10030</v>
      </c>
      <c r="Q2013" s="8" t="s">
        <v>4262</v>
      </c>
      <c r="R2013" s="8">
        <v>0.39300000000000002</v>
      </c>
      <c r="S2013" s="8">
        <v>115276728</v>
      </c>
      <c r="T2013" s="8" t="s">
        <v>46</v>
      </c>
      <c r="U2013" s="8" t="s">
        <v>41</v>
      </c>
    </row>
    <row r="2014" spans="1:21">
      <c r="A2014" s="8" t="s">
        <v>10032</v>
      </c>
      <c r="B2014" s="8" t="s">
        <v>2377</v>
      </c>
      <c r="C2014" s="8">
        <v>343413</v>
      </c>
      <c r="D2014" s="8" t="s">
        <v>22</v>
      </c>
      <c r="E2014" s="8">
        <v>159779320</v>
      </c>
      <c r="F2014" s="8">
        <v>159779320</v>
      </c>
      <c r="G2014" s="8" t="s">
        <v>24</v>
      </c>
      <c r="H2014" s="8" t="s">
        <v>25</v>
      </c>
      <c r="I2014" s="8" t="s">
        <v>23</v>
      </c>
      <c r="J2014" s="8" t="s">
        <v>2378</v>
      </c>
      <c r="K2014" s="8" t="s">
        <v>7094</v>
      </c>
      <c r="L2014" s="8" t="s">
        <v>19</v>
      </c>
      <c r="M2014" s="8">
        <v>775</v>
      </c>
      <c r="N2014" s="8" t="s">
        <v>166</v>
      </c>
      <c r="O2014" s="8">
        <v>245</v>
      </c>
      <c r="P2014" s="8" t="s">
        <v>10033</v>
      </c>
      <c r="Q2014" s="8" t="s">
        <v>4262</v>
      </c>
      <c r="R2014" s="8">
        <v>0.39300000000000002</v>
      </c>
      <c r="S2014" s="8">
        <v>159779320</v>
      </c>
      <c r="T2014" s="8" t="s">
        <v>24</v>
      </c>
      <c r="U2014" s="8" t="s">
        <v>25</v>
      </c>
    </row>
    <row r="2015" spans="1:21">
      <c r="A2015" s="8" t="s">
        <v>10032</v>
      </c>
      <c r="B2015" s="8" t="s">
        <v>2358</v>
      </c>
      <c r="C2015" s="8">
        <v>3417</v>
      </c>
      <c r="D2015" s="8" t="s">
        <v>172</v>
      </c>
      <c r="E2015" s="8">
        <v>209113113</v>
      </c>
      <c r="F2015" s="8">
        <v>209113113</v>
      </c>
      <c r="G2015" s="8" t="s">
        <v>24</v>
      </c>
      <c r="H2015" s="8" t="s">
        <v>25</v>
      </c>
      <c r="I2015" s="8" t="s">
        <v>23</v>
      </c>
      <c r="J2015" s="8" t="s">
        <v>2359</v>
      </c>
      <c r="K2015" s="8" t="s">
        <v>10036</v>
      </c>
      <c r="L2015" s="8" t="s">
        <v>19</v>
      </c>
      <c r="M2015" s="8">
        <v>628</v>
      </c>
      <c r="N2015" s="8" t="s">
        <v>614</v>
      </c>
      <c r="O2015" s="8">
        <v>132</v>
      </c>
      <c r="P2015" s="8" t="s">
        <v>10034</v>
      </c>
      <c r="Q2015" s="8" t="s">
        <v>10035</v>
      </c>
      <c r="R2015" s="8">
        <v>0.26900000000000002</v>
      </c>
      <c r="S2015" s="8">
        <v>209113113</v>
      </c>
      <c r="T2015" s="8" t="s">
        <v>24</v>
      </c>
      <c r="U2015" s="8" t="s">
        <v>25</v>
      </c>
    </row>
    <row r="2016" spans="1:21">
      <c r="A2016" s="8" t="s">
        <v>10032</v>
      </c>
      <c r="B2016" s="8" t="s">
        <v>10037</v>
      </c>
      <c r="C2016" s="8">
        <v>10402</v>
      </c>
      <c r="D2016" s="8" t="s">
        <v>201</v>
      </c>
      <c r="E2016" s="8">
        <v>98491678</v>
      </c>
      <c r="F2016" s="8">
        <v>98491678</v>
      </c>
      <c r="G2016" s="8" t="s">
        <v>41</v>
      </c>
      <c r="H2016" s="8" t="s">
        <v>24</v>
      </c>
      <c r="I2016" s="8" t="s">
        <v>23</v>
      </c>
      <c r="J2016" s="8" t="s">
        <v>10038</v>
      </c>
      <c r="K2016" s="8" t="s">
        <v>10039</v>
      </c>
      <c r="L2016" s="8" t="s">
        <v>19</v>
      </c>
      <c r="M2016" s="8">
        <v>656</v>
      </c>
      <c r="N2016" s="8" t="s">
        <v>633</v>
      </c>
      <c r="O2016" s="8">
        <v>63</v>
      </c>
      <c r="P2016" s="8" t="s">
        <v>8828</v>
      </c>
      <c r="Q2016" s="8" t="s">
        <v>4262</v>
      </c>
      <c r="R2016" s="8">
        <v>0.25700000000000001</v>
      </c>
      <c r="S2016" s="8">
        <v>98491678</v>
      </c>
      <c r="T2016" s="8" t="s">
        <v>41</v>
      </c>
      <c r="U2016" s="8" t="s">
        <v>24</v>
      </c>
    </row>
    <row r="2017" spans="1:21">
      <c r="A2017" s="8" t="s">
        <v>10032</v>
      </c>
      <c r="B2017" s="8" t="s">
        <v>2069</v>
      </c>
      <c r="C2017" s="8">
        <v>131368</v>
      </c>
      <c r="D2017" s="8" t="s">
        <v>201</v>
      </c>
      <c r="E2017" s="8">
        <v>102176699</v>
      </c>
      <c r="F2017" s="8">
        <v>102176699</v>
      </c>
      <c r="G2017" s="8" t="s">
        <v>41</v>
      </c>
      <c r="H2017" s="8" t="s">
        <v>46</v>
      </c>
      <c r="I2017" s="8" t="s">
        <v>23</v>
      </c>
      <c r="J2017" s="8" t="s">
        <v>2383</v>
      </c>
      <c r="K2017" s="8" t="s">
        <v>10040</v>
      </c>
      <c r="L2017" s="8" t="s">
        <v>68</v>
      </c>
      <c r="M2017" s="8">
        <v>0</v>
      </c>
      <c r="N2017" s="8" t="s">
        <v>35</v>
      </c>
      <c r="O2017" s="8">
        <v>0</v>
      </c>
      <c r="P2017" s="8" t="s">
        <v>35</v>
      </c>
      <c r="Q2017" s="8" t="s">
        <v>4262</v>
      </c>
      <c r="R2017" s="8">
        <v>0.41099999999999998</v>
      </c>
      <c r="S2017" s="8">
        <v>102176699</v>
      </c>
      <c r="T2017" s="8" t="s">
        <v>41</v>
      </c>
      <c r="U2017" s="8" t="s">
        <v>46</v>
      </c>
    </row>
    <row r="2018" spans="1:21">
      <c r="A2018" s="8" t="s">
        <v>10032</v>
      </c>
      <c r="B2018" s="8" t="s">
        <v>10041</v>
      </c>
      <c r="C2018" s="8">
        <v>10954</v>
      </c>
      <c r="D2018" s="8" t="s">
        <v>201</v>
      </c>
      <c r="E2018" s="8">
        <v>122825675</v>
      </c>
      <c r="F2018" s="8">
        <v>122825675</v>
      </c>
      <c r="G2018" s="8" t="s">
        <v>41</v>
      </c>
      <c r="H2018" s="8" t="s">
        <v>24</v>
      </c>
      <c r="I2018" s="8" t="s">
        <v>23</v>
      </c>
      <c r="J2018" s="8" t="s">
        <v>10042</v>
      </c>
      <c r="K2018" s="8" t="s">
        <v>10044</v>
      </c>
      <c r="L2018" s="8" t="s">
        <v>19</v>
      </c>
      <c r="M2018" s="8">
        <v>623</v>
      </c>
      <c r="N2018" s="8" t="s">
        <v>886</v>
      </c>
      <c r="O2018" s="8">
        <v>156</v>
      </c>
      <c r="P2018" s="8" t="s">
        <v>10043</v>
      </c>
      <c r="Q2018" s="8" t="s">
        <v>4262</v>
      </c>
      <c r="R2018" s="8">
        <v>5.6000000000000001E-2</v>
      </c>
      <c r="S2018" s="8">
        <v>122825675</v>
      </c>
      <c r="T2018" s="8" t="s">
        <v>41</v>
      </c>
      <c r="U2018" s="8" t="s">
        <v>24</v>
      </c>
    </row>
    <row r="2019" spans="1:21">
      <c r="A2019" s="8" t="s">
        <v>10032</v>
      </c>
      <c r="B2019" s="8" t="s">
        <v>8737</v>
      </c>
      <c r="C2019" s="8">
        <v>545</v>
      </c>
      <c r="D2019" s="8" t="s">
        <v>201</v>
      </c>
      <c r="E2019" s="8">
        <v>142180908</v>
      </c>
      <c r="F2019" s="8">
        <v>142180908</v>
      </c>
      <c r="G2019" s="8" t="s">
        <v>24</v>
      </c>
      <c r="H2019" s="8" t="s">
        <v>25</v>
      </c>
      <c r="I2019" s="8" t="s">
        <v>23</v>
      </c>
      <c r="J2019" s="8" t="s">
        <v>8738</v>
      </c>
      <c r="K2019" s="8" t="s">
        <v>8740</v>
      </c>
      <c r="L2019" s="8" t="s">
        <v>19</v>
      </c>
      <c r="M2019" s="8">
        <v>7188</v>
      </c>
      <c r="N2019" s="8" t="s">
        <v>614</v>
      </c>
      <c r="O2019" s="8">
        <v>2356</v>
      </c>
      <c r="P2019" s="8" t="s">
        <v>10045</v>
      </c>
      <c r="Q2019" s="8" t="s">
        <v>4262</v>
      </c>
      <c r="R2019" s="8">
        <v>0.19800000000000001</v>
      </c>
      <c r="S2019" s="8">
        <v>142180908</v>
      </c>
      <c r="T2019" s="8" t="s">
        <v>24</v>
      </c>
      <c r="U2019" s="8" t="s">
        <v>25</v>
      </c>
    </row>
    <row r="2020" spans="1:21">
      <c r="A2020" s="8" t="s">
        <v>10032</v>
      </c>
      <c r="B2020" s="8" t="s">
        <v>1953</v>
      </c>
      <c r="C2020" s="8">
        <v>5337</v>
      </c>
      <c r="D2020" s="8" t="s">
        <v>201</v>
      </c>
      <c r="E2020" s="8">
        <v>171377047</v>
      </c>
      <c r="F2020" s="8">
        <v>171377047</v>
      </c>
      <c r="G2020" s="8" t="s">
        <v>24</v>
      </c>
      <c r="H2020" s="8" t="s">
        <v>41</v>
      </c>
      <c r="I2020" s="8" t="s">
        <v>23</v>
      </c>
      <c r="J2020" s="8" t="s">
        <v>10046</v>
      </c>
      <c r="K2020" s="8" t="s">
        <v>10048</v>
      </c>
      <c r="L2020" s="8" t="s">
        <v>19</v>
      </c>
      <c r="M2020" s="8">
        <v>2501</v>
      </c>
      <c r="N2020" s="8" t="s">
        <v>783</v>
      </c>
      <c r="O2020" s="8">
        <v>795</v>
      </c>
      <c r="P2020" s="8" t="s">
        <v>10047</v>
      </c>
      <c r="Q2020" s="8" t="s">
        <v>4262</v>
      </c>
      <c r="R2020" s="8">
        <v>6.4000000000000001E-2</v>
      </c>
      <c r="S2020" s="8">
        <v>171377047</v>
      </c>
      <c r="T2020" s="8" t="s">
        <v>24</v>
      </c>
      <c r="U2020" s="8" t="s">
        <v>41</v>
      </c>
    </row>
    <row r="2021" spans="1:21">
      <c r="A2021" s="8" t="s">
        <v>10032</v>
      </c>
      <c r="B2021" s="8" t="s">
        <v>2384</v>
      </c>
      <c r="C2021" s="8">
        <v>151963</v>
      </c>
      <c r="D2021" s="8" t="s">
        <v>201</v>
      </c>
      <c r="E2021" s="8">
        <v>192516477</v>
      </c>
      <c r="F2021" s="8">
        <v>192516477</v>
      </c>
      <c r="G2021" s="8" t="s">
        <v>41</v>
      </c>
      <c r="H2021" s="8" t="s">
        <v>46</v>
      </c>
      <c r="I2021" s="8" t="s">
        <v>23</v>
      </c>
      <c r="J2021" s="8" t="s">
        <v>2385</v>
      </c>
      <c r="K2021" s="8" t="s">
        <v>10049</v>
      </c>
      <c r="L2021" s="8" t="s">
        <v>19</v>
      </c>
      <c r="M2021" s="8">
        <v>1495</v>
      </c>
      <c r="N2021" s="8" t="s">
        <v>319</v>
      </c>
      <c r="O2021" s="8">
        <v>392</v>
      </c>
      <c r="P2021" s="8" t="s">
        <v>7925</v>
      </c>
      <c r="Q2021" s="8" t="s">
        <v>4262</v>
      </c>
      <c r="R2021" s="8">
        <v>0.40500000000000003</v>
      </c>
      <c r="S2021" s="8">
        <v>192516477</v>
      </c>
      <c r="T2021" s="8" t="s">
        <v>41</v>
      </c>
      <c r="U2021" s="8" t="s">
        <v>46</v>
      </c>
    </row>
    <row r="2022" spans="1:21">
      <c r="A2022" s="8" t="s">
        <v>10032</v>
      </c>
      <c r="B2022" s="8" t="s">
        <v>2295</v>
      </c>
      <c r="C2022" s="8">
        <v>730</v>
      </c>
      <c r="D2022" s="8" t="s">
        <v>226</v>
      </c>
      <c r="E2022" s="8">
        <v>40931171</v>
      </c>
      <c r="F2022" s="8">
        <v>40931171</v>
      </c>
      <c r="G2022" s="8" t="s">
        <v>46</v>
      </c>
      <c r="H2022" s="8" t="s">
        <v>24</v>
      </c>
      <c r="I2022" s="8" t="s">
        <v>23</v>
      </c>
      <c r="J2022" s="8" t="s">
        <v>10050</v>
      </c>
      <c r="K2022" s="8" t="s">
        <v>10052</v>
      </c>
      <c r="L2022" s="8" t="s">
        <v>19</v>
      </c>
      <c r="M2022" s="8">
        <v>182</v>
      </c>
      <c r="N2022" s="8" t="s">
        <v>810</v>
      </c>
      <c r="O2022" s="8">
        <v>23</v>
      </c>
      <c r="P2022" s="8" t="s">
        <v>10051</v>
      </c>
      <c r="Q2022" s="8" t="s">
        <v>4262</v>
      </c>
      <c r="R2022" s="8">
        <v>0.24399999999999999</v>
      </c>
      <c r="S2022" s="8">
        <v>40931171</v>
      </c>
      <c r="T2022" s="8" t="s">
        <v>46</v>
      </c>
      <c r="U2022" s="8" t="s">
        <v>24</v>
      </c>
    </row>
    <row r="2023" spans="1:21">
      <c r="A2023" s="8" t="s">
        <v>10032</v>
      </c>
      <c r="B2023" s="8" t="s">
        <v>10053</v>
      </c>
      <c r="C2023" s="8">
        <v>202</v>
      </c>
      <c r="D2023" s="8" t="s">
        <v>237</v>
      </c>
      <c r="E2023" s="8">
        <v>106967946</v>
      </c>
      <c r="F2023" s="8">
        <v>106967946</v>
      </c>
      <c r="G2023" s="8" t="s">
        <v>24</v>
      </c>
      <c r="H2023" s="8" t="s">
        <v>25</v>
      </c>
      <c r="I2023" s="8" t="s">
        <v>23</v>
      </c>
      <c r="J2023" s="8" t="s">
        <v>10054</v>
      </c>
      <c r="K2023" s="8" t="s">
        <v>10057</v>
      </c>
      <c r="L2023" s="8" t="s">
        <v>19</v>
      </c>
      <c r="M2023" s="8">
        <v>2126</v>
      </c>
      <c r="N2023" s="8" t="s">
        <v>21</v>
      </c>
      <c r="O2023" s="8">
        <v>547</v>
      </c>
      <c r="P2023" s="8" t="s">
        <v>10055</v>
      </c>
      <c r="Q2023" s="8" t="s">
        <v>10056</v>
      </c>
      <c r="R2023" s="8">
        <v>0.51100000000000001</v>
      </c>
      <c r="S2023" s="8">
        <v>106967946</v>
      </c>
      <c r="T2023" s="8" t="s">
        <v>24</v>
      </c>
      <c r="U2023" s="8" t="s">
        <v>25</v>
      </c>
    </row>
    <row r="2024" spans="1:21">
      <c r="A2024" s="8" t="s">
        <v>10032</v>
      </c>
      <c r="B2024" s="8" t="s">
        <v>388</v>
      </c>
      <c r="C2024" s="8">
        <v>3908</v>
      </c>
      <c r="D2024" s="8" t="s">
        <v>237</v>
      </c>
      <c r="E2024" s="8">
        <v>129725000</v>
      </c>
      <c r="F2024" s="8">
        <v>129725000</v>
      </c>
      <c r="G2024" s="8" t="s">
        <v>24</v>
      </c>
      <c r="H2024" s="8" t="s">
        <v>41</v>
      </c>
      <c r="I2024" s="8" t="s">
        <v>23</v>
      </c>
      <c r="J2024" s="8" t="s">
        <v>8863</v>
      </c>
      <c r="K2024" s="8" t="s">
        <v>8865</v>
      </c>
      <c r="L2024" s="8" t="s">
        <v>19</v>
      </c>
      <c r="M2024" s="8">
        <v>5866</v>
      </c>
      <c r="N2024" s="8" t="s">
        <v>256</v>
      </c>
      <c r="O2024" s="8">
        <v>1921</v>
      </c>
      <c r="P2024" s="8" t="s">
        <v>10058</v>
      </c>
      <c r="Q2024" s="8" t="s">
        <v>4262</v>
      </c>
      <c r="R2024" s="8">
        <v>0.5</v>
      </c>
      <c r="S2024" s="8">
        <v>129725000</v>
      </c>
      <c r="T2024" s="8" t="s">
        <v>24</v>
      </c>
      <c r="U2024" s="8" t="s">
        <v>41</v>
      </c>
    </row>
    <row r="2025" spans="1:21">
      <c r="A2025" s="8" t="s">
        <v>10032</v>
      </c>
      <c r="B2025" s="8" t="s">
        <v>8980</v>
      </c>
      <c r="C2025" s="8">
        <v>58508</v>
      </c>
      <c r="D2025" s="8" t="s">
        <v>257</v>
      </c>
      <c r="E2025" s="8">
        <v>151945060</v>
      </c>
      <c r="F2025" s="8">
        <v>151945060</v>
      </c>
      <c r="G2025" s="8" t="s">
        <v>24</v>
      </c>
      <c r="H2025" s="8" t="s">
        <v>25</v>
      </c>
      <c r="I2025" s="8" t="s">
        <v>23</v>
      </c>
      <c r="J2025" s="8" t="s">
        <v>8981</v>
      </c>
      <c r="K2025" s="8" t="s">
        <v>8983</v>
      </c>
      <c r="L2025" s="8" t="s">
        <v>19</v>
      </c>
      <c r="M2025" s="8">
        <v>2678</v>
      </c>
      <c r="N2025" s="8" t="s">
        <v>96</v>
      </c>
      <c r="O2025" s="8">
        <v>820</v>
      </c>
      <c r="P2025" s="8" t="s">
        <v>10059</v>
      </c>
      <c r="Q2025" s="8" t="s">
        <v>10060</v>
      </c>
      <c r="R2025" s="8">
        <v>4.7E-2</v>
      </c>
      <c r="S2025" s="8">
        <v>151945060</v>
      </c>
      <c r="T2025" s="8" t="s">
        <v>24</v>
      </c>
      <c r="U2025" s="8" t="s">
        <v>25</v>
      </c>
    </row>
    <row r="2026" spans="1:21">
      <c r="A2026" s="8" t="s">
        <v>10032</v>
      </c>
      <c r="B2026" s="8" t="s">
        <v>2386</v>
      </c>
      <c r="C2026" s="8">
        <v>29881</v>
      </c>
      <c r="D2026" s="8" t="s">
        <v>257</v>
      </c>
      <c r="E2026" s="8">
        <v>44579054</v>
      </c>
      <c r="F2026" s="8">
        <v>44579054</v>
      </c>
      <c r="G2026" s="8" t="s">
        <v>24</v>
      </c>
      <c r="H2026" s="8" t="s">
        <v>41</v>
      </c>
      <c r="I2026" s="8" t="s">
        <v>23</v>
      </c>
      <c r="J2026" s="8" t="s">
        <v>10061</v>
      </c>
      <c r="K2026" s="8" t="s">
        <v>10063</v>
      </c>
      <c r="L2026" s="8" t="s">
        <v>19</v>
      </c>
      <c r="M2026" s="8">
        <v>998</v>
      </c>
      <c r="N2026" s="8" t="s">
        <v>316</v>
      </c>
      <c r="O2026" s="8">
        <v>314</v>
      </c>
      <c r="P2026" s="8" t="s">
        <v>10062</v>
      </c>
      <c r="Q2026" s="8" t="s">
        <v>4262</v>
      </c>
      <c r="R2026" s="8">
        <v>0.27400000000000002</v>
      </c>
      <c r="S2026" s="8">
        <v>44579054</v>
      </c>
      <c r="T2026" s="8" t="s">
        <v>24</v>
      </c>
      <c r="U2026" s="8" t="s">
        <v>41</v>
      </c>
    </row>
    <row r="2027" spans="1:21">
      <c r="A2027" s="8" t="s">
        <v>10032</v>
      </c>
      <c r="B2027" s="8" t="s">
        <v>9011</v>
      </c>
      <c r="C2027" s="8">
        <v>7227</v>
      </c>
      <c r="D2027" s="8" t="s">
        <v>279</v>
      </c>
      <c r="E2027" s="8">
        <v>116426268</v>
      </c>
      <c r="F2027" s="8">
        <v>116426268</v>
      </c>
      <c r="G2027" s="8" t="s">
        <v>46</v>
      </c>
      <c r="H2027" s="8" t="s">
        <v>41</v>
      </c>
      <c r="I2027" s="8" t="s">
        <v>23</v>
      </c>
      <c r="J2027" s="8" t="s">
        <v>9012</v>
      </c>
      <c r="K2027" s="8" t="s">
        <v>9014</v>
      </c>
      <c r="L2027" s="8" t="s">
        <v>19</v>
      </c>
      <c r="M2027" s="8">
        <v>4446</v>
      </c>
      <c r="N2027" s="8" t="s">
        <v>1364</v>
      </c>
      <c r="O2027" s="8">
        <v>1290</v>
      </c>
      <c r="P2027" s="8" t="s">
        <v>10064</v>
      </c>
      <c r="Q2027" s="8" t="s">
        <v>4262</v>
      </c>
      <c r="R2027" s="8">
        <v>7.3999999999999996E-2</v>
      </c>
      <c r="S2027" s="8">
        <v>116426268</v>
      </c>
      <c r="T2027" s="8" t="s">
        <v>46</v>
      </c>
      <c r="U2027" s="8" t="s">
        <v>41</v>
      </c>
    </row>
    <row r="2028" spans="1:21">
      <c r="A2028" s="8" t="s">
        <v>10032</v>
      </c>
      <c r="B2028" s="8" t="s">
        <v>2379</v>
      </c>
      <c r="C2028" s="8">
        <v>81619</v>
      </c>
      <c r="D2028" s="8" t="s">
        <v>69</v>
      </c>
      <c r="E2028" s="8">
        <v>82271942</v>
      </c>
      <c r="F2028" s="8">
        <v>82271942</v>
      </c>
      <c r="G2028" s="8" t="s">
        <v>25</v>
      </c>
      <c r="H2028" s="8" t="s">
        <v>24</v>
      </c>
      <c r="I2028" s="8" t="s">
        <v>23</v>
      </c>
      <c r="J2028" s="8" t="s">
        <v>10065</v>
      </c>
      <c r="K2028" s="8" t="s">
        <v>10067</v>
      </c>
      <c r="L2028" s="8" t="s">
        <v>19</v>
      </c>
      <c r="M2028" s="8">
        <v>600</v>
      </c>
      <c r="N2028" s="8" t="s">
        <v>950</v>
      </c>
      <c r="O2028" s="8">
        <v>165</v>
      </c>
      <c r="P2028" s="8" t="s">
        <v>10066</v>
      </c>
      <c r="Q2028" s="8" t="s">
        <v>4262</v>
      </c>
      <c r="R2028" s="8">
        <v>0.24299999999999999</v>
      </c>
      <c r="S2028" s="8">
        <v>82271942</v>
      </c>
      <c r="T2028" s="8" t="s">
        <v>25</v>
      </c>
      <c r="U2028" s="8" t="s">
        <v>24</v>
      </c>
    </row>
    <row r="2029" spans="1:21">
      <c r="A2029" s="8" t="s">
        <v>10032</v>
      </c>
      <c r="B2029" s="8" t="s">
        <v>10068</v>
      </c>
      <c r="C2029" s="8">
        <v>54663</v>
      </c>
      <c r="D2029" s="8" t="s">
        <v>83</v>
      </c>
      <c r="E2029" s="8">
        <v>62601281</v>
      </c>
      <c r="F2029" s="8">
        <v>62601281</v>
      </c>
      <c r="G2029" s="8" t="s">
        <v>24</v>
      </c>
      <c r="H2029" s="8" t="s">
        <v>25</v>
      </c>
      <c r="I2029" s="8" t="s">
        <v>23</v>
      </c>
      <c r="J2029" s="8" t="s">
        <v>10069</v>
      </c>
      <c r="K2029" s="8" t="s">
        <v>10071</v>
      </c>
      <c r="L2029" s="8" t="s">
        <v>19</v>
      </c>
      <c r="M2029" s="8">
        <v>1072</v>
      </c>
      <c r="N2029" s="8" t="s">
        <v>92</v>
      </c>
      <c r="O2029" s="8">
        <v>302</v>
      </c>
      <c r="P2029" s="8" t="s">
        <v>10070</v>
      </c>
      <c r="Q2029" s="8" t="s">
        <v>4262</v>
      </c>
      <c r="R2029" s="8">
        <v>0.22800000000000001</v>
      </c>
      <c r="S2029" s="8">
        <v>62601281</v>
      </c>
      <c r="T2029" s="8" t="s">
        <v>24</v>
      </c>
      <c r="U2029" s="8" t="s">
        <v>25</v>
      </c>
    </row>
    <row r="2030" spans="1:21">
      <c r="A2030" s="8" t="s">
        <v>10032</v>
      </c>
      <c r="B2030" s="8" t="s">
        <v>2380</v>
      </c>
      <c r="C2030" s="8">
        <v>2735</v>
      </c>
      <c r="D2030" s="8" t="s">
        <v>104</v>
      </c>
      <c r="E2030" s="8">
        <v>57858585</v>
      </c>
      <c r="F2030" s="8">
        <v>57858585</v>
      </c>
      <c r="G2030" s="8" t="s">
        <v>46</v>
      </c>
      <c r="H2030" s="8" t="s">
        <v>41</v>
      </c>
      <c r="I2030" s="8" t="s">
        <v>23</v>
      </c>
      <c r="J2030" s="8" t="s">
        <v>10072</v>
      </c>
      <c r="K2030" s="8" t="s">
        <v>10074</v>
      </c>
      <c r="L2030" s="8" t="s">
        <v>19</v>
      </c>
      <c r="M2030" s="8">
        <v>401</v>
      </c>
      <c r="N2030" s="8" t="s">
        <v>389</v>
      </c>
      <c r="O2030" s="8">
        <v>108</v>
      </c>
      <c r="P2030" s="8" t="s">
        <v>10073</v>
      </c>
      <c r="Q2030" s="8" t="s">
        <v>4262</v>
      </c>
      <c r="R2030" s="8">
        <v>0.65400000000000003</v>
      </c>
      <c r="S2030" s="8">
        <v>57858585</v>
      </c>
      <c r="T2030" s="8" t="s">
        <v>46</v>
      </c>
      <c r="U2030" s="8" t="s">
        <v>41</v>
      </c>
    </row>
    <row r="2031" spans="1:21">
      <c r="A2031" s="8" t="s">
        <v>10032</v>
      </c>
      <c r="B2031" s="8" t="s">
        <v>2381</v>
      </c>
      <c r="C2031" s="8">
        <v>23168</v>
      </c>
      <c r="D2031" s="8" t="s">
        <v>120</v>
      </c>
      <c r="E2031" s="8">
        <v>41772490</v>
      </c>
      <c r="F2031" s="8">
        <v>41772490</v>
      </c>
      <c r="G2031" s="8" t="s">
        <v>24</v>
      </c>
      <c r="H2031" s="8" t="s">
        <v>25</v>
      </c>
      <c r="I2031" s="8" t="s">
        <v>23</v>
      </c>
      <c r="J2031" s="8" t="s">
        <v>2382</v>
      </c>
      <c r="K2031" s="8" t="s">
        <v>10076</v>
      </c>
      <c r="L2031" s="8" t="s">
        <v>19</v>
      </c>
      <c r="M2031" s="8">
        <v>2005</v>
      </c>
      <c r="N2031" s="8" t="s">
        <v>557</v>
      </c>
      <c r="O2031" s="8">
        <v>665</v>
      </c>
      <c r="P2031" s="8" t="s">
        <v>10075</v>
      </c>
      <c r="Q2031" s="8" t="s">
        <v>4262</v>
      </c>
      <c r="R2031" s="8">
        <v>0.33300000000000002</v>
      </c>
      <c r="S2031" s="8">
        <v>41772490</v>
      </c>
      <c r="T2031" s="8" t="s">
        <v>24</v>
      </c>
      <c r="U2031" s="8" t="s">
        <v>25</v>
      </c>
    </row>
    <row r="2032" spans="1:21">
      <c r="A2032" s="8" t="s">
        <v>10032</v>
      </c>
      <c r="B2032" s="8"/>
      <c r="C2032" s="8">
        <v>100132247</v>
      </c>
      <c r="D2032" s="8" t="s">
        <v>129</v>
      </c>
      <c r="E2032" s="8">
        <v>22545865</v>
      </c>
      <c r="F2032" s="8">
        <v>22545865</v>
      </c>
      <c r="G2032" s="8" t="s">
        <v>24</v>
      </c>
      <c r="H2032" s="8" t="s">
        <v>46</v>
      </c>
      <c r="I2032" s="8" t="s">
        <v>23</v>
      </c>
      <c r="J2032" s="8" t="s">
        <v>8180</v>
      </c>
      <c r="K2032" s="8" t="s">
        <v>8182</v>
      </c>
      <c r="L2032" s="8" t="s">
        <v>19</v>
      </c>
      <c r="M2032" s="8">
        <v>1840</v>
      </c>
      <c r="N2032" s="8" t="s">
        <v>582</v>
      </c>
      <c r="O2032" s="8">
        <v>521</v>
      </c>
      <c r="P2032" s="8" t="s">
        <v>8181</v>
      </c>
      <c r="Q2032" s="8" t="s">
        <v>4262</v>
      </c>
      <c r="R2032" s="8">
        <v>0.25</v>
      </c>
      <c r="S2032" s="8">
        <v>22545865</v>
      </c>
      <c r="T2032" s="8" t="s">
        <v>24</v>
      </c>
      <c r="U2032" s="8" t="s">
        <v>46</v>
      </c>
    </row>
    <row r="2033" spans="1:21">
      <c r="A2033" s="8" t="s">
        <v>10032</v>
      </c>
      <c r="B2033" s="8" t="s">
        <v>2651</v>
      </c>
      <c r="C2033" s="8">
        <v>57468</v>
      </c>
      <c r="D2033" s="8" t="s">
        <v>188</v>
      </c>
      <c r="E2033" s="8">
        <v>44670048</v>
      </c>
      <c r="F2033" s="8">
        <v>44670048</v>
      </c>
      <c r="G2033" s="8" t="s">
        <v>46</v>
      </c>
      <c r="H2033" s="8" t="s">
        <v>41</v>
      </c>
      <c r="I2033" s="8" t="s">
        <v>23</v>
      </c>
      <c r="J2033" s="8" t="s">
        <v>10077</v>
      </c>
      <c r="K2033" s="8" t="s">
        <v>10079</v>
      </c>
      <c r="L2033" s="8" t="s">
        <v>19</v>
      </c>
      <c r="M2033" s="8">
        <v>1080</v>
      </c>
      <c r="N2033" s="8" t="s">
        <v>741</v>
      </c>
      <c r="O2033" s="8">
        <v>335</v>
      </c>
      <c r="P2033" s="8" t="s">
        <v>10078</v>
      </c>
      <c r="Q2033" s="8" t="s">
        <v>4262</v>
      </c>
      <c r="R2033" s="8">
        <v>0.13600000000000001</v>
      </c>
      <c r="S2033" s="8">
        <v>44670048</v>
      </c>
      <c r="T2033" s="8" t="s">
        <v>46</v>
      </c>
      <c r="U2033" s="8" t="s">
        <v>41</v>
      </c>
    </row>
    <row r="2034" spans="1:21">
      <c r="A2034" s="8" t="s">
        <v>10085</v>
      </c>
      <c r="B2034" s="8" t="s">
        <v>10080</v>
      </c>
      <c r="C2034" s="8">
        <v>55249</v>
      </c>
      <c r="D2034" s="8" t="s">
        <v>22</v>
      </c>
      <c r="E2034" s="8">
        <v>155630257</v>
      </c>
      <c r="F2034" s="8">
        <v>155630257</v>
      </c>
      <c r="G2034" s="8" t="s">
        <v>46</v>
      </c>
      <c r="H2034" s="8" t="s">
        <v>41</v>
      </c>
      <c r="I2034" s="8" t="s">
        <v>23</v>
      </c>
      <c r="J2034" s="8" t="s">
        <v>10081</v>
      </c>
      <c r="K2034" s="8" t="s">
        <v>10084</v>
      </c>
      <c r="L2034" s="8" t="s">
        <v>19</v>
      </c>
      <c r="M2034" s="8">
        <v>2050</v>
      </c>
      <c r="N2034" s="8" t="s">
        <v>1070</v>
      </c>
      <c r="O2034" s="8">
        <v>620</v>
      </c>
      <c r="P2034" s="8" t="s">
        <v>10082</v>
      </c>
      <c r="Q2034" s="8" t="s">
        <v>10083</v>
      </c>
      <c r="R2034" s="8">
        <v>0.57999999999999996</v>
      </c>
      <c r="S2034" s="8">
        <v>155630257</v>
      </c>
      <c r="T2034" s="8" t="s">
        <v>46</v>
      </c>
      <c r="U2034" s="8" t="s">
        <v>41</v>
      </c>
    </row>
    <row r="2035" spans="1:21">
      <c r="A2035" s="8" t="s">
        <v>10085</v>
      </c>
      <c r="B2035" s="8" t="s">
        <v>2358</v>
      </c>
      <c r="C2035" s="8">
        <v>3417</v>
      </c>
      <c r="D2035" s="8" t="s">
        <v>172</v>
      </c>
      <c r="E2035" s="8">
        <v>209113113</v>
      </c>
      <c r="F2035" s="8">
        <v>209113113</v>
      </c>
      <c r="G2035" s="8" t="s">
        <v>24</v>
      </c>
      <c r="H2035" s="8" t="s">
        <v>46</v>
      </c>
      <c r="I2035" s="8" t="s">
        <v>23</v>
      </c>
      <c r="J2035" s="8" t="s">
        <v>2359</v>
      </c>
      <c r="K2035" s="8" t="s">
        <v>10036</v>
      </c>
      <c r="L2035" s="8" t="s">
        <v>19</v>
      </c>
      <c r="M2035" s="8">
        <v>628</v>
      </c>
      <c r="N2035" s="8" t="s">
        <v>2360</v>
      </c>
      <c r="O2035" s="8">
        <v>132</v>
      </c>
      <c r="P2035" s="8" t="s">
        <v>10086</v>
      </c>
      <c r="Q2035" s="8" t="s">
        <v>10035</v>
      </c>
      <c r="R2035" s="8">
        <v>0.34699999999999998</v>
      </c>
      <c r="S2035" s="8">
        <v>209113113</v>
      </c>
      <c r="T2035" s="8" t="s">
        <v>24</v>
      </c>
      <c r="U2035" s="8" t="s">
        <v>46</v>
      </c>
    </row>
    <row r="2036" spans="1:21">
      <c r="A2036" s="8" t="s">
        <v>10085</v>
      </c>
      <c r="B2036" s="8" t="s">
        <v>1947</v>
      </c>
      <c r="C2036" s="8">
        <v>55193</v>
      </c>
      <c r="D2036" s="8" t="s">
        <v>201</v>
      </c>
      <c r="E2036" s="8">
        <v>52623229</v>
      </c>
      <c r="F2036" s="8">
        <v>52623229</v>
      </c>
      <c r="G2036" s="8" t="s">
        <v>24</v>
      </c>
      <c r="H2036" s="8" t="s">
        <v>46</v>
      </c>
      <c r="I2036" s="8" t="s">
        <v>23</v>
      </c>
      <c r="J2036" s="8" t="s">
        <v>10087</v>
      </c>
      <c r="K2036" s="8" t="s">
        <v>10090</v>
      </c>
      <c r="L2036" s="8" t="s">
        <v>76</v>
      </c>
      <c r="M2036" s="8">
        <v>2738</v>
      </c>
      <c r="N2036" s="8" t="s">
        <v>2361</v>
      </c>
      <c r="O2036" s="8">
        <v>909</v>
      </c>
      <c r="P2036" s="8" t="s">
        <v>10088</v>
      </c>
      <c r="Q2036" s="8" t="s">
        <v>10089</v>
      </c>
      <c r="R2036" s="8">
        <v>0.42</v>
      </c>
      <c r="S2036" s="8">
        <v>52623229</v>
      </c>
      <c r="T2036" s="8" t="s">
        <v>24</v>
      </c>
      <c r="U2036" s="8" t="s">
        <v>46</v>
      </c>
    </row>
    <row r="2037" spans="1:21">
      <c r="A2037" s="8" t="s">
        <v>10085</v>
      </c>
      <c r="B2037" s="8" t="s">
        <v>2362</v>
      </c>
      <c r="C2037" s="8">
        <v>23024</v>
      </c>
      <c r="D2037" s="8" t="s">
        <v>201</v>
      </c>
      <c r="E2037" s="8">
        <v>73432560</v>
      </c>
      <c r="F2037" s="8">
        <v>73432560</v>
      </c>
      <c r="G2037" s="8" t="s">
        <v>46</v>
      </c>
      <c r="H2037" s="8" t="s">
        <v>41</v>
      </c>
      <c r="I2037" s="8" t="s">
        <v>23</v>
      </c>
      <c r="J2037" s="8" t="s">
        <v>2363</v>
      </c>
      <c r="K2037" s="8" t="s">
        <v>5973</v>
      </c>
      <c r="L2037" s="8" t="s">
        <v>19</v>
      </c>
      <c r="M2037" s="8">
        <v>3253</v>
      </c>
      <c r="N2037" s="8" t="s">
        <v>536</v>
      </c>
      <c r="O2037" s="8">
        <v>1053</v>
      </c>
      <c r="P2037" s="8" t="s">
        <v>10091</v>
      </c>
      <c r="Q2037" s="8" t="s">
        <v>4262</v>
      </c>
      <c r="R2037" s="8">
        <v>0.49299999999999999</v>
      </c>
      <c r="S2037" s="8">
        <v>73432560</v>
      </c>
      <c r="T2037" s="8" t="s">
        <v>46</v>
      </c>
      <c r="U2037" s="8" t="s">
        <v>41</v>
      </c>
    </row>
    <row r="2038" spans="1:21">
      <c r="A2038" s="8" t="s">
        <v>10085</v>
      </c>
      <c r="B2038" s="8" t="s">
        <v>10092</v>
      </c>
      <c r="C2038" s="8">
        <v>6897</v>
      </c>
      <c r="D2038" s="8" t="s">
        <v>226</v>
      </c>
      <c r="E2038" s="8">
        <v>33455786</v>
      </c>
      <c r="F2038" s="8">
        <v>33455786</v>
      </c>
      <c r="G2038" s="8" t="s">
        <v>24</v>
      </c>
      <c r="H2038" s="8" t="s">
        <v>41</v>
      </c>
      <c r="I2038" s="8" t="s">
        <v>23</v>
      </c>
      <c r="J2038" s="8" t="s">
        <v>10093</v>
      </c>
      <c r="K2038" s="8" t="s">
        <v>10095</v>
      </c>
      <c r="L2038" s="8" t="s">
        <v>76</v>
      </c>
      <c r="M2038" s="8">
        <v>965</v>
      </c>
      <c r="N2038" s="8" t="s">
        <v>625</v>
      </c>
      <c r="O2038" s="8">
        <v>224</v>
      </c>
      <c r="P2038" s="8" t="s">
        <v>10094</v>
      </c>
      <c r="Q2038" s="8" t="s">
        <v>4262</v>
      </c>
      <c r="R2038" s="8">
        <v>0.17299999999999999</v>
      </c>
      <c r="S2038" s="8">
        <v>33455786</v>
      </c>
      <c r="T2038" s="8" t="s">
        <v>24</v>
      </c>
      <c r="U2038" s="8" t="s">
        <v>41</v>
      </c>
    </row>
    <row r="2039" spans="1:21">
      <c r="A2039" s="8" t="s">
        <v>10085</v>
      </c>
      <c r="B2039" s="8" t="s">
        <v>2364</v>
      </c>
      <c r="C2039" s="8">
        <v>10048</v>
      </c>
      <c r="D2039" s="8" t="s">
        <v>237</v>
      </c>
      <c r="E2039" s="8">
        <v>13639803</v>
      </c>
      <c r="F2039" s="8">
        <v>13639803</v>
      </c>
      <c r="G2039" s="8" t="s">
        <v>41</v>
      </c>
      <c r="H2039" s="8" t="s">
        <v>25</v>
      </c>
      <c r="I2039" s="8" t="s">
        <v>23</v>
      </c>
      <c r="J2039" s="8" t="s">
        <v>2365</v>
      </c>
      <c r="K2039" s="8" t="s">
        <v>10097</v>
      </c>
      <c r="L2039" s="8" t="s">
        <v>19</v>
      </c>
      <c r="M2039" s="8">
        <v>1576</v>
      </c>
      <c r="N2039" s="8" t="s">
        <v>2366</v>
      </c>
      <c r="O2039" s="8">
        <v>506</v>
      </c>
      <c r="P2039" s="8" t="s">
        <v>10096</v>
      </c>
      <c r="Q2039" s="8" t="s">
        <v>4262</v>
      </c>
      <c r="R2039" s="8">
        <v>0.40699999999999997</v>
      </c>
      <c r="S2039" s="8">
        <v>13639803</v>
      </c>
      <c r="T2039" s="8" t="s">
        <v>41</v>
      </c>
      <c r="U2039" s="8" t="s">
        <v>25</v>
      </c>
    </row>
    <row r="2040" spans="1:21">
      <c r="A2040" s="8" t="s">
        <v>10085</v>
      </c>
      <c r="B2040" s="8" t="s">
        <v>10098</v>
      </c>
      <c r="C2040" s="8">
        <v>10395</v>
      </c>
      <c r="D2040" s="8" t="s">
        <v>279</v>
      </c>
      <c r="E2040" s="8">
        <v>13356896</v>
      </c>
      <c r="F2040" s="8">
        <v>13356896</v>
      </c>
      <c r="G2040" s="8" t="s">
        <v>46</v>
      </c>
      <c r="H2040" s="8" t="s">
        <v>25</v>
      </c>
      <c r="I2040" s="8" t="s">
        <v>23</v>
      </c>
      <c r="J2040" s="8" t="s">
        <v>10099</v>
      </c>
      <c r="K2040" s="8" t="s">
        <v>10101</v>
      </c>
      <c r="L2040" s="8" t="s">
        <v>19</v>
      </c>
      <c r="M2040" s="8">
        <v>1129</v>
      </c>
      <c r="N2040" s="8" t="s">
        <v>481</v>
      </c>
      <c r="O2040" s="8">
        <v>229</v>
      </c>
      <c r="P2040" s="8" t="s">
        <v>10100</v>
      </c>
      <c r="Q2040" s="8" t="s">
        <v>4262</v>
      </c>
      <c r="R2040" s="8">
        <v>2.7E-2</v>
      </c>
      <c r="S2040" s="8">
        <v>13356896</v>
      </c>
      <c r="T2040" s="8" t="s">
        <v>46</v>
      </c>
      <c r="U2040" s="8" t="s">
        <v>25</v>
      </c>
    </row>
    <row r="2041" spans="1:21">
      <c r="A2041" s="8" t="s">
        <v>10085</v>
      </c>
      <c r="B2041" s="8" t="s">
        <v>1873</v>
      </c>
      <c r="C2041" s="8">
        <v>1191</v>
      </c>
      <c r="D2041" s="8" t="s">
        <v>279</v>
      </c>
      <c r="E2041" s="8">
        <v>27457349</v>
      </c>
      <c r="F2041" s="8">
        <v>27457349</v>
      </c>
      <c r="G2041" s="8" t="s">
        <v>46</v>
      </c>
      <c r="H2041" s="8" t="s">
        <v>25</v>
      </c>
      <c r="I2041" s="8" t="s">
        <v>23</v>
      </c>
      <c r="J2041" s="8" t="s">
        <v>10102</v>
      </c>
      <c r="K2041" s="8" t="s">
        <v>10104</v>
      </c>
      <c r="L2041" s="8" t="s">
        <v>19</v>
      </c>
      <c r="M2041" s="8">
        <v>1298</v>
      </c>
      <c r="N2041" s="8" t="s">
        <v>196</v>
      </c>
      <c r="O2041" s="8">
        <v>371</v>
      </c>
      <c r="P2041" s="8" t="s">
        <v>10103</v>
      </c>
      <c r="Q2041" s="8" t="s">
        <v>4262</v>
      </c>
      <c r="R2041" s="8">
        <v>0.25</v>
      </c>
      <c r="S2041" s="8">
        <v>27457349</v>
      </c>
      <c r="T2041" s="8" t="s">
        <v>46</v>
      </c>
      <c r="U2041" s="8" t="s">
        <v>25</v>
      </c>
    </row>
    <row r="2042" spans="1:21">
      <c r="A2042" s="8" t="s">
        <v>10085</v>
      </c>
      <c r="B2042" s="8" t="s">
        <v>2367</v>
      </c>
      <c r="C2042" s="8">
        <v>7486</v>
      </c>
      <c r="D2042" s="8" t="s">
        <v>279</v>
      </c>
      <c r="E2042" s="8">
        <v>30998973</v>
      </c>
      <c r="F2042" s="8">
        <v>30998973</v>
      </c>
      <c r="G2042" s="8" t="s">
        <v>46</v>
      </c>
      <c r="H2042" s="8" t="s">
        <v>41</v>
      </c>
      <c r="I2042" s="8" t="s">
        <v>23</v>
      </c>
      <c r="J2042" s="8" t="s">
        <v>2368</v>
      </c>
      <c r="K2042" s="8" t="s">
        <v>10107</v>
      </c>
      <c r="L2042" s="8" t="s">
        <v>19</v>
      </c>
      <c r="M2042" s="8">
        <v>3783</v>
      </c>
      <c r="N2042" s="8" t="s">
        <v>560</v>
      </c>
      <c r="O2042" s="8">
        <v>999</v>
      </c>
      <c r="P2042" s="8" t="s">
        <v>10105</v>
      </c>
      <c r="Q2042" s="8" t="s">
        <v>10106</v>
      </c>
      <c r="R2042" s="8">
        <v>0.32100000000000001</v>
      </c>
      <c r="S2042" s="8">
        <v>30998973</v>
      </c>
      <c r="T2042" s="8" t="s">
        <v>46</v>
      </c>
      <c r="U2042" s="8" t="s">
        <v>41</v>
      </c>
    </row>
    <row r="2043" spans="1:21">
      <c r="A2043" s="8" t="s">
        <v>10085</v>
      </c>
      <c r="B2043" s="8" t="s">
        <v>10108</v>
      </c>
      <c r="C2043" s="8">
        <v>441459</v>
      </c>
      <c r="D2043" s="8" t="s">
        <v>292</v>
      </c>
      <c r="E2043" s="8">
        <v>33572338</v>
      </c>
      <c r="F2043" s="8">
        <v>33572338</v>
      </c>
      <c r="G2043" s="8" t="s">
        <v>46</v>
      </c>
      <c r="H2043" s="8" t="s">
        <v>41</v>
      </c>
      <c r="I2043" s="8" t="s">
        <v>23</v>
      </c>
      <c r="J2043" s="8" t="s">
        <v>10109</v>
      </c>
      <c r="K2043" s="8" t="s">
        <v>10111</v>
      </c>
      <c r="L2043" s="8" t="s">
        <v>19</v>
      </c>
      <c r="M2043" s="8">
        <v>3090</v>
      </c>
      <c r="N2043" s="8" t="s">
        <v>415</v>
      </c>
      <c r="O2043" s="8">
        <v>1005</v>
      </c>
      <c r="P2043" s="8" t="s">
        <v>10110</v>
      </c>
      <c r="Q2043" s="8" t="s">
        <v>4262</v>
      </c>
      <c r="R2043" s="8">
        <v>0.54400000000000004</v>
      </c>
      <c r="S2043" s="8">
        <v>33572338</v>
      </c>
      <c r="T2043" s="8" t="s">
        <v>46</v>
      </c>
      <c r="U2043" s="8" t="s">
        <v>41</v>
      </c>
    </row>
    <row r="2044" spans="1:21">
      <c r="A2044" s="8" t="s">
        <v>10085</v>
      </c>
      <c r="B2044" s="8" t="s">
        <v>10112</v>
      </c>
      <c r="C2044" s="8">
        <v>10873</v>
      </c>
      <c r="D2044" s="8" t="s">
        <v>83</v>
      </c>
      <c r="E2044" s="8">
        <v>86159256</v>
      </c>
      <c r="F2044" s="8">
        <v>86159256</v>
      </c>
      <c r="G2044" s="8" t="s">
        <v>41</v>
      </c>
      <c r="H2044" s="8" t="s">
        <v>25</v>
      </c>
      <c r="I2044" s="8" t="s">
        <v>23</v>
      </c>
      <c r="J2044" s="8" t="s">
        <v>10113</v>
      </c>
      <c r="K2044" s="8" t="s">
        <v>10115</v>
      </c>
      <c r="L2044" s="8" t="s">
        <v>19</v>
      </c>
      <c r="M2044" s="8">
        <v>1427</v>
      </c>
      <c r="N2044" s="8" t="s">
        <v>1231</v>
      </c>
      <c r="O2044" s="8">
        <v>391</v>
      </c>
      <c r="P2044" s="8" t="s">
        <v>10114</v>
      </c>
      <c r="Q2044" s="8" t="s">
        <v>4262</v>
      </c>
      <c r="R2044" s="8">
        <v>0.17299999999999999</v>
      </c>
      <c r="S2044" s="8">
        <v>86159256</v>
      </c>
      <c r="T2044" s="8" t="s">
        <v>41</v>
      </c>
      <c r="U2044" s="8" t="s">
        <v>25</v>
      </c>
    </row>
    <row r="2045" spans="1:21">
      <c r="A2045" s="8" t="s">
        <v>10085</v>
      </c>
      <c r="B2045" s="8" t="s">
        <v>10116</v>
      </c>
      <c r="C2045" s="8">
        <v>79733</v>
      </c>
      <c r="D2045" s="8" t="s">
        <v>83</v>
      </c>
      <c r="E2045" s="8">
        <v>19255994</v>
      </c>
      <c r="F2045" s="8">
        <v>19255994</v>
      </c>
      <c r="G2045" s="8" t="s">
        <v>41</v>
      </c>
      <c r="H2045" s="8" t="s">
        <v>46</v>
      </c>
      <c r="I2045" s="8" t="s">
        <v>23</v>
      </c>
      <c r="J2045" s="8" t="s">
        <v>10117</v>
      </c>
      <c r="K2045" s="8" t="s">
        <v>10119</v>
      </c>
      <c r="L2045" s="8" t="s">
        <v>19</v>
      </c>
      <c r="M2045" s="8">
        <v>1363</v>
      </c>
      <c r="N2045" s="8" t="s">
        <v>938</v>
      </c>
      <c r="O2045" s="8">
        <v>281</v>
      </c>
      <c r="P2045" s="8" t="s">
        <v>10118</v>
      </c>
      <c r="Q2045" s="8" t="s">
        <v>4262</v>
      </c>
      <c r="R2045" s="8">
        <v>3.5999999999999997E-2</v>
      </c>
      <c r="S2045" s="8">
        <v>19255994</v>
      </c>
      <c r="T2045" s="8" t="s">
        <v>41</v>
      </c>
      <c r="U2045" s="8" t="s">
        <v>46</v>
      </c>
    </row>
    <row r="2046" spans="1:21">
      <c r="A2046" s="8" t="s">
        <v>10085</v>
      </c>
      <c r="B2046" s="8" t="s">
        <v>10120</v>
      </c>
      <c r="C2046" s="8">
        <v>35</v>
      </c>
      <c r="D2046" s="8" t="s">
        <v>104</v>
      </c>
      <c r="E2046" s="8">
        <v>121176345</v>
      </c>
      <c r="F2046" s="8">
        <v>121176345</v>
      </c>
      <c r="G2046" s="8" t="s">
        <v>24</v>
      </c>
      <c r="H2046" s="8" t="s">
        <v>41</v>
      </c>
      <c r="I2046" s="8" t="s">
        <v>23</v>
      </c>
      <c r="J2046" s="8" t="s">
        <v>10121</v>
      </c>
      <c r="K2046" s="8" t="s">
        <v>10123</v>
      </c>
      <c r="L2046" s="8" t="s">
        <v>19</v>
      </c>
      <c r="M2046" s="8">
        <v>923</v>
      </c>
      <c r="N2046" s="8" t="s">
        <v>463</v>
      </c>
      <c r="O2046" s="8">
        <v>269</v>
      </c>
      <c r="P2046" s="8" t="s">
        <v>10122</v>
      </c>
      <c r="Q2046" s="8" t="s">
        <v>4262</v>
      </c>
      <c r="R2046" s="8">
        <v>0.33300000000000002</v>
      </c>
      <c r="S2046" s="8">
        <v>121176345</v>
      </c>
      <c r="T2046" s="8" t="s">
        <v>24</v>
      </c>
      <c r="U2046" s="8" t="s">
        <v>41</v>
      </c>
    </row>
    <row r="2047" spans="1:21">
      <c r="A2047" s="8" t="s">
        <v>10085</v>
      </c>
      <c r="B2047" s="8" t="s">
        <v>10124</v>
      </c>
      <c r="C2047" s="8">
        <v>259232</v>
      </c>
      <c r="D2047" s="8" t="s">
        <v>339</v>
      </c>
      <c r="E2047" s="8">
        <v>101844276</v>
      </c>
      <c r="F2047" s="8">
        <v>101844276</v>
      </c>
      <c r="G2047" s="8" t="s">
        <v>46</v>
      </c>
      <c r="H2047" s="8" t="s">
        <v>41</v>
      </c>
      <c r="I2047" s="8" t="s">
        <v>23</v>
      </c>
      <c r="J2047" s="8" t="s">
        <v>10125</v>
      </c>
      <c r="K2047" s="8" t="s">
        <v>10127</v>
      </c>
      <c r="L2047" s="8" t="s">
        <v>19</v>
      </c>
      <c r="M2047" s="8">
        <v>1945</v>
      </c>
      <c r="N2047" s="8" t="s">
        <v>155</v>
      </c>
      <c r="O2047" s="8">
        <v>586</v>
      </c>
      <c r="P2047" s="8" t="s">
        <v>10126</v>
      </c>
      <c r="Q2047" s="8" t="s">
        <v>4262</v>
      </c>
      <c r="R2047" s="8">
        <v>0.29799999999999999</v>
      </c>
      <c r="S2047" s="8">
        <v>101844276</v>
      </c>
      <c r="T2047" s="8" t="s">
        <v>46</v>
      </c>
      <c r="U2047" s="8" t="s">
        <v>41</v>
      </c>
    </row>
    <row r="2048" spans="1:21">
      <c r="A2048" s="8" t="s">
        <v>10085</v>
      </c>
      <c r="B2048" s="8" t="s">
        <v>3096</v>
      </c>
      <c r="C2048" s="8">
        <v>55671</v>
      </c>
      <c r="D2048" s="8" t="s">
        <v>118</v>
      </c>
      <c r="E2048" s="8">
        <v>91927889</v>
      </c>
      <c r="F2048" s="8">
        <v>91927889</v>
      </c>
      <c r="G2048" s="8" t="s">
        <v>41</v>
      </c>
      <c r="H2048" s="8" t="s">
        <v>46</v>
      </c>
      <c r="I2048" s="8" t="s">
        <v>23</v>
      </c>
      <c r="J2048" s="8" t="s">
        <v>3097</v>
      </c>
      <c r="K2048" s="8" t="s">
        <v>8073</v>
      </c>
      <c r="L2048" s="8" t="s">
        <v>19</v>
      </c>
      <c r="M2048" s="8">
        <v>2471</v>
      </c>
      <c r="N2048" s="8" t="s">
        <v>1209</v>
      </c>
      <c r="O2048" s="8">
        <v>730</v>
      </c>
      <c r="P2048" s="8" t="s">
        <v>10128</v>
      </c>
      <c r="Q2048" s="8" t="s">
        <v>4262</v>
      </c>
      <c r="R2048" s="8">
        <v>0.22500000000000001</v>
      </c>
      <c r="S2048" s="8">
        <v>91927889</v>
      </c>
      <c r="T2048" s="8" t="s">
        <v>41</v>
      </c>
      <c r="U2048" s="8" t="s">
        <v>46</v>
      </c>
    </row>
    <row r="2049" spans="1:21">
      <c r="A2049" s="8" t="s">
        <v>10085</v>
      </c>
      <c r="B2049" s="8" t="s">
        <v>10129</v>
      </c>
      <c r="C2049" s="8">
        <v>5604</v>
      </c>
      <c r="D2049" s="8" t="s">
        <v>120</v>
      </c>
      <c r="E2049" s="8">
        <v>66727455</v>
      </c>
      <c r="F2049" s="8">
        <v>66727455</v>
      </c>
      <c r="G2049" s="8" t="s">
        <v>24</v>
      </c>
      <c r="H2049" s="8" t="s">
        <v>41</v>
      </c>
      <c r="I2049" s="8" t="s">
        <v>23</v>
      </c>
      <c r="J2049" s="8" t="s">
        <v>10130</v>
      </c>
      <c r="K2049" s="8" t="s">
        <v>10132</v>
      </c>
      <c r="L2049" s="8" t="s">
        <v>19</v>
      </c>
      <c r="M2049" s="8">
        <v>646</v>
      </c>
      <c r="N2049" s="8" t="s">
        <v>490</v>
      </c>
      <c r="O2049" s="8">
        <v>57</v>
      </c>
      <c r="P2049" s="8" t="s">
        <v>10131</v>
      </c>
      <c r="Q2049" s="8" t="s">
        <v>4262</v>
      </c>
      <c r="R2049" s="8">
        <v>0.25</v>
      </c>
      <c r="S2049" s="8">
        <v>66727455</v>
      </c>
      <c r="T2049" s="8" t="s">
        <v>24</v>
      </c>
      <c r="U2049" s="8" t="s">
        <v>41</v>
      </c>
    </row>
    <row r="2050" spans="1:21">
      <c r="A2050" s="8" t="s">
        <v>10085</v>
      </c>
      <c r="B2050" s="8" t="s">
        <v>10133</v>
      </c>
      <c r="C2050" s="8">
        <v>2558</v>
      </c>
      <c r="D2050" s="8" t="s">
        <v>120</v>
      </c>
      <c r="E2050" s="8">
        <v>27193303</v>
      </c>
      <c r="F2050" s="8">
        <v>27193303</v>
      </c>
      <c r="G2050" s="8" t="s">
        <v>24</v>
      </c>
      <c r="H2050" s="8" t="s">
        <v>25</v>
      </c>
      <c r="I2050" s="8" t="s">
        <v>23</v>
      </c>
      <c r="J2050" s="8" t="s">
        <v>10134</v>
      </c>
      <c r="K2050" s="8" t="s">
        <v>10137</v>
      </c>
      <c r="L2050" s="8" t="s">
        <v>19</v>
      </c>
      <c r="M2050" s="8">
        <v>1710</v>
      </c>
      <c r="N2050" s="8" t="s">
        <v>536</v>
      </c>
      <c r="O2050" s="8">
        <v>438</v>
      </c>
      <c r="P2050" s="8" t="s">
        <v>10135</v>
      </c>
      <c r="Q2050" s="8" t="s">
        <v>10136</v>
      </c>
      <c r="R2050" s="8">
        <v>0.21299999999999999</v>
      </c>
      <c r="S2050" s="8">
        <v>27193303</v>
      </c>
      <c r="T2050" s="8" t="s">
        <v>24</v>
      </c>
      <c r="U2050" s="8" t="s">
        <v>25</v>
      </c>
    </row>
    <row r="2051" spans="1:21">
      <c r="A2051" s="8" t="s">
        <v>10085</v>
      </c>
      <c r="B2051" s="8" t="s">
        <v>10138</v>
      </c>
      <c r="C2051" s="8">
        <v>4490</v>
      </c>
      <c r="D2051" s="8" t="s">
        <v>129</v>
      </c>
      <c r="E2051" s="8">
        <v>56686503</v>
      </c>
      <c r="F2051" s="8">
        <v>56686503</v>
      </c>
      <c r="G2051" s="8" t="s">
        <v>24</v>
      </c>
      <c r="H2051" s="8" t="s">
        <v>25</v>
      </c>
      <c r="I2051" s="8" t="s">
        <v>23</v>
      </c>
      <c r="J2051" s="8" t="s">
        <v>10139</v>
      </c>
      <c r="K2051" s="8" t="s">
        <v>10141</v>
      </c>
      <c r="L2051" s="8" t="s">
        <v>19</v>
      </c>
      <c r="M2051" s="8">
        <v>104</v>
      </c>
      <c r="N2051" s="8" t="s">
        <v>536</v>
      </c>
      <c r="O2051" s="8">
        <v>17</v>
      </c>
      <c r="P2051" s="8" t="s">
        <v>10140</v>
      </c>
      <c r="Q2051" s="8" t="s">
        <v>4262</v>
      </c>
      <c r="R2051" s="8">
        <v>0.28999999999999998</v>
      </c>
      <c r="S2051" s="8">
        <v>56686503</v>
      </c>
      <c r="T2051" s="8" t="s">
        <v>24</v>
      </c>
      <c r="U2051" s="8" t="s">
        <v>25</v>
      </c>
    </row>
    <row r="2052" spans="1:21">
      <c r="A2052" s="8" t="s">
        <v>10085</v>
      </c>
      <c r="B2052" s="8" t="s">
        <v>2356</v>
      </c>
      <c r="C2052" s="8">
        <v>1655</v>
      </c>
      <c r="D2052" s="8" t="s">
        <v>133</v>
      </c>
      <c r="E2052" s="8">
        <v>62498560</v>
      </c>
      <c r="F2052" s="8">
        <v>62498560</v>
      </c>
      <c r="G2052" s="8" t="s">
        <v>41</v>
      </c>
      <c r="H2052" s="8" t="s">
        <v>46</v>
      </c>
      <c r="I2052" s="8" t="s">
        <v>23</v>
      </c>
      <c r="J2052" s="8" t="s">
        <v>2357</v>
      </c>
      <c r="K2052" s="8" t="s">
        <v>10143</v>
      </c>
      <c r="L2052" s="8" t="s">
        <v>19</v>
      </c>
      <c r="M2052" s="8">
        <v>1338</v>
      </c>
      <c r="N2052" s="8" t="s">
        <v>1033</v>
      </c>
      <c r="O2052" s="8">
        <v>364</v>
      </c>
      <c r="P2052" s="8" t="s">
        <v>10142</v>
      </c>
      <c r="Q2052" s="8" t="s">
        <v>4262</v>
      </c>
      <c r="R2052" s="8">
        <v>0.33300000000000002</v>
      </c>
      <c r="S2052" s="8">
        <v>62498560</v>
      </c>
      <c r="T2052" s="8" t="s">
        <v>41</v>
      </c>
      <c r="U2052" s="8" t="s">
        <v>46</v>
      </c>
    </row>
    <row r="2053" spans="1:21">
      <c r="A2053" s="8" t="s">
        <v>10085</v>
      </c>
      <c r="B2053" s="8" t="s">
        <v>10144</v>
      </c>
      <c r="C2053" s="8">
        <v>342926</v>
      </c>
      <c r="D2053" s="8" t="s">
        <v>139</v>
      </c>
      <c r="E2053" s="8">
        <v>53741009</v>
      </c>
      <c r="F2053" s="8">
        <v>53741009</v>
      </c>
      <c r="G2053" s="8" t="s">
        <v>46</v>
      </c>
      <c r="H2053" s="8" t="s">
        <v>41</v>
      </c>
      <c r="I2053" s="8" t="s">
        <v>23</v>
      </c>
      <c r="J2053" s="8" t="s">
        <v>10145</v>
      </c>
      <c r="K2053" s="8" t="s">
        <v>10147</v>
      </c>
      <c r="L2053" s="8" t="s">
        <v>19</v>
      </c>
      <c r="M2053" s="8">
        <v>1122</v>
      </c>
      <c r="N2053" s="8" t="s">
        <v>618</v>
      </c>
      <c r="O2053" s="8">
        <v>324</v>
      </c>
      <c r="P2053" s="8" t="s">
        <v>10146</v>
      </c>
      <c r="Q2053" s="8" t="s">
        <v>4262</v>
      </c>
      <c r="R2053" s="8">
        <v>0.21199999999999999</v>
      </c>
      <c r="S2053" s="8">
        <v>53741009</v>
      </c>
      <c r="T2053" s="8" t="s">
        <v>46</v>
      </c>
      <c r="U2053" s="8" t="s">
        <v>41</v>
      </c>
    </row>
    <row r="2054" spans="1:21">
      <c r="A2054" s="8" t="s">
        <v>10085</v>
      </c>
      <c r="B2054" s="8" t="s">
        <v>2590</v>
      </c>
      <c r="C2054" s="8">
        <v>6261</v>
      </c>
      <c r="D2054" s="8" t="s">
        <v>139</v>
      </c>
      <c r="E2054" s="8">
        <v>38939078</v>
      </c>
      <c r="F2054" s="8">
        <v>38939078</v>
      </c>
      <c r="G2054" s="8" t="s">
        <v>25</v>
      </c>
      <c r="H2054" s="8" t="s">
        <v>41</v>
      </c>
      <c r="I2054" s="8" t="s">
        <v>23</v>
      </c>
      <c r="J2054" s="8" t="s">
        <v>4982</v>
      </c>
      <c r="K2054" s="8" t="s">
        <v>4984</v>
      </c>
      <c r="L2054" s="8" t="s">
        <v>19</v>
      </c>
      <c r="M2054" s="8">
        <v>1014</v>
      </c>
      <c r="N2054" s="8" t="s">
        <v>469</v>
      </c>
      <c r="O2054" s="8">
        <v>295</v>
      </c>
      <c r="P2054" s="8" t="s">
        <v>10148</v>
      </c>
      <c r="Q2054" s="8" t="s">
        <v>4262</v>
      </c>
      <c r="R2054" s="8">
        <v>0.25700000000000001</v>
      </c>
      <c r="S2054" s="8">
        <v>38939078</v>
      </c>
      <c r="T2054" s="8" t="s">
        <v>25</v>
      </c>
      <c r="U2054" s="8" t="s">
        <v>41</v>
      </c>
    </row>
    <row r="2055" spans="1:21">
      <c r="A2055" s="8" t="s">
        <v>10085</v>
      </c>
      <c r="B2055" s="8" t="s">
        <v>1788</v>
      </c>
      <c r="C2055" s="8">
        <v>2719</v>
      </c>
      <c r="D2055" s="8" t="s">
        <v>418</v>
      </c>
      <c r="E2055" s="8">
        <v>132887945</v>
      </c>
      <c r="F2055" s="8">
        <v>132887945</v>
      </c>
      <c r="G2055" s="8" t="s">
        <v>46</v>
      </c>
      <c r="H2055" s="8" t="s">
        <v>41</v>
      </c>
      <c r="I2055" s="8" t="s">
        <v>23</v>
      </c>
      <c r="J2055" s="8" t="s">
        <v>10149</v>
      </c>
      <c r="K2055" s="8" t="s">
        <v>10151</v>
      </c>
      <c r="L2055" s="8" t="s">
        <v>19</v>
      </c>
      <c r="M2055" s="8">
        <v>793</v>
      </c>
      <c r="N2055" s="8" t="s">
        <v>577</v>
      </c>
      <c r="O2055" s="8">
        <v>199</v>
      </c>
      <c r="P2055" s="8" t="s">
        <v>10150</v>
      </c>
      <c r="Q2055" s="8" t="s">
        <v>4262</v>
      </c>
      <c r="R2055" s="8">
        <v>0.03</v>
      </c>
      <c r="S2055" s="8">
        <v>132887945</v>
      </c>
      <c r="T2055" s="8" t="s">
        <v>46</v>
      </c>
      <c r="U2055" s="8" t="s">
        <v>41</v>
      </c>
    </row>
    <row r="2056" spans="1:21">
      <c r="A2056" s="8" t="s">
        <v>10155</v>
      </c>
      <c r="B2056" s="8" t="s">
        <v>10152</v>
      </c>
      <c r="C2056" s="8">
        <v>26038</v>
      </c>
      <c r="D2056" s="8" t="s">
        <v>22</v>
      </c>
      <c r="E2056" s="8">
        <v>6195289</v>
      </c>
      <c r="F2056" s="8">
        <v>6195289</v>
      </c>
      <c r="G2056" s="8" t="s">
        <v>46</v>
      </c>
      <c r="H2056" s="8" t="s">
        <v>41</v>
      </c>
      <c r="I2056" s="8" t="s">
        <v>23</v>
      </c>
      <c r="J2056" s="8" t="s">
        <v>10153</v>
      </c>
      <c r="K2056" s="8" t="s">
        <v>10154</v>
      </c>
      <c r="L2056" s="8" t="s">
        <v>68</v>
      </c>
      <c r="M2056" s="8">
        <v>0</v>
      </c>
      <c r="N2056" s="8" t="s">
        <v>35</v>
      </c>
      <c r="O2056" s="8">
        <v>0</v>
      </c>
      <c r="P2056" s="8" t="s">
        <v>35</v>
      </c>
      <c r="Q2056" s="8" t="s">
        <v>4262</v>
      </c>
      <c r="R2056" s="8">
        <v>0.32900000000000001</v>
      </c>
      <c r="S2056" s="8">
        <v>6195289</v>
      </c>
      <c r="T2056" s="8" t="s">
        <v>46</v>
      </c>
      <c r="U2056" s="8" t="s">
        <v>41</v>
      </c>
    </row>
    <row r="2057" spans="1:21">
      <c r="A2057" s="8" t="s">
        <v>10155</v>
      </c>
      <c r="B2057" s="8" t="s">
        <v>2888</v>
      </c>
      <c r="C2057" s="8">
        <v>3716</v>
      </c>
      <c r="D2057" s="8" t="s">
        <v>22</v>
      </c>
      <c r="E2057" s="8">
        <v>65301098</v>
      </c>
      <c r="F2057" s="8">
        <v>65301098</v>
      </c>
      <c r="G2057" s="8" t="s">
        <v>24</v>
      </c>
      <c r="H2057" s="8" t="s">
        <v>25</v>
      </c>
      <c r="I2057" s="8" t="s">
        <v>23</v>
      </c>
      <c r="J2057" s="8" t="s">
        <v>2889</v>
      </c>
      <c r="K2057" s="8" t="s">
        <v>4415</v>
      </c>
      <c r="L2057" s="8" t="s">
        <v>19</v>
      </c>
      <c r="M2057" s="8">
        <v>3599</v>
      </c>
      <c r="N2057" s="8" t="s">
        <v>522</v>
      </c>
      <c r="O2057" s="8">
        <v>1117</v>
      </c>
      <c r="P2057" s="8" t="s">
        <v>10156</v>
      </c>
      <c r="Q2057" s="8" t="s">
        <v>4262</v>
      </c>
      <c r="R2057" s="8">
        <v>0.42</v>
      </c>
      <c r="S2057" s="8">
        <v>65301098</v>
      </c>
      <c r="T2057" s="8" t="s">
        <v>24</v>
      </c>
      <c r="U2057" s="8" t="s">
        <v>25</v>
      </c>
    </row>
    <row r="2058" spans="1:21">
      <c r="A2058" s="8" t="s">
        <v>10155</v>
      </c>
      <c r="B2058" s="8" t="s">
        <v>2890</v>
      </c>
      <c r="C2058" s="8">
        <v>57554</v>
      </c>
      <c r="D2058" s="8" t="s">
        <v>22</v>
      </c>
      <c r="E2058" s="8">
        <v>70541901</v>
      </c>
      <c r="F2058" s="8">
        <v>70541901</v>
      </c>
      <c r="G2058" s="8" t="s">
        <v>46</v>
      </c>
      <c r="H2058" s="8" t="s">
        <v>24</v>
      </c>
      <c r="I2058" s="8" t="s">
        <v>23</v>
      </c>
      <c r="J2058" s="8" t="s">
        <v>2891</v>
      </c>
      <c r="K2058" s="8" t="s">
        <v>6602</v>
      </c>
      <c r="L2058" s="8" t="s">
        <v>19</v>
      </c>
      <c r="M2058" s="8">
        <v>4288</v>
      </c>
      <c r="N2058" s="8" t="s">
        <v>602</v>
      </c>
      <c r="O2058" s="8">
        <v>1420</v>
      </c>
      <c r="P2058" s="8" t="s">
        <v>10157</v>
      </c>
      <c r="Q2058" s="8" t="s">
        <v>4262</v>
      </c>
      <c r="R2058" s="8">
        <v>0.38500000000000001</v>
      </c>
      <c r="S2058" s="8">
        <v>70541901</v>
      </c>
      <c r="T2058" s="8" t="s">
        <v>46</v>
      </c>
      <c r="U2058" s="8" t="s">
        <v>24</v>
      </c>
    </row>
    <row r="2059" spans="1:21">
      <c r="A2059" s="8" t="s">
        <v>10155</v>
      </c>
      <c r="B2059" s="8" t="s">
        <v>10158</v>
      </c>
      <c r="C2059" s="8">
        <v>55283</v>
      </c>
      <c r="D2059" s="8" t="s">
        <v>22</v>
      </c>
      <c r="E2059" s="8">
        <v>85486827</v>
      </c>
      <c r="F2059" s="8">
        <v>85486827</v>
      </c>
      <c r="G2059" s="8" t="s">
        <v>25</v>
      </c>
      <c r="H2059" s="8" t="s">
        <v>24</v>
      </c>
      <c r="I2059" s="8" t="s">
        <v>23</v>
      </c>
      <c r="J2059" s="8" t="s">
        <v>10159</v>
      </c>
      <c r="K2059" s="8" t="s">
        <v>10161</v>
      </c>
      <c r="L2059" s="8" t="s">
        <v>19</v>
      </c>
      <c r="M2059" s="8">
        <v>1546</v>
      </c>
      <c r="N2059" s="8" t="s">
        <v>266</v>
      </c>
      <c r="O2059" s="8">
        <v>485</v>
      </c>
      <c r="P2059" s="8" t="s">
        <v>10160</v>
      </c>
      <c r="Q2059" s="8" t="s">
        <v>4262</v>
      </c>
      <c r="R2059" s="8">
        <v>0.38700000000000001</v>
      </c>
      <c r="S2059" s="8">
        <v>85486827</v>
      </c>
      <c r="T2059" s="8" t="s">
        <v>25</v>
      </c>
      <c r="U2059" s="8" t="s">
        <v>24</v>
      </c>
    </row>
    <row r="2060" spans="1:21">
      <c r="A2060" s="8" t="s">
        <v>10155</v>
      </c>
      <c r="B2060" s="8" t="s">
        <v>10162</v>
      </c>
      <c r="C2060" s="8">
        <v>164153</v>
      </c>
      <c r="D2060" s="8" t="s">
        <v>22</v>
      </c>
      <c r="E2060" s="8">
        <v>110655541</v>
      </c>
      <c r="F2060" s="8">
        <v>110655541</v>
      </c>
      <c r="G2060" s="8" t="s">
        <v>46</v>
      </c>
      <c r="H2060" s="8" t="s">
        <v>41</v>
      </c>
      <c r="I2060" s="8" t="s">
        <v>23</v>
      </c>
      <c r="J2060" s="8" t="s">
        <v>10163</v>
      </c>
      <c r="K2060" s="8" t="s">
        <v>10165</v>
      </c>
      <c r="L2060" s="8" t="s">
        <v>19</v>
      </c>
      <c r="M2060" s="8">
        <v>480</v>
      </c>
      <c r="N2060" s="8" t="s">
        <v>504</v>
      </c>
      <c r="O2060" s="8">
        <v>129</v>
      </c>
      <c r="P2060" s="8" t="s">
        <v>10164</v>
      </c>
      <c r="Q2060" s="8" t="s">
        <v>4262</v>
      </c>
      <c r="R2060" s="8">
        <v>0.42099999999999999</v>
      </c>
      <c r="S2060" s="8">
        <v>110655541</v>
      </c>
      <c r="T2060" s="8" t="s">
        <v>46</v>
      </c>
      <c r="U2060" s="8" t="s">
        <v>41</v>
      </c>
    </row>
    <row r="2061" spans="1:21">
      <c r="A2061" s="8" t="s">
        <v>10155</v>
      </c>
      <c r="B2061" s="8" t="s">
        <v>2883</v>
      </c>
      <c r="C2061" s="8">
        <v>204851</v>
      </c>
      <c r="D2061" s="8" t="s">
        <v>22</v>
      </c>
      <c r="E2061" s="8">
        <v>114506091</v>
      </c>
      <c r="F2061" s="8">
        <v>114506091</v>
      </c>
      <c r="G2061" s="8" t="s">
        <v>41</v>
      </c>
      <c r="H2061" s="8" t="s">
        <v>25</v>
      </c>
      <c r="I2061" s="8" t="s">
        <v>23</v>
      </c>
      <c r="J2061" s="8" t="s">
        <v>10166</v>
      </c>
      <c r="K2061" s="8" t="s">
        <v>10168</v>
      </c>
      <c r="L2061" s="8" t="s">
        <v>19</v>
      </c>
      <c r="M2061" s="8">
        <v>2347</v>
      </c>
      <c r="N2061" s="8" t="s">
        <v>1096</v>
      </c>
      <c r="O2061" s="8">
        <v>729</v>
      </c>
      <c r="P2061" s="8" t="s">
        <v>10167</v>
      </c>
      <c r="Q2061" s="8" t="s">
        <v>4262</v>
      </c>
      <c r="R2061" s="8">
        <v>0.46100000000000002</v>
      </c>
      <c r="S2061" s="8">
        <v>114506091</v>
      </c>
      <c r="T2061" s="8" t="s">
        <v>41</v>
      </c>
      <c r="U2061" s="8" t="s">
        <v>25</v>
      </c>
    </row>
    <row r="2062" spans="1:21">
      <c r="A2062" s="8" t="s">
        <v>10155</v>
      </c>
      <c r="B2062" s="8" t="s">
        <v>2019</v>
      </c>
      <c r="C2062" s="8">
        <v>54823</v>
      </c>
      <c r="D2062" s="8" t="s">
        <v>22</v>
      </c>
      <c r="E2062" s="8">
        <v>185143541</v>
      </c>
      <c r="F2062" s="8">
        <v>185143541</v>
      </c>
      <c r="G2062" s="8" t="s">
        <v>25</v>
      </c>
      <c r="H2062" s="8" t="s">
        <v>41</v>
      </c>
      <c r="I2062" s="8" t="s">
        <v>23</v>
      </c>
      <c r="J2062" s="8" t="s">
        <v>10169</v>
      </c>
      <c r="K2062" s="8" t="s">
        <v>10171</v>
      </c>
      <c r="L2062" s="8" t="s">
        <v>76</v>
      </c>
      <c r="M2062" s="8">
        <v>376</v>
      </c>
      <c r="N2062" s="8" t="s">
        <v>2961</v>
      </c>
      <c r="O2062" s="8">
        <v>88</v>
      </c>
      <c r="P2062" s="8" t="s">
        <v>10170</v>
      </c>
      <c r="Q2062" s="8" t="s">
        <v>4262</v>
      </c>
      <c r="R2062" s="8">
        <v>0.35199999999999998</v>
      </c>
      <c r="S2062" s="8">
        <v>185143541</v>
      </c>
      <c r="T2062" s="8" t="s">
        <v>25</v>
      </c>
      <c r="U2062" s="8" t="s">
        <v>41</v>
      </c>
    </row>
    <row r="2063" spans="1:21">
      <c r="A2063" s="8" t="s">
        <v>10155</v>
      </c>
      <c r="B2063" s="8" t="s">
        <v>2884</v>
      </c>
      <c r="C2063" s="8">
        <v>55509</v>
      </c>
      <c r="D2063" s="8" t="s">
        <v>22</v>
      </c>
      <c r="E2063" s="8">
        <v>212860211</v>
      </c>
      <c r="F2063" s="8">
        <v>212860211</v>
      </c>
      <c r="G2063" s="8" t="s">
        <v>24</v>
      </c>
      <c r="H2063" s="8" t="s">
        <v>41</v>
      </c>
      <c r="I2063" s="8" t="s">
        <v>23</v>
      </c>
      <c r="J2063" s="8" t="s">
        <v>2885</v>
      </c>
      <c r="K2063" s="8" t="s">
        <v>10173</v>
      </c>
      <c r="L2063" s="8" t="s">
        <v>76</v>
      </c>
      <c r="M2063" s="8">
        <v>529</v>
      </c>
      <c r="N2063" s="8" t="s">
        <v>209</v>
      </c>
      <c r="O2063" s="8">
        <v>102</v>
      </c>
      <c r="P2063" s="8" t="s">
        <v>10172</v>
      </c>
      <c r="Q2063" s="8" t="s">
        <v>4262</v>
      </c>
      <c r="R2063" s="8">
        <v>0.47</v>
      </c>
      <c r="S2063" s="8">
        <v>212860211</v>
      </c>
      <c r="T2063" s="8" t="s">
        <v>24</v>
      </c>
      <c r="U2063" s="8" t="s">
        <v>41</v>
      </c>
    </row>
    <row r="2064" spans="1:21">
      <c r="A2064" s="8" t="s">
        <v>10155</v>
      </c>
      <c r="B2064" s="8" t="s">
        <v>1779</v>
      </c>
      <c r="C2064" s="8">
        <v>26750</v>
      </c>
      <c r="D2064" s="8" t="s">
        <v>22</v>
      </c>
      <c r="E2064" s="8">
        <v>213414468</v>
      </c>
      <c r="F2064" s="8">
        <v>213414468</v>
      </c>
      <c r="G2064" s="8" t="s">
        <v>41</v>
      </c>
      <c r="H2064" s="8" t="s">
        <v>24</v>
      </c>
      <c r="I2064" s="8" t="s">
        <v>23</v>
      </c>
      <c r="J2064" s="8" t="s">
        <v>5905</v>
      </c>
      <c r="K2064" s="8" t="s">
        <v>5907</v>
      </c>
      <c r="L2064" s="8" t="s">
        <v>19</v>
      </c>
      <c r="M2064" s="8">
        <v>1808</v>
      </c>
      <c r="N2064" s="8" t="s">
        <v>1281</v>
      </c>
      <c r="O2064" s="8">
        <v>550</v>
      </c>
      <c r="P2064" s="8" t="s">
        <v>10174</v>
      </c>
      <c r="Q2064" s="8" t="s">
        <v>4262</v>
      </c>
      <c r="R2064" s="8">
        <v>0.51300000000000001</v>
      </c>
      <c r="S2064" s="8">
        <v>213414468</v>
      </c>
      <c r="T2064" s="8" t="s">
        <v>41</v>
      </c>
      <c r="U2064" s="8" t="s">
        <v>24</v>
      </c>
    </row>
    <row r="2065" spans="1:21">
      <c r="A2065" s="8" t="s">
        <v>10155</v>
      </c>
      <c r="B2065" s="8" t="s">
        <v>2886</v>
      </c>
      <c r="C2065" s="8">
        <v>9202</v>
      </c>
      <c r="D2065" s="8" t="s">
        <v>22</v>
      </c>
      <c r="E2065" s="8">
        <v>35847287</v>
      </c>
      <c r="F2065" s="8">
        <v>35847287</v>
      </c>
      <c r="G2065" s="8" t="s">
        <v>25</v>
      </c>
      <c r="H2065" s="8" t="s">
        <v>41</v>
      </c>
      <c r="I2065" s="8" t="s">
        <v>23</v>
      </c>
      <c r="J2065" s="8" t="s">
        <v>2887</v>
      </c>
      <c r="K2065" s="8" t="s">
        <v>10176</v>
      </c>
      <c r="L2065" s="8" t="s">
        <v>19</v>
      </c>
      <c r="M2065" s="8">
        <v>1577</v>
      </c>
      <c r="N2065" s="8" t="s">
        <v>1231</v>
      </c>
      <c r="O2065" s="8">
        <v>499</v>
      </c>
      <c r="P2065" s="8" t="s">
        <v>10175</v>
      </c>
      <c r="Q2065" s="8" t="s">
        <v>4262</v>
      </c>
      <c r="R2065" s="8">
        <v>0.44900000000000001</v>
      </c>
      <c r="S2065" s="8">
        <v>35847287</v>
      </c>
      <c r="T2065" s="8" t="s">
        <v>25</v>
      </c>
      <c r="U2065" s="8" t="s">
        <v>41</v>
      </c>
    </row>
    <row r="2066" spans="1:21">
      <c r="A2066" s="8" t="s">
        <v>10155</v>
      </c>
      <c r="B2066" s="8" t="s">
        <v>1815</v>
      </c>
      <c r="C2066" s="8">
        <v>27247</v>
      </c>
      <c r="D2066" s="8" t="s">
        <v>172</v>
      </c>
      <c r="E2066" s="8">
        <v>69642388</v>
      </c>
      <c r="F2066" s="8">
        <v>69642388</v>
      </c>
      <c r="G2066" s="8" t="s">
        <v>41</v>
      </c>
      <c r="H2066" s="8" t="s">
        <v>46</v>
      </c>
      <c r="I2066" s="8" t="s">
        <v>23</v>
      </c>
      <c r="J2066" s="8" t="s">
        <v>10177</v>
      </c>
      <c r="K2066" s="8" t="s">
        <v>10179</v>
      </c>
      <c r="L2066" s="8" t="s">
        <v>19</v>
      </c>
      <c r="M2066" s="8">
        <v>612</v>
      </c>
      <c r="N2066" s="8" t="s">
        <v>1055</v>
      </c>
      <c r="O2066" s="8">
        <v>138</v>
      </c>
      <c r="P2066" s="8" t="s">
        <v>10178</v>
      </c>
      <c r="Q2066" s="8" t="s">
        <v>4262</v>
      </c>
      <c r="R2066" s="8">
        <v>0.33300000000000002</v>
      </c>
      <c r="S2066" s="8">
        <v>69642388</v>
      </c>
      <c r="T2066" s="8" t="s">
        <v>41</v>
      </c>
      <c r="U2066" s="8" t="s">
        <v>46</v>
      </c>
    </row>
    <row r="2067" spans="1:21">
      <c r="A2067" s="8" t="s">
        <v>10155</v>
      </c>
      <c r="B2067" s="8" t="s">
        <v>2908</v>
      </c>
      <c r="C2067" s="8">
        <v>79675</v>
      </c>
      <c r="D2067" s="8" t="s">
        <v>172</v>
      </c>
      <c r="E2067" s="8">
        <v>170402972</v>
      </c>
      <c r="F2067" s="8">
        <v>170402972</v>
      </c>
      <c r="G2067" s="8" t="s">
        <v>41</v>
      </c>
      <c r="H2067" s="8" t="s">
        <v>46</v>
      </c>
      <c r="I2067" s="8" t="s">
        <v>23</v>
      </c>
      <c r="J2067" s="8" t="s">
        <v>2909</v>
      </c>
      <c r="K2067" s="8" t="s">
        <v>7793</v>
      </c>
      <c r="L2067" s="8" t="s">
        <v>19</v>
      </c>
      <c r="M2067" s="8">
        <v>1845</v>
      </c>
      <c r="N2067" s="8" t="s">
        <v>1055</v>
      </c>
      <c r="O2067" s="8">
        <v>486</v>
      </c>
      <c r="P2067" s="8" t="s">
        <v>10180</v>
      </c>
      <c r="Q2067" s="8" t="s">
        <v>4262</v>
      </c>
      <c r="R2067" s="8">
        <v>0.41599999999999998</v>
      </c>
      <c r="S2067" s="8">
        <v>170402972</v>
      </c>
      <c r="T2067" s="8" t="s">
        <v>41</v>
      </c>
      <c r="U2067" s="8" t="s">
        <v>46</v>
      </c>
    </row>
    <row r="2068" spans="1:21">
      <c r="A2068" s="8" t="s">
        <v>10155</v>
      </c>
      <c r="B2068" s="8" t="s">
        <v>173</v>
      </c>
      <c r="C2068" s="8">
        <v>338</v>
      </c>
      <c r="D2068" s="8" t="s">
        <v>172</v>
      </c>
      <c r="E2068" s="8">
        <v>21228741</v>
      </c>
      <c r="F2068" s="8">
        <v>21228741</v>
      </c>
      <c r="G2068" s="8" t="s">
        <v>46</v>
      </c>
      <c r="H2068" s="8" t="s">
        <v>24</v>
      </c>
      <c r="I2068" s="8" t="s">
        <v>23</v>
      </c>
      <c r="J2068" s="8" t="s">
        <v>174</v>
      </c>
      <c r="K2068" s="8" t="s">
        <v>9626</v>
      </c>
      <c r="L2068" s="8" t="s">
        <v>19</v>
      </c>
      <c r="M2068" s="8">
        <v>11127</v>
      </c>
      <c r="N2068" s="8" t="s">
        <v>3091</v>
      </c>
      <c r="O2068" s="8">
        <v>3667</v>
      </c>
      <c r="P2068" s="8" t="s">
        <v>10181</v>
      </c>
      <c r="Q2068" s="8" t="s">
        <v>4262</v>
      </c>
      <c r="R2068" s="8">
        <v>0.39200000000000002</v>
      </c>
      <c r="S2068" s="8">
        <v>21228741</v>
      </c>
      <c r="T2068" s="8" t="s">
        <v>46</v>
      </c>
      <c r="U2068" s="8" t="s">
        <v>24</v>
      </c>
    </row>
    <row r="2069" spans="1:21">
      <c r="A2069" s="8" t="s">
        <v>10155</v>
      </c>
      <c r="B2069" s="8" t="s">
        <v>173</v>
      </c>
      <c r="C2069" s="8">
        <v>338</v>
      </c>
      <c r="D2069" s="8" t="s">
        <v>172</v>
      </c>
      <c r="E2069" s="8">
        <v>21228743</v>
      </c>
      <c r="F2069" s="8">
        <v>21228743</v>
      </c>
      <c r="G2069" s="8" t="s">
        <v>41</v>
      </c>
      <c r="H2069" s="8" t="s">
        <v>46</v>
      </c>
      <c r="I2069" s="8" t="s">
        <v>23</v>
      </c>
      <c r="J2069" s="8" t="s">
        <v>174</v>
      </c>
      <c r="K2069" s="8" t="s">
        <v>9626</v>
      </c>
      <c r="L2069" s="8" t="s">
        <v>19</v>
      </c>
      <c r="M2069" s="8">
        <v>11125</v>
      </c>
      <c r="N2069" s="8" t="s">
        <v>454</v>
      </c>
      <c r="O2069" s="8">
        <v>3666</v>
      </c>
      <c r="P2069" s="8" t="s">
        <v>10182</v>
      </c>
      <c r="Q2069" s="8" t="s">
        <v>4262</v>
      </c>
      <c r="R2069" s="8">
        <v>0.39400000000000002</v>
      </c>
      <c r="S2069" s="8">
        <v>21228743</v>
      </c>
      <c r="T2069" s="8" t="s">
        <v>41</v>
      </c>
      <c r="U2069" s="8" t="s">
        <v>46</v>
      </c>
    </row>
    <row r="2070" spans="1:21">
      <c r="A2070" s="8" t="s">
        <v>10155</v>
      </c>
      <c r="B2070" s="8" t="s">
        <v>2910</v>
      </c>
      <c r="C2070" s="8">
        <v>80309</v>
      </c>
      <c r="D2070" s="8" t="s">
        <v>172</v>
      </c>
      <c r="E2070" s="8">
        <v>228882142</v>
      </c>
      <c r="F2070" s="8">
        <v>228882142</v>
      </c>
      <c r="G2070" s="8" t="s">
        <v>46</v>
      </c>
      <c r="H2070" s="8" t="s">
        <v>24</v>
      </c>
      <c r="I2070" s="8" t="s">
        <v>23</v>
      </c>
      <c r="J2070" s="8" t="s">
        <v>10183</v>
      </c>
      <c r="K2070" s="8" t="s">
        <v>10185</v>
      </c>
      <c r="L2070" s="8" t="s">
        <v>19</v>
      </c>
      <c r="M2070" s="8">
        <v>3475</v>
      </c>
      <c r="N2070" s="8" t="s">
        <v>426</v>
      </c>
      <c r="O2070" s="8">
        <v>1143</v>
      </c>
      <c r="P2070" s="8" t="s">
        <v>10184</v>
      </c>
      <c r="Q2070" s="8" t="s">
        <v>4262</v>
      </c>
      <c r="R2070" s="8">
        <v>0.47499999999999998</v>
      </c>
      <c r="S2070" s="8">
        <v>228882142</v>
      </c>
      <c r="T2070" s="8" t="s">
        <v>46</v>
      </c>
      <c r="U2070" s="8" t="s">
        <v>24</v>
      </c>
    </row>
    <row r="2071" spans="1:21">
      <c r="A2071" s="8" t="s">
        <v>10155</v>
      </c>
      <c r="B2071" s="8" t="s">
        <v>1104</v>
      </c>
      <c r="C2071" s="8">
        <v>9427</v>
      </c>
      <c r="D2071" s="8" t="s">
        <v>172</v>
      </c>
      <c r="E2071" s="8">
        <v>233348155</v>
      </c>
      <c r="F2071" s="8">
        <v>233348155</v>
      </c>
      <c r="G2071" s="8" t="s">
        <v>46</v>
      </c>
      <c r="H2071" s="8" t="s">
        <v>24</v>
      </c>
      <c r="I2071" s="8" t="s">
        <v>23</v>
      </c>
      <c r="J2071" s="8" t="s">
        <v>1105</v>
      </c>
      <c r="K2071" s="8" t="s">
        <v>10187</v>
      </c>
      <c r="L2071" s="8" t="s">
        <v>19</v>
      </c>
      <c r="M2071" s="8">
        <v>1682</v>
      </c>
      <c r="N2071" s="8" t="s">
        <v>582</v>
      </c>
      <c r="O2071" s="8">
        <v>493</v>
      </c>
      <c r="P2071" s="8" t="s">
        <v>10186</v>
      </c>
      <c r="Q2071" s="8" t="s">
        <v>4262</v>
      </c>
      <c r="R2071" s="8">
        <v>0.36899999999999999</v>
      </c>
      <c r="S2071" s="8">
        <v>233348155</v>
      </c>
      <c r="T2071" s="8" t="s">
        <v>46</v>
      </c>
      <c r="U2071" s="8" t="s">
        <v>24</v>
      </c>
    </row>
    <row r="2072" spans="1:21">
      <c r="A2072" s="8" t="s">
        <v>10155</v>
      </c>
      <c r="B2072" s="8" t="s">
        <v>2911</v>
      </c>
      <c r="C2072" s="8">
        <v>8527</v>
      </c>
      <c r="D2072" s="8" t="s">
        <v>172</v>
      </c>
      <c r="E2072" s="8">
        <v>234371288</v>
      </c>
      <c r="F2072" s="8">
        <v>234371288</v>
      </c>
      <c r="G2072" s="8" t="s">
        <v>24</v>
      </c>
      <c r="H2072" s="8" t="s">
        <v>46</v>
      </c>
      <c r="I2072" s="8" t="s">
        <v>23</v>
      </c>
      <c r="J2072" s="8" t="s">
        <v>10188</v>
      </c>
      <c r="K2072" s="8" t="s">
        <v>10189</v>
      </c>
      <c r="L2072" s="8" t="s">
        <v>68</v>
      </c>
      <c r="M2072" s="8">
        <v>0</v>
      </c>
      <c r="N2072" s="8" t="s">
        <v>35</v>
      </c>
      <c r="O2072" s="8">
        <v>0</v>
      </c>
      <c r="P2072" s="8" t="s">
        <v>35</v>
      </c>
      <c r="Q2072" s="8" t="s">
        <v>4262</v>
      </c>
      <c r="R2072" s="8">
        <v>0.46400000000000002</v>
      </c>
      <c r="S2072" s="8">
        <v>234371288</v>
      </c>
      <c r="T2072" s="8" t="s">
        <v>24</v>
      </c>
      <c r="U2072" s="8" t="s">
        <v>46</v>
      </c>
    </row>
    <row r="2073" spans="1:21">
      <c r="A2073" s="8" t="s">
        <v>10155</v>
      </c>
      <c r="B2073" s="8" t="s">
        <v>10190</v>
      </c>
      <c r="C2073" s="8">
        <v>5067</v>
      </c>
      <c r="D2073" s="8" t="s">
        <v>201</v>
      </c>
      <c r="E2073" s="8">
        <v>74347201</v>
      </c>
      <c r="F2073" s="8">
        <v>74347201</v>
      </c>
      <c r="G2073" s="8" t="s">
        <v>24</v>
      </c>
      <c r="H2073" s="8" t="s">
        <v>25</v>
      </c>
      <c r="I2073" s="8" t="s">
        <v>23</v>
      </c>
      <c r="J2073" s="8" t="s">
        <v>10191</v>
      </c>
      <c r="K2073" s="8" t="s">
        <v>10193</v>
      </c>
      <c r="L2073" s="8" t="s">
        <v>19</v>
      </c>
      <c r="M2073" s="8">
        <v>2388</v>
      </c>
      <c r="N2073" s="8" t="s">
        <v>423</v>
      </c>
      <c r="O2073" s="8">
        <v>770</v>
      </c>
      <c r="P2073" s="8" t="s">
        <v>10192</v>
      </c>
      <c r="Q2073" s="8" t="s">
        <v>4262</v>
      </c>
      <c r="R2073" s="8">
        <v>5.7000000000000002E-2</v>
      </c>
      <c r="S2073" s="8">
        <v>74347201</v>
      </c>
      <c r="T2073" s="8" t="s">
        <v>24</v>
      </c>
      <c r="U2073" s="8" t="s">
        <v>25</v>
      </c>
    </row>
    <row r="2074" spans="1:21">
      <c r="A2074" s="8" t="s">
        <v>10155</v>
      </c>
      <c r="B2074" s="8" t="s">
        <v>5142</v>
      </c>
      <c r="C2074" s="8">
        <v>57493</v>
      </c>
      <c r="D2074" s="8" t="s">
        <v>201</v>
      </c>
      <c r="E2074" s="8">
        <v>124720804</v>
      </c>
      <c r="F2074" s="8">
        <v>124720804</v>
      </c>
      <c r="G2074" s="8" t="s">
        <v>41</v>
      </c>
      <c r="H2074" s="8" t="s">
        <v>24</v>
      </c>
      <c r="I2074" s="8" t="s">
        <v>23</v>
      </c>
      <c r="J2074" s="8" t="s">
        <v>5143</v>
      </c>
      <c r="K2074" s="8" t="s">
        <v>5145</v>
      </c>
      <c r="L2074" s="8" t="s">
        <v>19</v>
      </c>
      <c r="M2074" s="8">
        <v>3477</v>
      </c>
      <c r="N2074" s="8" t="s">
        <v>181</v>
      </c>
      <c r="O2074" s="8">
        <v>1137</v>
      </c>
      <c r="P2074" s="8" t="s">
        <v>10194</v>
      </c>
      <c r="Q2074" s="8" t="s">
        <v>4262</v>
      </c>
      <c r="R2074" s="8">
        <v>0.35199999999999998</v>
      </c>
      <c r="S2074" s="8">
        <v>124720804</v>
      </c>
      <c r="T2074" s="8" t="s">
        <v>41</v>
      </c>
      <c r="U2074" s="8" t="s">
        <v>24</v>
      </c>
    </row>
    <row r="2075" spans="1:21">
      <c r="A2075" s="8" t="s">
        <v>10155</v>
      </c>
      <c r="B2075" s="8" t="s">
        <v>10195</v>
      </c>
      <c r="C2075" s="8">
        <v>115560</v>
      </c>
      <c r="D2075" s="8" t="s">
        <v>201</v>
      </c>
      <c r="E2075" s="8">
        <v>44776590</v>
      </c>
      <c r="F2075" s="8">
        <v>44776590</v>
      </c>
      <c r="G2075" s="8" t="s">
        <v>46</v>
      </c>
      <c r="H2075" s="8" t="s">
        <v>24</v>
      </c>
      <c r="I2075" s="8" t="s">
        <v>23</v>
      </c>
      <c r="J2075" s="8" t="s">
        <v>10196</v>
      </c>
      <c r="K2075" s="8" t="s">
        <v>10198</v>
      </c>
      <c r="L2075" s="8" t="s">
        <v>19</v>
      </c>
      <c r="M2075" s="8">
        <v>1078</v>
      </c>
      <c r="N2075" s="8" t="s">
        <v>4912</v>
      </c>
      <c r="O2075" s="8">
        <v>226</v>
      </c>
      <c r="P2075" s="8" t="s">
        <v>10197</v>
      </c>
      <c r="Q2075" s="8" t="s">
        <v>4262</v>
      </c>
      <c r="R2075" s="8">
        <v>0.32</v>
      </c>
      <c r="S2075" s="8">
        <v>44776590</v>
      </c>
      <c r="T2075" s="8" t="s">
        <v>46</v>
      </c>
      <c r="U2075" s="8" t="s">
        <v>24</v>
      </c>
    </row>
    <row r="2076" spans="1:21">
      <c r="A2076" s="8" t="s">
        <v>10155</v>
      </c>
      <c r="B2076" s="8" t="s">
        <v>10199</v>
      </c>
      <c r="C2076" s="8">
        <v>10144</v>
      </c>
      <c r="D2076" s="8" t="s">
        <v>220</v>
      </c>
      <c r="E2076" s="8">
        <v>89912281</v>
      </c>
      <c r="F2076" s="8">
        <v>89912281</v>
      </c>
      <c r="G2076" s="8" t="s">
        <v>46</v>
      </c>
      <c r="H2076" s="8" t="s">
        <v>24</v>
      </c>
      <c r="I2076" s="8" t="s">
        <v>23</v>
      </c>
      <c r="J2076" s="8" t="s">
        <v>10200</v>
      </c>
      <c r="K2076" s="8" t="s">
        <v>10202</v>
      </c>
      <c r="L2076" s="8" t="s">
        <v>19</v>
      </c>
      <c r="M2076" s="8">
        <v>656</v>
      </c>
      <c r="N2076" s="8" t="s">
        <v>588</v>
      </c>
      <c r="O2076" s="8">
        <v>150</v>
      </c>
      <c r="P2076" s="8" t="s">
        <v>10201</v>
      </c>
      <c r="Q2076" s="8" t="s">
        <v>4262</v>
      </c>
      <c r="R2076" s="8">
        <v>0.29499999999999998</v>
      </c>
      <c r="S2076" s="8">
        <v>89912281</v>
      </c>
      <c r="T2076" s="8" t="s">
        <v>46</v>
      </c>
      <c r="U2076" s="8" t="s">
        <v>24</v>
      </c>
    </row>
    <row r="2077" spans="1:21">
      <c r="A2077" s="8" t="s">
        <v>10155</v>
      </c>
      <c r="B2077" s="8" t="s">
        <v>10203</v>
      </c>
      <c r="C2077" s="8">
        <v>10427</v>
      </c>
      <c r="D2077" s="8" t="s">
        <v>220</v>
      </c>
      <c r="E2077" s="8">
        <v>110445977</v>
      </c>
      <c r="F2077" s="8">
        <v>110445977</v>
      </c>
      <c r="G2077" s="8" t="s">
        <v>24</v>
      </c>
      <c r="H2077" s="8" t="s">
        <v>25</v>
      </c>
      <c r="I2077" s="8" t="s">
        <v>23</v>
      </c>
      <c r="J2077" s="8" t="s">
        <v>10204</v>
      </c>
      <c r="K2077" s="8" t="s">
        <v>10206</v>
      </c>
      <c r="L2077" s="8" t="s">
        <v>19</v>
      </c>
      <c r="M2077" s="8">
        <v>2567</v>
      </c>
      <c r="N2077" s="8" t="s">
        <v>322</v>
      </c>
      <c r="O2077" s="8">
        <v>838</v>
      </c>
      <c r="P2077" s="8" t="s">
        <v>10205</v>
      </c>
      <c r="Q2077" s="8" t="s">
        <v>4262</v>
      </c>
      <c r="R2077" s="8">
        <v>0.42299999999999999</v>
      </c>
      <c r="S2077" s="8">
        <v>110445977</v>
      </c>
      <c r="T2077" s="8" t="s">
        <v>24</v>
      </c>
      <c r="U2077" s="8" t="s">
        <v>25</v>
      </c>
    </row>
    <row r="2078" spans="1:21">
      <c r="A2078" s="8" t="s">
        <v>10155</v>
      </c>
      <c r="B2078" s="8" t="s">
        <v>10207</v>
      </c>
      <c r="C2078" s="8">
        <v>5393</v>
      </c>
      <c r="D2078" s="8" t="s">
        <v>220</v>
      </c>
      <c r="E2078" s="8">
        <v>122724104</v>
      </c>
      <c r="F2078" s="8">
        <v>122724104</v>
      </c>
      <c r="G2078" s="8" t="s">
        <v>25</v>
      </c>
      <c r="H2078" s="8" t="s">
        <v>46</v>
      </c>
      <c r="I2078" s="8" t="s">
        <v>23</v>
      </c>
      <c r="J2078" s="8" t="s">
        <v>10208</v>
      </c>
      <c r="K2078" s="8" t="s">
        <v>10210</v>
      </c>
      <c r="L2078" s="8" t="s">
        <v>19</v>
      </c>
      <c r="M2078" s="8">
        <v>424</v>
      </c>
      <c r="N2078" s="8" t="s">
        <v>3175</v>
      </c>
      <c r="O2078" s="8">
        <v>106</v>
      </c>
      <c r="P2078" s="8" t="s">
        <v>10209</v>
      </c>
      <c r="Q2078" s="8" t="s">
        <v>4262</v>
      </c>
      <c r="R2078" s="8">
        <v>0.41599999999999998</v>
      </c>
      <c r="S2078" s="8">
        <v>122724104</v>
      </c>
      <c r="T2078" s="8" t="s">
        <v>25</v>
      </c>
      <c r="U2078" s="8" t="s">
        <v>46</v>
      </c>
    </row>
    <row r="2079" spans="1:21">
      <c r="A2079" s="8" t="s">
        <v>10155</v>
      </c>
      <c r="B2079" s="8" t="s">
        <v>2914</v>
      </c>
      <c r="C2079" s="8">
        <v>324</v>
      </c>
      <c r="D2079" s="8" t="s">
        <v>226</v>
      </c>
      <c r="E2079" s="8">
        <v>112128141</v>
      </c>
      <c r="F2079" s="8">
        <v>112128141</v>
      </c>
      <c r="G2079" s="8" t="s">
        <v>25</v>
      </c>
      <c r="H2079" s="8" t="s">
        <v>24</v>
      </c>
      <c r="I2079" s="8" t="s">
        <v>23</v>
      </c>
      <c r="J2079" s="8" t="s">
        <v>10211</v>
      </c>
      <c r="K2079" s="8" t="s">
        <v>10213</v>
      </c>
      <c r="L2079" s="8" t="s">
        <v>68</v>
      </c>
      <c r="M2079" s="8">
        <v>0</v>
      </c>
      <c r="N2079" s="8" t="s">
        <v>35</v>
      </c>
      <c r="O2079" s="8">
        <v>0</v>
      </c>
      <c r="P2079" s="8" t="s">
        <v>35</v>
      </c>
      <c r="Q2079" s="8" t="s">
        <v>10212</v>
      </c>
      <c r="R2079" s="8">
        <v>0.64700000000000002</v>
      </c>
      <c r="S2079" s="8">
        <v>112128141</v>
      </c>
      <c r="T2079" s="8" t="s">
        <v>25</v>
      </c>
      <c r="U2079" s="8" t="s">
        <v>24</v>
      </c>
    </row>
    <row r="2080" spans="1:21">
      <c r="A2080" s="8" t="s">
        <v>10155</v>
      </c>
      <c r="B2080" s="8" t="s">
        <v>10214</v>
      </c>
      <c r="C2080" s="8">
        <v>9697</v>
      </c>
      <c r="D2080" s="8" t="s">
        <v>237</v>
      </c>
      <c r="E2080" s="8">
        <v>52368056</v>
      </c>
      <c r="F2080" s="8">
        <v>52368056</v>
      </c>
      <c r="G2080" s="8" t="s">
        <v>41</v>
      </c>
      <c r="H2080" s="8" t="s">
        <v>46</v>
      </c>
      <c r="I2080" s="8" t="s">
        <v>23</v>
      </c>
      <c r="J2080" s="8" t="s">
        <v>10215</v>
      </c>
      <c r="K2080" s="8" t="s">
        <v>10217</v>
      </c>
      <c r="L2080" s="8" t="s">
        <v>19</v>
      </c>
      <c r="M2080" s="8">
        <v>1201</v>
      </c>
      <c r="N2080" s="8" t="s">
        <v>955</v>
      </c>
      <c r="O2080" s="8">
        <v>351</v>
      </c>
      <c r="P2080" s="8" t="s">
        <v>10216</v>
      </c>
      <c r="Q2080" s="8" t="s">
        <v>4262</v>
      </c>
      <c r="R2080" s="8">
        <v>0.252</v>
      </c>
      <c r="S2080" s="8">
        <v>52368056</v>
      </c>
      <c r="T2080" s="8" t="s">
        <v>41</v>
      </c>
      <c r="U2080" s="8" t="s">
        <v>46</v>
      </c>
    </row>
    <row r="2081" spans="1:21">
      <c r="A2081" s="8" t="s">
        <v>10155</v>
      </c>
      <c r="B2081" s="8" t="s">
        <v>10218</v>
      </c>
      <c r="C2081" s="8">
        <v>55023</v>
      </c>
      <c r="D2081" s="8" t="s">
        <v>237</v>
      </c>
      <c r="E2081" s="8">
        <v>79656534</v>
      </c>
      <c r="F2081" s="8">
        <v>79656534</v>
      </c>
      <c r="G2081" s="8" t="s">
        <v>25</v>
      </c>
      <c r="H2081" s="8" t="s">
        <v>46</v>
      </c>
      <c r="I2081" s="8" t="s">
        <v>23</v>
      </c>
      <c r="J2081" s="8" t="s">
        <v>10219</v>
      </c>
      <c r="K2081" s="8" t="s">
        <v>10221</v>
      </c>
      <c r="L2081" s="8" t="s">
        <v>19</v>
      </c>
      <c r="M2081" s="8">
        <v>4490</v>
      </c>
      <c r="N2081" s="8" t="s">
        <v>1131</v>
      </c>
      <c r="O2081" s="8">
        <v>1422</v>
      </c>
      <c r="P2081" s="8" t="s">
        <v>10220</v>
      </c>
      <c r="Q2081" s="8" t="s">
        <v>4262</v>
      </c>
      <c r="R2081" s="8">
        <v>0.33300000000000002</v>
      </c>
      <c r="S2081" s="8">
        <v>79656534</v>
      </c>
      <c r="T2081" s="8" t="s">
        <v>25</v>
      </c>
      <c r="U2081" s="8" t="s">
        <v>46</v>
      </c>
    </row>
    <row r="2082" spans="1:21">
      <c r="A2082" s="8" t="s">
        <v>10155</v>
      </c>
      <c r="B2082" s="8" t="s">
        <v>2915</v>
      </c>
      <c r="C2082" s="8">
        <v>8336</v>
      </c>
      <c r="D2082" s="8" t="s">
        <v>237</v>
      </c>
      <c r="E2082" s="8">
        <v>27860618</v>
      </c>
      <c r="F2082" s="8">
        <v>27860618</v>
      </c>
      <c r="G2082" s="8" t="s">
        <v>46</v>
      </c>
      <c r="H2082" s="8" t="s">
        <v>41</v>
      </c>
      <c r="I2082" s="8" t="s">
        <v>23</v>
      </c>
      <c r="J2082" s="8" t="s">
        <v>2916</v>
      </c>
      <c r="K2082" s="8" t="s">
        <v>10223</v>
      </c>
      <c r="L2082" s="8" t="s">
        <v>19</v>
      </c>
      <c r="M2082" s="8">
        <v>346</v>
      </c>
      <c r="N2082" s="8" t="s">
        <v>768</v>
      </c>
      <c r="O2082" s="8">
        <v>104</v>
      </c>
      <c r="P2082" s="8" t="s">
        <v>10222</v>
      </c>
      <c r="Q2082" s="8" t="s">
        <v>4262</v>
      </c>
      <c r="R2082" s="8">
        <v>0.81</v>
      </c>
      <c r="S2082" s="8">
        <v>27860618</v>
      </c>
      <c r="T2082" s="8" t="s">
        <v>46</v>
      </c>
      <c r="U2082" s="8" t="s">
        <v>41</v>
      </c>
    </row>
    <row r="2083" spans="1:21">
      <c r="A2083" s="8" t="s">
        <v>10155</v>
      </c>
      <c r="B2083" s="8" t="s">
        <v>10224</v>
      </c>
      <c r="C2083" s="8">
        <v>720</v>
      </c>
      <c r="D2083" s="8" t="s">
        <v>237</v>
      </c>
      <c r="E2083" s="8">
        <v>31964330</v>
      </c>
      <c r="F2083" s="8">
        <v>31964330</v>
      </c>
      <c r="G2083" s="8" t="s">
        <v>41</v>
      </c>
      <c r="H2083" s="8" t="s">
        <v>24</v>
      </c>
      <c r="I2083" s="8" t="s">
        <v>23</v>
      </c>
      <c r="J2083" s="8" t="s">
        <v>10225</v>
      </c>
      <c r="K2083" s="8" t="s">
        <v>10228</v>
      </c>
      <c r="L2083" s="8" t="s">
        <v>19</v>
      </c>
      <c r="M2083" s="8">
        <v>3680</v>
      </c>
      <c r="N2083" s="8" t="s">
        <v>1090</v>
      </c>
      <c r="O2083" s="8">
        <v>1210</v>
      </c>
      <c r="P2083" s="8" t="s">
        <v>10226</v>
      </c>
      <c r="Q2083" s="8" t="s">
        <v>10227</v>
      </c>
      <c r="R2083" s="8">
        <v>7.3999999999999996E-2</v>
      </c>
      <c r="S2083" s="8">
        <v>31964330</v>
      </c>
      <c r="T2083" s="8" t="s">
        <v>41</v>
      </c>
      <c r="U2083" s="8" t="s">
        <v>24</v>
      </c>
    </row>
    <row r="2084" spans="1:21">
      <c r="A2084" s="8" t="s">
        <v>10155</v>
      </c>
      <c r="B2084" s="8" t="s">
        <v>1962</v>
      </c>
      <c r="C2084" s="8">
        <v>221749</v>
      </c>
      <c r="D2084" s="8" t="s">
        <v>237</v>
      </c>
      <c r="E2084" s="8">
        <v>3723924</v>
      </c>
      <c r="F2084" s="8">
        <v>3723924</v>
      </c>
      <c r="G2084" s="8" t="s">
        <v>46</v>
      </c>
      <c r="H2084" s="8" t="s">
        <v>25</v>
      </c>
      <c r="I2084" s="8" t="s">
        <v>23</v>
      </c>
      <c r="J2084" s="8" t="s">
        <v>2917</v>
      </c>
      <c r="K2084" s="8" t="s">
        <v>10230</v>
      </c>
      <c r="L2084" s="8" t="s">
        <v>19</v>
      </c>
      <c r="M2084" s="8">
        <v>1106</v>
      </c>
      <c r="N2084" s="8" t="s">
        <v>463</v>
      </c>
      <c r="O2084" s="8">
        <v>209</v>
      </c>
      <c r="P2084" s="8" t="s">
        <v>10229</v>
      </c>
      <c r="Q2084" s="8" t="s">
        <v>4262</v>
      </c>
      <c r="R2084" s="8">
        <v>0.77600000000000002</v>
      </c>
      <c r="S2084" s="8">
        <v>3723924</v>
      </c>
      <c r="T2084" s="8" t="s">
        <v>46</v>
      </c>
      <c r="U2084" s="8" t="s">
        <v>25</v>
      </c>
    </row>
    <row r="2085" spans="1:21">
      <c r="A2085" s="8" t="s">
        <v>10155</v>
      </c>
      <c r="B2085" s="8" t="s">
        <v>1714</v>
      </c>
      <c r="C2085" s="8">
        <v>441234</v>
      </c>
      <c r="D2085" s="8" t="s">
        <v>257</v>
      </c>
      <c r="E2085" s="8">
        <v>57529135</v>
      </c>
      <c r="F2085" s="8">
        <v>57529135</v>
      </c>
      <c r="G2085" s="8" t="s">
        <v>46</v>
      </c>
      <c r="H2085" s="8" t="s">
        <v>25</v>
      </c>
      <c r="I2085" s="8" t="s">
        <v>23</v>
      </c>
      <c r="J2085" s="8" t="s">
        <v>10231</v>
      </c>
      <c r="K2085" s="8" t="s">
        <v>10233</v>
      </c>
      <c r="L2085" s="8" t="s">
        <v>19</v>
      </c>
      <c r="M2085" s="8">
        <v>1080</v>
      </c>
      <c r="N2085" s="8" t="s">
        <v>143</v>
      </c>
      <c r="O2085" s="8">
        <v>323</v>
      </c>
      <c r="P2085" s="8" t="s">
        <v>10232</v>
      </c>
      <c r="Q2085" s="8" t="s">
        <v>4262</v>
      </c>
      <c r="R2085" s="8">
        <v>0.33800000000000002</v>
      </c>
      <c r="S2085" s="8">
        <v>57529135</v>
      </c>
      <c r="T2085" s="8" t="s">
        <v>46</v>
      </c>
      <c r="U2085" s="8" t="s">
        <v>25</v>
      </c>
    </row>
    <row r="2086" spans="1:21">
      <c r="A2086" s="8" t="s">
        <v>10155</v>
      </c>
      <c r="B2086" s="8" t="s">
        <v>264</v>
      </c>
      <c r="C2086" s="8">
        <v>340273</v>
      </c>
      <c r="D2086" s="8" t="s">
        <v>257</v>
      </c>
      <c r="E2086" s="8">
        <v>20793124</v>
      </c>
      <c r="F2086" s="8">
        <v>20793124</v>
      </c>
      <c r="G2086" s="8" t="s">
        <v>24</v>
      </c>
      <c r="H2086" s="8" t="s">
        <v>46</v>
      </c>
      <c r="I2086" s="8" t="s">
        <v>23</v>
      </c>
      <c r="J2086" s="8" t="s">
        <v>265</v>
      </c>
      <c r="K2086" s="8" t="s">
        <v>10235</v>
      </c>
      <c r="L2086" s="8" t="s">
        <v>19</v>
      </c>
      <c r="M2086" s="8">
        <v>3808</v>
      </c>
      <c r="N2086" s="8" t="s">
        <v>588</v>
      </c>
      <c r="O2086" s="8">
        <v>1191</v>
      </c>
      <c r="P2086" s="8" t="s">
        <v>10234</v>
      </c>
      <c r="Q2086" s="8" t="s">
        <v>4262</v>
      </c>
      <c r="R2086" s="8">
        <v>0.48099999999999998</v>
      </c>
      <c r="S2086" s="8">
        <v>20793124</v>
      </c>
      <c r="T2086" s="8" t="s">
        <v>24</v>
      </c>
      <c r="U2086" s="8" t="s">
        <v>46</v>
      </c>
    </row>
    <row r="2087" spans="1:21">
      <c r="A2087" s="8" t="s">
        <v>10155</v>
      </c>
      <c r="B2087" s="8" t="s">
        <v>1694</v>
      </c>
      <c r="C2087" s="8">
        <v>29960</v>
      </c>
      <c r="D2087" s="8" t="s">
        <v>257</v>
      </c>
      <c r="E2087" s="8">
        <v>2274950</v>
      </c>
      <c r="F2087" s="8">
        <v>2274950</v>
      </c>
      <c r="G2087" s="8" t="s">
        <v>41</v>
      </c>
      <c r="H2087" s="8" t="s">
        <v>46</v>
      </c>
      <c r="I2087" s="8" t="s">
        <v>23</v>
      </c>
      <c r="J2087" s="8" t="s">
        <v>10236</v>
      </c>
      <c r="K2087" s="8" t="s">
        <v>10238</v>
      </c>
      <c r="L2087" s="8" t="s">
        <v>19</v>
      </c>
      <c r="M2087" s="8">
        <v>577</v>
      </c>
      <c r="N2087" s="8" t="s">
        <v>551</v>
      </c>
      <c r="O2087" s="8">
        <v>183</v>
      </c>
      <c r="P2087" s="8" t="s">
        <v>10237</v>
      </c>
      <c r="Q2087" s="8" t="s">
        <v>4262</v>
      </c>
      <c r="R2087" s="8">
        <v>4.2000000000000003E-2</v>
      </c>
      <c r="S2087" s="8">
        <v>2274950</v>
      </c>
      <c r="T2087" s="8" t="s">
        <v>41</v>
      </c>
      <c r="U2087" s="8" t="s">
        <v>46</v>
      </c>
    </row>
    <row r="2088" spans="1:21">
      <c r="A2088" s="8" t="s">
        <v>10155</v>
      </c>
      <c r="B2088" s="8" t="s">
        <v>2221</v>
      </c>
      <c r="C2088" s="8">
        <v>5814</v>
      </c>
      <c r="D2088" s="8" t="s">
        <v>257</v>
      </c>
      <c r="E2088" s="8">
        <v>44924519</v>
      </c>
      <c r="F2088" s="8">
        <v>44924519</v>
      </c>
      <c r="G2088" s="8" t="s">
        <v>24</v>
      </c>
      <c r="H2088" s="8" t="s">
        <v>41</v>
      </c>
      <c r="I2088" s="8" t="s">
        <v>23</v>
      </c>
      <c r="J2088" s="8" t="s">
        <v>2919</v>
      </c>
      <c r="K2088" s="8" t="s">
        <v>10240</v>
      </c>
      <c r="L2088" s="8" t="s">
        <v>19</v>
      </c>
      <c r="M2088" s="8">
        <v>442</v>
      </c>
      <c r="N2088" s="8" t="s">
        <v>326</v>
      </c>
      <c r="O2088" s="8">
        <v>143</v>
      </c>
      <c r="P2088" s="8" t="s">
        <v>10239</v>
      </c>
      <c r="Q2088" s="8" t="s">
        <v>4262</v>
      </c>
      <c r="R2088" s="8">
        <v>0.44</v>
      </c>
      <c r="S2088" s="8">
        <v>44924519</v>
      </c>
      <c r="T2088" s="8" t="s">
        <v>24</v>
      </c>
      <c r="U2088" s="8" t="s">
        <v>41</v>
      </c>
    </row>
    <row r="2089" spans="1:21">
      <c r="A2089" s="8" t="s">
        <v>10155</v>
      </c>
      <c r="B2089" s="8" t="s">
        <v>10241</v>
      </c>
      <c r="C2089" s="8">
        <v>8629</v>
      </c>
      <c r="D2089" s="8" t="s">
        <v>279</v>
      </c>
      <c r="E2089" s="8">
        <v>143747436</v>
      </c>
      <c r="F2089" s="8">
        <v>143747436</v>
      </c>
      <c r="G2089" s="8" t="s">
        <v>46</v>
      </c>
      <c r="H2089" s="8" t="s">
        <v>24</v>
      </c>
      <c r="I2089" s="8" t="s">
        <v>23</v>
      </c>
      <c r="J2089" s="8" t="s">
        <v>10242</v>
      </c>
      <c r="K2089" s="8" t="s">
        <v>10244</v>
      </c>
      <c r="L2089" s="8" t="s">
        <v>19</v>
      </c>
      <c r="M2089" s="8">
        <v>556</v>
      </c>
      <c r="N2089" s="8" t="s">
        <v>851</v>
      </c>
      <c r="O2089" s="8">
        <v>14</v>
      </c>
      <c r="P2089" s="8" t="s">
        <v>10243</v>
      </c>
      <c r="Q2089" s="8" t="s">
        <v>4262</v>
      </c>
      <c r="R2089" s="8">
        <v>0.26700000000000002</v>
      </c>
      <c r="S2089" s="8">
        <v>143747436</v>
      </c>
      <c r="T2089" s="8" t="s">
        <v>46</v>
      </c>
      <c r="U2089" s="8" t="s">
        <v>24</v>
      </c>
    </row>
    <row r="2090" spans="1:21">
      <c r="A2090" s="8" t="s">
        <v>10155</v>
      </c>
      <c r="B2090" s="8" t="s">
        <v>3696</v>
      </c>
      <c r="C2090" s="8">
        <v>56154</v>
      </c>
      <c r="D2090" s="8" t="s">
        <v>279</v>
      </c>
      <c r="E2090" s="8">
        <v>30695181</v>
      </c>
      <c r="F2090" s="8">
        <v>30695181</v>
      </c>
      <c r="G2090" s="8" t="s">
        <v>41</v>
      </c>
      <c r="H2090" s="8" t="s">
        <v>25</v>
      </c>
      <c r="I2090" s="8" t="s">
        <v>23</v>
      </c>
      <c r="J2090" s="8" t="s">
        <v>3697</v>
      </c>
      <c r="K2090" s="8" t="s">
        <v>5651</v>
      </c>
      <c r="L2090" s="8" t="s">
        <v>19</v>
      </c>
      <c r="M2090" s="8">
        <v>7470</v>
      </c>
      <c r="N2090" s="8" t="s">
        <v>3165</v>
      </c>
      <c r="O2090" s="8">
        <v>2490</v>
      </c>
      <c r="P2090" s="8" t="s">
        <v>10245</v>
      </c>
      <c r="Q2090" s="8" t="s">
        <v>4262</v>
      </c>
      <c r="R2090" s="8">
        <v>3.2000000000000001E-2</v>
      </c>
      <c r="S2090" s="8">
        <v>30695181</v>
      </c>
      <c r="T2090" s="8" t="s">
        <v>41</v>
      </c>
      <c r="U2090" s="8" t="s">
        <v>25</v>
      </c>
    </row>
    <row r="2091" spans="1:21">
      <c r="A2091" s="8" t="s">
        <v>10155</v>
      </c>
      <c r="B2091" s="8" t="s">
        <v>9029</v>
      </c>
      <c r="C2091" s="8">
        <v>3190</v>
      </c>
      <c r="D2091" s="8" t="s">
        <v>292</v>
      </c>
      <c r="E2091" s="8">
        <v>86585134</v>
      </c>
      <c r="F2091" s="8">
        <v>86585134</v>
      </c>
      <c r="G2091" s="8" t="s">
        <v>25</v>
      </c>
      <c r="H2091" s="8" t="s">
        <v>24</v>
      </c>
      <c r="I2091" s="8" t="s">
        <v>23</v>
      </c>
      <c r="J2091" s="8" t="s">
        <v>9030</v>
      </c>
      <c r="K2091" s="8" t="s">
        <v>9032</v>
      </c>
      <c r="L2091" s="8" t="s">
        <v>19</v>
      </c>
      <c r="M2091" s="8">
        <v>1528</v>
      </c>
      <c r="N2091" s="8" t="s">
        <v>429</v>
      </c>
      <c r="O2091" s="8">
        <v>435</v>
      </c>
      <c r="P2091" s="8" t="s">
        <v>10246</v>
      </c>
      <c r="Q2091" s="8" t="s">
        <v>4262</v>
      </c>
      <c r="R2091" s="8">
        <v>0.06</v>
      </c>
      <c r="S2091" s="8">
        <v>86585134</v>
      </c>
      <c r="T2091" s="8" t="s">
        <v>25</v>
      </c>
      <c r="U2091" s="8" t="s">
        <v>24</v>
      </c>
    </row>
    <row r="2092" spans="1:21">
      <c r="A2092" s="8" t="s">
        <v>10155</v>
      </c>
      <c r="B2092" s="8" t="s">
        <v>1212</v>
      </c>
      <c r="C2092" s="8">
        <v>58499</v>
      </c>
      <c r="D2092" s="8" t="s">
        <v>292</v>
      </c>
      <c r="E2092" s="8">
        <v>109690339</v>
      </c>
      <c r="F2092" s="8">
        <v>109690339</v>
      </c>
      <c r="G2092" s="8" t="s">
        <v>24</v>
      </c>
      <c r="H2092" s="8" t="s">
        <v>25</v>
      </c>
      <c r="I2092" s="8" t="s">
        <v>23</v>
      </c>
      <c r="J2092" s="8" t="s">
        <v>1213</v>
      </c>
      <c r="K2092" s="8" t="s">
        <v>7405</v>
      </c>
      <c r="L2092" s="8" t="s">
        <v>76</v>
      </c>
      <c r="M2092" s="8">
        <v>4435</v>
      </c>
      <c r="N2092" s="8" t="s">
        <v>716</v>
      </c>
      <c r="O2092" s="8">
        <v>1382</v>
      </c>
      <c r="P2092" s="8" t="s">
        <v>10247</v>
      </c>
      <c r="Q2092" s="8" t="s">
        <v>4262</v>
      </c>
      <c r="R2092" s="8">
        <v>3.4000000000000002E-2</v>
      </c>
      <c r="S2092" s="8">
        <v>109690339</v>
      </c>
      <c r="T2092" s="8" t="s">
        <v>24</v>
      </c>
      <c r="U2092" s="8" t="s">
        <v>25</v>
      </c>
    </row>
    <row r="2093" spans="1:21">
      <c r="A2093" s="8" t="s">
        <v>10155</v>
      </c>
      <c r="B2093" s="8" t="s">
        <v>2920</v>
      </c>
      <c r="C2093" s="8">
        <v>389730</v>
      </c>
      <c r="D2093" s="8" t="s">
        <v>292</v>
      </c>
      <c r="E2093" s="8">
        <v>43625025</v>
      </c>
      <c r="F2093" s="8">
        <v>43625025</v>
      </c>
      <c r="G2093" s="8" t="s">
        <v>41</v>
      </c>
      <c r="H2093" s="8" t="s">
        <v>46</v>
      </c>
      <c r="I2093" s="8" t="s">
        <v>23</v>
      </c>
      <c r="J2093" s="8" t="s">
        <v>2921</v>
      </c>
      <c r="K2093" s="8" t="s">
        <v>10249</v>
      </c>
      <c r="L2093" s="8" t="s">
        <v>19</v>
      </c>
      <c r="M2093" s="8">
        <v>3691</v>
      </c>
      <c r="N2093" s="8" t="s">
        <v>681</v>
      </c>
      <c r="O2093" s="8">
        <v>1221</v>
      </c>
      <c r="P2093" s="8" t="s">
        <v>10248</v>
      </c>
      <c r="Q2093" s="8" t="s">
        <v>4262</v>
      </c>
      <c r="R2093" s="8">
        <v>0.38200000000000001</v>
      </c>
      <c r="S2093" s="8">
        <v>43625025</v>
      </c>
      <c r="T2093" s="8" t="s">
        <v>41</v>
      </c>
      <c r="U2093" s="8" t="s">
        <v>46</v>
      </c>
    </row>
    <row r="2094" spans="1:21">
      <c r="A2094" s="8" t="s">
        <v>10155</v>
      </c>
      <c r="B2094" s="8" t="s">
        <v>10250</v>
      </c>
      <c r="C2094" s="8">
        <v>8031</v>
      </c>
      <c r="D2094" s="8" t="s">
        <v>69</v>
      </c>
      <c r="E2094" s="8">
        <v>51580938</v>
      </c>
      <c r="F2094" s="8">
        <v>51580938</v>
      </c>
      <c r="G2094" s="8" t="s">
        <v>41</v>
      </c>
      <c r="H2094" s="8" t="s">
        <v>25</v>
      </c>
      <c r="I2094" s="8" t="s">
        <v>23</v>
      </c>
      <c r="J2094" s="8" t="s">
        <v>10251</v>
      </c>
      <c r="K2094" s="8" t="s">
        <v>10253</v>
      </c>
      <c r="L2094" s="8" t="s">
        <v>19</v>
      </c>
      <c r="M2094" s="8">
        <v>641</v>
      </c>
      <c r="N2094" s="8" t="s">
        <v>3783</v>
      </c>
      <c r="O2094" s="8">
        <v>130</v>
      </c>
      <c r="P2094" s="8" t="s">
        <v>10252</v>
      </c>
      <c r="Q2094" s="8" t="s">
        <v>4262</v>
      </c>
      <c r="R2094" s="8">
        <v>0.378</v>
      </c>
      <c r="S2094" s="8">
        <v>51580938</v>
      </c>
      <c r="T2094" s="8" t="s">
        <v>41</v>
      </c>
      <c r="U2094" s="8" t="s">
        <v>25</v>
      </c>
    </row>
    <row r="2095" spans="1:21">
      <c r="A2095" s="8" t="s">
        <v>10155</v>
      </c>
      <c r="B2095" s="8" t="s">
        <v>10254</v>
      </c>
      <c r="C2095" s="8">
        <v>5791</v>
      </c>
      <c r="D2095" s="8" t="s">
        <v>69</v>
      </c>
      <c r="E2095" s="8">
        <v>129868616</v>
      </c>
      <c r="F2095" s="8">
        <v>129868616</v>
      </c>
      <c r="G2095" s="8" t="s">
        <v>24</v>
      </c>
      <c r="H2095" s="8" t="s">
        <v>41</v>
      </c>
      <c r="I2095" s="8" t="s">
        <v>23</v>
      </c>
      <c r="J2095" s="8" t="s">
        <v>10255</v>
      </c>
      <c r="K2095" s="8" t="s">
        <v>10257</v>
      </c>
      <c r="L2095" s="8" t="s">
        <v>19</v>
      </c>
      <c r="M2095" s="8">
        <v>1474</v>
      </c>
      <c r="N2095" s="8" t="s">
        <v>463</v>
      </c>
      <c r="O2095" s="8">
        <v>399</v>
      </c>
      <c r="P2095" s="8" t="s">
        <v>10256</v>
      </c>
      <c r="Q2095" s="8" t="s">
        <v>4262</v>
      </c>
      <c r="R2095" s="8">
        <v>0.33800000000000002</v>
      </c>
      <c r="S2095" s="8">
        <v>129868616</v>
      </c>
      <c r="T2095" s="8" t="s">
        <v>24</v>
      </c>
      <c r="U2095" s="8" t="s">
        <v>41</v>
      </c>
    </row>
    <row r="2096" spans="1:21">
      <c r="A2096" s="8" t="s">
        <v>10155</v>
      </c>
      <c r="B2096" s="8" t="s">
        <v>10258</v>
      </c>
      <c r="C2096" s="8">
        <v>2188</v>
      </c>
      <c r="D2096" s="8" t="s">
        <v>83</v>
      </c>
      <c r="E2096" s="8">
        <v>22646411</v>
      </c>
      <c r="F2096" s="8">
        <v>22646411</v>
      </c>
      <c r="G2096" s="8" t="s">
        <v>24</v>
      </c>
      <c r="H2096" s="8" t="s">
        <v>46</v>
      </c>
      <c r="I2096" s="8" t="s">
        <v>23</v>
      </c>
      <c r="J2096" s="8" t="s">
        <v>10259</v>
      </c>
      <c r="K2096" s="8" t="s">
        <v>10261</v>
      </c>
      <c r="L2096" s="8" t="s">
        <v>19</v>
      </c>
      <c r="M2096" s="8">
        <v>977</v>
      </c>
      <c r="N2096" s="8" t="s">
        <v>602</v>
      </c>
      <c r="O2096" s="8">
        <v>316</v>
      </c>
      <c r="P2096" s="8" t="s">
        <v>10260</v>
      </c>
      <c r="Q2096" s="8" t="s">
        <v>4262</v>
      </c>
      <c r="R2096" s="8">
        <v>0.435</v>
      </c>
      <c r="S2096" s="8">
        <v>22646411</v>
      </c>
      <c r="T2096" s="8" t="s">
        <v>24</v>
      </c>
      <c r="U2096" s="8" t="s">
        <v>46</v>
      </c>
    </row>
    <row r="2097" spans="1:21">
      <c r="A2097" s="8" t="s">
        <v>10155</v>
      </c>
      <c r="B2097" s="8" t="s">
        <v>5739</v>
      </c>
      <c r="C2097" s="8">
        <v>196403</v>
      </c>
      <c r="D2097" s="8" t="s">
        <v>104</v>
      </c>
      <c r="E2097" s="8">
        <v>58000801</v>
      </c>
      <c r="F2097" s="8">
        <v>58000801</v>
      </c>
      <c r="G2097" s="8" t="s">
        <v>24</v>
      </c>
      <c r="H2097" s="8" t="s">
        <v>25</v>
      </c>
      <c r="I2097" s="8" t="s">
        <v>23</v>
      </c>
      <c r="J2097" s="8" t="s">
        <v>5740</v>
      </c>
      <c r="K2097" s="8" t="s">
        <v>5742</v>
      </c>
      <c r="L2097" s="8" t="s">
        <v>19</v>
      </c>
      <c r="M2097" s="8">
        <v>492</v>
      </c>
      <c r="N2097" s="8" t="s">
        <v>205</v>
      </c>
      <c r="O2097" s="8">
        <v>52</v>
      </c>
      <c r="P2097" s="8" t="s">
        <v>10262</v>
      </c>
      <c r="Q2097" s="8" t="s">
        <v>4262</v>
      </c>
      <c r="R2097" s="8">
        <v>0.44</v>
      </c>
      <c r="S2097" s="8">
        <v>58000801</v>
      </c>
      <c r="T2097" s="8" t="s">
        <v>24</v>
      </c>
      <c r="U2097" s="8" t="s">
        <v>25</v>
      </c>
    </row>
    <row r="2098" spans="1:21">
      <c r="A2098" s="8" t="s">
        <v>10155</v>
      </c>
      <c r="B2098" s="8" t="s">
        <v>10263</v>
      </c>
      <c r="C2098" s="8">
        <v>8085</v>
      </c>
      <c r="D2098" s="8" t="s">
        <v>104</v>
      </c>
      <c r="E2098" s="8">
        <v>49425581</v>
      </c>
      <c r="F2098" s="8">
        <v>49425581</v>
      </c>
      <c r="G2098" s="8" t="s">
        <v>46</v>
      </c>
      <c r="H2098" s="8" t="s">
        <v>41</v>
      </c>
      <c r="I2098" s="8" t="s">
        <v>23</v>
      </c>
      <c r="J2098" s="8" t="s">
        <v>10264</v>
      </c>
      <c r="K2098" s="8" t="s">
        <v>10266</v>
      </c>
      <c r="L2098" s="8" t="s">
        <v>19</v>
      </c>
      <c r="M2098" s="8">
        <v>12907</v>
      </c>
      <c r="N2098" s="8" t="s">
        <v>536</v>
      </c>
      <c r="O2098" s="8">
        <v>4303</v>
      </c>
      <c r="P2098" s="8" t="s">
        <v>10265</v>
      </c>
      <c r="Q2098" s="8" t="s">
        <v>4262</v>
      </c>
      <c r="R2098" s="8">
        <v>0.5</v>
      </c>
      <c r="S2098" s="8">
        <v>49425581</v>
      </c>
      <c r="T2098" s="8" t="s">
        <v>46</v>
      </c>
      <c r="U2098" s="8" t="s">
        <v>41</v>
      </c>
    </row>
    <row r="2099" spans="1:21">
      <c r="A2099" s="8" t="s">
        <v>10155</v>
      </c>
      <c r="B2099" s="8" t="s">
        <v>10267</v>
      </c>
      <c r="C2099" s="8">
        <v>23368</v>
      </c>
      <c r="D2099" s="8" t="s">
        <v>118</v>
      </c>
      <c r="E2099" s="8">
        <v>104245134</v>
      </c>
      <c r="F2099" s="8">
        <v>104245134</v>
      </c>
      <c r="G2099" s="8" t="s">
        <v>46</v>
      </c>
      <c r="H2099" s="8" t="s">
        <v>41</v>
      </c>
      <c r="I2099" s="8" t="s">
        <v>23</v>
      </c>
      <c r="J2099" s="8" t="s">
        <v>10268</v>
      </c>
      <c r="K2099" s="8" t="s">
        <v>10270</v>
      </c>
      <c r="L2099" s="8" t="s">
        <v>19</v>
      </c>
      <c r="M2099" s="8">
        <v>585</v>
      </c>
      <c r="N2099" s="8" t="s">
        <v>577</v>
      </c>
      <c r="O2099" s="8">
        <v>101</v>
      </c>
      <c r="P2099" s="8" t="s">
        <v>10269</v>
      </c>
      <c r="Q2099" s="8" t="s">
        <v>4262</v>
      </c>
      <c r="R2099" s="8">
        <v>0.36299999999999999</v>
      </c>
      <c r="S2099" s="8">
        <v>104245134</v>
      </c>
      <c r="T2099" s="8" t="s">
        <v>46</v>
      </c>
      <c r="U2099" s="8" t="s">
        <v>41</v>
      </c>
    </row>
    <row r="2100" spans="1:21">
      <c r="A2100" s="8" t="s">
        <v>10155</v>
      </c>
      <c r="B2100" s="8" t="s">
        <v>691</v>
      </c>
      <c r="C2100" s="8">
        <v>113146</v>
      </c>
      <c r="D2100" s="8" t="s">
        <v>118</v>
      </c>
      <c r="E2100" s="8">
        <v>105408399</v>
      </c>
      <c r="F2100" s="8">
        <v>105408399</v>
      </c>
      <c r="G2100" s="8" t="s">
        <v>24</v>
      </c>
      <c r="H2100" s="8" t="s">
        <v>41</v>
      </c>
      <c r="I2100" s="8" t="s">
        <v>23</v>
      </c>
      <c r="J2100" s="8" t="s">
        <v>692</v>
      </c>
      <c r="K2100" s="8" t="s">
        <v>8253</v>
      </c>
      <c r="L2100" s="8" t="s">
        <v>19</v>
      </c>
      <c r="M2100" s="8">
        <v>13509</v>
      </c>
      <c r="N2100" s="8" t="s">
        <v>326</v>
      </c>
      <c r="O2100" s="8">
        <v>4463</v>
      </c>
      <c r="P2100" s="8" t="s">
        <v>10271</v>
      </c>
      <c r="Q2100" s="8" t="s">
        <v>4262</v>
      </c>
      <c r="R2100" s="8">
        <v>0.372</v>
      </c>
      <c r="S2100" s="8">
        <v>105408399</v>
      </c>
      <c r="T2100" s="8" t="s">
        <v>24</v>
      </c>
      <c r="U2100" s="8" t="s">
        <v>41</v>
      </c>
    </row>
    <row r="2101" spans="1:21">
      <c r="A2101" s="8" t="s">
        <v>10155</v>
      </c>
      <c r="B2101" s="8" t="s">
        <v>3624</v>
      </c>
      <c r="C2101" s="8">
        <v>54832</v>
      </c>
      <c r="D2101" s="8" t="s">
        <v>120</v>
      </c>
      <c r="E2101" s="8">
        <v>62214170</v>
      </c>
      <c r="F2101" s="8">
        <v>62214170</v>
      </c>
      <c r="G2101" s="8" t="s">
        <v>46</v>
      </c>
      <c r="H2101" s="8" t="s">
        <v>24</v>
      </c>
      <c r="I2101" s="8" t="s">
        <v>23</v>
      </c>
      <c r="J2101" s="8" t="s">
        <v>5368</v>
      </c>
      <c r="K2101" s="8" t="s">
        <v>5370</v>
      </c>
      <c r="L2101" s="8" t="s">
        <v>19</v>
      </c>
      <c r="M2101" s="8">
        <v>7129</v>
      </c>
      <c r="N2101" s="8" t="s">
        <v>851</v>
      </c>
      <c r="O2101" s="8">
        <v>2346</v>
      </c>
      <c r="P2101" s="8" t="s">
        <v>10272</v>
      </c>
      <c r="Q2101" s="8" t="s">
        <v>4262</v>
      </c>
      <c r="R2101" s="8">
        <v>4.2999999999999997E-2</v>
      </c>
      <c r="S2101" s="8">
        <v>62214170</v>
      </c>
      <c r="T2101" s="8" t="s">
        <v>46</v>
      </c>
      <c r="U2101" s="8" t="s">
        <v>24</v>
      </c>
    </row>
    <row r="2102" spans="1:21">
      <c r="A2102" s="8" t="s">
        <v>10155</v>
      </c>
      <c r="B2102" s="8" t="s">
        <v>10273</v>
      </c>
      <c r="C2102" s="8">
        <v>374654</v>
      </c>
      <c r="D2102" s="8" t="s">
        <v>120</v>
      </c>
      <c r="E2102" s="8">
        <v>90171967</v>
      </c>
      <c r="F2102" s="8">
        <v>90171967</v>
      </c>
      <c r="G2102" s="8" t="s">
        <v>46</v>
      </c>
      <c r="H2102" s="8" t="s">
        <v>41</v>
      </c>
      <c r="I2102" s="8" t="s">
        <v>23</v>
      </c>
      <c r="J2102" s="8" t="s">
        <v>10274</v>
      </c>
      <c r="K2102" s="8" t="s">
        <v>10276</v>
      </c>
      <c r="L2102" s="8" t="s">
        <v>19</v>
      </c>
      <c r="M2102" s="8">
        <v>3792</v>
      </c>
      <c r="N2102" s="8" t="s">
        <v>758</v>
      </c>
      <c r="O2102" s="8">
        <v>1239</v>
      </c>
      <c r="P2102" s="8" t="s">
        <v>10275</v>
      </c>
      <c r="Q2102" s="8" t="s">
        <v>4262</v>
      </c>
      <c r="R2102" s="8">
        <v>0.34599999999999997</v>
      </c>
      <c r="S2102" s="8">
        <v>90171967</v>
      </c>
      <c r="T2102" s="8" t="s">
        <v>46</v>
      </c>
      <c r="U2102" s="8" t="s">
        <v>41</v>
      </c>
    </row>
    <row r="2103" spans="1:21">
      <c r="A2103" s="8" t="s">
        <v>10155</v>
      </c>
      <c r="B2103" s="8" t="s">
        <v>6997</v>
      </c>
      <c r="C2103" s="8">
        <v>4058</v>
      </c>
      <c r="D2103" s="8" t="s">
        <v>120</v>
      </c>
      <c r="E2103" s="8">
        <v>41800406</v>
      </c>
      <c r="F2103" s="8">
        <v>41800406</v>
      </c>
      <c r="G2103" s="8" t="s">
        <v>24</v>
      </c>
      <c r="H2103" s="8" t="s">
        <v>41</v>
      </c>
      <c r="I2103" s="8" t="s">
        <v>23</v>
      </c>
      <c r="J2103" s="8" t="s">
        <v>6998</v>
      </c>
      <c r="K2103" s="8" t="s">
        <v>7000</v>
      </c>
      <c r="L2103" s="8" t="s">
        <v>19</v>
      </c>
      <c r="M2103" s="8">
        <v>1288</v>
      </c>
      <c r="N2103" s="8" t="s">
        <v>1591</v>
      </c>
      <c r="O2103" s="8">
        <v>370</v>
      </c>
      <c r="P2103" s="8" t="s">
        <v>10277</v>
      </c>
      <c r="Q2103" s="8" t="s">
        <v>4262</v>
      </c>
      <c r="R2103" s="8">
        <v>7.0999999999999994E-2</v>
      </c>
      <c r="S2103" s="8">
        <v>41800406</v>
      </c>
      <c r="T2103" s="8" t="s">
        <v>24</v>
      </c>
      <c r="U2103" s="8" t="s">
        <v>41</v>
      </c>
    </row>
    <row r="2104" spans="1:21">
      <c r="A2104" s="8" t="s">
        <v>10155</v>
      </c>
      <c r="B2104" s="8" t="s">
        <v>10278</v>
      </c>
      <c r="C2104" s="8">
        <v>9564</v>
      </c>
      <c r="D2104" s="8" t="s">
        <v>129</v>
      </c>
      <c r="E2104" s="8">
        <v>75276391</v>
      </c>
      <c r="F2104" s="8">
        <v>75276391</v>
      </c>
      <c r="G2104" s="8" t="s">
        <v>46</v>
      </c>
      <c r="H2104" s="8" t="s">
        <v>41</v>
      </c>
      <c r="I2104" s="8" t="s">
        <v>23</v>
      </c>
      <c r="J2104" s="8" t="s">
        <v>10279</v>
      </c>
      <c r="K2104" s="8" t="s">
        <v>10281</v>
      </c>
      <c r="L2104" s="8" t="s">
        <v>19</v>
      </c>
      <c r="M2104" s="8">
        <v>1032</v>
      </c>
      <c r="N2104" s="8" t="s">
        <v>166</v>
      </c>
      <c r="O2104" s="8">
        <v>250</v>
      </c>
      <c r="P2104" s="8" t="s">
        <v>10280</v>
      </c>
      <c r="Q2104" s="8" t="s">
        <v>4262</v>
      </c>
      <c r="R2104" s="8">
        <v>9.2999999999999999E-2</v>
      </c>
      <c r="S2104" s="8">
        <v>75276391</v>
      </c>
      <c r="T2104" s="8" t="s">
        <v>46</v>
      </c>
      <c r="U2104" s="8" t="s">
        <v>41</v>
      </c>
    </row>
    <row r="2105" spans="1:21">
      <c r="A2105" s="8" t="s">
        <v>10155</v>
      </c>
      <c r="B2105" s="8" t="s">
        <v>10282</v>
      </c>
      <c r="C2105" s="8">
        <v>54758</v>
      </c>
      <c r="D2105" s="8" t="s">
        <v>129</v>
      </c>
      <c r="E2105" s="8">
        <v>87744863</v>
      </c>
      <c r="F2105" s="8">
        <v>87744863</v>
      </c>
      <c r="G2105" s="8" t="s">
        <v>46</v>
      </c>
      <c r="H2105" s="8" t="s">
        <v>41</v>
      </c>
      <c r="I2105" s="8" t="s">
        <v>23</v>
      </c>
      <c r="J2105" s="8" t="s">
        <v>10283</v>
      </c>
      <c r="K2105" s="8" t="s">
        <v>10285</v>
      </c>
      <c r="L2105" s="8" t="s">
        <v>19</v>
      </c>
      <c r="M2105" s="8">
        <v>1124</v>
      </c>
      <c r="N2105" s="8" t="s">
        <v>297</v>
      </c>
      <c r="O2105" s="8">
        <v>341</v>
      </c>
      <c r="P2105" s="8" t="s">
        <v>10284</v>
      </c>
      <c r="Q2105" s="8" t="s">
        <v>4262</v>
      </c>
      <c r="R2105" s="8">
        <v>0.41199999999999998</v>
      </c>
      <c r="S2105" s="8">
        <v>87744863</v>
      </c>
      <c r="T2105" s="8" t="s">
        <v>46</v>
      </c>
      <c r="U2105" s="8" t="s">
        <v>41</v>
      </c>
    </row>
    <row r="2106" spans="1:21">
      <c r="A2106" s="8" t="s">
        <v>10155</v>
      </c>
      <c r="B2106" s="8" t="s">
        <v>10286</v>
      </c>
      <c r="C2106" s="8">
        <v>5073</v>
      </c>
      <c r="D2106" s="8" t="s">
        <v>129</v>
      </c>
      <c r="E2106" s="8">
        <v>14540795</v>
      </c>
      <c r="F2106" s="8">
        <v>14540795</v>
      </c>
      <c r="G2106" s="8" t="s">
        <v>46</v>
      </c>
      <c r="H2106" s="8" t="s">
        <v>41</v>
      </c>
      <c r="I2106" s="8" t="s">
        <v>23</v>
      </c>
      <c r="J2106" s="8" t="s">
        <v>10287</v>
      </c>
      <c r="K2106" s="8" t="s">
        <v>10289</v>
      </c>
      <c r="L2106" s="8" t="s">
        <v>19</v>
      </c>
      <c r="M2106" s="8">
        <v>1956</v>
      </c>
      <c r="N2106" s="8" t="s">
        <v>2483</v>
      </c>
      <c r="O2106" s="8">
        <v>605</v>
      </c>
      <c r="P2106" s="8" t="s">
        <v>10288</v>
      </c>
      <c r="Q2106" s="8" t="s">
        <v>4262</v>
      </c>
      <c r="R2106" s="8">
        <v>0.38900000000000001</v>
      </c>
      <c r="S2106" s="8">
        <v>14540795</v>
      </c>
      <c r="T2106" s="8" t="s">
        <v>46</v>
      </c>
      <c r="U2106" s="8" t="s">
        <v>41</v>
      </c>
    </row>
    <row r="2107" spans="1:21">
      <c r="A2107" s="8" t="s">
        <v>10155</v>
      </c>
      <c r="B2107" s="8" t="s">
        <v>10290</v>
      </c>
      <c r="C2107" s="8">
        <v>4992</v>
      </c>
      <c r="D2107" s="8" t="s">
        <v>129</v>
      </c>
      <c r="E2107" s="8">
        <v>3254619</v>
      </c>
      <c r="F2107" s="8">
        <v>3254619</v>
      </c>
      <c r="G2107" s="8" t="s">
        <v>24</v>
      </c>
      <c r="H2107" s="8" t="s">
        <v>25</v>
      </c>
      <c r="I2107" s="8" t="s">
        <v>23</v>
      </c>
      <c r="J2107" s="8" t="s">
        <v>10291</v>
      </c>
      <c r="K2107" s="8" t="s">
        <v>10293</v>
      </c>
      <c r="L2107" s="8" t="s">
        <v>19</v>
      </c>
      <c r="M2107" s="8">
        <v>373</v>
      </c>
      <c r="N2107" s="8" t="s">
        <v>155</v>
      </c>
      <c r="O2107" s="8">
        <v>125</v>
      </c>
      <c r="P2107" s="8" t="s">
        <v>10292</v>
      </c>
      <c r="Q2107" s="8" t="s">
        <v>4262</v>
      </c>
      <c r="R2107" s="8">
        <v>7.0999999999999994E-2</v>
      </c>
      <c r="S2107" s="8">
        <v>3254619</v>
      </c>
      <c r="T2107" s="8" t="s">
        <v>24</v>
      </c>
      <c r="U2107" s="8" t="s">
        <v>25</v>
      </c>
    </row>
    <row r="2108" spans="1:21">
      <c r="A2108" s="8" t="s">
        <v>10155</v>
      </c>
      <c r="B2108" s="8" t="s">
        <v>2216</v>
      </c>
      <c r="C2108" s="8">
        <v>9501</v>
      </c>
      <c r="D2108" s="8" t="s">
        <v>133</v>
      </c>
      <c r="E2108" s="8">
        <v>96916</v>
      </c>
      <c r="F2108" s="8">
        <v>96916</v>
      </c>
      <c r="G2108" s="8" t="s">
        <v>46</v>
      </c>
      <c r="H2108" s="8" t="s">
        <v>41</v>
      </c>
      <c r="I2108" s="8" t="s">
        <v>23</v>
      </c>
      <c r="J2108" s="8" t="s">
        <v>10294</v>
      </c>
      <c r="K2108" s="8" t="s">
        <v>10296</v>
      </c>
      <c r="L2108" s="8" t="s">
        <v>76</v>
      </c>
      <c r="M2108" s="8">
        <v>766</v>
      </c>
      <c r="N2108" s="8" t="s">
        <v>471</v>
      </c>
      <c r="O2108" s="8">
        <v>200</v>
      </c>
      <c r="P2108" s="8" t="s">
        <v>10295</v>
      </c>
      <c r="Q2108" s="8" t="s">
        <v>4262</v>
      </c>
      <c r="R2108" s="8">
        <v>0.66700000000000004</v>
      </c>
      <c r="S2108" s="8">
        <v>96916</v>
      </c>
      <c r="T2108" s="8" t="s">
        <v>46</v>
      </c>
      <c r="U2108" s="8" t="s">
        <v>41</v>
      </c>
    </row>
    <row r="2109" spans="1:21">
      <c r="A2109" s="8" t="s">
        <v>10155</v>
      </c>
      <c r="B2109" s="8" t="s">
        <v>10297</v>
      </c>
      <c r="C2109" s="8">
        <v>162282</v>
      </c>
      <c r="D2109" s="8" t="s">
        <v>133</v>
      </c>
      <c r="E2109" s="8">
        <v>54431247</v>
      </c>
      <c r="F2109" s="8">
        <v>54431247</v>
      </c>
      <c r="G2109" s="8" t="s">
        <v>24</v>
      </c>
      <c r="H2109" s="8" t="s">
        <v>41</v>
      </c>
      <c r="I2109" s="8" t="s">
        <v>23</v>
      </c>
      <c r="J2109" s="8" t="s">
        <v>10298</v>
      </c>
      <c r="K2109" s="8" t="s">
        <v>10300</v>
      </c>
      <c r="L2109" s="8" t="s">
        <v>19</v>
      </c>
      <c r="M2109" s="8">
        <v>485</v>
      </c>
      <c r="N2109" s="8" t="s">
        <v>2948</v>
      </c>
      <c r="O2109" s="8">
        <v>150</v>
      </c>
      <c r="P2109" s="8" t="s">
        <v>10299</v>
      </c>
      <c r="Q2109" s="8" t="s">
        <v>4262</v>
      </c>
      <c r="R2109" s="8">
        <v>5.2999999999999999E-2</v>
      </c>
      <c r="S2109" s="8">
        <v>54431247</v>
      </c>
      <c r="T2109" s="8" t="s">
        <v>24</v>
      </c>
      <c r="U2109" s="8" t="s">
        <v>41</v>
      </c>
    </row>
    <row r="2110" spans="1:21">
      <c r="A2110" s="8" t="s">
        <v>10155</v>
      </c>
      <c r="B2110" s="8" t="s">
        <v>2896</v>
      </c>
      <c r="C2110" s="8">
        <v>348235</v>
      </c>
      <c r="D2110" s="8" t="s">
        <v>133</v>
      </c>
      <c r="E2110" s="8">
        <v>57232441</v>
      </c>
      <c r="F2110" s="8">
        <v>57232441</v>
      </c>
      <c r="G2110" s="8" t="s">
        <v>46</v>
      </c>
      <c r="H2110" s="8" t="s">
        <v>41</v>
      </c>
      <c r="I2110" s="8" t="s">
        <v>23</v>
      </c>
      <c r="J2110" s="8" t="s">
        <v>2897</v>
      </c>
      <c r="K2110" s="8" t="s">
        <v>10302</v>
      </c>
      <c r="L2110" s="8" t="s">
        <v>19</v>
      </c>
      <c r="M2110" s="8">
        <v>360</v>
      </c>
      <c r="N2110" s="8" t="s">
        <v>155</v>
      </c>
      <c r="O2110" s="8">
        <v>2</v>
      </c>
      <c r="P2110" s="8" t="s">
        <v>10301</v>
      </c>
      <c r="Q2110" s="8" t="s">
        <v>4262</v>
      </c>
      <c r="R2110" s="8">
        <v>0.55600000000000005</v>
      </c>
      <c r="S2110" s="8">
        <v>57232441</v>
      </c>
      <c r="T2110" s="8" t="s">
        <v>46</v>
      </c>
      <c r="U2110" s="8" t="s">
        <v>41</v>
      </c>
    </row>
    <row r="2111" spans="1:21">
      <c r="A2111" s="8" t="s">
        <v>10155</v>
      </c>
      <c r="B2111" s="8" t="s">
        <v>2898</v>
      </c>
      <c r="C2111" s="8">
        <v>55181</v>
      </c>
      <c r="D2111" s="8" t="s">
        <v>133</v>
      </c>
      <c r="E2111" s="8">
        <v>57287434</v>
      </c>
      <c r="F2111" s="8">
        <v>57287434</v>
      </c>
      <c r="G2111" s="8" t="s">
        <v>46</v>
      </c>
      <c r="H2111" s="8" t="s">
        <v>24</v>
      </c>
      <c r="I2111" s="8" t="s">
        <v>23</v>
      </c>
      <c r="J2111" s="8" t="s">
        <v>2899</v>
      </c>
      <c r="K2111" s="8" t="s">
        <v>10304</v>
      </c>
      <c r="L2111" s="8" t="s">
        <v>19</v>
      </c>
      <c r="M2111" s="8">
        <v>64</v>
      </c>
      <c r="N2111" s="8" t="s">
        <v>2900</v>
      </c>
      <c r="O2111" s="8">
        <v>8</v>
      </c>
      <c r="P2111" s="8" t="s">
        <v>10303</v>
      </c>
      <c r="Q2111" s="8" t="s">
        <v>4262</v>
      </c>
      <c r="R2111" s="8">
        <v>0.47799999999999998</v>
      </c>
      <c r="S2111" s="8">
        <v>57287434</v>
      </c>
      <c r="T2111" s="8" t="s">
        <v>46</v>
      </c>
      <c r="U2111" s="8" t="s">
        <v>24</v>
      </c>
    </row>
    <row r="2112" spans="1:21">
      <c r="A2112" s="8" t="s">
        <v>10155</v>
      </c>
      <c r="B2112" s="8" t="s">
        <v>2901</v>
      </c>
      <c r="C2112" s="8">
        <v>1213</v>
      </c>
      <c r="D2112" s="8" t="s">
        <v>133</v>
      </c>
      <c r="E2112" s="8">
        <v>57738877</v>
      </c>
      <c r="F2112" s="8">
        <v>57738877</v>
      </c>
      <c r="G2112" s="8" t="s">
        <v>41</v>
      </c>
      <c r="H2112" s="8" t="s">
        <v>46</v>
      </c>
      <c r="I2112" s="8" t="s">
        <v>23</v>
      </c>
      <c r="J2112" s="8" t="s">
        <v>2902</v>
      </c>
      <c r="K2112" s="8" t="s">
        <v>10306</v>
      </c>
      <c r="L2112" s="8" t="s">
        <v>19</v>
      </c>
      <c r="M2112" s="8">
        <v>1684</v>
      </c>
      <c r="N2112" s="8" t="s">
        <v>2903</v>
      </c>
      <c r="O2112" s="8">
        <v>414</v>
      </c>
      <c r="P2112" s="8" t="s">
        <v>10305</v>
      </c>
      <c r="Q2112" s="8" t="s">
        <v>4262</v>
      </c>
      <c r="R2112" s="8">
        <v>0.53700000000000003</v>
      </c>
      <c r="S2112" s="8">
        <v>57738877</v>
      </c>
      <c r="T2112" s="8" t="s">
        <v>41</v>
      </c>
      <c r="U2112" s="8" t="s">
        <v>46</v>
      </c>
    </row>
    <row r="2113" spans="1:21">
      <c r="A2113" s="8" t="s">
        <v>10155</v>
      </c>
      <c r="B2113" s="8" t="s">
        <v>10307</v>
      </c>
      <c r="C2113" s="8">
        <v>22994</v>
      </c>
      <c r="D2113" s="8" t="s">
        <v>133</v>
      </c>
      <c r="E2113" s="8">
        <v>79193820</v>
      </c>
      <c r="F2113" s="8">
        <v>79193820</v>
      </c>
      <c r="G2113" s="8" t="s">
        <v>24</v>
      </c>
      <c r="H2113" s="8" t="s">
        <v>25</v>
      </c>
      <c r="I2113" s="8" t="s">
        <v>23</v>
      </c>
      <c r="J2113" s="8" t="s">
        <v>10308</v>
      </c>
      <c r="K2113" s="8" t="s">
        <v>10310</v>
      </c>
      <c r="L2113" s="8" t="s">
        <v>19</v>
      </c>
      <c r="M2113" s="8">
        <v>237</v>
      </c>
      <c r="N2113" s="8" t="s">
        <v>560</v>
      </c>
      <c r="O2113" s="8">
        <v>13</v>
      </c>
      <c r="P2113" s="8" t="s">
        <v>10309</v>
      </c>
      <c r="Q2113" s="8" t="s">
        <v>4262</v>
      </c>
      <c r="R2113" s="8">
        <v>0.31900000000000001</v>
      </c>
      <c r="S2113" s="8">
        <v>79193820</v>
      </c>
      <c r="T2113" s="8" t="s">
        <v>24</v>
      </c>
      <c r="U2113" s="8" t="s">
        <v>25</v>
      </c>
    </row>
    <row r="2114" spans="1:21">
      <c r="A2114" s="8" t="s">
        <v>10155</v>
      </c>
      <c r="B2114" s="8" t="s">
        <v>2894</v>
      </c>
      <c r="C2114" s="8">
        <v>40</v>
      </c>
      <c r="D2114" s="8" t="s">
        <v>133</v>
      </c>
      <c r="E2114" s="8">
        <v>31343039</v>
      </c>
      <c r="F2114" s="8">
        <v>31343039</v>
      </c>
      <c r="G2114" s="8" t="s">
        <v>25</v>
      </c>
      <c r="H2114" s="8" t="s">
        <v>41</v>
      </c>
      <c r="I2114" s="8" t="s">
        <v>23</v>
      </c>
      <c r="J2114" s="8" t="s">
        <v>10311</v>
      </c>
      <c r="K2114" s="8" t="s">
        <v>10313</v>
      </c>
      <c r="L2114" s="8" t="s">
        <v>19</v>
      </c>
      <c r="M2114" s="8">
        <v>1661</v>
      </c>
      <c r="N2114" s="8" t="s">
        <v>2895</v>
      </c>
      <c r="O2114" s="8">
        <v>463</v>
      </c>
      <c r="P2114" s="8" t="s">
        <v>10312</v>
      </c>
      <c r="Q2114" s="8" t="s">
        <v>4262</v>
      </c>
      <c r="R2114" s="8">
        <v>0.42199999999999999</v>
      </c>
      <c r="S2114" s="8">
        <v>31343039</v>
      </c>
      <c r="T2114" s="8" t="s">
        <v>25</v>
      </c>
      <c r="U2114" s="8" t="s">
        <v>41</v>
      </c>
    </row>
    <row r="2115" spans="1:21">
      <c r="A2115" s="8" t="s">
        <v>10155</v>
      </c>
      <c r="B2115" s="8" t="s">
        <v>7651</v>
      </c>
      <c r="C2115" s="8">
        <v>8913</v>
      </c>
      <c r="D2115" s="8" t="s">
        <v>133</v>
      </c>
      <c r="E2115" s="8">
        <v>48692854</v>
      </c>
      <c r="F2115" s="8">
        <v>48692854</v>
      </c>
      <c r="G2115" s="8" t="s">
        <v>25</v>
      </c>
      <c r="H2115" s="8" t="s">
        <v>46</v>
      </c>
      <c r="I2115" s="8" t="s">
        <v>23</v>
      </c>
      <c r="J2115" s="8" t="s">
        <v>7652</v>
      </c>
      <c r="K2115" s="8" t="s">
        <v>7654</v>
      </c>
      <c r="L2115" s="8" t="s">
        <v>19</v>
      </c>
      <c r="M2115" s="8">
        <v>5264</v>
      </c>
      <c r="N2115" s="8" t="s">
        <v>4625</v>
      </c>
      <c r="O2115" s="8">
        <v>1631</v>
      </c>
      <c r="P2115" s="8" t="s">
        <v>10314</v>
      </c>
      <c r="Q2115" s="8" t="s">
        <v>4262</v>
      </c>
      <c r="R2115" s="8">
        <v>0.441</v>
      </c>
      <c r="S2115" s="8">
        <v>48692854</v>
      </c>
      <c r="T2115" s="8" t="s">
        <v>25</v>
      </c>
      <c r="U2115" s="8" t="s">
        <v>46</v>
      </c>
    </row>
    <row r="2116" spans="1:21">
      <c r="A2116" s="8" t="s">
        <v>10155</v>
      </c>
      <c r="B2116" s="8" t="s">
        <v>10315</v>
      </c>
      <c r="C2116" s="8">
        <v>23136</v>
      </c>
      <c r="D2116" s="8" t="s">
        <v>135</v>
      </c>
      <c r="E2116" s="8">
        <v>5396319</v>
      </c>
      <c r="F2116" s="8">
        <v>5396319</v>
      </c>
      <c r="G2116" s="8" t="s">
        <v>41</v>
      </c>
      <c r="H2116" s="8" t="s">
        <v>24</v>
      </c>
      <c r="I2116" s="8" t="s">
        <v>23</v>
      </c>
      <c r="J2116" s="8" t="s">
        <v>10316</v>
      </c>
      <c r="K2116" s="8" t="s">
        <v>10318</v>
      </c>
      <c r="L2116" s="8" t="s">
        <v>19</v>
      </c>
      <c r="M2116" s="8">
        <v>2940</v>
      </c>
      <c r="N2116" s="8" t="s">
        <v>2376</v>
      </c>
      <c r="O2116" s="8">
        <v>952</v>
      </c>
      <c r="P2116" s="8" t="s">
        <v>10317</v>
      </c>
      <c r="Q2116" s="8" t="s">
        <v>4262</v>
      </c>
      <c r="R2116" s="8">
        <v>0.41099999999999998</v>
      </c>
      <c r="S2116" s="8">
        <v>5396319</v>
      </c>
      <c r="T2116" s="8" t="s">
        <v>41</v>
      </c>
      <c r="U2116" s="8" t="s">
        <v>24</v>
      </c>
    </row>
    <row r="2117" spans="1:21">
      <c r="A2117" s="8" t="s">
        <v>10155</v>
      </c>
      <c r="B2117" s="8" t="s">
        <v>2570</v>
      </c>
      <c r="C2117" s="8">
        <v>9229</v>
      </c>
      <c r="D2117" s="8" t="s">
        <v>135</v>
      </c>
      <c r="E2117" s="8">
        <v>3879492</v>
      </c>
      <c r="F2117" s="8">
        <v>3879492</v>
      </c>
      <c r="G2117" s="8" t="s">
        <v>46</v>
      </c>
      <c r="H2117" s="8" t="s">
        <v>41</v>
      </c>
      <c r="I2117" s="8" t="s">
        <v>23</v>
      </c>
      <c r="J2117" s="8" t="s">
        <v>7664</v>
      </c>
      <c r="K2117" s="8" t="s">
        <v>7665</v>
      </c>
      <c r="L2117" s="8" t="s">
        <v>19</v>
      </c>
      <c r="M2117" s="8">
        <v>1104</v>
      </c>
      <c r="N2117" s="8" t="s">
        <v>155</v>
      </c>
      <c r="O2117" s="8">
        <v>193</v>
      </c>
      <c r="P2117" s="8" t="s">
        <v>10319</v>
      </c>
      <c r="Q2117" s="8" t="s">
        <v>4262</v>
      </c>
      <c r="R2117" s="8">
        <v>0.38100000000000001</v>
      </c>
      <c r="S2117" s="8">
        <v>3879492</v>
      </c>
      <c r="T2117" s="8" t="s">
        <v>46</v>
      </c>
      <c r="U2117" s="8" t="s">
        <v>41</v>
      </c>
    </row>
    <row r="2118" spans="1:21">
      <c r="A2118" s="8" t="s">
        <v>10155</v>
      </c>
      <c r="B2118" s="8" t="s">
        <v>589</v>
      </c>
      <c r="C2118" s="8">
        <v>338321</v>
      </c>
      <c r="D2118" s="8" t="s">
        <v>139</v>
      </c>
      <c r="E2118" s="8">
        <v>56244806</v>
      </c>
      <c r="F2118" s="8">
        <v>56244806</v>
      </c>
      <c r="G2118" s="8" t="s">
        <v>46</v>
      </c>
      <c r="H2118" s="8" t="s">
        <v>41</v>
      </c>
      <c r="I2118" s="8" t="s">
        <v>23</v>
      </c>
      <c r="J2118" s="8" t="s">
        <v>590</v>
      </c>
      <c r="K2118" s="8" t="s">
        <v>10321</v>
      </c>
      <c r="L2118" s="8" t="s">
        <v>19</v>
      </c>
      <c r="M2118" s="8">
        <v>419</v>
      </c>
      <c r="N2118" s="8" t="s">
        <v>166</v>
      </c>
      <c r="O2118" s="8">
        <v>131</v>
      </c>
      <c r="P2118" s="8" t="s">
        <v>10320</v>
      </c>
      <c r="Q2118" s="8" t="s">
        <v>4262</v>
      </c>
      <c r="R2118" s="8">
        <v>7.4999999999999997E-2</v>
      </c>
      <c r="S2118" s="8">
        <v>56244806</v>
      </c>
      <c r="T2118" s="8" t="s">
        <v>46</v>
      </c>
      <c r="U2118" s="8" t="s">
        <v>41</v>
      </c>
    </row>
    <row r="2119" spans="1:21">
      <c r="A2119" s="8" t="s">
        <v>10155</v>
      </c>
      <c r="B2119" s="8" t="s">
        <v>6292</v>
      </c>
      <c r="C2119" s="8">
        <v>126204</v>
      </c>
      <c r="D2119" s="8" t="s">
        <v>139</v>
      </c>
      <c r="E2119" s="8">
        <v>56436016</v>
      </c>
      <c r="F2119" s="8">
        <v>56436016</v>
      </c>
      <c r="G2119" s="8" t="s">
        <v>24</v>
      </c>
      <c r="H2119" s="8" t="s">
        <v>25</v>
      </c>
      <c r="I2119" s="8" t="s">
        <v>23</v>
      </c>
      <c r="J2119" s="8" t="s">
        <v>6293</v>
      </c>
      <c r="K2119" s="8" t="s">
        <v>6295</v>
      </c>
      <c r="L2119" s="8" t="s">
        <v>76</v>
      </c>
      <c r="M2119" s="8">
        <v>422</v>
      </c>
      <c r="N2119" s="8" t="s">
        <v>371</v>
      </c>
      <c r="O2119" s="8">
        <v>133</v>
      </c>
      <c r="P2119" s="8" t="s">
        <v>10322</v>
      </c>
      <c r="Q2119" s="8" t="s">
        <v>4262</v>
      </c>
      <c r="R2119" s="8">
        <v>5.7000000000000002E-2</v>
      </c>
      <c r="S2119" s="8">
        <v>56436016</v>
      </c>
      <c r="T2119" s="8" t="s">
        <v>24</v>
      </c>
      <c r="U2119" s="8" t="s">
        <v>25</v>
      </c>
    </row>
    <row r="2120" spans="1:21">
      <c r="A2120" s="8" t="s">
        <v>10155</v>
      </c>
      <c r="B2120" s="8" t="s">
        <v>1093</v>
      </c>
      <c r="C2120" s="8">
        <v>94025</v>
      </c>
      <c r="D2120" s="8" t="s">
        <v>139</v>
      </c>
      <c r="E2120" s="8">
        <v>9071568</v>
      </c>
      <c r="F2120" s="8">
        <v>9071568</v>
      </c>
      <c r="G2120" s="8" t="s">
        <v>24</v>
      </c>
      <c r="H2120" s="8" t="s">
        <v>25</v>
      </c>
      <c r="I2120" s="8" t="s">
        <v>23</v>
      </c>
      <c r="J2120" s="8" t="s">
        <v>1094</v>
      </c>
      <c r="K2120" s="8" t="s">
        <v>4408</v>
      </c>
      <c r="L2120" s="8" t="s">
        <v>19</v>
      </c>
      <c r="M2120" s="8">
        <v>16082</v>
      </c>
      <c r="N2120" s="8" t="s">
        <v>309</v>
      </c>
      <c r="O2120" s="8">
        <v>5293</v>
      </c>
      <c r="P2120" s="8" t="s">
        <v>10323</v>
      </c>
      <c r="Q2120" s="8" t="s">
        <v>4262</v>
      </c>
      <c r="R2120" s="8">
        <v>0.109</v>
      </c>
      <c r="S2120" s="8">
        <v>9071568</v>
      </c>
      <c r="T2120" s="8" t="s">
        <v>24</v>
      </c>
      <c r="U2120" s="8" t="s">
        <v>25</v>
      </c>
    </row>
    <row r="2121" spans="1:21">
      <c r="A2121" s="8" t="s">
        <v>10155</v>
      </c>
      <c r="B2121" s="8" t="s">
        <v>2904</v>
      </c>
      <c r="C2121" s="8">
        <v>91120</v>
      </c>
      <c r="D2121" s="8" t="s">
        <v>139</v>
      </c>
      <c r="E2121" s="8">
        <v>20118031</v>
      </c>
      <c r="F2121" s="8">
        <v>20118031</v>
      </c>
      <c r="G2121" s="8" t="s">
        <v>25</v>
      </c>
      <c r="H2121" s="8" t="s">
        <v>46</v>
      </c>
      <c r="I2121" s="8" t="s">
        <v>23</v>
      </c>
      <c r="J2121" s="8" t="s">
        <v>10324</v>
      </c>
      <c r="K2121" s="8" t="s">
        <v>10326</v>
      </c>
      <c r="L2121" s="8" t="s">
        <v>19</v>
      </c>
      <c r="M2121" s="8">
        <v>403</v>
      </c>
      <c r="N2121" s="8" t="s">
        <v>2905</v>
      </c>
      <c r="O2121" s="8">
        <v>94</v>
      </c>
      <c r="P2121" s="8" t="s">
        <v>10325</v>
      </c>
      <c r="Q2121" s="8" t="s">
        <v>4262</v>
      </c>
      <c r="R2121" s="8">
        <v>0.51400000000000001</v>
      </c>
      <c r="S2121" s="8">
        <v>20118031</v>
      </c>
      <c r="T2121" s="8" t="s">
        <v>25</v>
      </c>
      <c r="U2121" s="8" t="s">
        <v>46</v>
      </c>
    </row>
    <row r="2122" spans="1:21">
      <c r="A2122" s="8" t="s">
        <v>10155</v>
      </c>
      <c r="B2122" s="8" t="s">
        <v>909</v>
      </c>
      <c r="C2122" s="8">
        <v>100129543</v>
      </c>
      <c r="D2122" s="8" t="s">
        <v>139</v>
      </c>
      <c r="E2122" s="8">
        <v>23328217</v>
      </c>
      <c r="F2122" s="8">
        <v>23328217</v>
      </c>
      <c r="G2122" s="8" t="s">
        <v>25</v>
      </c>
      <c r="H2122" s="8" t="s">
        <v>24</v>
      </c>
      <c r="I2122" s="8" t="s">
        <v>23</v>
      </c>
      <c r="J2122" s="8" t="s">
        <v>10327</v>
      </c>
      <c r="K2122" s="8" t="s">
        <v>10329</v>
      </c>
      <c r="L2122" s="8" t="s">
        <v>19</v>
      </c>
      <c r="M2122" s="8">
        <v>2015</v>
      </c>
      <c r="N2122" s="8" t="s">
        <v>908</v>
      </c>
      <c r="O2122" s="8">
        <v>672</v>
      </c>
      <c r="P2122" s="8" t="s">
        <v>10328</v>
      </c>
      <c r="Q2122" s="8" t="s">
        <v>4262</v>
      </c>
      <c r="R2122" s="8">
        <v>0.123</v>
      </c>
      <c r="S2122" s="8">
        <v>23328217</v>
      </c>
      <c r="T2122" s="8" t="s">
        <v>25</v>
      </c>
      <c r="U2122" s="8" t="s">
        <v>24</v>
      </c>
    </row>
    <row r="2123" spans="1:21">
      <c r="A2123" s="8" t="s">
        <v>10155</v>
      </c>
      <c r="B2123" s="8" t="s">
        <v>2906</v>
      </c>
      <c r="C2123" s="8">
        <v>9745</v>
      </c>
      <c r="D2123" s="8" t="s">
        <v>139</v>
      </c>
      <c r="E2123" s="8">
        <v>31039882</v>
      </c>
      <c r="F2123" s="8">
        <v>31039882</v>
      </c>
      <c r="G2123" s="8" t="s">
        <v>46</v>
      </c>
      <c r="H2123" s="8" t="s">
        <v>25</v>
      </c>
      <c r="I2123" s="8" t="s">
        <v>23</v>
      </c>
      <c r="J2123" s="8" t="s">
        <v>2907</v>
      </c>
      <c r="K2123" s="8" t="s">
        <v>10331</v>
      </c>
      <c r="L2123" s="8" t="s">
        <v>19</v>
      </c>
      <c r="M2123" s="8">
        <v>3494</v>
      </c>
      <c r="N2123" s="8" t="s">
        <v>900</v>
      </c>
      <c r="O2123" s="8">
        <v>1119</v>
      </c>
      <c r="P2123" s="8" t="s">
        <v>10330</v>
      </c>
      <c r="Q2123" s="8" t="s">
        <v>4262</v>
      </c>
      <c r="R2123" s="8">
        <v>0.48899999999999999</v>
      </c>
      <c r="S2123" s="8">
        <v>31039882</v>
      </c>
      <c r="T2123" s="8" t="s">
        <v>46</v>
      </c>
      <c r="U2123" s="8" t="s">
        <v>25</v>
      </c>
    </row>
    <row r="2124" spans="1:21">
      <c r="A2124" s="8" t="s">
        <v>10155</v>
      </c>
      <c r="B2124" s="8" t="s">
        <v>10332</v>
      </c>
      <c r="C2124" s="8">
        <v>25943</v>
      </c>
      <c r="D2124" s="8" t="s">
        <v>188</v>
      </c>
      <c r="E2124" s="8">
        <v>3278770</v>
      </c>
      <c r="F2124" s="8">
        <v>3278770</v>
      </c>
      <c r="G2124" s="8" t="s">
        <v>25</v>
      </c>
      <c r="H2124" s="8" t="s">
        <v>46</v>
      </c>
      <c r="I2124" s="8" t="s">
        <v>23</v>
      </c>
      <c r="J2124" s="8" t="s">
        <v>10333</v>
      </c>
      <c r="K2124" s="8" t="s">
        <v>10335</v>
      </c>
      <c r="L2124" s="8" t="s">
        <v>19</v>
      </c>
      <c r="M2124" s="8">
        <v>1886</v>
      </c>
      <c r="N2124" s="8" t="s">
        <v>886</v>
      </c>
      <c r="O2124" s="8">
        <v>612</v>
      </c>
      <c r="P2124" s="8" t="s">
        <v>10334</v>
      </c>
      <c r="Q2124" s="8" t="s">
        <v>4262</v>
      </c>
      <c r="R2124" s="8">
        <v>0.34399999999999997</v>
      </c>
      <c r="S2124" s="8">
        <v>3278770</v>
      </c>
      <c r="T2124" s="8" t="s">
        <v>25</v>
      </c>
      <c r="U2124" s="8" t="s">
        <v>46</v>
      </c>
    </row>
    <row r="2125" spans="1:21">
      <c r="A2125" s="8" t="s">
        <v>10155</v>
      </c>
      <c r="B2125" s="8" t="s">
        <v>10336</v>
      </c>
      <c r="C2125" s="8">
        <v>10137</v>
      </c>
      <c r="D2125" s="8" t="s">
        <v>188</v>
      </c>
      <c r="E2125" s="8">
        <v>34240589</v>
      </c>
      <c r="F2125" s="8">
        <v>34240589</v>
      </c>
      <c r="G2125" s="8" t="s">
        <v>46</v>
      </c>
      <c r="H2125" s="8" t="s">
        <v>25</v>
      </c>
      <c r="I2125" s="8" t="s">
        <v>23</v>
      </c>
      <c r="J2125" s="8" t="s">
        <v>10337</v>
      </c>
      <c r="K2125" s="8" t="s">
        <v>10339</v>
      </c>
      <c r="L2125" s="8" t="s">
        <v>19</v>
      </c>
      <c r="M2125" s="8">
        <v>2918</v>
      </c>
      <c r="N2125" s="8" t="s">
        <v>1248</v>
      </c>
      <c r="O2125" s="8">
        <v>886</v>
      </c>
      <c r="P2125" s="8" t="s">
        <v>10338</v>
      </c>
      <c r="Q2125" s="8" t="s">
        <v>4262</v>
      </c>
      <c r="R2125" s="8">
        <v>0.42899999999999999</v>
      </c>
      <c r="S2125" s="8">
        <v>34240589</v>
      </c>
      <c r="T2125" s="8" t="s">
        <v>46</v>
      </c>
      <c r="U2125" s="8" t="s">
        <v>25</v>
      </c>
    </row>
    <row r="2126" spans="1:21">
      <c r="A2126" s="8" t="s">
        <v>10155</v>
      </c>
      <c r="B2126" s="8" t="s">
        <v>2375</v>
      </c>
      <c r="C2126" s="8">
        <v>9054</v>
      </c>
      <c r="D2126" s="8" t="s">
        <v>188</v>
      </c>
      <c r="E2126" s="8">
        <v>34263085</v>
      </c>
      <c r="F2126" s="8">
        <v>34263085</v>
      </c>
      <c r="G2126" s="8" t="s">
        <v>46</v>
      </c>
      <c r="H2126" s="8" t="s">
        <v>41</v>
      </c>
      <c r="I2126" s="8" t="s">
        <v>23</v>
      </c>
      <c r="J2126" s="8" t="s">
        <v>10340</v>
      </c>
      <c r="K2126" s="8" t="s">
        <v>10342</v>
      </c>
      <c r="L2126" s="8" t="s">
        <v>19</v>
      </c>
      <c r="M2126" s="8">
        <v>907</v>
      </c>
      <c r="N2126" s="8" t="s">
        <v>297</v>
      </c>
      <c r="O2126" s="8">
        <v>277</v>
      </c>
      <c r="P2126" s="8" t="s">
        <v>10341</v>
      </c>
      <c r="Q2126" s="8" t="s">
        <v>4262</v>
      </c>
      <c r="R2126" s="8">
        <v>0.41699999999999998</v>
      </c>
      <c r="S2126" s="8">
        <v>34263085</v>
      </c>
      <c r="T2126" s="8" t="s">
        <v>46</v>
      </c>
      <c r="U2126" s="8" t="s">
        <v>41</v>
      </c>
    </row>
    <row r="2127" spans="1:21">
      <c r="A2127" s="8" t="s">
        <v>10155</v>
      </c>
      <c r="B2127" s="8" t="s">
        <v>2912</v>
      </c>
      <c r="C2127" s="8">
        <v>8204</v>
      </c>
      <c r="D2127" s="8" t="s">
        <v>193</v>
      </c>
      <c r="E2127" s="8">
        <v>16338025</v>
      </c>
      <c r="F2127" s="8">
        <v>16338025</v>
      </c>
      <c r="G2127" s="8" t="s">
        <v>41</v>
      </c>
      <c r="H2127" s="8" t="s">
        <v>46</v>
      </c>
      <c r="I2127" s="8" t="s">
        <v>23</v>
      </c>
      <c r="J2127" s="8" t="s">
        <v>2913</v>
      </c>
      <c r="K2127" s="8" t="s">
        <v>8310</v>
      </c>
      <c r="L2127" s="8" t="s">
        <v>19</v>
      </c>
      <c r="M2127" s="8">
        <v>3087</v>
      </c>
      <c r="N2127" s="8" t="s">
        <v>176</v>
      </c>
      <c r="O2127" s="8">
        <v>830</v>
      </c>
      <c r="P2127" s="8" t="s">
        <v>10343</v>
      </c>
      <c r="Q2127" s="8" t="s">
        <v>4262</v>
      </c>
      <c r="R2127" s="8">
        <v>0.42899999999999999</v>
      </c>
      <c r="S2127" s="8">
        <v>16338025</v>
      </c>
      <c r="T2127" s="8" t="s">
        <v>41</v>
      </c>
      <c r="U2127" s="8" t="s">
        <v>46</v>
      </c>
    </row>
    <row r="2128" spans="1:21">
      <c r="A2128" s="8" t="s">
        <v>10155</v>
      </c>
      <c r="B2128" s="8" t="s">
        <v>7745</v>
      </c>
      <c r="C2128" s="8">
        <v>9681</v>
      </c>
      <c r="D2128" s="8" t="s">
        <v>197</v>
      </c>
      <c r="E2128" s="8">
        <v>32239712</v>
      </c>
      <c r="F2128" s="8">
        <v>32239712</v>
      </c>
      <c r="G2128" s="8" t="s">
        <v>24</v>
      </c>
      <c r="H2128" s="8" t="s">
        <v>25</v>
      </c>
      <c r="I2128" s="8" t="s">
        <v>23</v>
      </c>
      <c r="J2128" s="8" t="s">
        <v>7746</v>
      </c>
      <c r="K2128" s="8" t="s">
        <v>7747</v>
      </c>
      <c r="L2128" s="8" t="s">
        <v>76</v>
      </c>
      <c r="M2128" s="8">
        <v>2917</v>
      </c>
      <c r="N2128" s="8" t="s">
        <v>716</v>
      </c>
      <c r="O2128" s="8">
        <v>905</v>
      </c>
      <c r="P2128" s="8" t="s">
        <v>10344</v>
      </c>
      <c r="Q2128" s="8" t="s">
        <v>4262</v>
      </c>
      <c r="R2128" s="8">
        <v>0.22</v>
      </c>
      <c r="S2128" s="8">
        <v>32239712</v>
      </c>
      <c r="T2128" s="8" t="s">
        <v>24</v>
      </c>
      <c r="U2128" s="8" t="s">
        <v>25</v>
      </c>
    </row>
    <row r="2129" spans="1:21">
      <c r="A2129" s="8" t="s">
        <v>10349</v>
      </c>
      <c r="B2129" s="8" t="s">
        <v>10345</v>
      </c>
      <c r="C2129" s="8">
        <v>114883</v>
      </c>
      <c r="D2129" s="8" t="s">
        <v>22</v>
      </c>
      <c r="E2129" s="8">
        <v>52238318</v>
      </c>
      <c r="F2129" s="8">
        <v>52238318</v>
      </c>
      <c r="G2129" s="8" t="s">
        <v>24</v>
      </c>
      <c r="H2129" s="8" t="s">
        <v>25</v>
      </c>
      <c r="I2129" s="8" t="s">
        <v>23</v>
      </c>
      <c r="J2129" s="8" t="s">
        <v>10346</v>
      </c>
      <c r="K2129" s="8" t="s">
        <v>10348</v>
      </c>
      <c r="L2129" s="8" t="s">
        <v>19</v>
      </c>
      <c r="M2129" s="8">
        <v>1360</v>
      </c>
      <c r="N2129" s="8" t="s">
        <v>1070</v>
      </c>
      <c r="O2129" s="8">
        <v>375</v>
      </c>
      <c r="P2129" s="8" t="s">
        <v>10347</v>
      </c>
      <c r="Q2129" s="8" t="s">
        <v>4262</v>
      </c>
      <c r="R2129" s="8">
        <v>0.14000000000000001</v>
      </c>
      <c r="S2129" s="8">
        <v>52238318</v>
      </c>
      <c r="T2129" s="8" t="s">
        <v>24</v>
      </c>
      <c r="U2129" s="8" t="s">
        <v>25</v>
      </c>
    </row>
    <row r="2130" spans="1:21">
      <c r="A2130" s="8" t="s">
        <v>10349</v>
      </c>
      <c r="B2130" s="8" t="s">
        <v>2426</v>
      </c>
      <c r="C2130" s="8">
        <v>387509</v>
      </c>
      <c r="D2130" s="8" t="s">
        <v>22</v>
      </c>
      <c r="E2130" s="8">
        <v>6314883</v>
      </c>
      <c r="F2130" s="8">
        <v>6314883</v>
      </c>
      <c r="G2130" s="8" t="s">
        <v>46</v>
      </c>
      <c r="H2130" s="8" t="s">
        <v>41</v>
      </c>
      <c r="I2130" s="8" t="s">
        <v>23</v>
      </c>
      <c r="J2130" s="8" t="s">
        <v>2427</v>
      </c>
      <c r="K2130" s="8" t="s">
        <v>10351</v>
      </c>
      <c r="L2130" s="8" t="s">
        <v>19</v>
      </c>
      <c r="M2130" s="8">
        <v>343</v>
      </c>
      <c r="N2130" s="8" t="s">
        <v>205</v>
      </c>
      <c r="O2130" s="8">
        <v>28</v>
      </c>
      <c r="P2130" s="8" t="s">
        <v>10350</v>
      </c>
      <c r="Q2130" s="8" t="s">
        <v>4262</v>
      </c>
      <c r="R2130" s="8">
        <v>0.316</v>
      </c>
      <c r="S2130" s="8">
        <v>6314883</v>
      </c>
      <c r="T2130" s="8" t="s">
        <v>46</v>
      </c>
      <c r="U2130" s="8" t="s">
        <v>41</v>
      </c>
    </row>
    <row r="2131" spans="1:21">
      <c r="A2131" s="8" t="s">
        <v>10349</v>
      </c>
      <c r="B2131" s="8" t="s">
        <v>3460</v>
      </c>
      <c r="C2131" s="8">
        <v>84251</v>
      </c>
      <c r="D2131" s="8" t="s">
        <v>22</v>
      </c>
      <c r="E2131" s="8">
        <v>67137638</v>
      </c>
      <c r="F2131" s="8">
        <v>67137638</v>
      </c>
      <c r="G2131" s="8" t="s">
        <v>24</v>
      </c>
      <c r="H2131" s="8" t="s">
        <v>25</v>
      </c>
      <c r="I2131" s="8" t="s">
        <v>23</v>
      </c>
      <c r="J2131" s="8" t="s">
        <v>3461</v>
      </c>
      <c r="K2131" s="8" t="s">
        <v>5892</v>
      </c>
      <c r="L2131" s="8" t="s">
        <v>19</v>
      </c>
      <c r="M2131" s="8">
        <v>737</v>
      </c>
      <c r="N2131" s="8" t="s">
        <v>1070</v>
      </c>
      <c r="O2131" s="8">
        <v>174</v>
      </c>
      <c r="P2131" s="8" t="s">
        <v>10352</v>
      </c>
      <c r="Q2131" s="8" t="s">
        <v>4262</v>
      </c>
      <c r="R2131" s="8">
        <v>0.41199999999999998</v>
      </c>
      <c r="S2131" s="8">
        <v>67137638</v>
      </c>
      <c r="T2131" s="8" t="s">
        <v>24</v>
      </c>
      <c r="U2131" s="8" t="s">
        <v>25</v>
      </c>
    </row>
    <row r="2132" spans="1:21">
      <c r="A2132" s="8" t="s">
        <v>10349</v>
      </c>
      <c r="B2132" s="8" t="s">
        <v>3460</v>
      </c>
      <c r="C2132" s="8">
        <v>84251</v>
      </c>
      <c r="D2132" s="8" t="s">
        <v>22</v>
      </c>
      <c r="E2132" s="8">
        <v>67154953</v>
      </c>
      <c r="F2132" s="8">
        <v>67154953</v>
      </c>
      <c r="G2132" s="8" t="s">
        <v>24</v>
      </c>
      <c r="H2132" s="8" t="s">
        <v>25</v>
      </c>
      <c r="I2132" s="8" t="s">
        <v>23</v>
      </c>
      <c r="J2132" s="8" t="s">
        <v>3461</v>
      </c>
      <c r="K2132" s="8" t="s">
        <v>5892</v>
      </c>
      <c r="L2132" s="8" t="s">
        <v>19</v>
      </c>
      <c r="M2132" s="8">
        <v>1655</v>
      </c>
      <c r="N2132" s="8" t="s">
        <v>557</v>
      </c>
      <c r="O2132" s="8">
        <v>480</v>
      </c>
      <c r="P2132" s="8" t="s">
        <v>10353</v>
      </c>
      <c r="Q2132" s="8" t="s">
        <v>4262</v>
      </c>
      <c r="R2132" s="8">
        <v>0.18099999999999999</v>
      </c>
      <c r="S2132" s="8">
        <v>67154953</v>
      </c>
      <c r="T2132" s="8" t="s">
        <v>24</v>
      </c>
      <c r="U2132" s="8" t="s">
        <v>25</v>
      </c>
    </row>
    <row r="2133" spans="1:21">
      <c r="A2133" s="8" t="s">
        <v>10349</v>
      </c>
      <c r="B2133" s="8" t="s">
        <v>10354</v>
      </c>
      <c r="C2133" s="8">
        <v>149233</v>
      </c>
      <c r="D2133" s="8" t="s">
        <v>22</v>
      </c>
      <c r="E2133" s="8">
        <v>67724417</v>
      </c>
      <c r="F2133" s="8">
        <v>67724417</v>
      </c>
      <c r="G2133" s="8" t="s">
        <v>24</v>
      </c>
      <c r="H2133" s="8" t="s">
        <v>25</v>
      </c>
      <c r="I2133" s="8" t="s">
        <v>23</v>
      </c>
      <c r="J2133" s="8" t="s">
        <v>10355</v>
      </c>
      <c r="K2133" s="8" t="s">
        <v>10357</v>
      </c>
      <c r="L2133" s="8" t="s">
        <v>19</v>
      </c>
      <c r="M2133" s="8">
        <v>1581</v>
      </c>
      <c r="N2133" s="8" t="s">
        <v>708</v>
      </c>
      <c r="O2133" s="8">
        <v>499</v>
      </c>
      <c r="P2133" s="8" t="s">
        <v>10356</v>
      </c>
      <c r="Q2133" s="8" t="s">
        <v>4262</v>
      </c>
      <c r="R2133" s="8">
        <v>0.25800000000000001</v>
      </c>
      <c r="S2133" s="8">
        <v>67724417</v>
      </c>
      <c r="T2133" s="8" t="s">
        <v>24</v>
      </c>
      <c r="U2133" s="8" t="s">
        <v>25</v>
      </c>
    </row>
    <row r="2134" spans="1:21">
      <c r="A2134" s="8" t="s">
        <v>10349</v>
      </c>
      <c r="B2134" s="8" t="s">
        <v>2428</v>
      </c>
      <c r="C2134" s="8">
        <v>9077</v>
      </c>
      <c r="D2134" s="8" t="s">
        <v>22</v>
      </c>
      <c r="E2134" s="8">
        <v>68512778</v>
      </c>
      <c r="F2134" s="8">
        <v>68512778</v>
      </c>
      <c r="G2134" s="8" t="s">
        <v>24</v>
      </c>
      <c r="H2134" s="8" t="s">
        <v>25</v>
      </c>
      <c r="I2134" s="8" t="s">
        <v>23</v>
      </c>
      <c r="J2134" s="8" t="s">
        <v>2429</v>
      </c>
      <c r="K2134" s="8" t="s">
        <v>10359</v>
      </c>
      <c r="L2134" s="8" t="s">
        <v>19</v>
      </c>
      <c r="M2134" s="8">
        <v>498</v>
      </c>
      <c r="N2134" s="8" t="s">
        <v>365</v>
      </c>
      <c r="O2134" s="8">
        <v>68</v>
      </c>
      <c r="P2134" s="8" t="s">
        <v>10358</v>
      </c>
      <c r="Q2134" s="8" t="s">
        <v>4262</v>
      </c>
      <c r="R2134" s="8">
        <v>0.25600000000000001</v>
      </c>
      <c r="S2134" s="8">
        <v>68512778</v>
      </c>
      <c r="T2134" s="8" t="s">
        <v>24</v>
      </c>
      <c r="U2134" s="8" t="s">
        <v>25</v>
      </c>
    </row>
    <row r="2135" spans="1:21">
      <c r="A2135" s="8" t="s">
        <v>10349</v>
      </c>
      <c r="B2135" s="8" t="s">
        <v>2890</v>
      </c>
      <c r="C2135" s="8">
        <v>57554</v>
      </c>
      <c r="D2135" s="8" t="s">
        <v>22</v>
      </c>
      <c r="E2135" s="8">
        <v>70501883</v>
      </c>
      <c r="F2135" s="8">
        <v>70501883</v>
      </c>
      <c r="G2135" s="8" t="s">
        <v>46</v>
      </c>
      <c r="H2135" s="8" t="s">
        <v>41</v>
      </c>
      <c r="I2135" s="8" t="s">
        <v>23</v>
      </c>
      <c r="J2135" s="8" t="s">
        <v>2891</v>
      </c>
      <c r="K2135" s="8" t="s">
        <v>6602</v>
      </c>
      <c r="L2135" s="8" t="s">
        <v>19</v>
      </c>
      <c r="M2135" s="8">
        <v>1991</v>
      </c>
      <c r="N2135" s="8" t="s">
        <v>333</v>
      </c>
      <c r="O2135" s="8">
        <v>654</v>
      </c>
      <c r="P2135" s="8" t="s">
        <v>10360</v>
      </c>
      <c r="Q2135" s="8" t="s">
        <v>4262</v>
      </c>
      <c r="R2135" s="8">
        <v>0.17899999999999999</v>
      </c>
      <c r="S2135" s="8">
        <v>70501883</v>
      </c>
      <c r="T2135" s="8" t="s">
        <v>46</v>
      </c>
      <c r="U2135" s="8" t="s">
        <v>41</v>
      </c>
    </row>
    <row r="2136" spans="1:21">
      <c r="A2136" s="8" t="s">
        <v>10349</v>
      </c>
      <c r="B2136" s="8" t="s">
        <v>2072</v>
      </c>
      <c r="C2136" s="8">
        <v>1491</v>
      </c>
      <c r="D2136" s="8" t="s">
        <v>22</v>
      </c>
      <c r="E2136" s="8">
        <v>70899567</v>
      </c>
      <c r="F2136" s="8">
        <v>70899567</v>
      </c>
      <c r="G2136" s="8" t="s">
        <v>24</v>
      </c>
      <c r="H2136" s="8" t="s">
        <v>25</v>
      </c>
      <c r="I2136" s="8" t="s">
        <v>23</v>
      </c>
      <c r="J2136" s="8" t="s">
        <v>6347</v>
      </c>
      <c r="K2136" s="8" t="s">
        <v>6349</v>
      </c>
      <c r="L2136" s="8" t="s">
        <v>19</v>
      </c>
      <c r="M2136" s="8">
        <v>1132</v>
      </c>
      <c r="N2136" s="8" t="s">
        <v>28</v>
      </c>
      <c r="O2136" s="8">
        <v>312</v>
      </c>
      <c r="P2136" s="8" t="s">
        <v>10361</v>
      </c>
      <c r="Q2136" s="8" t="s">
        <v>4262</v>
      </c>
      <c r="R2136" s="8">
        <v>0.25</v>
      </c>
      <c r="S2136" s="8">
        <v>70899567</v>
      </c>
      <c r="T2136" s="8" t="s">
        <v>24</v>
      </c>
      <c r="U2136" s="8" t="s">
        <v>25</v>
      </c>
    </row>
    <row r="2137" spans="1:21">
      <c r="A2137" s="8" t="s">
        <v>10349</v>
      </c>
      <c r="B2137" s="8" t="s">
        <v>640</v>
      </c>
      <c r="C2137" s="8">
        <v>127254</v>
      </c>
      <c r="D2137" s="8" t="s">
        <v>22</v>
      </c>
      <c r="E2137" s="8">
        <v>75065577</v>
      </c>
      <c r="F2137" s="8">
        <v>75065577</v>
      </c>
      <c r="G2137" s="8" t="s">
        <v>46</v>
      </c>
      <c r="H2137" s="8" t="s">
        <v>41</v>
      </c>
      <c r="I2137" s="8" t="s">
        <v>23</v>
      </c>
      <c r="J2137" s="8" t="s">
        <v>641</v>
      </c>
      <c r="K2137" s="8" t="s">
        <v>5042</v>
      </c>
      <c r="L2137" s="8" t="s">
        <v>19</v>
      </c>
      <c r="M2137" s="8">
        <v>1747</v>
      </c>
      <c r="N2137" s="8" t="s">
        <v>878</v>
      </c>
      <c r="O2137" s="8">
        <v>510</v>
      </c>
      <c r="P2137" s="8" t="s">
        <v>10362</v>
      </c>
      <c r="Q2137" s="8" t="s">
        <v>4262</v>
      </c>
      <c r="R2137" s="8">
        <v>0.20799999999999999</v>
      </c>
      <c r="S2137" s="8">
        <v>75065577</v>
      </c>
      <c r="T2137" s="8" t="s">
        <v>46</v>
      </c>
      <c r="U2137" s="8" t="s">
        <v>41</v>
      </c>
    </row>
    <row r="2138" spans="1:21">
      <c r="A2138" s="8" t="s">
        <v>10349</v>
      </c>
      <c r="B2138" s="8" t="s">
        <v>2430</v>
      </c>
      <c r="C2138" s="8">
        <v>26009</v>
      </c>
      <c r="D2138" s="8" t="s">
        <v>22</v>
      </c>
      <c r="E2138" s="8">
        <v>78097748</v>
      </c>
      <c r="F2138" s="8">
        <v>78097748</v>
      </c>
      <c r="G2138" s="8" t="s">
        <v>46</v>
      </c>
      <c r="H2138" s="8" t="s">
        <v>41</v>
      </c>
      <c r="I2138" s="8" t="s">
        <v>23</v>
      </c>
      <c r="J2138" s="8" t="s">
        <v>2431</v>
      </c>
      <c r="K2138" s="8" t="s">
        <v>10364</v>
      </c>
      <c r="L2138" s="8" t="s">
        <v>19</v>
      </c>
      <c r="M2138" s="8">
        <v>1768</v>
      </c>
      <c r="N2138" s="8" t="s">
        <v>796</v>
      </c>
      <c r="O2138" s="8">
        <v>431</v>
      </c>
      <c r="P2138" s="8" t="s">
        <v>10363</v>
      </c>
      <c r="Q2138" s="8" t="s">
        <v>4262</v>
      </c>
      <c r="R2138" s="8">
        <v>0.20499999999999999</v>
      </c>
      <c r="S2138" s="8">
        <v>78097748</v>
      </c>
      <c r="T2138" s="8" t="s">
        <v>46</v>
      </c>
      <c r="U2138" s="8" t="s">
        <v>41</v>
      </c>
    </row>
    <row r="2139" spans="1:21">
      <c r="A2139" s="8" t="s">
        <v>10349</v>
      </c>
      <c r="B2139" s="8" t="s">
        <v>10365</v>
      </c>
      <c r="C2139" s="8">
        <v>80135</v>
      </c>
      <c r="D2139" s="8" t="s">
        <v>22</v>
      </c>
      <c r="E2139" s="8">
        <v>84946638</v>
      </c>
      <c r="F2139" s="8">
        <v>84946638</v>
      </c>
      <c r="G2139" s="8" t="s">
        <v>24</v>
      </c>
      <c r="H2139" s="8" t="s">
        <v>25</v>
      </c>
      <c r="I2139" s="8" t="s">
        <v>23</v>
      </c>
      <c r="J2139" s="8" t="s">
        <v>10366</v>
      </c>
      <c r="K2139" s="8" t="s">
        <v>10367</v>
      </c>
      <c r="L2139" s="8" t="s">
        <v>68</v>
      </c>
      <c r="M2139" s="8">
        <v>0</v>
      </c>
      <c r="N2139" s="8" t="s">
        <v>35</v>
      </c>
      <c r="O2139" s="8">
        <v>0</v>
      </c>
      <c r="P2139" s="8" t="s">
        <v>35</v>
      </c>
      <c r="Q2139" s="8" t="s">
        <v>4262</v>
      </c>
      <c r="R2139" s="8">
        <v>0.21</v>
      </c>
      <c r="S2139" s="8">
        <v>84946638</v>
      </c>
      <c r="T2139" s="8" t="s">
        <v>24</v>
      </c>
      <c r="U2139" s="8" t="s">
        <v>25</v>
      </c>
    </row>
    <row r="2140" spans="1:21">
      <c r="A2140" s="8" t="s">
        <v>10349</v>
      </c>
      <c r="B2140" s="8" t="s">
        <v>10368</v>
      </c>
      <c r="C2140" s="8">
        <v>117178</v>
      </c>
      <c r="D2140" s="8" t="s">
        <v>22</v>
      </c>
      <c r="E2140" s="8">
        <v>85116199</v>
      </c>
      <c r="F2140" s="8">
        <v>85116199</v>
      </c>
      <c r="G2140" s="8" t="s">
        <v>46</v>
      </c>
      <c r="H2140" s="8" t="s">
        <v>41</v>
      </c>
      <c r="I2140" s="8" t="s">
        <v>23</v>
      </c>
      <c r="J2140" s="8" t="s">
        <v>10369</v>
      </c>
      <c r="K2140" s="8" t="s">
        <v>10371</v>
      </c>
      <c r="L2140" s="8" t="s">
        <v>19</v>
      </c>
      <c r="M2140" s="8">
        <v>1792</v>
      </c>
      <c r="N2140" s="8" t="s">
        <v>485</v>
      </c>
      <c r="O2140" s="8">
        <v>506</v>
      </c>
      <c r="P2140" s="8" t="s">
        <v>10370</v>
      </c>
      <c r="Q2140" s="8" t="s">
        <v>4262</v>
      </c>
      <c r="R2140" s="8">
        <v>0.14299999999999999</v>
      </c>
      <c r="S2140" s="8">
        <v>85116199</v>
      </c>
      <c r="T2140" s="8" t="s">
        <v>46</v>
      </c>
      <c r="U2140" s="8" t="s">
        <v>41</v>
      </c>
    </row>
    <row r="2141" spans="1:21">
      <c r="A2141" s="8" t="s">
        <v>10349</v>
      </c>
      <c r="B2141" s="8" t="s">
        <v>10372</v>
      </c>
      <c r="C2141" s="8">
        <v>23576</v>
      </c>
      <c r="D2141" s="8" t="s">
        <v>22</v>
      </c>
      <c r="E2141" s="8">
        <v>85816148</v>
      </c>
      <c r="F2141" s="8">
        <v>85816148</v>
      </c>
      <c r="G2141" s="8" t="s">
        <v>24</v>
      </c>
      <c r="H2141" s="8" t="s">
        <v>25</v>
      </c>
      <c r="I2141" s="8" t="s">
        <v>23</v>
      </c>
      <c r="J2141" s="8" t="s">
        <v>10373</v>
      </c>
      <c r="K2141" s="8" t="s">
        <v>10375</v>
      </c>
      <c r="L2141" s="8" t="s">
        <v>19</v>
      </c>
      <c r="M2141" s="8">
        <v>708</v>
      </c>
      <c r="N2141" s="8" t="s">
        <v>415</v>
      </c>
      <c r="O2141" s="8">
        <v>183</v>
      </c>
      <c r="P2141" s="8" t="s">
        <v>10374</v>
      </c>
      <c r="Q2141" s="8" t="s">
        <v>4262</v>
      </c>
      <c r="R2141" s="8">
        <v>0.13300000000000001</v>
      </c>
      <c r="S2141" s="8">
        <v>85816148</v>
      </c>
      <c r="T2141" s="8" t="s">
        <v>24</v>
      </c>
      <c r="U2141" s="8" t="s">
        <v>25</v>
      </c>
    </row>
    <row r="2142" spans="1:21">
      <c r="A2142" s="8" t="s">
        <v>10349</v>
      </c>
      <c r="B2142" s="8" t="s">
        <v>4421</v>
      </c>
      <c r="C2142" s="8">
        <v>9635</v>
      </c>
      <c r="D2142" s="8" t="s">
        <v>22</v>
      </c>
      <c r="E2142" s="8">
        <v>86900369</v>
      </c>
      <c r="F2142" s="8">
        <v>86900369</v>
      </c>
      <c r="G2142" s="8" t="s">
        <v>24</v>
      </c>
      <c r="H2142" s="8" t="s">
        <v>25</v>
      </c>
      <c r="I2142" s="8" t="s">
        <v>23</v>
      </c>
      <c r="J2142" s="8" t="s">
        <v>4422</v>
      </c>
      <c r="K2142" s="8" t="s">
        <v>4424</v>
      </c>
      <c r="L2142" s="8" t="s">
        <v>19</v>
      </c>
      <c r="M2142" s="8">
        <v>1075</v>
      </c>
      <c r="N2142" s="8" t="s">
        <v>322</v>
      </c>
      <c r="O2142" s="8">
        <v>305</v>
      </c>
      <c r="P2142" s="8" t="s">
        <v>10376</v>
      </c>
      <c r="Q2142" s="8" t="s">
        <v>4262</v>
      </c>
      <c r="R2142" s="8">
        <v>0.156</v>
      </c>
      <c r="S2142" s="8">
        <v>86900369</v>
      </c>
      <c r="T2142" s="8" t="s">
        <v>24</v>
      </c>
      <c r="U2142" s="8" t="s">
        <v>25</v>
      </c>
    </row>
    <row r="2143" spans="1:21">
      <c r="A2143" s="8" t="s">
        <v>10349</v>
      </c>
      <c r="B2143" s="8" t="s">
        <v>4421</v>
      </c>
      <c r="C2143" s="8">
        <v>9635</v>
      </c>
      <c r="D2143" s="8" t="s">
        <v>22</v>
      </c>
      <c r="E2143" s="8">
        <v>86919171</v>
      </c>
      <c r="F2143" s="8">
        <v>86919171</v>
      </c>
      <c r="G2143" s="8" t="s">
        <v>46</v>
      </c>
      <c r="H2143" s="8" t="s">
        <v>41</v>
      </c>
      <c r="I2143" s="8" t="s">
        <v>23</v>
      </c>
      <c r="J2143" s="8" t="s">
        <v>4422</v>
      </c>
      <c r="K2143" s="8" t="s">
        <v>4424</v>
      </c>
      <c r="L2143" s="8" t="s">
        <v>19</v>
      </c>
      <c r="M2143" s="8">
        <v>2437</v>
      </c>
      <c r="N2143" s="8" t="s">
        <v>2400</v>
      </c>
      <c r="O2143" s="8">
        <v>759</v>
      </c>
      <c r="P2143" s="8" t="s">
        <v>10377</v>
      </c>
      <c r="Q2143" s="8" t="s">
        <v>4262</v>
      </c>
      <c r="R2143" s="8">
        <v>0.114</v>
      </c>
      <c r="S2143" s="8">
        <v>86919171</v>
      </c>
      <c r="T2143" s="8" t="s">
        <v>46</v>
      </c>
      <c r="U2143" s="8" t="s">
        <v>41</v>
      </c>
    </row>
    <row r="2144" spans="1:21">
      <c r="A2144" s="8" t="s">
        <v>10349</v>
      </c>
      <c r="B2144" s="8" t="s">
        <v>10378</v>
      </c>
      <c r="C2144" s="8">
        <v>51100</v>
      </c>
      <c r="D2144" s="8" t="s">
        <v>22</v>
      </c>
      <c r="E2144" s="8">
        <v>87185319</v>
      </c>
      <c r="F2144" s="8">
        <v>87185319</v>
      </c>
      <c r="G2144" s="8" t="s">
        <v>24</v>
      </c>
      <c r="H2144" s="8" t="s">
        <v>25</v>
      </c>
      <c r="I2144" s="8" t="s">
        <v>23</v>
      </c>
      <c r="J2144" s="8" t="s">
        <v>10379</v>
      </c>
      <c r="K2144" s="8" t="s">
        <v>10380</v>
      </c>
      <c r="L2144" s="8" t="s">
        <v>68</v>
      </c>
      <c r="M2144" s="8">
        <v>0</v>
      </c>
      <c r="N2144" s="8" t="s">
        <v>35</v>
      </c>
      <c r="O2144" s="8">
        <v>0</v>
      </c>
      <c r="P2144" s="8" t="s">
        <v>35</v>
      </c>
      <c r="Q2144" s="8" t="s">
        <v>4262</v>
      </c>
      <c r="R2144" s="8">
        <v>0.23899999999999999</v>
      </c>
      <c r="S2144" s="8">
        <v>87185319</v>
      </c>
      <c r="T2144" s="8" t="s">
        <v>24</v>
      </c>
      <c r="U2144" s="8" t="s">
        <v>25</v>
      </c>
    </row>
    <row r="2145" spans="1:21">
      <c r="A2145" s="8" t="s">
        <v>10349</v>
      </c>
      <c r="B2145" s="8" t="s">
        <v>10381</v>
      </c>
      <c r="C2145" s="8">
        <v>24</v>
      </c>
      <c r="D2145" s="8" t="s">
        <v>22</v>
      </c>
      <c r="E2145" s="8">
        <v>94502750</v>
      </c>
      <c r="F2145" s="8">
        <v>94502750</v>
      </c>
      <c r="G2145" s="8" t="s">
        <v>24</v>
      </c>
      <c r="H2145" s="8" t="s">
        <v>25</v>
      </c>
      <c r="I2145" s="8" t="s">
        <v>23</v>
      </c>
      <c r="J2145" s="8" t="s">
        <v>10382</v>
      </c>
      <c r="K2145" s="8" t="s">
        <v>10384</v>
      </c>
      <c r="L2145" s="8" t="s">
        <v>19</v>
      </c>
      <c r="M2145" s="8">
        <v>3868</v>
      </c>
      <c r="N2145" s="8" t="s">
        <v>389</v>
      </c>
      <c r="O2145" s="8">
        <v>1255</v>
      </c>
      <c r="P2145" s="8" t="s">
        <v>10383</v>
      </c>
      <c r="Q2145" s="8" t="s">
        <v>4262</v>
      </c>
      <c r="R2145" s="8">
        <v>0.25600000000000001</v>
      </c>
      <c r="S2145" s="8">
        <v>94502750</v>
      </c>
      <c r="T2145" s="8" t="s">
        <v>24</v>
      </c>
      <c r="U2145" s="8" t="s">
        <v>25</v>
      </c>
    </row>
    <row r="2146" spans="1:21">
      <c r="A2146" s="8" t="s">
        <v>10349</v>
      </c>
      <c r="B2146" s="8" t="s">
        <v>10385</v>
      </c>
      <c r="C2146" s="8">
        <v>1266</v>
      </c>
      <c r="D2146" s="8" t="s">
        <v>22</v>
      </c>
      <c r="E2146" s="8">
        <v>95367239</v>
      </c>
      <c r="F2146" s="8">
        <v>95367239</v>
      </c>
      <c r="G2146" s="8" t="s">
        <v>46</v>
      </c>
      <c r="H2146" s="8" t="s">
        <v>41</v>
      </c>
      <c r="I2146" s="8" t="s">
        <v>23</v>
      </c>
      <c r="J2146" s="8" t="s">
        <v>10386</v>
      </c>
      <c r="K2146" s="8" t="s">
        <v>10388</v>
      </c>
      <c r="L2146" s="8" t="s">
        <v>19</v>
      </c>
      <c r="M2146" s="8">
        <v>772</v>
      </c>
      <c r="N2146" s="8" t="s">
        <v>322</v>
      </c>
      <c r="O2146" s="8">
        <v>163</v>
      </c>
      <c r="P2146" s="8" t="s">
        <v>10387</v>
      </c>
      <c r="Q2146" s="8" t="s">
        <v>4262</v>
      </c>
      <c r="R2146" s="8">
        <v>0.192</v>
      </c>
      <c r="S2146" s="8">
        <v>95367239</v>
      </c>
      <c r="T2146" s="8" t="s">
        <v>46</v>
      </c>
      <c r="U2146" s="8" t="s">
        <v>41</v>
      </c>
    </row>
    <row r="2147" spans="1:21">
      <c r="A2147" s="8" t="s">
        <v>10349</v>
      </c>
      <c r="B2147" s="8"/>
      <c r="C2147" s="8">
        <v>163404</v>
      </c>
      <c r="D2147" s="8" t="s">
        <v>22</v>
      </c>
      <c r="E2147" s="8">
        <v>99470149</v>
      </c>
      <c r="F2147" s="8">
        <v>99470149</v>
      </c>
      <c r="G2147" s="8" t="s">
        <v>46</v>
      </c>
      <c r="H2147" s="8" t="s">
        <v>41</v>
      </c>
      <c r="I2147" s="8" t="s">
        <v>23</v>
      </c>
      <c r="J2147" s="8" t="s">
        <v>10389</v>
      </c>
      <c r="K2147" s="8" t="s">
        <v>10391</v>
      </c>
      <c r="L2147" s="8" t="s">
        <v>19</v>
      </c>
      <c r="M2147" s="8">
        <v>301</v>
      </c>
      <c r="N2147" s="8" t="s">
        <v>941</v>
      </c>
      <c r="O2147" s="8">
        <v>27</v>
      </c>
      <c r="P2147" s="8" t="s">
        <v>10390</v>
      </c>
      <c r="Q2147" s="8" t="s">
        <v>4262</v>
      </c>
      <c r="R2147" s="8">
        <v>0.316</v>
      </c>
      <c r="S2147" s="8">
        <v>99470149</v>
      </c>
      <c r="T2147" s="8" t="s">
        <v>46</v>
      </c>
      <c r="U2147" s="8" t="s">
        <v>41</v>
      </c>
    </row>
    <row r="2148" spans="1:21">
      <c r="A2148" s="8" t="s">
        <v>10349</v>
      </c>
      <c r="B2148" s="8" t="s">
        <v>10392</v>
      </c>
      <c r="C2148" s="8">
        <v>391059</v>
      </c>
      <c r="D2148" s="8" t="s">
        <v>22</v>
      </c>
      <c r="E2148" s="8">
        <v>100176483</v>
      </c>
      <c r="F2148" s="8">
        <v>100176483</v>
      </c>
      <c r="G2148" s="8" t="s">
        <v>46</v>
      </c>
      <c r="H2148" s="8" t="s">
        <v>41</v>
      </c>
      <c r="I2148" s="8" t="s">
        <v>23</v>
      </c>
      <c r="J2148" s="8" t="s">
        <v>10393</v>
      </c>
      <c r="K2148" s="8" t="s">
        <v>10395</v>
      </c>
      <c r="L2148" s="8" t="s">
        <v>19</v>
      </c>
      <c r="M2148" s="8">
        <v>2105</v>
      </c>
      <c r="N2148" s="8" t="s">
        <v>2439</v>
      </c>
      <c r="O2148" s="8">
        <v>501</v>
      </c>
      <c r="P2148" s="8" t="s">
        <v>10394</v>
      </c>
      <c r="Q2148" s="8" t="s">
        <v>4262</v>
      </c>
      <c r="R2148" s="8">
        <v>0.154</v>
      </c>
      <c r="S2148" s="8">
        <v>100176483</v>
      </c>
      <c r="T2148" s="8" t="s">
        <v>46</v>
      </c>
      <c r="U2148" s="8" t="s">
        <v>41</v>
      </c>
    </row>
    <row r="2149" spans="1:21">
      <c r="A2149" s="8" t="s">
        <v>10349</v>
      </c>
      <c r="B2149" s="8" t="s">
        <v>10396</v>
      </c>
      <c r="C2149" s="8">
        <v>8634</v>
      </c>
      <c r="D2149" s="8" t="s">
        <v>22</v>
      </c>
      <c r="E2149" s="8">
        <v>100740379</v>
      </c>
      <c r="F2149" s="8">
        <v>100740379</v>
      </c>
      <c r="G2149" s="8" t="s">
        <v>24</v>
      </c>
      <c r="H2149" s="8" t="s">
        <v>25</v>
      </c>
      <c r="I2149" s="8" t="s">
        <v>23</v>
      </c>
      <c r="J2149" s="8" t="s">
        <v>10397</v>
      </c>
      <c r="K2149" s="8" t="s">
        <v>10398</v>
      </c>
      <c r="L2149" s="8" t="s">
        <v>68</v>
      </c>
      <c r="M2149" s="8">
        <v>0</v>
      </c>
      <c r="N2149" s="8" t="s">
        <v>35</v>
      </c>
      <c r="O2149" s="8">
        <v>0</v>
      </c>
      <c r="P2149" s="8" t="s">
        <v>35</v>
      </c>
      <c r="Q2149" s="8" t="s">
        <v>4262</v>
      </c>
      <c r="R2149" s="8">
        <v>0.30599999999999999</v>
      </c>
      <c r="S2149" s="8">
        <v>100740379</v>
      </c>
      <c r="T2149" s="8" t="s">
        <v>24</v>
      </c>
      <c r="U2149" s="8" t="s">
        <v>25</v>
      </c>
    </row>
    <row r="2150" spans="1:21">
      <c r="A2150" s="8" t="s">
        <v>10349</v>
      </c>
      <c r="B2150" s="8" t="s">
        <v>10399</v>
      </c>
      <c r="C2150" s="8">
        <v>7412</v>
      </c>
      <c r="D2150" s="8" t="s">
        <v>22</v>
      </c>
      <c r="E2150" s="8">
        <v>101196982</v>
      </c>
      <c r="F2150" s="8">
        <v>101196982</v>
      </c>
      <c r="G2150" s="8" t="s">
        <v>24</v>
      </c>
      <c r="H2150" s="8" t="s">
        <v>25</v>
      </c>
      <c r="I2150" s="8" t="s">
        <v>23</v>
      </c>
      <c r="J2150" s="8" t="s">
        <v>10400</v>
      </c>
      <c r="K2150" s="8" t="s">
        <v>10402</v>
      </c>
      <c r="L2150" s="8" t="s">
        <v>19</v>
      </c>
      <c r="M2150" s="8">
        <v>1654</v>
      </c>
      <c r="N2150" s="8" t="s">
        <v>494</v>
      </c>
      <c r="O2150" s="8">
        <v>478</v>
      </c>
      <c r="P2150" s="8" t="s">
        <v>10401</v>
      </c>
      <c r="Q2150" s="8" t="s">
        <v>4262</v>
      </c>
      <c r="R2150" s="8">
        <v>0.23300000000000001</v>
      </c>
      <c r="S2150" s="8">
        <v>101196982</v>
      </c>
      <c r="T2150" s="8" t="s">
        <v>24</v>
      </c>
      <c r="U2150" s="8" t="s">
        <v>25</v>
      </c>
    </row>
    <row r="2151" spans="1:21">
      <c r="A2151" s="8" t="s">
        <v>10349</v>
      </c>
      <c r="B2151" s="8" t="s">
        <v>867</v>
      </c>
      <c r="C2151" s="8">
        <v>1301</v>
      </c>
      <c r="D2151" s="8" t="s">
        <v>22</v>
      </c>
      <c r="E2151" s="8">
        <v>103355055</v>
      </c>
      <c r="F2151" s="8">
        <v>103355055</v>
      </c>
      <c r="G2151" s="8" t="s">
        <v>46</v>
      </c>
      <c r="H2151" s="8" t="s">
        <v>41</v>
      </c>
      <c r="I2151" s="8" t="s">
        <v>23</v>
      </c>
      <c r="J2151" s="8" t="s">
        <v>8550</v>
      </c>
      <c r="K2151" s="8" t="s">
        <v>8552</v>
      </c>
      <c r="L2151" s="8" t="s">
        <v>19</v>
      </c>
      <c r="M2151" s="8">
        <v>4774</v>
      </c>
      <c r="N2151" s="8" t="s">
        <v>28</v>
      </c>
      <c r="O2151" s="8">
        <v>1486</v>
      </c>
      <c r="P2151" s="8" t="s">
        <v>10403</v>
      </c>
      <c r="Q2151" s="8" t="s">
        <v>4262</v>
      </c>
      <c r="R2151" s="8">
        <v>0.22900000000000001</v>
      </c>
      <c r="S2151" s="8">
        <v>103355055</v>
      </c>
      <c r="T2151" s="8" t="s">
        <v>46</v>
      </c>
      <c r="U2151" s="8" t="s">
        <v>41</v>
      </c>
    </row>
    <row r="2152" spans="1:21">
      <c r="A2152" s="8" t="s">
        <v>10349</v>
      </c>
      <c r="B2152" s="8" t="s">
        <v>1933</v>
      </c>
      <c r="C2152" s="8">
        <v>23095</v>
      </c>
      <c r="D2152" s="8" t="s">
        <v>22</v>
      </c>
      <c r="E2152" s="8">
        <v>10356973</v>
      </c>
      <c r="F2152" s="8">
        <v>10356973</v>
      </c>
      <c r="G2152" s="8" t="s">
        <v>24</v>
      </c>
      <c r="H2152" s="8" t="s">
        <v>25</v>
      </c>
      <c r="I2152" s="8" t="s">
        <v>23</v>
      </c>
      <c r="J2152" s="8" t="s">
        <v>9564</v>
      </c>
      <c r="K2152" s="8" t="s">
        <v>9566</v>
      </c>
      <c r="L2152" s="8" t="s">
        <v>19</v>
      </c>
      <c r="M2152" s="8">
        <v>1994</v>
      </c>
      <c r="N2152" s="8" t="s">
        <v>796</v>
      </c>
      <c r="O2152" s="8">
        <v>581</v>
      </c>
      <c r="P2152" s="8" t="s">
        <v>10404</v>
      </c>
      <c r="Q2152" s="8" t="s">
        <v>4262</v>
      </c>
      <c r="R2152" s="8">
        <v>0.20799999999999999</v>
      </c>
      <c r="S2152" s="8">
        <v>10356973</v>
      </c>
      <c r="T2152" s="8" t="s">
        <v>24</v>
      </c>
      <c r="U2152" s="8" t="s">
        <v>25</v>
      </c>
    </row>
    <row r="2153" spans="1:21">
      <c r="A2153" s="8" t="s">
        <v>10349</v>
      </c>
      <c r="B2153" s="8" t="s">
        <v>10405</v>
      </c>
      <c r="C2153" s="8">
        <v>280</v>
      </c>
      <c r="D2153" s="8" t="s">
        <v>22</v>
      </c>
      <c r="E2153" s="8">
        <v>104117936</v>
      </c>
      <c r="F2153" s="8">
        <v>104117936</v>
      </c>
      <c r="G2153" s="8" t="s">
        <v>24</v>
      </c>
      <c r="H2153" s="8" t="s">
        <v>25</v>
      </c>
      <c r="I2153" s="8" t="s">
        <v>23</v>
      </c>
      <c r="J2153" s="8" t="s">
        <v>10406</v>
      </c>
      <c r="K2153" s="8" t="s">
        <v>10408</v>
      </c>
      <c r="L2153" s="8" t="s">
        <v>19</v>
      </c>
      <c r="M2153" s="8">
        <v>1586</v>
      </c>
      <c r="N2153" s="8" t="s">
        <v>1364</v>
      </c>
      <c r="O2153" s="8">
        <v>324</v>
      </c>
      <c r="P2153" s="8" t="s">
        <v>10407</v>
      </c>
      <c r="Q2153" s="8" t="s">
        <v>4262</v>
      </c>
      <c r="R2153" s="8">
        <v>0.16600000000000001</v>
      </c>
      <c r="S2153" s="8">
        <v>104117936</v>
      </c>
      <c r="T2153" s="8" t="s">
        <v>24</v>
      </c>
      <c r="U2153" s="8" t="s">
        <v>25</v>
      </c>
    </row>
    <row r="2154" spans="1:21">
      <c r="A2154" s="8" t="s">
        <v>10349</v>
      </c>
      <c r="B2154" s="8" t="s">
        <v>10409</v>
      </c>
      <c r="C2154" s="8">
        <v>113802</v>
      </c>
      <c r="D2154" s="8" t="s">
        <v>22</v>
      </c>
      <c r="E2154" s="8">
        <v>109192867</v>
      </c>
      <c r="F2154" s="8">
        <v>109192867</v>
      </c>
      <c r="G2154" s="8" t="s">
        <v>25</v>
      </c>
      <c r="H2154" s="8" t="s">
        <v>24</v>
      </c>
      <c r="I2154" s="8" t="s">
        <v>23</v>
      </c>
      <c r="J2154" s="8" t="s">
        <v>10410</v>
      </c>
      <c r="K2154" s="8" t="s">
        <v>10412</v>
      </c>
      <c r="L2154" s="8" t="s">
        <v>19</v>
      </c>
      <c r="M2154" s="8">
        <v>960</v>
      </c>
      <c r="N2154" s="8" t="s">
        <v>6147</v>
      </c>
      <c r="O2154" s="8">
        <v>241</v>
      </c>
      <c r="P2154" s="8" t="s">
        <v>10411</v>
      </c>
      <c r="Q2154" s="8" t="s">
        <v>4262</v>
      </c>
      <c r="R2154" s="8">
        <v>0.122</v>
      </c>
      <c r="S2154" s="8">
        <v>109192867</v>
      </c>
      <c r="T2154" s="8" t="s">
        <v>25</v>
      </c>
      <c r="U2154" s="8" t="s">
        <v>24</v>
      </c>
    </row>
    <row r="2155" spans="1:21">
      <c r="A2155" s="8" t="s">
        <v>10349</v>
      </c>
      <c r="B2155" s="8" t="s">
        <v>10413</v>
      </c>
      <c r="C2155" s="8">
        <v>6272</v>
      </c>
      <c r="D2155" s="8" t="s">
        <v>22</v>
      </c>
      <c r="E2155" s="8">
        <v>109869696</v>
      </c>
      <c r="F2155" s="8">
        <v>109869696</v>
      </c>
      <c r="G2155" s="8" t="s">
        <v>46</v>
      </c>
      <c r="H2155" s="8" t="s">
        <v>41</v>
      </c>
      <c r="I2155" s="8" t="s">
        <v>23</v>
      </c>
      <c r="J2155" s="8" t="s">
        <v>10414</v>
      </c>
      <c r="K2155" s="8" t="s">
        <v>10416</v>
      </c>
      <c r="L2155" s="8" t="s">
        <v>19</v>
      </c>
      <c r="M2155" s="8">
        <v>1610</v>
      </c>
      <c r="N2155" s="8" t="s">
        <v>1364</v>
      </c>
      <c r="O2155" s="8">
        <v>521</v>
      </c>
      <c r="P2155" s="8" t="s">
        <v>10415</v>
      </c>
      <c r="Q2155" s="8" t="s">
        <v>4262</v>
      </c>
      <c r="R2155" s="8">
        <v>0.161</v>
      </c>
      <c r="S2155" s="8">
        <v>109869696</v>
      </c>
      <c r="T2155" s="8" t="s">
        <v>46</v>
      </c>
      <c r="U2155" s="8" t="s">
        <v>41</v>
      </c>
    </row>
    <row r="2156" spans="1:21">
      <c r="A2156" s="8" t="s">
        <v>10349</v>
      </c>
      <c r="B2156" s="8" t="s">
        <v>7086</v>
      </c>
      <c r="C2156" s="8">
        <v>64783</v>
      </c>
      <c r="D2156" s="8" t="s">
        <v>22</v>
      </c>
      <c r="E2156" s="8">
        <v>110883405</v>
      </c>
      <c r="F2156" s="8">
        <v>110883405</v>
      </c>
      <c r="G2156" s="8" t="s">
        <v>24</v>
      </c>
      <c r="H2156" s="8" t="s">
        <v>25</v>
      </c>
      <c r="I2156" s="8" t="s">
        <v>23</v>
      </c>
      <c r="J2156" s="8" t="s">
        <v>7087</v>
      </c>
      <c r="K2156" s="8" t="s">
        <v>7089</v>
      </c>
      <c r="L2156" s="8" t="s">
        <v>19</v>
      </c>
      <c r="M2156" s="8">
        <v>1461</v>
      </c>
      <c r="N2156" s="8" t="s">
        <v>1364</v>
      </c>
      <c r="O2156" s="8">
        <v>460</v>
      </c>
      <c r="P2156" s="8" t="s">
        <v>10417</v>
      </c>
      <c r="Q2156" s="8" t="s">
        <v>4262</v>
      </c>
      <c r="R2156" s="8">
        <v>0.161</v>
      </c>
      <c r="S2156" s="8">
        <v>110883405</v>
      </c>
      <c r="T2156" s="8" t="s">
        <v>24</v>
      </c>
      <c r="U2156" s="8" t="s">
        <v>25</v>
      </c>
    </row>
    <row r="2157" spans="1:21">
      <c r="A2157" s="8" t="s">
        <v>10349</v>
      </c>
      <c r="B2157" s="8" t="s">
        <v>2387</v>
      </c>
      <c r="C2157" s="8">
        <v>5394</v>
      </c>
      <c r="D2157" s="8" t="s">
        <v>22</v>
      </c>
      <c r="E2157" s="8">
        <v>11150707</v>
      </c>
      <c r="F2157" s="8">
        <v>11150707</v>
      </c>
      <c r="G2157" s="8" t="s">
        <v>46</v>
      </c>
      <c r="H2157" s="8" t="s">
        <v>41</v>
      </c>
      <c r="I2157" s="8" t="s">
        <v>23</v>
      </c>
      <c r="J2157" s="8" t="s">
        <v>10418</v>
      </c>
      <c r="K2157" s="8" t="s">
        <v>10420</v>
      </c>
      <c r="L2157" s="8" t="s">
        <v>19</v>
      </c>
      <c r="M2157" s="8">
        <v>712</v>
      </c>
      <c r="N2157" s="8" t="s">
        <v>61</v>
      </c>
      <c r="O2157" s="8">
        <v>221</v>
      </c>
      <c r="P2157" s="8" t="s">
        <v>10419</v>
      </c>
      <c r="Q2157" s="8" t="s">
        <v>4262</v>
      </c>
      <c r="R2157" s="8">
        <v>0.41199999999999998</v>
      </c>
      <c r="S2157" s="8">
        <v>11150707</v>
      </c>
      <c r="T2157" s="8" t="s">
        <v>46</v>
      </c>
      <c r="U2157" s="8" t="s">
        <v>41</v>
      </c>
    </row>
    <row r="2158" spans="1:21">
      <c r="A2158" s="8" t="s">
        <v>10349</v>
      </c>
      <c r="B2158" s="8" t="s">
        <v>2388</v>
      </c>
      <c r="C2158" s="8">
        <v>6566</v>
      </c>
      <c r="D2158" s="8" t="s">
        <v>22</v>
      </c>
      <c r="E2158" s="8">
        <v>113460079</v>
      </c>
      <c r="F2158" s="8">
        <v>113460079</v>
      </c>
      <c r="G2158" s="8" t="s">
        <v>46</v>
      </c>
      <c r="H2158" s="8" t="s">
        <v>41</v>
      </c>
      <c r="I2158" s="8" t="s">
        <v>23</v>
      </c>
      <c r="J2158" s="8" t="s">
        <v>10421</v>
      </c>
      <c r="K2158" s="8" t="s">
        <v>10423</v>
      </c>
      <c r="L2158" s="8" t="s">
        <v>19</v>
      </c>
      <c r="M2158" s="8">
        <v>1312</v>
      </c>
      <c r="N2158" s="8" t="s">
        <v>1364</v>
      </c>
      <c r="O2158" s="8">
        <v>317</v>
      </c>
      <c r="P2158" s="8" t="s">
        <v>10422</v>
      </c>
      <c r="Q2158" s="8" t="s">
        <v>4262</v>
      </c>
      <c r="R2158" s="8">
        <v>0.192</v>
      </c>
      <c r="S2158" s="8">
        <v>113460079</v>
      </c>
      <c r="T2158" s="8" t="s">
        <v>46</v>
      </c>
      <c r="U2158" s="8" t="s">
        <v>41</v>
      </c>
    </row>
    <row r="2159" spans="1:21">
      <c r="A2159" s="8" t="s">
        <v>10349</v>
      </c>
      <c r="B2159" s="8" t="s">
        <v>2389</v>
      </c>
      <c r="C2159" s="8">
        <v>79679</v>
      </c>
      <c r="D2159" s="8" t="s">
        <v>22</v>
      </c>
      <c r="E2159" s="8">
        <v>117695742</v>
      </c>
      <c r="F2159" s="8">
        <v>117695742</v>
      </c>
      <c r="G2159" s="8" t="s">
        <v>24</v>
      </c>
      <c r="H2159" s="8" t="s">
        <v>25</v>
      </c>
      <c r="I2159" s="8" t="s">
        <v>23</v>
      </c>
      <c r="J2159" s="8" t="s">
        <v>9569</v>
      </c>
      <c r="K2159" s="8" t="s">
        <v>9571</v>
      </c>
      <c r="L2159" s="8" t="s">
        <v>19</v>
      </c>
      <c r="M2159" s="8">
        <v>767</v>
      </c>
      <c r="N2159" s="8" t="s">
        <v>1421</v>
      </c>
      <c r="O2159" s="8">
        <v>232</v>
      </c>
      <c r="P2159" s="8" t="s">
        <v>10424</v>
      </c>
      <c r="Q2159" s="8" t="s">
        <v>4262</v>
      </c>
      <c r="R2159" s="8">
        <v>0.17100000000000001</v>
      </c>
      <c r="S2159" s="8">
        <v>117695742</v>
      </c>
      <c r="T2159" s="8" t="s">
        <v>24</v>
      </c>
      <c r="U2159" s="8" t="s">
        <v>25</v>
      </c>
    </row>
    <row r="2160" spans="1:21">
      <c r="A2160" s="8" t="s">
        <v>10349</v>
      </c>
      <c r="B2160" s="8" t="s">
        <v>2389</v>
      </c>
      <c r="C2160" s="8">
        <v>79679</v>
      </c>
      <c r="D2160" s="8" t="s">
        <v>22</v>
      </c>
      <c r="E2160" s="8">
        <v>117695893</v>
      </c>
      <c r="F2160" s="8">
        <v>117695893</v>
      </c>
      <c r="G2160" s="8" t="s">
        <v>46</v>
      </c>
      <c r="H2160" s="8" t="s">
        <v>41</v>
      </c>
      <c r="I2160" s="8" t="s">
        <v>23</v>
      </c>
      <c r="J2160" s="8" t="s">
        <v>9569</v>
      </c>
      <c r="K2160" s="8" t="s">
        <v>9571</v>
      </c>
      <c r="L2160" s="8" t="s">
        <v>19</v>
      </c>
      <c r="M2160" s="8">
        <v>616</v>
      </c>
      <c r="N2160" s="8" t="s">
        <v>1070</v>
      </c>
      <c r="O2160" s="8">
        <v>182</v>
      </c>
      <c r="P2160" s="8" t="s">
        <v>10425</v>
      </c>
      <c r="Q2160" s="8" t="s">
        <v>4262</v>
      </c>
      <c r="R2160" s="8">
        <v>0.316</v>
      </c>
      <c r="S2160" s="8">
        <v>117695893</v>
      </c>
      <c r="T2160" s="8" t="s">
        <v>46</v>
      </c>
      <c r="U2160" s="8" t="s">
        <v>41</v>
      </c>
    </row>
    <row r="2161" spans="1:21">
      <c r="A2161" s="8" t="s">
        <v>10349</v>
      </c>
      <c r="B2161" s="8" t="s">
        <v>3210</v>
      </c>
      <c r="C2161" s="8">
        <v>10905</v>
      </c>
      <c r="D2161" s="8" t="s">
        <v>22</v>
      </c>
      <c r="E2161" s="8">
        <v>118035855</v>
      </c>
      <c r="F2161" s="8">
        <v>118035855</v>
      </c>
      <c r="G2161" s="8" t="s">
        <v>24</v>
      </c>
      <c r="H2161" s="8" t="s">
        <v>25</v>
      </c>
      <c r="I2161" s="8" t="s">
        <v>23</v>
      </c>
      <c r="J2161" s="8" t="s">
        <v>3211</v>
      </c>
      <c r="K2161" s="8" t="s">
        <v>8563</v>
      </c>
      <c r="L2161" s="8" t="s">
        <v>19</v>
      </c>
      <c r="M2161" s="8">
        <v>1976</v>
      </c>
      <c r="N2161" s="8" t="s">
        <v>1070</v>
      </c>
      <c r="O2161" s="8">
        <v>419</v>
      </c>
      <c r="P2161" s="8" t="s">
        <v>10426</v>
      </c>
      <c r="Q2161" s="8" t="s">
        <v>4262</v>
      </c>
      <c r="R2161" s="8">
        <v>0.161</v>
      </c>
      <c r="S2161" s="8">
        <v>118035855</v>
      </c>
      <c r="T2161" s="8" t="s">
        <v>24</v>
      </c>
      <c r="U2161" s="8" t="s">
        <v>25</v>
      </c>
    </row>
    <row r="2162" spans="1:21">
      <c r="A2162" s="8" t="s">
        <v>10349</v>
      </c>
      <c r="B2162" s="8" t="s">
        <v>10427</v>
      </c>
      <c r="C2162" s="8">
        <v>11085</v>
      </c>
      <c r="D2162" s="8" t="s">
        <v>22</v>
      </c>
      <c r="E2162" s="8">
        <v>120437848</v>
      </c>
      <c r="F2162" s="8">
        <v>120437848</v>
      </c>
      <c r="G2162" s="8" t="s">
        <v>46</v>
      </c>
      <c r="H2162" s="8" t="s">
        <v>41</v>
      </c>
      <c r="I2162" s="8" t="s">
        <v>23</v>
      </c>
      <c r="J2162" s="8" t="s">
        <v>10428</v>
      </c>
      <c r="K2162" s="8" t="s">
        <v>10430</v>
      </c>
      <c r="L2162" s="8" t="s">
        <v>19</v>
      </c>
      <c r="M2162" s="8">
        <v>1300</v>
      </c>
      <c r="N2162" s="8" t="s">
        <v>708</v>
      </c>
      <c r="O2162" s="8">
        <v>371</v>
      </c>
      <c r="P2162" s="8" t="s">
        <v>10429</v>
      </c>
      <c r="Q2162" s="8" t="s">
        <v>4262</v>
      </c>
      <c r="R2162" s="8">
        <v>0.24299999999999999</v>
      </c>
      <c r="S2162" s="8">
        <v>120437848</v>
      </c>
      <c r="T2162" s="8" t="s">
        <v>46</v>
      </c>
      <c r="U2162" s="8" t="s">
        <v>41</v>
      </c>
    </row>
    <row r="2163" spans="1:21">
      <c r="A2163" s="8" t="s">
        <v>10349</v>
      </c>
      <c r="B2163" s="8" t="s">
        <v>4082</v>
      </c>
      <c r="C2163" s="8">
        <v>4853</v>
      </c>
      <c r="D2163" s="8" t="s">
        <v>22</v>
      </c>
      <c r="E2163" s="8">
        <v>120548023</v>
      </c>
      <c r="F2163" s="8">
        <v>120548023</v>
      </c>
      <c r="G2163" s="8" t="s">
        <v>46</v>
      </c>
      <c r="H2163" s="8" t="s">
        <v>41</v>
      </c>
      <c r="I2163" s="8" t="s">
        <v>23</v>
      </c>
      <c r="J2163" s="8" t="s">
        <v>10431</v>
      </c>
      <c r="K2163" s="8" t="s">
        <v>10433</v>
      </c>
      <c r="L2163" s="8" t="s">
        <v>19</v>
      </c>
      <c r="M2163" s="8">
        <v>641</v>
      </c>
      <c r="N2163" s="8" t="s">
        <v>732</v>
      </c>
      <c r="O2163" s="8">
        <v>115</v>
      </c>
      <c r="P2163" s="8" t="s">
        <v>10432</v>
      </c>
      <c r="Q2163" s="8" t="s">
        <v>4262</v>
      </c>
      <c r="R2163" s="8">
        <v>0.184</v>
      </c>
      <c r="S2163" s="8">
        <v>120548023</v>
      </c>
      <c r="T2163" s="8" t="s">
        <v>46</v>
      </c>
      <c r="U2163" s="8" t="s">
        <v>41</v>
      </c>
    </row>
    <row r="2164" spans="1:21">
      <c r="A2164" s="8" t="s">
        <v>10349</v>
      </c>
      <c r="B2164" s="8" t="s">
        <v>10434</v>
      </c>
      <c r="C2164" s="8">
        <v>440563</v>
      </c>
      <c r="D2164" s="8" t="s">
        <v>22</v>
      </c>
      <c r="E2164" s="8">
        <v>13183490</v>
      </c>
      <c r="F2164" s="8">
        <v>13183490</v>
      </c>
      <c r="G2164" s="8" t="s">
        <v>24</v>
      </c>
      <c r="H2164" s="8" t="s">
        <v>25</v>
      </c>
      <c r="I2164" s="8" t="s">
        <v>23</v>
      </c>
      <c r="J2164" s="8" t="s">
        <v>10435</v>
      </c>
      <c r="K2164" s="8" t="s">
        <v>10437</v>
      </c>
      <c r="L2164" s="8" t="s">
        <v>19</v>
      </c>
      <c r="M2164" s="8">
        <v>626</v>
      </c>
      <c r="N2164" s="8" t="s">
        <v>417</v>
      </c>
      <c r="O2164" s="8">
        <v>128</v>
      </c>
      <c r="P2164" s="8" t="s">
        <v>10436</v>
      </c>
      <c r="Q2164" s="8" t="s">
        <v>4262</v>
      </c>
      <c r="R2164" s="8">
        <v>8.1000000000000003E-2</v>
      </c>
      <c r="S2164" s="8">
        <v>13183490</v>
      </c>
      <c r="T2164" s="8" t="s">
        <v>24</v>
      </c>
      <c r="U2164" s="8" t="s">
        <v>25</v>
      </c>
    </row>
    <row r="2165" spans="1:21">
      <c r="A2165" s="8" t="s">
        <v>10349</v>
      </c>
      <c r="B2165" s="8" t="s">
        <v>10438</v>
      </c>
      <c r="C2165" s="8">
        <v>9659</v>
      </c>
      <c r="D2165" s="8" t="s">
        <v>22</v>
      </c>
      <c r="E2165" s="8">
        <v>144882781</v>
      </c>
      <c r="F2165" s="8">
        <v>144882781</v>
      </c>
      <c r="G2165" s="8" t="s">
        <v>46</v>
      </c>
      <c r="H2165" s="8" t="s">
        <v>41</v>
      </c>
      <c r="I2165" s="8" t="s">
        <v>23</v>
      </c>
      <c r="J2165" s="8" t="s">
        <v>10439</v>
      </c>
      <c r="K2165" s="8" t="s">
        <v>10441</v>
      </c>
      <c r="L2165" s="8" t="s">
        <v>19</v>
      </c>
      <c r="M2165" s="8">
        <v>3540</v>
      </c>
      <c r="N2165" s="8" t="s">
        <v>536</v>
      </c>
      <c r="O2165" s="8">
        <v>1080</v>
      </c>
      <c r="P2165" s="8" t="s">
        <v>10440</v>
      </c>
      <c r="Q2165" s="8" t="s">
        <v>4262</v>
      </c>
      <c r="R2165" s="8">
        <v>8.7999999999999995E-2</v>
      </c>
      <c r="S2165" s="8">
        <v>144882781</v>
      </c>
      <c r="T2165" s="8" t="s">
        <v>46</v>
      </c>
      <c r="U2165" s="8" t="s">
        <v>41</v>
      </c>
    </row>
    <row r="2166" spans="1:21">
      <c r="A2166" s="8" t="s">
        <v>10349</v>
      </c>
      <c r="B2166" s="8" t="s">
        <v>4119</v>
      </c>
      <c r="C2166" s="8">
        <v>27246</v>
      </c>
      <c r="D2166" s="8" t="s">
        <v>22</v>
      </c>
      <c r="E2166" s="8">
        <v>145687063</v>
      </c>
      <c r="F2166" s="8">
        <v>145687063</v>
      </c>
      <c r="G2166" s="8" t="s">
        <v>24</v>
      </c>
      <c r="H2166" s="8" t="s">
        <v>25</v>
      </c>
      <c r="I2166" s="8" t="s">
        <v>23</v>
      </c>
      <c r="J2166" s="8" t="s">
        <v>10442</v>
      </c>
      <c r="K2166" s="8" t="s">
        <v>10444</v>
      </c>
      <c r="L2166" s="8" t="s">
        <v>19</v>
      </c>
      <c r="M2166" s="8">
        <v>959</v>
      </c>
      <c r="N2166" s="8" t="s">
        <v>708</v>
      </c>
      <c r="O2166" s="8">
        <v>252</v>
      </c>
      <c r="P2166" s="8" t="s">
        <v>10443</v>
      </c>
      <c r="Q2166" s="8" t="s">
        <v>4262</v>
      </c>
      <c r="R2166" s="8">
        <v>0.17199999999999999</v>
      </c>
      <c r="S2166" s="8">
        <v>145687063</v>
      </c>
      <c r="T2166" s="8" t="s">
        <v>24</v>
      </c>
      <c r="U2166" s="8" t="s">
        <v>25</v>
      </c>
    </row>
    <row r="2167" spans="1:21">
      <c r="A2167" s="8" t="s">
        <v>10349</v>
      </c>
      <c r="B2167" s="8" t="s">
        <v>2390</v>
      </c>
      <c r="C2167" s="8">
        <v>9129</v>
      </c>
      <c r="D2167" s="8" t="s">
        <v>22</v>
      </c>
      <c r="E2167" s="8">
        <v>150321650</v>
      </c>
      <c r="F2167" s="8">
        <v>150321650</v>
      </c>
      <c r="G2167" s="8" t="s">
        <v>24</v>
      </c>
      <c r="H2167" s="8" t="s">
        <v>25</v>
      </c>
      <c r="I2167" s="8" t="s">
        <v>23</v>
      </c>
      <c r="J2167" s="8" t="s">
        <v>2391</v>
      </c>
      <c r="K2167" s="8" t="s">
        <v>10446</v>
      </c>
      <c r="L2167" s="8" t="s">
        <v>19</v>
      </c>
      <c r="M2167" s="8">
        <v>2023</v>
      </c>
      <c r="N2167" s="8" t="s">
        <v>166</v>
      </c>
      <c r="O2167" s="8">
        <v>621</v>
      </c>
      <c r="P2167" s="8" t="s">
        <v>10445</v>
      </c>
      <c r="Q2167" s="8" t="s">
        <v>4262</v>
      </c>
      <c r="R2167" s="8">
        <v>0.27100000000000002</v>
      </c>
      <c r="S2167" s="8">
        <v>150321650</v>
      </c>
      <c r="T2167" s="8" t="s">
        <v>24</v>
      </c>
      <c r="U2167" s="8" t="s">
        <v>25</v>
      </c>
    </row>
    <row r="2168" spans="1:21">
      <c r="A2168" s="8" t="s">
        <v>10349</v>
      </c>
      <c r="B2168" s="8" t="s">
        <v>2392</v>
      </c>
      <c r="C2168" s="8">
        <v>8991</v>
      </c>
      <c r="D2168" s="8" t="s">
        <v>22</v>
      </c>
      <c r="E2168" s="8">
        <v>151337099</v>
      </c>
      <c r="F2168" s="8">
        <v>151337099</v>
      </c>
      <c r="G2168" s="8" t="s">
        <v>46</v>
      </c>
      <c r="H2168" s="8" t="s">
        <v>41</v>
      </c>
      <c r="I2168" s="8" t="s">
        <v>23</v>
      </c>
      <c r="J2168" s="8" t="s">
        <v>10447</v>
      </c>
      <c r="K2168" s="8" t="s">
        <v>10449</v>
      </c>
      <c r="L2168" s="8" t="s">
        <v>19</v>
      </c>
      <c r="M2168" s="8">
        <v>1386</v>
      </c>
      <c r="N2168" s="8" t="s">
        <v>28</v>
      </c>
      <c r="O2168" s="8">
        <v>447</v>
      </c>
      <c r="P2168" s="8" t="s">
        <v>10448</v>
      </c>
      <c r="Q2168" s="8" t="s">
        <v>4262</v>
      </c>
      <c r="R2168" s="8">
        <v>0.27500000000000002</v>
      </c>
      <c r="S2168" s="8">
        <v>151337099</v>
      </c>
      <c r="T2168" s="8" t="s">
        <v>46</v>
      </c>
      <c r="U2168" s="8" t="s">
        <v>41</v>
      </c>
    </row>
    <row r="2169" spans="1:21">
      <c r="A2169" s="8" t="s">
        <v>10349</v>
      </c>
      <c r="B2169" s="8" t="s">
        <v>1723</v>
      </c>
      <c r="C2169" s="8">
        <v>7062</v>
      </c>
      <c r="D2169" s="8" t="s">
        <v>22</v>
      </c>
      <c r="E2169" s="8">
        <v>152084087</v>
      </c>
      <c r="F2169" s="8">
        <v>152084087</v>
      </c>
      <c r="G2169" s="8" t="s">
        <v>24</v>
      </c>
      <c r="H2169" s="8" t="s">
        <v>25</v>
      </c>
      <c r="I2169" s="8" t="s">
        <v>23</v>
      </c>
      <c r="J2169" s="8" t="s">
        <v>8572</v>
      </c>
      <c r="K2169" s="8" t="s">
        <v>8574</v>
      </c>
      <c r="L2169" s="8" t="s">
        <v>76</v>
      </c>
      <c r="M2169" s="8">
        <v>1606</v>
      </c>
      <c r="N2169" s="8" t="s">
        <v>2720</v>
      </c>
      <c r="O2169" s="8">
        <v>536</v>
      </c>
      <c r="P2169" s="8" t="s">
        <v>10450</v>
      </c>
      <c r="Q2169" s="8" t="s">
        <v>4262</v>
      </c>
      <c r="R2169" s="8">
        <v>0.26100000000000001</v>
      </c>
      <c r="S2169" s="8">
        <v>152084087</v>
      </c>
      <c r="T2169" s="8" t="s">
        <v>24</v>
      </c>
      <c r="U2169" s="8" t="s">
        <v>25</v>
      </c>
    </row>
    <row r="2170" spans="1:21">
      <c r="A2170" s="8" t="s">
        <v>10349</v>
      </c>
      <c r="B2170" s="8" t="s">
        <v>5431</v>
      </c>
      <c r="C2170" s="8">
        <v>388697</v>
      </c>
      <c r="D2170" s="8" t="s">
        <v>22</v>
      </c>
      <c r="E2170" s="8">
        <v>152192018</v>
      </c>
      <c r="F2170" s="8">
        <v>152192018</v>
      </c>
      <c r="G2170" s="8" t="s">
        <v>46</v>
      </c>
      <c r="H2170" s="8" t="s">
        <v>41</v>
      </c>
      <c r="I2170" s="8" t="s">
        <v>23</v>
      </c>
      <c r="J2170" s="8" t="s">
        <v>5432</v>
      </c>
      <c r="K2170" s="8" t="s">
        <v>5434</v>
      </c>
      <c r="L2170" s="8" t="s">
        <v>19</v>
      </c>
      <c r="M2170" s="8">
        <v>2163</v>
      </c>
      <c r="N2170" s="8" t="s">
        <v>205</v>
      </c>
      <c r="O2170" s="8">
        <v>696</v>
      </c>
      <c r="P2170" s="8" t="s">
        <v>10451</v>
      </c>
      <c r="Q2170" s="8" t="s">
        <v>4262</v>
      </c>
      <c r="R2170" s="8">
        <v>0.153</v>
      </c>
      <c r="S2170" s="8">
        <v>152192018</v>
      </c>
      <c r="T2170" s="8" t="s">
        <v>46</v>
      </c>
      <c r="U2170" s="8" t="s">
        <v>41</v>
      </c>
    </row>
    <row r="2171" spans="1:21">
      <c r="A2171" s="8" t="s">
        <v>10349</v>
      </c>
      <c r="B2171" s="8" t="s">
        <v>5431</v>
      </c>
      <c r="C2171" s="8">
        <v>388697</v>
      </c>
      <c r="D2171" s="8" t="s">
        <v>22</v>
      </c>
      <c r="E2171" s="8">
        <v>152192973</v>
      </c>
      <c r="F2171" s="8">
        <v>152192973</v>
      </c>
      <c r="G2171" s="8" t="s">
        <v>46</v>
      </c>
      <c r="H2171" s="8" t="s">
        <v>41</v>
      </c>
      <c r="I2171" s="8" t="s">
        <v>23</v>
      </c>
      <c r="J2171" s="8" t="s">
        <v>5432</v>
      </c>
      <c r="K2171" s="8" t="s">
        <v>5434</v>
      </c>
      <c r="L2171" s="8" t="s">
        <v>19</v>
      </c>
      <c r="M2171" s="8">
        <v>1208</v>
      </c>
      <c r="N2171" s="8" t="s">
        <v>1364</v>
      </c>
      <c r="O2171" s="8">
        <v>378</v>
      </c>
      <c r="P2171" s="8" t="s">
        <v>10452</v>
      </c>
      <c r="Q2171" s="8" t="s">
        <v>4262</v>
      </c>
      <c r="R2171" s="8">
        <v>0.12</v>
      </c>
      <c r="S2171" s="8">
        <v>152192973</v>
      </c>
      <c r="T2171" s="8" t="s">
        <v>46</v>
      </c>
      <c r="U2171" s="8" t="s">
        <v>41</v>
      </c>
    </row>
    <row r="2172" spans="1:21">
      <c r="A2172" s="8" t="s">
        <v>10349</v>
      </c>
      <c r="B2172" s="8" t="s">
        <v>3522</v>
      </c>
      <c r="C2172" s="8">
        <v>2312</v>
      </c>
      <c r="D2172" s="8" t="s">
        <v>22</v>
      </c>
      <c r="E2172" s="8">
        <v>152280044</v>
      </c>
      <c r="F2172" s="8">
        <v>152280044</v>
      </c>
      <c r="G2172" s="8" t="s">
        <v>46</v>
      </c>
      <c r="H2172" s="8" t="s">
        <v>41</v>
      </c>
      <c r="I2172" s="8" t="s">
        <v>23</v>
      </c>
      <c r="J2172" s="8" t="s">
        <v>3523</v>
      </c>
      <c r="K2172" s="8" t="s">
        <v>4266</v>
      </c>
      <c r="L2172" s="8" t="s">
        <v>19</v>
      </c>
      <c r="M2172" s="8">
        <v>7354</v>
      </c>
      <c r="N2172" s="8" t="s">
        <v>1364</v>
      </c>
      <c r="O2172" s="8">
        <v>2440</v>
      </c>
      <c r="P2172" s="8" t="s">
        <v>10453</v>
      </c>
      <c r="Q2172" s="8" t="s">
        <v>4262</v>
      </c>
      <c r="R2172" s="8">
        <v>0.11799999999999999</v>
      </c>
      <c r="S2172" s="8">
        <v>152280044</v>
      </c>
      <c r="T2172" s="8" t="s">
        <v>46</v>
      </c>
      <c r="U2172" s="8" t="s">
        <v>41</v>
      </c>
    </row>
    <row r="2173" spans="1:21">
      <c r="A2173" s="8" t="s">
        <v>10349</v>
      </c>
      <c r="B2173" s="8" t="s">
        <v>3522</v>
      </c>
      <c r="C2173" s="8">
        <v>2312</v>
      </c>
      <c r="D2173" s="8" t="s">
        <v>22</v>
      </c>
      <c r="E2173" s="8">
        <v>152282030</v>
      </c>
      <c r="F2173" s="8">
        <v>152282030</v>
      </c>
      <c r="G2173" s="8" t="s">
        <v>46</v>
      </c>
      <c r="H2173" s="8" t="s">
        <v>41</v>
      </c>
      <c r="I2173" s="8" t="s">
        <v>23</v>
      </c>
      <c r="J2173" s="8" t="s">
        <v>3523</v>
      </c>
      <c r="K2173" s="8" t="s">
        <v>4266</v>
      </c>
      <c r="L2173" s="8" t="s">
        <v>19</v>
      </c>
      <c r="M2173" s="8">
        <v>5368</v>
      </c>
      <c r="N2173" s="8" t="s">
        <v>155</v>
      </c>
      <c r="O2173" s="8">
        <v>1778</v>
      </c>
      <c r="P2173" s="8" t="s">
        <v>10454</v>
      </c>
      <c r="Q2173" s="8" t="s">
        <v>4262</v>
      </c>
      <c r="R2173" s="8">
        <v>0.153</v>
      </c>
      <c r="S2173" s="8">
        <v>152282030</v>
      </c>
      <c r="T2173" s="8" t="s">
        <v>46</v>
      </c>
      <c r="U2173" s="8" t="s">
        <v>41</v>
      </c>
    </row>
    <row r="2174" spans="1:21">
      <c r="A2174" s="8" t="s">
        <v>10349</v>
      </c>
      <c r="B2174" s="8" t="s">
        <v>1556</v>
      </c>
      <c r="C2174" s="8">
        <v>388698</v>
      </c>
      <c r="D2174" s="8" t="s">
        <v>22</v>
      </c>
      <c r="E2174" s="8">
        <v>152325478</v>
      </c>
      <c r="F2174" s="8">
        <v>152325478</v>
      </c>
      <c r="G2174" s="8" t="s">
        <v>46</v>
      </c>
      <c r="H2174" s="8" t="s">
        <v>41</v>
      </c>
      <c r="I2174" s="8" t="s">
        <v>23</v>
      </c>
      <c r="J2174" s="8" t="s">
        <v>1557</v>
      </c>
      <c r="K2174" s="8" t="s">
        <v>8576</v>
      </c>
      <c r="L2174" s="8" t="s">
        <v>19</v>
      </c>
      <c r="M2174" s="8">
        <v>4857</v>
      </c>
      <c r="N2174" s="8" t="s">
        <v>577</v>
      </c>
      <c r="O2174" s="8">
        <v>1595</v>
      </c>
      <c r="P2174" s="8" t="s">
        <v>10455</v>
      </c>
      <c r="Q2174" s="8" t="s">
        <v>4262</v>
      </c>
      <c r="R2174" s="8">
        <v>0.16200000000000001</v>
      </c>
      <c r="S2174" s="8">
        <v>152325478</v>
      </c>
      <c r="T2174" s="8" t="s">
        <v>46</v>
      </c>
      <c r="U2174" s="8" t="s">
        <v>41</v>
      </c>
    </row>
    <row r="2175" spans="1:21">
      <c r="A2175" s="8" t="s">
        <v>10349</v>
      </c>
      <c r="B2175" s="8" t="s">
        <v>10456</v>
      </c>
      <c r="C2175" s="8">
        <v>353141</v>
      </c>
      <c r="D2175" s="8" t="s">
        <v>22</v>
      </c>
      <c r="E2175" s="8">
        <v>152636643</v>
      </c>
      <c r="F2175" s="8">
        <v>152636643</v>
      </c>
      <c r="G2175" s="8" t="s">
        <v>46</v>
      </c>
      <c r="H2175" s="8" t="s">
        <v>41</v>
      </c>
      <c r="I2175" s="8" t="s">
        <v>23</v>
      </c>
      <c r="J2175" s="8" t="s">
        <v>10457</v>
      </c>
      <c r="K2175" s="8" t="s">
        <v>10459</v>
      </c>
      <c r="L2175" s="8" t="s">
        <v>19</v>
      </c>
      <c r="M2175" s="8">
        <v>117</v>
      </c>
      <c r="N2175" s="8" t="s">
        <v>1325</v>
      </c>
      <c r="O2175" s="8">
        <v>21</v>
      </c>
      <c r="P2175" s="8" t="s">
        <v>10458</v>
      </c>
      <c r="Q2175" s="8" t="s">
        <v>4262</v>
      </c>
      <c r="R2175" s="8">
        <v>0.188</v>
      </c>
      <c r="S2175" s="8">
        <v>152636643</v>
      </c>
      <c r="T2175" s="8" t="s">
        <v>46</v>
      </c>
      <c r="U2175" s="8" t="s">
        <v>41</v>
      </c>
    </row>
    <row r="2176" spans="1:21">
      <c r="A2176" s="8" t="s">
        <v>10349</v>
      </c>
      <c r="B2176" s="8" t="s">
        <v>10460</v>
      </c>
      <c r="C2176" s="8">
        <v>6699</v>
      </c>
      <c r="D2176" s="8" t="s">
        <v>22</v>
      </c>
      <c r="E2176" s="8">
        <v>153004915</v>
      </c>
      <c r="F2176" s="8">
        <v>153004915</v>
      </c>
      <c r="G2176" s="8" t="s">
        <v>46</v>
      </c>
      <c r="H2176" s="8" t="s">
        <v>41</v>
      </c>
      <c r="I2176" s="8" t="s">
        <v>23</v>
      </c>
      <c r="J2176" s="8" t="s">
        <v>10461</v>
      </c>
      <c r="K2176" s="8" t="s">
        <v>10463</v>
      </c>
      <c r="L2176" s="8" t="s">
        <v>19</v>
      </c>
      <c r="M2176" s="8">
        <v>158</v>
      </c>
      <c r="N2176" s="8" t="s">
        <v>423</v>
      </c>
      <c r="O2176" s="8">
        <v>32</v>
      </c>
      <c r="P2176" s="8" t="s">
        <v>10462</v>
      </c>
      <c r="Q2176" s="8" t="s">
        <v>4262</v>
      </c>
      <c r="R2176" s="8">
        <v>0.14799999999999999</v>
      </c>
      <c r="S2176" s="8">
        <v>153004915</v>
      </c>
      <c r="T2176" s="8" t="s">
        <v>46</v>
      </c>
      <c r="U2176" s="8" t="s">
        <v>41</v>
      </c>
    </row>
    <row r="2177" spans="1:21">
      <c r="A2177" s="8" t="s">
        <v>10349</v>
      </c>
      <c r="B2177" s="8" t="s">
        <v>10464</v>
      </c>
      <c r="C2177" s="8">
        <v>91181</v>
      </c>
      <c r="D2177" s="8" t="s">
        <v>22</v>
      </c>
      <c r="E2177" s="8">
        <v>153998092</v>
      </c>
      <c r="F2177" s="8">
        <v>153998092</v>
      </c>
      <c r="G2177" s="8" t="s">
        <v>46</v>
      </c>
      <c r="H2177" s="8" t="s">
        <v>41</v>
      </c>
      <c r="I2177" s="8" t="s">
        <v>23</v>
      </c>
      <c r="J2177" s="8" t="s">
        <v>10465</v>
      </c>
      <c r="K2177" s="8" t="s">
        <v>10467</v>
      </c>
      <c r="L2177" s="8" t="s">
        <v>19</v>
      </c>
      <c r="M2177" s="8">
        <v>4120</v>
      </c>
      <c r="N2177" s="8" t="s">
        <v>1070</v>
      </c>
      <c r="O2177" s="8">
        <v>1350</v>
      </c>
      <c r="P2177" s="8" t="s">
        <v>10466</v>
      </c>
      <c r="Q2177" s="8" t="s">
        <v>4262</v>
      </c>
      <c r="R2177" s="8">
        <v>0.161</v>
      </c>
      <c r="S2177" s="8">
        <v>153998092</v>
      </c>
      <c r="T2177" s="8" t="s">
        <v>46</v>
      </c>
      <c r="U2177" s="8" t="s">
        <v>41</v>
      </c>
    </row>
    <row r="2178" spans="1:21">
      <c r="A2178" s="8" t="s">
        <v>10349</v>
      </c>
      <c r="B2178" s="8" t="s">
        <v>2393</v>
      </c>
      <c r="C2178" s="8">
        <v>3782</v>
      </c>
      <c r="D2178" s="8" t="s">
        <v>22</v>
      </c>
      <c r="E2178" s="8">
        <v>154744610</v>
      </c>
      <c r="F2178" s="8">
        <v>154744610</v>
      </c>
      <c r="G2178" s="8" t="s">
        <v>24</v>
      </c>
      <c r="H2178" s="8" t="s">
        <v>25</v>
      </c>
      <c r="I2178" s="8" t="s">
        <v>23</v>
      </c>
      <c r="J2178" s="8" t="s">
        <v>10468</v>
      </c>
      <c r="K2178" s="8" t="s">
        <v>10470</v>
      </c>
      <c r="L2178" s="8" t="s">
        <v>19</v>
      </c>
      <c r="M2178" s="8">
        <v>1603</v>
      </c>
      <c r="N2178" s="8" t="s">
        <v>1325</v>
      </c>
      <c r="O2178" s="8">
        <v>430</v>
      </c>
      <c r="P2178" s="8" t="s">
        <v>10469</v>
      </c>
      <c r="Q2178" s="8" t="s">
        <v>4262</v>
      </c>
      <c r="R2178" s="8">
        <v>0.312</v>
      </c>
      <c r="S2178" s="8">
        <v>154744610</v>
      </c>
      <c r="T2178" s="8" t="s">
        <v>24</v>
      </c>
      <c r="U2178" s="8" t="s">
        <v>25</v>
      </c>
    </row>
    <row r="2179" spans="1:21">
      <c r="A2179" s="8" t="s">
        <v>10349</v>
      </c>
      <c r="B2179" s="8" t="s">
        <v>10471</v>
      </c>
      <c r="C2179" s="8">
        <v>54856</v>
      </c>
      <c r="D2179" s="8" t="s">
        <v>22</v>
      </c>
      <c r="E2179" s="8">
        <v>155733219</v>
      </c>
      <c r="F2179" s="8">
        <v>155733219</v>
      </c>
      <c r="G2179" s="8" t="s">
        <v>46</v>
      </c>
      <c r="H2179" s="8" t="s">
        <v>41</v>
      </c>
      <c r="I2179" s="8" t="s">
        <v>23</v>
      </c>
      <c r="J2179" s="8" t="s">
        <v>10472</v>
      </c>
      <c r="K2179" s="8" t="s">
        <v>10474</v>
      </c>
      <c r="L2179" s="8" t="s">
        <v>19</v>
      </c>
      <c r="M2179" s="8">
        <v>4659</v>
      </c>
      <c r="N2179" s="8" t="s">
        <v>708</v>
      </c>
      <c r="O2179" s="8">
        <v>1537</v>
      </c>
      <c r="P2179" s="8" t="s">
        <v>10473</v>
      </c>
      <c r="Q2179" s="8" t="s">
        <v>4262</v>
      </c>
      <c r="R2179" s="8">
        <v>0.22700000000000001</v>
      </c>
      <c r="S2179" s="8">
        <v>155733219</v>
      </c>
      <c r="T2179" s="8" t="s">
        <v>46</v>
      </c>
      <c r="U2179" s="8" t="s">
        <v>41</v>
      </c>
    </row>
    <row r="2180" spans="1:21">
      <c r="A2180" s="8" t="s">
        <v>10349</v>
      </c>
      <c r="B2180" s="8" t="s">
        <v>2394</v>
      </c>
      <c r="C2180" s="8">
        <v>339403</v>
      </c>
      <c r="D2180" s="8" t="s">
        <v>22</v>
      </c>
      <c r="E2180" s="8">
        <v>155912282</v>
      </c>
      <c r="F2180" s="8">
        <v>155912282</v>
      </c>
      <c r="G2180" s="8" t="s">
        <v>46</v>
      </c>
      <c r="H2180" s="8" t="s">
        <v>41</v>
      </c>
      <c r="I2180" s="8" t="s">
        <v>23</v>
      </c>
      <c r="J2180" s="8" t="s">
        <v>2395</v>
      </c>
      <c r="K2180" s="8" t="s">
        <v>10476</v>
      </c>
      <c r="L2180" s="8" t="s">
        <v>19</v>
      </c>
      <c r="M2180" s="8">
        <v>803</v>
      </c>
      <c r="N2180" s="8" t="s">
        <v>333</v>
      </c>
      <c r="O2180" s="8">
        <v>261</v>
      </c>
      <c r="P2180" s="8" t="s">
        <v>10475</v>
      </c>
      <c r="Q2180" s="8" t="s">
        <v>4262</v>
      </c>
      <c r="R2180" s="8">
        <v>0.23300000000000001</v>
      </c>
      <c r="S2180" s="8">
        <v>155912282</v>
      </c>
      <c r="T2180" s="8" t="s">
        <v>46</v>
      </c>
      <c r="U2180" s="8" t="s">
        <v>41</v>
      </c>
    </row>
    <row r="2181" spans="1:21">
      <c r="A2181" s="8" t="s">
        <v>10349</v>
      </c>
      <c r="B2181" s="8" t="s">
        <v>3340</v>
      </c>
      <c r="C2181" s="8">
        <v>7203</v>
      </c>
      <c r="D2181" s="8" t="s">
        <v>22</v>
      </c>
      <c r="E2181" s="8">
        <v>156280872</v>
      </c>
      <c r="F2181" s="8">
        <v>156280872</v>
      </c>
      <c r="G2181" s="8" t="s">
        <v>46</v>
      </c>
      <c r="H2181" s="8" t="s">
        <v>41</v>
      </c>
      <c r="I2181" s="8" t="s">
        <v>23</v>
      </c>
      <c r="J2181" s="8" t="s">
        <v>7091</v>
      </c>
      <c r="K2181" s="8" t="s">
        <v>7093</v>
      </c>
      <c r="L2181" s="8" t="s">
        <v>19</v>
      </c>
      <c r="M2181" s="8">
        <v>1501</v>
      </c>
      <c r="N2181" s="8" t="s">
        <v>758</v>
      </c>
      <c r="O2181" s="8">
        <v>424</v>
      </c>
      <c r="P2181" s="8" t="s">
        <v>10477</v>
      </c>
      <c r="Q2181" s="8" t="s">
        <v>4262</v>
      </c>
      <c r="R2181" s="8">
        <v>0.214</v>
      </c>
      <c r="S2181" s="8">
        <v>156280872</v>
      </c>
      <c r="T2181" s="8" t="s">
        <v>46</v>
      </c>
      <c r="U2181" s="8" t="s">
        <v>41</v>
      </c>
    </row>
    <row r="2182" spans="1:21">
      <c r="A2182" s="8" t="s">
        <v>10349</v>
      </c>
      <c r="B2182" s="8" t="s">
        <v>10478</v>
      </c>
      <c r="C2182" s="8">
        <v>63827</v>
      </c>
      <c r="D2182" s="8" t="s">
        <v>22</v>
      </c>
      <c r="E2182" s="8">
        <v>156618629</v>
      </c>
      <c r="F2182" s="8">
        <v>156618629</v>
      </c>
      <c r="G2182" s="8" t="s">
        <v>46</v>
      </c>
      <c r="H2182" s="8" t="s">
        <v>41</v>
      </c>
      <c r="I2182" s="8" t="s">
        <v>23</v>
      </c>
      <c r="J2182" s="8" t="s">
        <v>10479</v>
      </c>
      <c r="K2182" s="8" t="s">
        <v>10481</v>
      </c>
      <c r="L2182" s="8" t="s">
        <v>19</v>
      </c>
      <c r="M2182" s="8">
        <v>1375</v>
      </c>
      <c r="N2182" s="8" t="s">
        <v>560</v>
      </c>
      <c r="O2182" s="8">
        <v>347</v>
      </c>
      <c r="P2182" s="8" t="s">
        <v>10480</v>
      </c>
      <c r="Q2182" s="8" t="s">
        <v>4262</v>
      </c>
      <c r="R2182" s="8">
        <v>0.16</v>
      </c>
      <c r="S2182" s="8">
        <v>156618629</v>
      </c>
      <c r="T2182" s="8" t="s">
        <v>46</v>
      </c>
      <c r="U2182" s="8" t="s">
        <v>41</v>
      </c>
    </row>
    <row r="2183" spans="1:21">
      <c r="A2183" s="8" t="s">
        <v>10349</v>
      </c>
      <c r="B2183" s="8" t="s">
        <v>975</v>
      </c>
      <c r="C2183" s="8">
        <v>10763</v>
      </c>
      <c r="D2183" s="8" t="s">
        <v>22</v>
      </c>
      <c r="E2183" s="8">
        <v>156640202</v>
      </c>
      <c r="F2183" s="8">
        <v>156640202</v>
      </c>
      <c r="G2183" s="8" t="s">
        <v>46</v>
      </c>
      <c r="H2183" s="8" t="s">
        <v>41</v>
      </c>
      <c r="I2183" s="8" t="s">
        <v>23</v>
      </c>
      <c r="J2183" s="8" t="s">
        <v>976</v>
      </c>
      <c r="K2183" s="8" t="s">
        <v>10483</v>
      </c>
      <c r="L2183" s="8" t="s">
        <v>19</v>
      </c>
      <c r="M2183" s="8">
        <v>3911</v>
      </c>
      <c r="N2183" s="8" t="s">
        <v>166</v>
      </c>
      <c r="O2183" s="8">
        <v>1260</v>
      </c>
      <c r="P2183" s="8" t="s">
        <v>10482</v>
      </c>
      <c r="Q2183" s="8" t="s">
        <v>4262</v>
      </c>
      <c r="R2183" s="8">
        <v>0.152</v>
      </c>
      <c r="S2183" s="8">
        <v>156640202</v>
      </c>
      <c r="T2183" s="8" t="s">
        <v>46</v>
      </c>
      <c r="U2183" s="8" t="s">
        <v>41</v>
      </c>
    </row>
    <row r="2184" spans="1:21">
      <c r="A2184" s="8" t="s">
        <v>10349</v>
      </c>
      <c r="B2184" s="8" t="s">
        <v>10484</v>
      </c>
      <c r="C2184" s="8">
        <v>9047</v>
      </c>
      <c r="D2184" s="8" t="s">
        <v>22</v>
      </c>
      <c r="E2184" s="8">
        <v>156779104</v>
      </c>
      <c r="F2184" s="8">
        <v>156779104</v>
      </c>
      <c r="G2184" s="8" t="s">
        <v>46</v>
      </c>
      <c r="H2184" s="8" t="s">
        <v>41</v>
      </c>
      <c r="I2184" s="8" t="s">
        <v>23</v>
      </c>
      <c r="J2184" s="8" t="s">
        <v>10485</v>
      </c>
      <c r="K2184" s="8" t="s">
        <v>10487</v>
      </c>
      <c r="L2184" s="8" t="s">
        <v>19</v>
      </c>
      <c r="M2184" s="8">
        <v>1033</v>
      </c>
      <c r="N2184" s="8" t="s">
        <v>1399</v>
      </c>
      <c r="O2184" s="8">
        <v>298</v>
      </c>
      <c r="P2184" s="8" t="s">
        <v>10486</v>
      </c>
      <c r="Q2184" s="8" t="s">
        <v>4262</v>
      </c>
      <c r="R2184" s="8">
        <v>0.17100000000000001</v>
      </c>
      <c r="S2184" s="8">
        <v>156779104</v>
      </c>
      <c r="T2184" s="8" t="s">
        <v>46</v>
      </c>
      <c r="U2184" s="8" t="s">
        <v>41</v>
      </c>
    </row>
    <row r="2185" spans="1:21">
      <c r="A2185" s="8" t="s">
        <v>10349</v>
      </c>
      <c r="B2185" s="8" t="s">
        <v>10488</v>
      </c>
      <c r="C2185" s="8">
        <v>115352</v>
      </c>
      <c r="D2185" s="8" t="s">
        <v>22</v>
      </c>
      <c r="E2185" s="8">
        <v>157660080</v>
      </c>
      <c r="F2185" s="8">
        <v>157660080</v>
      </c>
      <c r="G2185" s="8" t="s">
        <v>24</v>
      </c>
      <c r="H2185" s="8" t="s">
        <v>25</v>
      </c>
      <c r="I2185" s="8" t="s">
        <v>23</v>
      </c>
      <c r="J2185" s="8" t="s">
        <v>10489</v>
      </c>
      <c r="K2185" s="8" t="s">
        <v>10491</v>
      </c>
      <c r="L2185" s="8" t="s">
        <v>19</v>
      </c>
      <c r="M2185" s="8">
        <v>1947</v>
      </c>
      <c r="N2185" s="8" t="s">
        <v>1421</v>
      </c>
      <c r="O2185" s="8">
        <v>552</v>
      </c>
      <c r="P2185" s="8" t="s">
        <v>10490</v>
      </c>
      <c r="Q2185" s="8" t="s">
        <v>4262</v>
      </c>
      <c r="R2185" s="8">
        <v>0.17100000000000001</v>
      </c>
      <c r="S2185" s="8">
        <v>157660080</v>
      </c>
      <c r="T2185" s="8" t="s">
        <v>24</v>
      </c>
      <c r="U2185" s="8" t="s">
        <v>25</v>
      </c>
    </row>
    <row r="2186" spans="1:21">
      <c r="A2186" s="8" t="s">
        <v>10349</v>
      </c>
      <c r="B2186" s="8" t="s">
        <v>10492</v>
      </c>
      <c r="C2186" s="8">
        <v>79368</v>
      </c>
      <c r="D2186" s="8" t="s">
        <v>22</v>
      </c>
      <c r="E2186" s="8">
        <v>157737146</v>
      </c>
      <c r="F2186" s="8">
        <v>157737146</v>
      </c>
      <c r="G2186" s="8" t="s">
        <v>24</v>
      </c>
      <c r="H2186" s="8" t="s">
        <v>25</v>
      </c>
      <c r="I2186" s="8" t="s">
        <v>23</v>
      </c>
      <c r="J2186" s="8" t="s">
        <v>10493</v>
      </c>
      <c r="K2186" s="8" t="s">
        <v>10495</v>
      </c>
      <c r="L2186" s="8" t="s">
        <v>19</v>
      </c>
      <c r="M2186" s="8">
        <v>1096</v>
      </c>
      <c r="N2186" s="8" t="s">
        <v>1421</v>
      </c>
      <c r="O2186" s="8">
        <v>346</v>
      </c>
      <c r="P2186" s="8" t="s">
        <v>10494</v>
      </c>
      <c r="Q2186" s="8" t="s">
        <v>4262</v>
      </c>
      <c r="R2186" s="8">
        <v>0.125</v>
      </c>
      <c r="S2186" s="8">
        <v>157737146</v>
      </c>
      <c r="T2186" s="8" t="s">
        <v>24</v>
      </c>
      <c r="U2186" s="8" t="s">
        <v>25</v>
      </c>
    </row>
    <row r="2187" spans="1:21">
      <c r="A2187" s="8" t="s">
        <v>10349</v>
      </c>
      <c r="B2187" s="8" t="s">
        <v>2396</v>
      </c>
      <c r="C2187" s="8">
        <v>3428</v>
      </c>
      <c r="D2187" s="8" t="s">
        <v>22</v>
      </c>
      <c r="E2187" s="8">
        <v>158986486</v>
      </c>
      <c r="F2187" s="8">
        <v>158986486</v>
      </c>
      <c r="G2187" s="8" t="s">
        <v>46</v>
      </c>
      <c r="H2187" s="8" t="s">
        <v>41</v>
      </c>
      <c r="I2187" s="8" t="s">
        <v>23</v>
      </c>
      <c r="J2187" s="8" t="s">
        <v>2397</v>
      </c>
      <c r="K2187" s="8" t="s">
        <v>10497</v>
      </c>
      <c r="L2187" s="8" t="s">
        <v>19</v>
      </c>
      <c r="M2187" s="8">
        <v>835</v>
      </c>
      <c r="N2187" s="8" t="s">
        <v>96</v>
      </c>
      <c r="O2187" s="8">
        <v>182</v>
      </c>
      <c r="P2187" s="8" t="s">
        <v>10496</v>
      </c>
      <c r="Q2187" s="8" t="s">
        <v>4262</v>
      </c>
      <c r="R2187" s="8">
        <v>0.28199999999999997</v>
      </c>
      <c r="S2187" s="8">
        <v>158986486</v>
      </c>
      <c r="T2187" s="8" t="s">
        <v>46</v>
      </c>
      <c r="U2187" s="8" t="s">
        <v>41</v>
      </c>
    </row>
    <row r="2188" spans="1:21">
      <c r="A2188" s="8" t="s">
        <v>10349</v>
      </c>
      <c r="B2188" s="8" t="s">
        <v>2377</v>
      </c>
      <c r="C2188" s="8">
        <v>343413</v>
      </c>
      <c r="D2188" s="8" t="s">
        <v>22</v>
      </c>
      <c r="E2188" s="8">
        <v>159778919</v>
      </c>
      <c r="F2188" s="8">
        <v>159778919</v>
      </c>
      <c r="G2188" s="8" t="s">
        <v>46</v>
      </c>
      <c r="H2188" s="8" t="s">
        <v>41</v>
      </c>
      <c r="I2188" s="8" t="s">
        <v>23</v>
      </c>
      <c r="J2188" s="8" t="s">
        <v>2378</v>
      </c>
      <c r="K2188" s="8" t="s">
        <v>7094</v>
      </c>
      <c r="L2188" s="8" t="s">
        <v>19</v>
      </c>
      <c r="M2188" s="8">
        <v>530</v>
      </c>
      <c r="N2188" s="8" t="s">
        <v>522</v>
      </c>
      <c r="O2188" s="8">
        <v>163</v>
      </c>
      <c r="P2188" s="8" t="s">
        <v>10498</v>
      </c>
      <c r="Q2188" s="8" t="s">
        <v>4262</v>
      </c>
      <c r="R2188" s="8">
        <v>0.22700000000000001</v>
      </c>
      <c r="S2188" s="8">
        <v>159778919</v>
      </c>
      <c r="T2188" s="8" t="s">
        <v>46</v>
      </c>
      <c r="U2188" s="8" t="s">
        <v>41</v>
      </c>
    </row>
    <row r="2189" spans="1:21">
      <c r="A2189" s="8" t="s">
        <v>10349</v>
      </c>
      <c r="B2189" s="8" t="s">
        <v>10499</v>
      </c>
      <c r="C2189" s="8">
        <v>477</v>
      </c>
      <c r="D2189" s="8" t="s">
        <v>22</v>
      </c>
      <c r="E2189" s="8">
        <v>160106417</v>
      </c>
      <c r="F2189" s="8">
        <v>160106417</v>
      </c>
      <c r="G2189" s="8" t="s">
        <v>24</v>
      </c>
      <c r="H2189" s="8" t="s">
        <v>25</v>
      </c>
      <c r="I2189" s="8" t="s">
        <v>23</v>
      </c>
      <c r="J2189" s="8" t="s">
        <v>10500</v>
      </c>
      <c r="K2189" s="8" t="s">
        <v>10502</v>
      </c>
      <c r="L2189" s="8" t="s">
        <v>19</v>
      </c>
      <c r="M2189" s="8">
        <v>2753</v>
      </c>
      <c r="N2189" s="8" t="s">
        <v>796</v>
      </c>
      <c r="O2189" s="8">
        <v>874</v>
      </c>
      <c r="P2189" s="8" t="s">
        <v>10501</v>
      </c>
      <c r="Q2189" s="8" t="s">
        <v>4262</v>
      </c>
      <c r="R2189" s="8">
        <v>0.154</v>
      </c>
      <c r="S2189" s="8">
        <v>160106417</v>
      </c>
      <c r="T2189" s="8" t="s">
        <v>24</v>
      </c>
      <c r="U2189" s="8" t="s">
        <v>25</v>
      </c>
    </row>
    <row r="2190" spans="1:21">
      <c r="A2190" s="8" t="s">
        <v>10349</v>
      </c>
      <c r="B2190" s="8" t="s">
        <v>10503</v>
      </c>
      <c r="C2190" s="8">
        <v>114836</v>
      </c>
      <c r="D2190" s="8" t="s">
        <v>22</v>
      </c>
      <c r="E2190" s="8">
        <v>160465979</v>
      </c>
      <c r="F2190" s="8">
        <v>160465979</v>
      </c>
      <c r="G2190" s="8" t="s">
        <v>46</v>
      </c>
      <c r="H2190" s="8" t="s">
        <v>41</v>
      </c>
      <c r="I2190" s="8" t="s">
        <v>23</v>
      </c>
      <c r="J2190" s="8" t="s">
        <v>10504</v>
      </c>
      <c r="K2190" s="8" t="s">
        <v>10506</v>
      </c>
      <c r="L2190" s="8" t="s">
        <v>19</v>
      </c>
      <c r="M2190" s="8">
        <v>324</v>
      </c>
      <c r="N2190" s="8" t="s">
        <v>577</v>
      </c>
      <c r="O2190" s="8">
        <v>85</v>
      </c>
      <c r="P2190" s="8" t="s">
        <v>10505</v>
      </c>
      <c r="Q2190" s="8" t="s">
        <v>4262</v>
      </c>
      <c r="R2190" s="8">
        <v>0.122</v>
      </c>
      <c r="S2190" s="8">
        <v>160465979</v>
      </c>
      <c r="T2190" s="8" t="s">
        <v>46</v>
      </c>
      <c r="U2190" s="8" t="s">
        <v>41</v>
      </c>
    </row>
    <row r="2191" spans="1:21">
      <c r="A2191" s="8" t="s">
        <v>10349</v>
      </c>
      <c r="B2191" s="8" t="s">
        <v>2398</v>
      </c>
      <c r="C2191" s="8">
        <v>25903</v>
      </c>
      <c r="D2191" s="8" t="s">
        <v>22</v>
      </c>
      <c r="E2191" s="8">
        <v>161989900</v>
      </c>
      <c r="F2191" s="8">
        <v>161989900</v>
      </c>
      <c r="G2191" s="8" t="s">
        <v>24</v>
      </c>
      <c r="H2191" s="8" t="s">
        <v>25</v>
      </c>
      <c r="I2191" s="8" t="s">
        <v>23</v>
      </c>
      <c r="J2191" s="8" t="s">
        <v>2399</v>
      </c>
      <c r="K2191" s="8" t="s">
        <v>10508</v>
      </c>
      <c r="L2191" s="8" t="s">
        <v>19</v>
      </c>
      <c r="M2191" s="8">
        <v>671</v>
      </c>
      <c r="N2191" s="8" t="s">
        <v>2400</v>
      </c>
      <c r="O2191" s="8">
        <v>83</v>
      </c>
      <c r="P2191" s="8" t="s">
        <v>10507</v>
      </c>
      <c r="Q2191" s="8" t="s">
        <v>4262</v>
      </c>
      <c r="R2191" s="8">
        <v>0.40600000000000003</v>
      </c>
      <c r="S2191" s="8">
        <v>161989900</v>
      </c>
      <c r="T2191" s="8" t="s">
        <v>24</v>
      </c>
      <c r="U2191" s="8" t="s">
        <v>25</v>
      </c>
    </row>
    <row r="2192" spans="1:21">
      <c r="A2192" s="8" t="s">
        <v>10349</v>
      </c>
      <c r="B2192" s="8" t="s">
        <v>978</v>
      </c>
      <c r="C2192" s="8">
        <v>23013</v>
      </c>
      <c r="D2192" s="8" t="s">
        <v>22</v>
      </c>
      <c r="E2192" s="8">
        <v>16257554</v>
      </c>
      <c r="F2192" s="8">
        <v>16257554</v>
      </c>
      <c r="G2192" s="8" t="s">
        <v>24</v>
      </c>
      <c r="H2192" s="8" t="s">
        <v>46</v>
      </c>
      <c r="I2192" s="8" t="s">
        <v>23</v>
      </c>
      <c r="J2192" s="8" t="s">
        <v>979</v>
      </c>
      <c r="K2192" s="8" t="s">
        <v>10510</v>
      </c>
      <c r="L2192" s="8" t="s">
        <v>19</v>
      </c>
      <c r="M2192" s="8">
        <v>5023</v>
      </c>
      <c r="N2192" s="8" t="s">
        <v>9855</v>
      </c>
      <c r="O2192" s="8">
        <v>1607</v>
      </c>
      <c r="P2192" s="8" t="s">
        <v>10509</v>
      </c>
      <c r="Q2192" s="8" t="s">
        <v>4262</v>
      </c>
      <c r="R2192" s="8">
        <v>0.182</v>
      </c>
      <c r="S2192" s="8">
        <v>16257554</v>
      </c>
      <c r="T2192" s="8" t="s">
        <v>24</v>
      </c>
      <c r="U2192" s="8" t="s">
        <v>46</v>
      </c>
    </row>
    <row r="2193" spans="1:21">
      <c r="A2193" s="8" t="s">
        <v>10349</v>
      </c>
      <c r="B2193" s="8" t="s">
        <v>870</v>
      </c>
      <c r="C2193" s="8">
        <v>339512</v>
      </c>
      <c r="D2193" s="8" t="s">
        <v>22</v>
      </c>
      <c r="E2193" s="8">
        <v>162824944</v>
      </c>
      <c r="F2193" s="8">
        <v>162824944</v>
      </c>
      <c r="G2193" s="8" t="s">
        <v>46</v>
      </c>
      <c r="H2193" s="8" t="s">
        <v>41</v>
      </c>
      <c r="I2193" s="8" t="s">
        <v>23</v>
      </c>
      <c r="J2193" s="8" t="s">
        <v>871</v>
      </c>
      <c r="K2193" s="8" t="s">
        <v>10512</v>
      </c>
      <c r="L2193" s="8" t="s">
        <v>19</v>
      </c>
      <c r="M2193" s="8">
        <v>695</v>
      </c>
      <c r="N2193" s="8" t="s">
        <v>536</v>
      </c>
      <c r="O2193" s="8">
        <v>174</v>
      </c>
      <c r="P2193" s="8" t="s">
        <v>10511</v>
      </c>
      <c r="Q2193" s="8" t="s">
        <v>4262</v>
      </c>
      <c r="R2193" s="8">
        <v>0.157</v>
      </c>
      <c r="S2193" s="8">
        <v>162824944</v>
      </c>
      <c r="T2193" s="8" t="s">
        <v>46</v>
      </c>
      <c r="U2193" s="8" t="s">
        <v>41</v>
      </c>
    </row>
    <row r="2194" spans="1:21">
      <c r="A2194" s="8" t="s">
        <v>10349</v>
      </c>
      <c r="B2194" s="8" t="s">
        <v>2401</v>
      </c>
      <c r="C2194" s="8">
        <v>55707</v>
      </c>
      <c r="D2194" s="8" t="s">
        <v>22</v>
      </c>
      <c r="E2194" s="8">
        <v>16774364</v>
      </c>
      <c r="F2194" s="8">
        <v>16774364</v>
      </c>
      <c r="G2194" s="8" t="s">
        <v>24</v>
      </c>
      <c r="H2194" s="8" t="s">
        <v>25</v>
      </c>
      <c r="I2194" s="8" t="s">
        <v>23</v>
      </c>
      <c r="J2194" s="8" t="s">
        <v>10513</v>
      </c>
      <c r="K2194" s="8" t="s">
        <v>10514</v>
      </c>
      <c r="L2194" s="8" t="s">
        <v>68</v>
      </c>
      <c r="M2194" s="8">
        <v>0</v>
      </c>
      <c r="N2194" s="8" t="s">
        <v>35</v>
      </c>
      <c r="O2194" s="8">
        <v>0</v>
      </c>
      <c r="P2194" s="8" t="s">
        <v>35</v>
      </c>
      <c r="Q2194" s="8" t="s">
        <v>4262</v>
      </c>
      <c r="R2194" s="8">
        <v>0.22700000000000001</v>
      </c>
      <c r="S2194" s="8">
        <v>16774364</v>
      </c>
      <c r="T2194" s="8" t="s">
        <v>24</v>
      </c>
      <c r="U2194" s="8" t="s">
        <v>25</v>
      </c>
    </row>
    <row r="2195" spans="1:21">
      <c r="A2195" s="8" t="s">
        <v>10349</v>
      </c>
      <c r="B2195" s="8" t="s">
        <v>4449</v>
      </c>
      <c r="C2195" s="8">
        <v>55672</v>
      </c>
      <c r="D2195" s="8" t="s">
        <v>22</v>
      </c>
      <c r="E2195" s="8">
        <v>16895601</v>
      </c>
      <c r="F2195" s="8">
        <v>16895601</v>
      </c>
      <c r="G2195" s="8" t="s">
        <v>46</v>
      </c>
      <c r="H2195" s="8" t="s">
        <v>41</v>
      </c>
      <c r="I2195" s="8" t="s">
        <v>23</v>
      </c>
      <c r="J2195" s="8" t="s">
        <v>4450</v>
      </c>
      <c r="K2195" s="8" t="s">
        <v>4452</v>
      </c>
      <c r="L2195" s="8" t="s">
        <v>19</v>
      </c>
      <c r="M2195" s="8">
        <v>3469</v>
      </c>
      <c r="N2195" s="8" t="s">
        <v>758</v>
      </c>
      <c r="O2195" s="8">
        <v>861</v>
      </c>
      <c r="P2195" s="8" t="s">
        <v>10515</v>
      </c>
      <c r="Q2195" s="8" t="s">
        <v>4262</v>
      </c>
      <c r="R2195" s="8">
        <v>5.8000000000000003E-2</v>
      </c>
      <c r="S2195" s="8">
        <v>16895601</v>
      </c>
      <c r="T2195" s="8" t="s">
        <v>46</v>
      </c>
      <c r="U2195" s="8" t="s">
        <v>41</v>
      </c>
    </row>
    <row r="2196" spans="1:21">
      <c r="A2196" s="8" t="s">
        <v>10349</v>
      </c>
      <c r="B2196" s="8" t="s">
        <v>2402</v>
      </c>
      <c r="C2196" s="8">
        <v>6403</v>
      </c>
      <c r="D2196" s="8" t="s">
        <v>22</v>
      </c>
      <c r="E2196" s="8">
        <v>169580792</v>
      </c>
      <c r="F2196" s="8">
        <v>169580792</v>
      </c>
      <c r="G2196" s="8" t="s">
        <v>46</v>
      </c>
      <c r="H2196" s="8" t="s">
        <v>41</v>
      </c>
      <c r="I2196" s="8" t="s">
        <v>23</v>
      </c>
      <c r="J2196" s="8" t="s">
        <v>2403</v>
      </c>
      <c r="K2196" s="8" t="s">
        <v>10517</v>
      </c>
      <c r="L2196" s="8" t="s">
        <v>19</v>
      </c>
      <c r="M2196" s="8">
        <v>1150</v>
      </c>
      <c r="N2196" s="8" t="s">
        <v>205</v>
      </c>
      <c r="O2196" s="8">
        <v>362</v>
      </c>
      <c r="P2196" s="8" t="s">
        <v>10516</v>
      </c>
      <c r="Q2196" s="8" t="s">
        <v>4262</v>
      </c>
      <c r="R2196" s="8">
        <v>0.316</v>
      </c>
      <c r="S2196" s="8">
        <v>169580792</v>
      </c>
      <c r="T2196" s="8" t="s">
        <v>46</v>
      </c>
      <c r="U2196" s="8" t="s">
        <v>41</v>
      </c>
    </row>
    <row r="2197" spans="1:21">
      <c r="A2197" s="8" t="s">
        <v>10349</v>
      </c>
      <c r="B2197" s="8" t="s">
        <v>2402</v>
      </c>
      <c r="C2197" s="8">
        <v>6403</v>
      </c>
      <c r="D2197" s="8" t="s">
        <v>22</v>
      </c>
      <c r="E2197" s="8">
        <v>169582877</v>
      </c>
      <c r="F2197" s="8">
        <v>169582877</v>
      </c>
      <c r="G2197" s="8" t="s">
        <v>46</v>
      </c>
      <c r="H2197" s="8" t="s">
        <v>41</v>
      </c>
      <c r="I2197" s="8" t="s">
        <v>23</v>
      </c>
      <c r="J2197" s="8" t="s">
        <v>2403</v>
      </c>
      <c r="K2197" s="8" t="s">
        <v>10517</v>
      </c>
      <c r="L2197" s="8" t="s">
        <v>19</v>
      </c>
      <c r="M2197" s="8">
        <v>601</v>
      </c>
      <c r="N2197" s="8" t="s">
        <v>1399</v>
      </c>
      <c r="O2197" s="8">
        <v>179</v>
      </c>
      <c r="P2197" s="8" t="s">
        <v>10518</v>
      </c>
      <c r="Q2197" s="8" t="s">
        <v>4262</v>
      </c>
      <c r="R2197" s="8">
        <v>0.10199999999999999</v>
      </c>
      <c r="S2197" s="8">
        <v>169582877</v>
      </c>
      <c r="T2197" s="8" t="s">
        <v>46</v>
      </c>
      <c r="U2197" s="8" t="s">
        <v>41</v>
      </c>
    </row>
    <row r="2198" spans="1:21">
      <c r="A2198" s="8" t="s">
        <v>10349</v>
      </c>
      <c r="B2198" s="8" t="s">
        <v>10519</v>
      </c>
      <c r="C2198" s="8">
        <v>6402</v>
      </c>
      <c r="D2198" s="8" t="s">
        <v>22</v>
      </c>
      <c r="E2198" s="8">
        <v>169677801</v>
      </c>
      <c r="F2198" s="8">
        <v>169677801</v>
      </c>
      <c r="G2198" s="8" t="s">
        <v>46</v>
      </c>
      <c r="H2198" s="8" t="s">
        <v>41</v>
      </c>
      <c r="I2198" s="8" t="s">
        <v>23</v>
      </c>
      <c r="J2198" s="8" t="s">
        <v>10520</v>
      </c>
      <c r="K2198" s="8" t="s">
        <v>10522</v>
      </c>
      <c r="L2198" s="8" t="s">
        <v>19</v>
      </c>
      <c r="M2198" s="8">
        <v>433</v>
      </c>
      <c r="N2198" s="8" t="s">
        <v>166</v>
      </c>
      <c r="O2198" s="8">
        <v>90</v>
      </c>
      <c r="P2198" s="8" t="s">
        <v>10521</v>
      </c>
      <c r="Q2198" s="8" t="s">
        <v>4262</v>
      </c>
      <c r="R2198" s="8">
        <v>0.17599999999999999</v>
      </c>
      <c r="S2198" s="8">
        <v>169677801</v>
      </c>
      <c r="T2198" s="8" t="s">
        <v>46</v>
      </c>
      <c r="U2198" s="8" t="s">
        <v>41</v>
      </c>
    </row>
    <row r="2199" spans="1:21">
      <c r="A2199" s="8" t="s">
        <v>10349</v>
      </c>
      <c r="B2199" s="8" t="s">
        <v>10523</v>
      </c>
      <c r="C2199" s="8">
        <v>92342</v>
      </c>
      <c r="D2199" s="8" t="s">
        <v>22</v>
      </c>
      <c r="E2199" s="8">
        <v>169762098</v>
      </c>
      <c r="F2199" s="8">
        <v>169762098</v>
      </c>
      <c r="G2199" s="8" t="s">
        <v>24</v>
      </c>
      <c r="H2199" s="8" t="s">
        <v>25</v>
      </c>
      <c r="I2199" s="8" t="s">
        <v>23</v>
      </c>
      <c r="J2199" s="8" t="s">
        <v>10524</v>
      </c>
      <c r="K2199" s="8" t="s">
        <v>10526</v>
      </c>
      <c r="L2199" s="8" t="s">
        <v>19</v>
      </c>
      <c r="M2199" s="8">
        <v>1017</v>
      </c>
      <c r="N2199" s="8" t="s">
        <v>423</v>
      </c>
      <c r="O2199" s="8">
        <v>247</v>
      </c>
      <c r="P2199" s="8" t="s">
        <v>10525</v>
      </c>
      <c r="Q2199" s="8" t="s">
        <v>4262</v>
      </c>
      <c r="R2199" s="8">
        <v>0.121</v>
      </c>
      <c r="S2199" s="8">
        <v>169762098</v>
      </c>
      <c r="T2199" s="8" t="s">
        <v>24</v>
      </c>
      <c r="U2199" s="8" t="s">
        <v>25</v>
      </c>
    </row>
    <row r="2200" spans="1:21">
      <c r="A2200" s="8" t="s">
        <v>10349</v>
      </c>
      <c r="B2200" s="8" t="s">
        <v>2016</v>
      </c>
      <c r="C2200" s="8">
        <v>9910</v>
      </c>
      <c r="D2200" s="8" t="s">
        <v>22</v>
      </c>
      <c r="E2200" s="8">
        <v>174652717</v>
      </c>
      <c r="F2200" s="8">
        <v>174652717</v>
      </c>
      <c r="G2200" s="8" t="s">
        <v>24</v>
      </c>
      <c r="H2200" s="8" t="s">
        <v>25</v>
      </c>
      <c r="I2200" s="8" t="s">
        <v>23</v>
      </c>
      <c r="J2200" s="8" t="s">
        <v>10527</v>
      </c>
      <c r="K2200" s="8" t="s">
        <v>10529</v>
      </c>
      <c r="L2200" s="8" t="s">
        <v>19</v>
      </c>
      <c r="M2200" s="8">
        <v>2077</v>
      </c>
      <c r="N2200" s="8" t="s">
        <v>768</v>
      </c>
      <c r="O2200" s="8">
        <v>628</v>
      </c>
      <c r="P2200" s="8" t="s">
        <v>10528</v>
      </c>
      <c r="Q2200" s="8" t="s">
        <v>4262</v>
      </c>
      <c r="R2200" s="8">
        <v>9.6000000000000002E-2</v>
      </c>
      <c r="S2200" s="8">
        <v>174652717</v>
      </c>
      <c r="T2200" s="8" t="s">
        <v>24</v>
      </c>
      <c r="U2200" s="8" t="s">
        <v>25</v>
      </c>
    </row>
    <row r="2201" spans="1:21">
      <c r="A2201" s="8" t="s">
        <v>10349</v>
      </c>
      <c r="B2201" s="8" t="s">
        <v>2223</v>
      </c>
      <c r="C2201" s="8">
        <v>7143</v>
      </c>
      <c r="D2201" s="8" t="s">
        <v>22</v>
      </c>
      <c r="E2201" s="8">
        <v>175355258</v>
      </c>
      <c r="F2201" s="8">
        <v>175355258</v>
      </c>
      <c r="G2201" s="8" t="s">
        <v>46</v>
      </c>
      <c r="H2201" s="8" t="s">
        <v>41</v>
      </c>
      <c r="I2201" s="8" t="s">
        <v>23</v>
      </c>
      <c r="J2201" s="8" t="s">
        <v>2404</v>
      </c>
      <c r="K2201" s="8" t="s">
        <v>10531</v>
      </c>
      <c r="L2201" s="8" t="s">
        <v>19</v>
      </c>
      <c r="M2201" s="8">
        <v>2242</v>
      </c>
      <c r="N2201" s="8" t="s">
        <v>155</v>
      </c>
      <c r="O2201" s="8">
        <v>563</v>
      </c>
      <c r="P2201" s="8" t="s">
        <v>10530</v>
      </c>
      <c r="Q2201" s="8" t="s">
        <v>4262</v>
      </c>
      <c r="R2201" s="8">
        <v>0.22900000000000001</v>
      </c>
      <c r="S2201" s="8">
        <v>175355258</v>
      </c>
      <c r="T2201" s="8" t="s">
        <v>46</v>
      </c>
      <c r="U2201" s="8" t="s">
        <v>41</v>
      </c>
    </row>
    <row r="2202" spans="1:21">
      <c r="A2202" s="8" t="s">
        <v>10349</v>
      </c>
      <c r="B2202" s="8" t="s">
        <v>2223</v>
      </c>
      <c r="C2202" s="8">
        <v>7143</v>
      </c>
      <c r="D2202" s="8" t="s">
        <v>22</v>
      </c>
      <c r="E2202" s="8">
        <v>175372291</v>
      </c>
      <c r="F2202" s="8">
        <v>175372291</v>
      </c>
      <c r="G2202" s="8" t="s">
        <v>24</v>
      </c>
      <c r="H2202" s="8" t="s">
        <v>25</v>
      </c>
      <c r="I2202" s="8" t="s">
        <v>23</v>
      </c>
      <c r="J2202" s="8" t="s">
        <v>2404</v>
      </c>
      <c r="K2202" s="8" t="s">
        <v>10531</v>
      </c>
      <c r="L2202" s="8" t="s">
        <v>19</v>
      </c>
      <c r="M2202" s="8">
        <v>1516</v>
      </c>
      <c r="N2202" s="8" t="s">
        <v>415</v>
      </c>
      <c r="O2202" s="8">
        <v>321</v>
      </c>
      <c r="P2202" s="8" t="s">
        <v>10532</v>
      </c>
      <c r="Q2202" s="8" t="s">
        <v>4262</v>
      </c>
      <c r="R2202" s="8">
        <v>0.23499999999999999</v>
      </c>
      <c r="S2202" s="8">
        <v>175372291</v>
      </c>
      <c r="T2202" s="8" t="s">
        <v>24</v>
      </c>
      <c r="U2202" s="8" t="s">
        <v>25</v>
      </c>
    </row>
    <row r="2203" spans="1:21">
      <c r="A2203" s="8" t="s">
        <v>10349</v>
      </c>
      <c r="B2203" s="8" t="s">
        <v>3832</v>
      </c>
      <c r="C2203" s="8">
        <v>460</v>
      </c>
      <c r="D2203" s="8" t="s">
        <v>22</v>
      </c>
      <c r="E2203" s="8">
        <v>176852010</v>
      </c>
      <c r="F2203" s="8">
        <v>176852010</v>
      </c>
      <c r="G2203" s="8" t="s">
        <v>24</v>
      </c>
      <c r="H2203" s="8" t="s">
        <v>25</v>
      </c>
      <c r="I2203" s="8" t="s">
        <v>23</v>
      </c>
      <c r="J2203" s="8" t="s">
        <v>4453</v>
      </c>
      <c r="K2203" s="8" t="s">
        <v>4455</v>
      </c>
      <c r="L2203" s="8" t="s">
        <v>19</v>
      </c>
      <c r="M2203" s="8">
        <v>3559</v>
      </c>
      <c r="N2203" s="8" t="s">
        <v>1140</v>
      </c>
      <c r="O2203" s="8">
        <v>1116</v>
      </c>
      <c r="P2203" s="8" t="s">
        <v>10533</v>
      </c>
      <c r="Q2203" s="8" t="s">
        <v>4262</v>
      </c>
      <c r="R2203" s="8">
        <v>0.25800000000000001</v>
      </c>
      <c r="S2203" s="8">
        <v>176852010</v>
      </c>
      <c r="T2203" s="8" t="s">
        <v>24</v>
      </c>
      <c r="U2203" s="8" t="s">
        <v>25</v>
      </c>
    </row>
    <row r="2204" spans="1:21">
      <c r="A2204" s="8" t="s">
        <v>10349</v>
      </c>
      <c r="B2204" s="8" t="s">
        <v>1289</v>
      </c>
      <c r="C2204" s="8">
        <v>777</v>
      </c>
      <c r="D2204" s="8" t="s">
        <v>22</v>
      </c>
      <c r="E2204" s="8">
        <v>181745310</v>
      </c>
      <c r="F2204" s="8">
        <v>181745310</v>
      </c>
      <c r="G2204" s="8" t="s">
        <v>46</v>
      </c>
      <c r="H2204" s="8" t="s">
        <v>41</v>
      </c>
      <c r="I2204" s="8" t="s">
        <v>23</v>
      </c>
      <c r="J2204" s="8" t="s">
        <v>8600</v>
      </c>
      <c r="K2204" s="8" t="s">
        <v>8602</v>
      </c>
      <c r="L2204" s="8" t="s">
        <v>19</v>
      </c>
      <c r="M2204" s="8">
        <v>5408</v>
      </c>
      <c r="N2204" s="8" t="s">
        <v>1140</v>
      </c>
      <c r="O2204" s="8">
        <v>1738</v>
      </c>
      <c r="P2204" s="8" t="s">
        <v>10534</v>
      </c>
      <c r="Q2204" s="8" t="s">
        <v>4262</v>
      </c>
      <c r="R2204" s="8">
        <v>0.19</v>
      </c>
      <c r="S2204" s="8">
        <v>181745310</v>
      </c>
      <c r="T2204" s="8" t="s">
        <v>46</v>
      </c>
      <c r="U2204" s="8" t="s">
        <v>41</v>
      </c>
    </row>
    <row r="2205" spans="1:21">
      <c r="A2205" s="8" t="s">
        <v>10349</v>
      </c>
      <c r="B2205" s="8" t="s">
        <v>10535</v>
      </c>
      <c r="C2205" s="8">
        <v>1660</v>
      </c>
      <c r="D2205" s="8" t="s">
        <v>22</v>
      </c>
      <c r="E2205" s="8">
        <v>182853863</v>
      </c>
      <c r="F2205" s="8">
        <v>182853863</v>
      </c>
      <c r="G2205" s="8" t="s">
        <v>46</v>
      </c>
      <c r="H2205" s="8" t="s">
        <v>41</v>
      </c>
      <c r="I2205" s="8" t="s">
        <v>23</v>
      </c>
      <c r="J2205" s="8" t="s">
        <v>10536</v>
      </c>
      <c r="K2205" s="8" t="s">
        <v>10538</v>
      </c>
      <c r="L2205" s="8" t="s">
        <v>19</v>
      </c>
      <c r="M2205" s="8">
        <v>3551</v>
      </c>
      <c r="N2205" s="8" t="s">
        <v>2400</v>
      </c>
      <c r="O2205" s="8">
        <v>1126</v>
      </c>
      <c r="P2205" s="8" t="s">
        <v>10537</v>
      </c>
      <c r="Q2205" s="8" t="s">
        <v>4262</v>
      </c>
      <c r="R2205" s="8">
        <v>0.13500000000000001</v>
      </c>
      <c r="S2205" s="8">
        <v>182853863</v>
      </c>
      <c r="T2205" s="8" t="s">
        <v>46</v>
      </c>
      <c r="U2205" s="8" t="s">
        <v>41</v>
      </c>
    </row>
    <row r="2206" spans="1:21">
      <c r="A2206" s="8" t="s">
        <v>10349</v>
      </c>
      <c r="B2206" s="8" t="s">
        <v>10539</v>
      </c>
      <c r="C2206" s="8">
        <v>403314</v>
      </c>
      <c r="D2206" s="8" t="s">
        <v>22</v>
      </c>
      <c r="E2206" s="8">
        <v>183617162</v>
      </c>
      <c r="F2206" s="8">
        <v>183617162</v>
      </c>
      <c r="G2206" s="8" t="s">
        <v>24</v>
      </c>
      <c r="H2206" s="8" t="s">
        <v>25</v>
      </c>
      <c r="I2206" s="8" t="s">
        <v>23</v>
      </c>
      <c r="J2206" s="8" t="s">
        <v>10540</v>
      </c>
      <c r="K2206" s="8" t="s">
        <v>10542</v>
      </c>
      <c r="L2206" s="8" t="s">
        <v>19</v>
      </c>
      <c r="M2206" s="8">
        <v>1027</v>
      </c>
      <c r="N2206" s="8" t="s">
        <v>364</v>
      </c>
      <c r="O2206" s="8">
        <v>252</v>
      </c>
      <c r="P2206" s="8" t="s">
        <v>10541</v>
      </c>
      <c r="Q2206" s="8" t="s">
        <v>4262</v>
      </c>
      <c r="R2206" s="8">
        <v>0.1</v>
      </c>
      <c r="S2206" s="8">
        <v>183617162</v>
      </c>
      <c r="T2206" s="8" t="s">
        <v>24</v>
      </c>
      <c r="U2206" s="8" t="s">
        <v>25</v>
      </c>
    </row>
    <row r="2207" spans="1:21">
      <c r="A2207" s="8" t="s">
        <v>10349</v>
      </c>
      <c r="B2207" s="8" t="s">
        <v>638</v>
      </c>
      <c r="C2207" s="8">
        <v>83872</v>
      </c>
      <c r="D2207" s="8" t="s">
        <v>22</v>
      </c>
      <c r="E2207" s="8">
        <v>185878542</v>
      </c>
      <c r="F2207" s="8">
        <v>185878542</v>
      </c>
      <c r="G2207" s="8" t="s">
        <v>46</v>
      </c>
      <c r="H2207" s="8" t="s">
        <v>41</v>
      </c>
      <c r="I2207" s="8" t="s">
        <v>23</v>
      </c>
      <c r="J2207" s="8" t="s">
        <v>639</v>
      </c>
      <c r="K2207" s="8" t="s">
        <v>5460</v>
      </c>
      <c r="L2207" s="8" t="s">
        <v>19</v>
      </c>
      <c r="M2207" s="8">
        <v>924</v>
      </c>
      <c r="N2207" s="8" t="s">
        <v>389</v>
      </c>
      <c r="O2207" s="8">
        <v>232</v>
      </c>
      <c r="P2207" s="8" t="s">
        <v>10424</v>
      </c>
      <c r="Q2207" s="8" t="s">
        <v>4262</v>
      </c>
      <c r="R2207" s="8">
        <v>0.27500000000000002</v>
      </c>
      <c r="S2207" s="8">
        <v>185878542</v>
      </c>
      <c r="T2207" s="8" t="s">
        <v>46</v>
      </c>
      <c r="U2207" s="8" t="s">
        <v>41</v>
      </c>
    </row>
    <row r="2208" spans="1:21">
      <c r="A2208" s="8" t="s">
        <v>10349</v>
      </c>
      <c r="B2208" s="8" t="s">
        <v>638</v>
      </c>
      <c r="C2208" s="8">
        <v>83872</v>
      </c>
      <c r="D2208" s="8" t="s">
        <v>22</v>
      </c>
      <c r="E2208" s="8">
        <v>186060018</v>
      </c>
      <c r="F2208" s="8">
        <v>186060018</v>
      </c>
      <c r="G2208" s="8" t="s">
        <v>46</v>
      </c>
      <c r="H2208" s="8" t="s">
        <v>41</v>
      </c>
      <c r="I2208" s="8" t="s">
        <v>23</v>
      </c>
      <c r="J2208" s="8" t="s">
        <v>639</v>
      </c>
      <c r="K2208" s="8" t="s">
        <v>5460</v>
      </c>
      <c r="L2208" s="8" t="s">
        <v>19</v>
      </c>
      <c r="M2208" s="8">
        <v>10085</v>
      </c>
      <c r="N2208" s="8" t="s">
        <v>2400</v>
      </c>
      <c r="O2208" s="8">
        <v>3286</v>
      </c>
      <c r="P2208" s="8" t="s">
        <v>10543</v>
      </c>
      <c r="Q2208" s="8" t="s">
        <v>4262</v>
      </c>
      <c r="R2208" s="8">
        <v>0.28899999999999998</v>
      </c>
      <c r="S2208" s="8">
        <v>186060018</v>
      </c>
      <c r="T2208" s="8" t="s">
        <v>46</v>
      </c>
      <c r="U2208" s="8" t="s">
        <v>41</v>
      </c>
    </row>
    <row r="2209" spans="1:21">
      <c r="A2209" s="8" t="s">
        <v>10349</v>
      </c>
      <c r="B2209" s="8" t="s">
        <v>2407</v>
      </c>
      <c r="C2209" s="8">
        <v>54953</v>
      </c>
      <c r="D2209" s="8" t="s">
        <v>22</v>
      </c>
      <c r="E2209" s="8">
        <v>186349012</v>
      </c>
      <c r="F2209" s="8">
        <v>186349012</v>
      </c>
      <c r="G2209" s="8" t="s">
        <v>24</v>
      </c>
      <c r="H2209" s="8" t="s">
        <v>25</v>
      </c>
      <c r="I2209" s="8" t="s">
        <v>23</v>
      </c>
      <c r="J2209" s="8" t="s">
        <v>10544</v>
      </c>
      <c r="K2209" s="8" t="s">
        <v>10546</v>
      </c>
      <c r="L2209" s="8" t="s">
        <v>19</v>
      </c>
      <c r="M2209" s="8">
        <v>331</v>
      </c>
      <c r="N2209" s="8" t="s">
        <v>494</v>
      </c>
      <c r="O2209" s="8">
        <v>32</v>
      </c>
      <c r="P2209" s="8" t="s">
        <v>10545</v>
      </c>
      <c r="Q2209" s="8" t="s">
        <v>4262</v>
      </c>
      <c r="R2209" s="8">
        <v>0.312</v>
      </c>
      <c r="S2209" s="8">
        <v>186349012</v>
      </c>
      <c r="T2209" s="8" t="s">
        <v>24</v>
      </c>
      <c r="U2209" s="8" t="s">
        <v>25</v>
      </c>
    </row>
    <row r="2210" spans="1:21">
      <c r="A2210" s="8" t="s">
        <v>10349</v>
      </c>
      <c r="B2210" s="8" t="s">
        <v>2408</v>
      </c>
      <c r="C2210" s="8">
        <v>5743</v>
      </c>
      <c r="D2210" s="8" t="s">
        <v>22</v>
      </c>
      <c r="E2210" s="8">
        <v>186643571</v>
      </c>
      <c r="F2210" s="8">
        <v>186643571</v>
      </c>
      <c r="G2210" s="8" t="s">
        <v>46</v>
      </c>
      <c r="H2210" s="8" t="s">
        <v>41</v>
      </c>
      <c r="I2210" s="8" t="s">
        <v>23</v>
      </c>
      <c r="J2210" s="8" t="s">
        <v>2409</v>
      </c>
      <c r="K2210" s="8" t="s">
        <v>10548</v>
      </c>
      <c r="L2210" s="8" t="s">
        <v>19</v>
      </c>
      <c r="M2210" s="8">
        <v>1866</v>
      </c>
      <c r="N2210" s="8" t="s">
        <v>21</v>
      </c>
      <c r="O2210" s="8">
        <v>577</v>
      </c>
      <c r="P2210" s="8" t="s">
        <v>10547</v>
      </c>
      <c r="Q2210" s="8" t="s">
        <v>4262</v>
      </c>
      <c r="R2210" s="8">
        <v>0.32900000000000001</v>
      </c>
      <c r="S2210" s="8">
        <v>186643571</v>
      </c>
      <c r="T2210" s="8" t="s">
        <v>46</v>
      </c>
      <c r="U2210" s="8" t="s">
        <v>41</v>
      </c>
    </row>
    <row r="2211" spans="1:21">
      <c r="A2211" s="8" t="s">
        <v>10349</v>
      </c>
      <c r="B2211" s="8" t="s">
        <v>2408</v>
      </c>
      <c r="C2211" s="8">
        <v>5743</v>
      </c>
      <c r="D2211" s="8" t="s">
        <v>22</v>
      </c>
      <c r="E2211" s="8">
        <v>186646006</v>
      </c>
      <c r="F2211" s="8">
        <v>186646006</v>
      </c>
      <c r="G2211" s="8" t="s">
        <v>24</v>
      </c>
      <c r="H2211" s="8" t="s">
        <v>25</v>
      </c>
      <c r="I2211" s="8" t="s">
        <v>23</v>
      </c>
      <c r="J2211" s="8" t="s">
        <v>2409</v>
      </c>
      <c r="K2211" s="8" t="s">
        <v>10548</v>
      </c>
      <c r="L2211" s="8" t="s">
        <v>19</v>
      </c>
      <c r="M2211" s="8">
        <v>819</v>
      </c>
      <c r="N2211" s="8" t="s">
        <v>614</v>
      </c>
      <c r="O2211" s="8">
        <v>228</v>
      </c>
      <c r="P2211" s="8" t="s">
        <v>10549</v>
      </c>
      <c r="Q2211" s="8" t="s">
        <v>4262</v>
      </c>
      <c r="R2211" s="8">
        <v>7.6999999999999999E-2</v>
      </c>
      <c r="S2211" s="8">
        <v>186646006</v>
      </c>
      <c r="T2211" s="8" t="s">
        <v>24</v>
      </c>
      <c r="U2211" s="8" t="s">
        <v>25</v>
      </c>
    </row>
    <row r="2212" spans="1:21">
      <c r="A2212" s="8" t="s">
        <v>10349</v>
      </c>
      <c r="B2212" s="8" t="s">
        <v>1850</v>
      </c>
      <c r="C2212" s="8">
        <v>343450</v>
      </c>
      <c r="D2212" s="8" t="s">
        <v>22</v>
      </c>
      <c r="E2212" s="8">
        <v>196254873</v>
      </c>
      <c r="F2212" s="8">
        <v>196254873</v>
      </c>
      <c r="G2212" s="8" t="s">
        <v>46</v>
      </c>
      <c r="H2212" s="8" t="s">
        <v>41</v>
      </c>
      <c r="I2212" s="8" t="s">
        <v>23</v>
      </c>
      <c r="J2212" s="8" t="s">
        <v>10550</v>
      </c>
      <c r="K2212" s="8" t="s">
        <v>10552</v>
      </c>
      <c r="L2212" s="8" t="s">
        <v>19</v>
      </c>
      <c r="M2212" s="8">
        <v>2671</v>
      </c>
      <c r="N2212" s="8" t="s">
        <v>536</v>
      </c>
      <c r="O2212" s="8">
        <v>871</v>
      </c>
      <c r="P2212" s="8" t="s">
        <v>10551</v>
      </c>
      <c r="Q2212" s="8" t="s">
        <v>4262</v>
      </c>
      <c r="R2212" s="8">
        <v>0.24299999999999999</v>
      </c>
      <c r="S2212" s="8">
        <v>196254873</v>
      </c>
      <c r="T2212" s="8" t="s">
        <v>46</v>
      </c>
      <c r="U2212" s="8" t="s">
        <v>41</v>
      </c>
    </row>
    <row r="2213" spans="1:21">
      <c r="A2213" s="8" t="s">
        <v>10349</v>
      </c>
      <c r="B2213" s="8" t="s">
        <v>10553</v>
      </c>
      <c r="C2213" s="8">
        <v>259266</v>
      </c>
      <c r="D2213" s="8" t="s">
        <v>22</v>
      </c>
      <c r="E2213" s="8">
        <v>197071611</v>
      </c>
      <c r="F2213" s="8">
        <v>197071611</v>
      </c>
      <c r="G2213" s="8" t="s">
        <v>46</v>
      </c>
      <c r="H2213" s="8" t="s">
        <v>41</v>
      </c>
      <c r="I2213" s="8" t="s">
        <v>23</v>
      </c>
      <c r="J2213" s="8" t="s">
        <v>10554</v>
      </c>
      <c r="K2213" s="8" t="s">
        <v>10556</v>
      </c>
      <c r="L2213" s="8" t="s">
        <v>19</v>
      </c>
      <c r="M2213" s="8">
        <v>7027</v>
      </c>
      <c r="N2213" s="8" t="s">
        <v>736</v>
      </c>
      <c r="O2213" s="8">
        <v>2257</v>
      </c>
      <c r="P2213" s="8" t="s">
        <v>10555</v>
      </c>
      <c r="Q2213" s="8" t="s">
        <v>4262</v>
      </c>
      <c r="R2213" s="8">
        <v>0.152</v>
      </c>
      <c r="S2213" s="8">
        <v>197071611</v>
      </c>
      <c r="T2213" s="8" t="s">
        <v>46</v>
      </c>
      <c r="U2213" s="8" t="s">
        <v>41</v>
      </c>
    </row>
    <row r="2214" spans="1:21">
      <c r="A2214" s="8" t="s">
        <v>10349</v>
      </c>
      <c r="B2214" s="8" t="s">
        <v>2410</v>
      </c>
      <c r="C2214" s="8">
        <v>5788</v>
      </c>
      <c r="D2214" s="8" t="s">
        <v>22</v>
      </c>
      <c r="E2214" s="8">
        <v>198665979</v>
      </c>
      <c r="F2214" s="8">
        <v>198665979</v>
      </c>
      <c r="G2214" s="8" t="s">
        <v>25</v>
      </c>
      <c r="H2214" s="8" t="s">
        <v>41</v>
      </c>
      <c r="I2214" s="8" t="s">
        <v>23</v>
      </c>
      <c r="J2214" s="8" t="s">
        <v>8608</v>
      </c>
      <c r="K2214" s="8" t="s">
        <v>8610</v>
      </c>
      <c r="L2214" s="8" t="s">
        <v>19</v>
      </c>
      <c r="M2214" s="8">
        <v>413</v>
      </c>
      <c r="N2214" s="8" t="s">
        <v>3549</v>
      </c>
      <c r="O2214" s="8">
        <v>78</v>
      </c>
      <c r="P2214" s="8" t="s">
        <v>10557</v>
      </c>
      <c r="Q2214" s="8" t="s">
        <v>4262</v>
      </c>
      <c r="R2214" s="8">
        <v>0.2</v>
      </c>
      <c r="S2214" s="8">
        <v>198665979</v>
      </c>
      <c r="T2214" s="8" t="s">
        <v>25</v>
      </c>
      <c r="U2214" s="8" t="s">
        <v>41</v>
      </c>
    </row>
    <row r="2215" spans="1:21">
      <c r="A2215" s="8" t="s">
        <v>10349</v>
      </c>
      <c r="B2215" s="8" t="s">
        <v>2410</v>
      </c>
      <c r="C2215" s="8">
        <v>5788</v>
      </c>
      <c r="D2215" s="8" t="s">
        <v>22</v>
      </c>
      <c r="E2215" s="8">
        <v>198711380</v>
      </c>
      <c r="F2215" s="8">
        <v>198711380</v>
      </c>
      <c r="G2215" s="8" t="s">
        <v>24</v>
      </c>
      <c r="H2215" s="8" t="s">
        <v>25</v>
      </c>
      <c r="I2215" s="8" t="s">
        <v>23</v>
      </c>
      <c r="J2215" s="8" t="s">
        <v>8608</v>
      </c>
      <c r="K2215" s="8" t="s">
        <v>8610</v>
      </c>
      <c r="L2215" s="8" t="s">
        <v>19</v>
      </c>
      <c r="M2215" s="8">
        <v>2755</v>
      </c>
      <c r="N2215" s="8" t="s">
        <v>1364</v>
      </c>
      <c r="O2215" s="8">
        <v>859</v>
      </c>
      <c r="P2215" s="8" t="s">
        <v>10558</v>
      </c>
      <c r="Q2215" s="8" t="s">
        <v>4262</v>
      </c>
      <c r="R2215" s="8">
        <v>0.25</v>
      </c>
      <c r="S2215" s="8">
        <v>198711380</v>
      </c>
      <c r="T2215" s="8" t="s">
        <v>24</v>
      </c>
      <c r="U2215" s="8" t="s">
        <v>25</v>
      </c>
    </row>
    <row r="2216" spans="1:21">
      <c r="A2216" s="8" t="s">
        <v>10349</v>
      </c>
      <c r="B2216" s="8" t="s">
        <v>2410</v>
      </c>
      <c r="C2216" s="8">
        <v>5788</v>
      </c>
      <c r="D2216" s="8" t="s">
        <v>22</v>
      </c>
      <c r="E2216" s="8">
        <v>198719661</v>
      </c>
      <c r="F2216" s="8">
        <v>198719661</v>
      </c>
      <c r="G2216" s="8" t="s">
        <v>46</v>
      </c>
      <c r="H2216" s="8" t="s">
        <v>41</v>
      </c>
      <c r="I2216" s="8" t="s">
        <v>23</v>
      </c>
      <c r="J2216" s="8" t="s">
        <v>8608</v>
      </c>
      <c r="K2216" s="8" t="s">
        <v>8610</v>
      </c>
      <c r="L2216" s="8" t="s">
        <v>19</v>
      </c>
      <c r="M2216" s="8">
        <v>3287</v>
      </c>
      <c r="N2216" s="8" t="s">
        <v>522</v>
      </c>
      <c r="O2216" s="8">
        <v>1036</v>
      </c>
      <c r="P2216" s="8" t="s">
        <v>10559</v>
      </c>
      <c r="Q2216" s="8" t="s">
        <v>4262</v>
      </c>
      <c r="R2216" s="8">
        <v>0.36</v>
      </c>
      <c r="S2216" s="8">
        <v>198719661</v>
      </c>
      <c r="T2216" s="8" t="s">
        <v>46</v>
      </c>
      <c r="U2216" s="8" t="s">
        <v>41</v>
      </c>
    </row>
    <row r="2217" spans="1:21">
      <c r="A2217" s="8" t="s">
        <v>10349</v>
      </c>
      <c r="B2217" s="8" t="s">
        <v>1914</v>
      </c>
      <c r="C2217" s="8">
        <v>10765</v>
      </c>
      <c r="D2217" s="8" t="s">
        <v>22</v>
      </c>
      <c r="E2217" s="8">
        <v>202700089</v>
      </c>
      <c r="F2217" s="8">
        <v>202700089</v>
      </c>
      <c r="G2217" s="8" t="s">
        <v>46</v>
      </c>
      <c r="H2217" s="8" t="s">
        <v>41</v>
      </c>
      <c r="I2217" s="8" t="s">
        <v>23</v>
      </c>
      <c r="J2217" s="8" t="s">
        <v>8611</v>
      </c>
      <c r="K2217" s="8" t="s">
        <v>8613</v>
      </c>
      <c r="L2217" s="8" t="s">
        <v>19</v>
      </c>
      <c r="M2217" s="8">
        <v>4240</v>
      </c>
      <c r="N2217" s="8" t="s">
        <v>708</v>
      </c>
      <c r="O2217" s="8">
        <v>1375</v>
      </c>
      <c r="P2217" s="8" t="s">
        <v>10560</v>
      </c>
      <c r="Q2217" s="8" t="s">
        <v>4262</v>
      </c>
      <c r="R2217" s="8">
        <v>0.16700000000000001</v>
      </c>
      <c r="S2217" s="8">
        <v>202700089</v>
      </c>
      <c r="T2217" s="8" t="s">
        <v>46</v>
      </c>
      <c r="U2217" s="8" t="s">
        <v>41</v>
      </c>
    </row>
    <row r="2218" spans="1:21">
      <c r="A2218" s="8" t="s">
        <v>10349</v>
      </c>
      <c r="B2218" s="8" t="s">
        <v>10561</v>
      </c>
      <c r="C2218" s="8">
        <v>8497</v>
      </c>
      <c r="D2218" s="8" t="s">
        <v>22</v>
      </c>
      <c r="E2218" s="8">
        <v>203033050</v>
      </c>
      <c r="F2218" s="8">
        <v>203033050</v>
      </c>
      <c r="G2218" s="8" t="s">
        <v>24</v>
      </c>
      <c r="H2218" s="8" t="s">
        <v>25</v>
      </c>
      <c r="I2218" s="8" t="s">
        <v>23</v>
      </c>
      <c r="J2218" s="8" t="s">
        <v>10562</v>
      </c>
      <c r="K2218" s="8" t="s">
        <v>10564</v>
      </c>
      <c r="L2218" s="8" t="s">
        <v>19</v>
      </c>
      <c r="M2218" s="8">
        <v>2044</v>
      </c>
      <c r="N2218" s="8" t="s">
        <v>732</v>
      </c>
      <c r="O2218" s="8">
        <v>484</v>
      </c>
      <c r="P2218" s="8" t="s">
        <v>10563</v>
      </c>
      <c r="Q2218" s="8" t="s">
        <v>4262</v>
      </c>
      <c r="R2218" s="8">
        <v>0.16200000000000001</v>
      </c>
      <c r="S2218" s="8">
        <v>203033050</v>
      </c>
      <c r="T2218" s="8" t="s">
        <v>24</v>
      </c>
      <c r="U2218" s="8" t="s">
        <v>25</v>
      </c>
    </row>
    <row r="2219" spans="1:21">
      <c r="A2219" s="8" t="s">
        <v>10349</v>
      </c>
      <c r="B2219" s="8" t="s">
        <v>10565</v>
      </c>
      <c r="C2219" s="8">
        <v>84919</v>
      </c>
      <c r="D2219" s="8" t="s">
        <v>22</v>
      </c>
      <c r="E2219" s="8">
        <v>204378699</v>
      </c>
      <c r="F2219" s="8">
        <v>204378699</v>
      </c>
      <c r="G2219" s="8" t="s">
        <v>46</v>
      </c>
      <c r="H2219" s="8" t="s">
        <v>41</v>
      </c>
      <c r="I2219" s="8" t="s">
        <v>23</v>
      </c>
      <c r="J2219" s="8" t="s">
        <v>10566</v>
      </c>
      <c r="K2219" s="8" t="s">
        <v>10568</v>
      </c>
      <c r="L2219" s="8" t="s">
        <v>19</v>
      </c>
      <c r="M2219" s="8">
        <v>2246</v>
      </c>
      <c r="N2219" s="8" t="s">
        <v>708</v>
      </c>
      <c r="O2219" s="8">
        <v>614</v>
      </c>
      <c r="P2219" s="8" t="s">
        <v>10567</v>
      </c>
      <c r="Q2219" s="8" t="s">
        <v>4262</v>
      </c>
      <c r="R2219" s="8">
        <v>0.222</v>
      </c>
      <c r="S2219" s="8">
        <v>204378699</v>
      </c>
      <c r="T2219" s="8" t="s">
        <v>46</v>
      </c>
      <c r="U2219" s="8" t="s">
        <v>41</v>
      </c>
    </row>
    <row r="2220" spans="1:21">
      <c r="A2220" s="8" t="s">
        <v>10349</v>
      </c>
      <c r="B2220" s="8" t="s">
        <v>1430</v>
      </c>
      <c r="C2220" s="8">
        <v>23114</v>
      </c>
      <c r="D2220" s="8" t="s">
        <v>22</v>
      </c>
      <c r="E2220" s="8">
        <v>204966319</v>
      </c>
      <c r="F2220" s="8">
        <v>204966319</v>
      </c>
      <c r="G2220" s="8" t="s">
        <v>46</v>
      </c>
      <c r="H2220" s="8" t="s">
        <v>41</v>
      </c>
      <c r="I2220" s="8" t="s">
        <v>23</v>
      </c>
      <c r="J2220" s="8" t="s">
        <v>10569</v>
      </c>
      <c r="K2220" s="8" t="s">
        <v>10571</v>
      </c>
      <c r="L2220" s="8" t="s">
        <v>19</v>
      </c>
      <c r="M2220" s="8">
        <v>3132</v>
      </c>
      <c r="N2220" s="8" t="s">
        <v>96</v>
      </c>
      <c r="O2220" s="8">
        <v>935</v>
      </c>
      <c r="P2220" s="8" t="s">
        <v>10570</v>
      </c>
      <c r="Q2220" s="8" t="s">
        <v>4262</v>
      </c>
      <c r="R2220" s="8">
        <v>0.22600000000000001</v>
      </c>
      <c r="S2220" s="8">
        <v>204966319</v>
      </c>
      <c r="T2220" s="8" t="s">
        <v>46</v>
      </c>
      <c r="U2220" s="8" t="s">
        <v>41</v>
      </c>
    </row>
    <row r="2221" spans="1:21">
      <c r="A2221" s="8" t="s">
        <v>10349</v>
      </c>
      <c r="B2221" s="8" t="s">
        <v>5263</v>
      </c>
      <c r="C2221" s="8">
        <v>5929</v>
      </c>
      <c r="D2221" s="8" t="s">
        <v>22</v>
      </c>
      <c r="E2221" s="8">
        <v>205069287</v>
      </c>
      <c r="F2221" s="8">
        <v>205069287</v>
      </c>
      <c r="G2221" s="8" t="s">
        <v>46</v>
      </c>
      <c r="H2221" s="8" t="s">
        <v>41</v>
      </c>
      <c r="I2221" s="8" t="s">
        <v>23</v>
      </c>
      <c r="J2221" s="8" t="s">
        <v>5264</v>
      </c>
      <c r="K2221" s="8" t="s">
        <v>5265</v>
      </c>
      <c r="L2221" s="8" t="s">
        <v>19</v>
      </c>
      <c r="M2221" s="8">
        <v>894</v>
      </c>
      <c r="N2221" s="8" t="s">
        <v>171</v>
      </c>
      <c r="O2221" s="8">
        <v>249</v>
      </c>
      <c r="P2221" s="8" t="s">
        <v>10572</v>
      </c>
      <c r="Q2221" s="8" t="s">
        <v>4262</v>
      </c>
      <c r="R2221" s="8">
        <v>0.111</v>
      </c>
      <c r="S2221" s="8">
        <v>205069287</v>
      </c>
      <c r="T2221" s="8" t="s">
        <v>46</v>
      </c>
      <c r="U2221" s="8" t="s">
        <v>41</v>
      </c>
    </row>
    <row r="2222" spans="1:21">
      <c r="A2222" s="8" t="s">
        <v>10349</v>
      </c>
      <c r="B2222" s="8" t="s">
        <v>10573</v>
      </c>
      <c r="C2222" s="8">
        <v>1380</v>
      </c>
      <c r="D2222" s="8" t="s">
        <v>22</v>
      </c>
      <c r="E2222" s="8">
        <v>207642544</v>
      </c>
      <c r="F2222" s="8">
        <v>207642544</v>
      </c>
      <c r="G2222" s="8" t="s">
        <v>24</v>
      </c>
      <c r="H2222" s="8" t="s">
        <v>25</v>
      </c>
      <c r="I2222" s="8" t="s">
        <v>23</v>
      </c>
      <c r="J2222" s="8" t="s">
        <v>10574</v>
      </c>
      <c r="K2222" s="8" t="s">
        <v>10576</v>
      </c>
      <c r="L2222" s="8" t="s">
        <v>19</v>
      </c>
      <c r="M2222" s="8">
        <v>903</v>
      </c>
      <c r="N2222" s="8" t="s">
        <v>1364</v>
      </c>
      <c r="O2222" s="8">
        <v>262</v>
      </c>
      <c r="P2222" s="8" t="s">
        <v>10575</v>
      </c>
      <c r="Q2222" s="8" t="s">
        <v>4262</v>
      </c>
      <c r="R2222" s="8">
        <v>0.157</v>
      </c>
      <c r="S2222" s="8">
        <v>207642544</v>
      </c>
      <c r="T2222" s="8" t="s">
        <v>24</v>
      </c>
      <c r="U2222" s="8" t="s">
        <v>25</v>
      </c>
    </row>
    <row r="2223" spans="1:21">
      <c r="A2223" s="8" t="s">
        <v>10349</v>
      </c>
      <c r="B2223" s="8" t="s">
        <v>10577</v>
      </c>
      <c r="C2223" s="8">
        <v>55758</v>
      </c>
      <c r="D2223" s="8" t="s">
        <v>22</v>
      </c>
      <c r="E2223" s="8">
        <v>211449619</v>
      </c>
      <c r="F2223" s="8">
        <v>211449619</v>
      </c>
      <c r="G2223" s="8" t="s">
        <v>24</v>
      </c>
      <c r="H2223" s="8" t="s">
        <v>25</v>
      </c>
      <c r="I2223" s="8" t="s">
        <v>23</v>
      </c>
      <c r="J2223" s="8" t="s">
        <v>10578</v>
      </c>
      <c r="K2223" s="8" t="s">
        <v>10580</v>
      </c>
      <c r="L2223" s="8" t="s">
        <v>76</v>
      </c>
      <c r="M2223" s="8">
        <v>570</v>
      </c>
      <c r="N2223" s="8" t="s">
        <v>716</v>
      </c>
      <c r="O2223" s="8">
        <v>125</v>
      </c>
      <c r="P2223" s="8" t="s">
        <v>10579</v>
      </c>
      <c r="Q2223" s="8" t="s">
        <v>4262</v>
      </c>
      <c r="R2223" s="8">
        <v>0.23300000000000001</v>
      </c>
      <c r="S2223" s="8">
        <v>211449619</v>
      </c>
      <c r="T2223" s="8" t="s">
        <v>24</v>
      </c>
      <c r="U2223" s="8" t="s">
        <v>25</v>
      </c>
    </row>
    <row r="2224" spans="1:21">
      <c r="A2224" s="8" t="s">
        <v>10349</v>
      </c>
      <c r="B2224" s="8" t="s">
        <v>10581</v>
      </c>
      <c r="C2224" s="8">
        <v>7779</v>
      </c>
      <c r="D2224" s="8" t="s">
        <v>22</v>
      </c>
      <c r="E2224" s="8">
        <v>211749435</v>
      </c>
      <c r="F2224" s="8">
        <v>211749435</v>
      </c>
      <c r="G2224" s="8" t="s">
        <v>46</v>
      </c>
      <c r="H2224" s="8" t="s">
        <v>41</v>
      </c>
      <c r="I2224" s="8" t="s">
        <v>23</v>
      </c>
      <c r="J2224" s="8" t="s">
        <v>10582</v>
      </c>
      <c r="K2224" s="8" t="s">
        <v>10584</v>
      </c>
      <c r="L2224" s="8" t="s">
        <v>76</v>
      </c>
      <c r="M2224" s="8">
        <v>964</v>
      </c>
      <c r="N2224" s="8" t="s">
        <v>716</v>
      </c>
      <c r="O2224" s="8">
        <v>273</v>
      </c>
      <c r="P2224" s="8" t="s">
        <v>10583</v>
      </c>
      <c r="Q2224" s="8" t="s">
        <v>4262</v>
      </c>
      <c r="R2224" s="8">
        <v>0.22</v>
      </c>
      <c r="S2224" s="8">
        <v>211749435</v>
      </c>
      <c r="T2224" s="8" t="s">
        <v>46</v>
      </c>
      <c r="U2224" s="8" t="s">
        <v>41</v>
      </c>
    </row>
    <row r="2225" spans="1:21">
      <c r="A2225" s="8" t="s">
        <v>10349</v>
      </c>
      <c r="B2225" s="8" t="s">
        <v>10585</v>
      </c>
      <c r="C2225" s="8">
        <v>90806</v>
      </c>
      <c r="D2225" s="8" t="s">
        <v>22</v>
      </c>
      <c r="E2225" s="8">
        <v>213186535</v>
      </c>
      <c r="F2225" s="8">
        <v>213186535</v>
      </c>
      <c r="G2225" s="8" t="s">
        <v>46</v>
      </c>
      <c r="H2225" s="8" t="s">
        <v>41</v>
      </c>
      <c r="I2225" s="8" t="s">
        <v>23</v>
      </c>
      <c r="J2225" s="8" t="s">
        <v>10586</v>
      </c>
      <c r="K2225" s="8" t="s">
        <v>10588</v>
      </c>
      <c r="L2225" s="8" t="s">
        <v>76</v>
      </c>
      <c r="M2225" s="8">
        <v>440</v>
      </c>
      <c r="N2225" s="8" t="s">
        <v>716</v>
      </c>
      <c r="O2225" s="8">
        <v>95</v>
      </c>
      <c r="P2225" s="8" t="s">
        <v>10587</v>
      </c>
      <c r="Q2225" s="8" t="s">
        <v>4262</v>
      </c>
      <c r="R2225" s="8">
        <v>0.16900000000000001</v>
      </c>
      <c r="S2225" s="8">
        <v>213186535</v>
      </c>
      <c r="T2225" s="8" t="s">
        <v>46</v>
      </c>
      <c r="U2225" s="8" t="s">
        <v>41</v>
      </c>
    </row>
    <row r="2226" spans="1:21">
      <c r="A2226" s="8" t="s">
        <v>10349</v>
      </c>
      <c r="B2226" s="8" t="s">
        <v>3592</v>
      </c>
      <c r="C2226" s="8">
        <v>7399</v>
      </c>
      <c r="D2226" s="8" t="s">
        <v>22</v>
      </c>
      <c r="E2226" s="8">
        <v>216073449</v>
      </c>
      <c r="F2226" s="8">
        <v>216073449</v>
      </c>
      <c r="G2226" s="8" t="s">
        <v>46</v>
      </c>
      <c r="H2226" s="8" t="s">
        <v>41</v>
      </c>
      <c r="I2226" s="8" t="s">
        <v>23</v>
      </c>
      <c r="J2226" s="8" t="s">
        <v>3593</v>
      </c>
      <c r="K2226" s="8" t="s">
        <v>4464</v>
      </c>
      <c r="L2226" s="8" t="s">
        <v>19</v>
      </c>
      <c r="M2226" s="8">
        <v>7949</v>
      </c>
      <c r="N2226" s="8" t="s">
        <v>2664</v>
      </c>
      <c r="O2226" s="8">
        <v>2521</v>
      </c>
      <c r="P2226" s="8" t="s">
        <v>10589</v>
      </c>
      <c r="Q2226" s="8" t="s">
        <v>4262</v>
      </c>
      <c r="R2226" s="8">
        <v>0.23499999999999999</v>
      </c>
      <c r="S2226" s="8">
        <v>216073449</v>
      </c>
      <c r="T2226" s="8" t="s">
        <v>46</v>
      </c>
      <c r="U2226" s="8" t="s">
        <v>41</v>
      </c>
    </row>
    <row r="2227" spans="1:21">
      <c r="A2227" s="8" t="s">
        <v>10349</v>
      </c>
      <c r="B2227" s="8" t="s">
        <v>3592</v>
      </c>
      <c r="C2227" s="8">
        <v>7399</v>
      </c>
      <c r="D2227" s="8" t="s">
        <v>22</v>
      </c>
      <c r="E2227" s="8">
        <v>216221903</v>
      </c>
      <c r="F2227" s="8">
        <v>216221903</v>
      </c>
      <c r="G2227" s="8" t="s">
        <v>46</v>
      </c>
      <c r="H2227" s="8" t="s">
        <v>41</v>
      </c>
      <c r="I2227" s="8" t="s">
        <v>23</v>
      </c>
      <c r="J2227" s="8" t="s">
        <v>3593</v>
      </c>
      <c r="K2227" s="8" t="s">
        <v>4464</v>
      </c>
      <c r="L2227" s="8" t="s">
        <v>19</v>
      </c>
      <c r="M2227" s="8">
        <v>6523</v>
      </c>
      <c r="N2227" s="8" t="s">
        <v>1070</v>
      </c>
      <c r="O2227" s="8">
        <v>2046</v>
      </c>
      <c r="P2227" s="8" t="s">
        <v>10590</v>
      </c>
      <c r="Q2227" s="8" t="s">
        <v>4262</v>
      </c>
      <c r="R2227" s="8">
        <v>9.7000000000000003E-2</v>
      </c>
      <c r="S2227" s="8">
        <v>216221903</v>
      </c>
      <c r="T2227" s="8" t="s">
        <v>46</v>
      </c>
      <c r="U2227" s="8" t="s">
        <v>41</v>
      </c>
    </row>
    <row r="2228" spans="1:21">
      <c r="A2228" s="8" t="s">
        <v>10349</v>
      </c>
      <c r="B2228" s="8" t="s">
        <v>10591</v>
      </c>
      <c r="C2228" s="8">
        <v>84224</v>
      </c>
      <c r="D2228" s="8" t="s">
        <v>22</v>
      </c>
      <c r="E2228" s="8">
        <v>21798078</v>
      </c>
      <c r="F2228" s="8">
        <v>21798078</v>
      </c>
      <c r="G2228" s="8" t="s">
        <v>24</v>
      </c>
      <c r="H2228" s="8" t="s">
        <v>25</v>
      </c>
      <c r="I2228" s="8" t="s">
        <v>23</v>
      </c>
      <c r="J2228" s="8" t="s">
        <v>10592</v>
      </c>
      <c r="K2228" s="8" t="s">
        <v>10594</v>
      </c>
      <c r="L2228" s="8" t="s">
        <v>19</v>
      </c>
      <c r="M2228" s="8">
        <v>813</v>
      </c>
      <c r="N2228" s="8" t="s">
        <v>1440</v>
      </c>
      <c r="O2228" s="8">
        <v>155</v>
      </c>
      <c r="P2228" s="8" t="s">
        <v>10593</v>
      </c>
      <c r="Q2228" s="8" t="s">
        <v>4262</v>
      </c>
      <c r="R2228" s="8">
        <v>0.17</v>
      </c>
      <c r="S2228" s="8">
        <v>21798078</v>
      </c>
      <c r="T2228" s="8" t="s">
        <v>24</v>
      </c>
      <c r="U2228" s="8" t="s">
        <v>25</v>
      </c>
    </row>
    <row r="2229" spans="1:21">
      <c r="A2229" s="8" t="s">
        <v>10349</v>
      </c>
      <c r="B2229" s="8" t="s">
        <v>10595</v>
      </c>
      <c r="C2229" s="8">
        <v>375056</v>
      </c>
      <c r="D2229" s="8" t="s">
        <v>22</v>
      </c>
      <c r="E2229" s="8">
        <v>222824165</v>
      </c>
      <c r="F2229" s="8">
        <v>222824165</v>
      </c>
      <c r="G2229" s="8" t="s">
        <v>24</v>
      </c>
      <c r="H2229" s="8" t="s">
        <v>25</v>
      </c>
      <c r="I2229" s="8" t="s">
        <v>23</v>
      </c>
      <c r="J2229" s="8" t="s">
        <v>10596</v>
      </c>
      <c r="K2229" s="8" t="s">
        <v>10598</v>
      </c>
      <c r="L2229" s="8" t="s">
        <v>19</v>
      </c>
      <c r="M2229" s="8">
        <v>3838</v>
      </c>
      <c r="N2229" s="8" t="s">
        <v>758</v>
      </c>
      <c r="O2229" s="8">
        <v>1277</v>
      </c>
      <c r="P2229" s="8" t="s">
        <v>10597</v>
      </c>
      <c r="Q2229" s="8" t="s">
        <v>4262</v>
      </c>
      <c r="R2229" s="8">
        <v>0.28899999999999998</v>
      </c>
      <c r="S2229" s="8">
        <v>222824165</v>
      </c>
      <c r="T2229" s="8" t="s">
        <v>24</v>
      </c>
      <c r="U2229" s="8" t="s">
        <v>25</v>
      </c>
    </row>
    <row r="2230" spans="1:21">
      <c r="A2230" s="8" t="s">
        <v>10349</v>
      </c>
      <c r="B2230" s="8" t="s">
        <v>10599</v>
      </c>
      <c r="C2230" s="8">
        <v>55061</v>
      </c>
      <c r="D2230" s="8" t="s">
        <v>22</v>
      </c>
      <c r="E2230" s="8">
        <v>223438058</v>
      </c>
      <c r="F2230" s="8">
        <v>223438058</v>
      </c>
      <c r="G2230" s="8" t="s">
        <v>46</v>
      </c>
      <c r="H2230" s="8" t="s">
        <v>41</v>
      </c>
      <c r="I2230" s="8" t="s">
        <v>23</v>
      </c>
      <c r="J2230" s="8" t="s">
        <v>10600</v>
      </c>
      <c r="K2230" s="8" t="s">
        <v>10602</v>
      </c>
      <c r="L2230" s="8" t="s">
        <v>19</v>
      </c>
      <c r="M2230" s="8">
        <v>819</v>
      </c>
      <c r="N2230" s="8" t="s">
        <v>494</v>
      </c>
      <c r="O2230" s="8">
        <v>213</v>
      </c>
      <c r="P2230" s="8" t="s">
        <v>10601</v>
      </c>
      <c r="Q2230" s="8" t="s">
        <v>4262</v>
      </c>
      <c r="R2230" s="8">
        <v>0.105</v>
      </c>
      <c r="S2230" s="8">
        <v>223438058</v>
      </c>
      <c r="T2230" s="8" t="s">
        <v>46</v>
      </c>
      <c r="U2230" s="8" t="s">
        <v>41</v>
      </c>
    </row>
    <row r="2231" spans="1:21">
      <c r="A2231" s="8" t="s">
        <v>10349</v>
      </c>
      <c r="B2231" s="8" t="s">
        <v>2413</v>
      </c>
      <c r="C2231" s="8">
        <v>23219</v>
      </c>
      <c r="D2231" s="8" t="s">
        <v>22</v>
      </c>
      <c r="E2231" s="8">
        <v>224341028</v>
      </c>
      <c r="F2231" s="8">
        <v>224341028</v>
      </c>
      <c r="G2231" s="8" t="s">
        <v>24</v>
      </c>
      <c r="H2231" s="8" t="s">
        <v>25</v>
      </c>
      <c r="I2231" s="8" t="s">
        <v>23</v>
      </c>
      <c r="J2231" s="8" t="s">
        <v>2414</v>
      </c>
      <c r="K2231" s="8" t="s">
        <v>10604</v>
      </c>
      <c r="L2231" s="8" t="s">
        <v>19</v>
      </c>
      <c r="M2231" s="8">
        <v>742</v>
      </c>
      <c r="N2231" s="8" t="s">
        <v>205</v>
      </c>
      <c r="O2231" s="8">
        <v>234</v>
      </c>
      <c r="P2231" s="8" t="s">
        <v>10603</v>
      </c>
      <c r="Q2231" s="8" t="s">
        <v>4262</v>
      </c>
      <c r="R2231" s="8">
        <v>0.23499999999999999</v>
      </c>
      <c r="S2231" s="8">
        <v>224341028</v>
      </c>
      <c r="T2231" s="8" t="s">
        <v>24</v>
      </c>
      <c r="U2231" s="8" t="s">
        <v>25</v>
      </c>
    </row>
    <row r="2232" spans="1:21">
      <c r="A2232" s="8" t="s">
        <v>10349</v>
      </c>
      <c r="B2232" s="8" t="s">
        <v>10605</v>
      </c>
      <c r="C2232" s="8">
        <v>4931</v>
      </c>
      <c r="D2232" s="8" t="s">
        <v>22</v>
      </c>
      <c r="E2232" s="8">
        <v>224492503</v>
      </c>
      <c r="F2232" s="8">
        <v>224492503</v>
      </c>
      <c r="G2232" s="8" t="s">
        <v>46</v>
      </c>
      <c r="H2232" s="8" t="s">
        <v>41</v>
      </c>
      <c r="I2232" s="8" t="s">
        <v>23</v>
      </c>
      <c r="J2232" s="8" t="s">
        <v>10606</v>
      </c>
      <c r="K2232" s="8" t="s">
        <v>10608</v>
      </c>
      <c r="L2232" s="8" t="s">
        <v>19</v>
      </c>
      <c r="M2232" s="8">
        <v>803</v>
      </c>
      <c r="N2232" s="8" t="s">
        <v>28</v>
      </c>
      <c r="O2232" s="8">
        <v>254</v>
      </c>
      <c r="P2232" s="8" t="s">
        <v>10607</v>
      </c>
      <c r="Q2232" s="8" t="s">
        <v>4262</v>
      </c>
      <c r="R2232" s="8">
        <v>0.2</v>
      </c>
      <c r="S2232" s="8">
        <v>224492503</v>
      </c>
      <c r="T2232" s="8" t="s">
        <v>46</v>
      </c>
      <c r="U2232" s="8" t="s">
        <v>41</v>
      </c>
    </row>
    <row r="2233" spans="1:21">
      <c r="A2233" s="8" t="s">
        <v>10349</v>
      </c>
      <c r="B2233" s="8" t="s">
        <v>10605</v>
      </c>
      <c r="C2233" s="8">
        <v>4931</v>
      </c>
      <c r="D2233" s="8" t="s">
        <v>22</v>
      </c>
      <c r="E2233" s="8">
        <v>224492869</v>
      </c>
      <c r="F2233" s="8">
        <v>224492869</v>
      </c>
      <c r="G2233" s="8" t="s">
        <v>46</v>
      </c>
      <c r="H2233" s="8" t="s">
        <v>41</v>
      </c>
      <c r="I2233" s="8" t="s">
        <v>23</v>
      </c>
      <c r="J2233" s="8" t="s">
        <v>10606</v>
      </c>
      <c r="K2233" s="8" t="s">
        <v>10608</v>
      </c>
      <c r="L2233" s="8" t="s">
        <v>68</v>
      </c>
      <c r="M2233" s="8">
        <v>0</v>
      </c>
      <c r="N2233" s="8" t="s">
        <v>35</v>
      </c>
      <c r="O2233" s="8">
        <v>0</v>
      </c>
      <c r="P2233" s="8" t="s">
        <v>35</v>
      </c>
      <c r="Q2233" s="8" t="s">
        <v>4262</v>
      </c>
      <c r="R2233" s="8">
        <v>0.16700000000000001</v>
      </c>
      <c r="S2233" s="8">
        <v>224492869</v>
      </c>
      <c r="T2233" s="8" t="s">
        <v>46</v>
      </c>
      <c r="U2233" s="8" t="s">
        <v>41</v>
      </c>
    </row>
    <row r="2234" spans="1:21">
      <c r="A2234" s="8" t="s">
        <v>10349</v>
      </c>
      <c r="B2234" s="8" t="s">
        <v>3085</v>
      </c>
      <c r="C2234" s="8">
        <v>127602</v>
      </c>
      <c r="D2234" s="8" t="s">
        <v>22</v>
      </c>
      <c r="E2234" s="8">
        <v>225458485</v>
      </c>
      <c r="F2234" s="8">
        <v>225458485</v>
      </c>
      <c r="G2234" s="8" t="s">
        <v>24</v>
      </c>
      <c r="H2234" s="8" t="s">
        <v>41</v>
      </c>
      <c r="I2234" s="8" t="s">
        <v>23</v>
      </c>
      <c r="J2234" s="8" t="s">
        <v>3086</v>
      </c>
      <c r="K2234" s="8" t="s">
        <v>6368</v>
      </c>
      <c r="L2234" s="8" t="s">
        <v>19</v>
      </c>
      <c r="M2234" s="8">
        <v>7785</v>
      </c>
      <c r="N2234" s="8" t="s">
        <v>883</v>
      </c>
      <c r="O2234" s="8">
        <v>2524</v>
      </c>
      <c r="P2234" s="8" t="s">
        <v>10609</v>
      </c>
      <c r="Q2234" s="8" t="s">
        <v>4262</v>
      </c>
      <c r="R2234" s="8">
        <v>0.154</v>
      </c>
      <c r="S2234" s="8">
        <v>225458485</v>
      </c>
      <c r="T2234" s="8" t="s">
        <v>24</v>
      </c>
      <c r="U2234" s="8" t="s">
        <v>41</v>
      </c>
    </row>
    <row r="2235" spans="1:21">
      <c r="A2235" s="8" t="s">
        <v>10349</v>
      </c>
      <c r="B2235" s="8" t="s">
        <v>4465</v>
      </c>
      <c r="C2235" s="8">
        <v>8476</v>
      </c>
      <c r="D2235" s="8" t="s">
        <v>22</v>
      </c>
      <c r="E2235" s="8">
        <v>227235668</v>
      </c>
      <c r="F2235" s="8">
        <v>227235668</v>
      </c>
      <c r="G2235" s="8" t="s">
        <v>46</v>
      </c>
      <c r="H2235" s="8" t="s">
        <v>41</v>
      </c>
      <c r="I2235" s="8" t="s">
        <v>23</v>
      </c>
      <c r="J2235" s="8" t="s">
        <v>4466</v>
      </c>
      <c r="K2235" s="8" t="s">
        <v>4468</v>
      </c>
      <c r="L2235" s="8" t="s">
        <v>19</v>
      </c>
      <c r="M2235" s="8">
        <v>3891</v>
      </c>
      <c r="N2235" s="8" t="s">
        <v>2483</v>
      </c>
      <c r="O2235" s="8">
        <v>983</v>
      </c>
      <c r="P2235" s="8" t="s">
        <v>10610</v>
      </c>
      <c r="Q2235" s="8" t="s">
        <v>4262</v>
      </c>
      <c r="R2235" s="8">
        <v>0.23400000000000001</v>
      </c>
      <c r="S2235" s="8">
        <v>227235668</v>
      </c>
      <c r="T2235" s="8" t="s">
        <v>46</v>
      </c>
      <c r="U2235" s="8" t="s">
        <v>41</v>
      </c>
    </row>
    <row r="2236" spans="1:21">
      <c r="A2236" s="8" t="s">
        <v>10349</v>
      </c>
      <c r="B2236" s="8" t="s">
        <v>4465</v>
      </c>
      <c r="C2236" s="8">
        <v>8476</v>
      </c>
      <c r="D2236" s="8" t="s">
        <v>22</v>
      </c>
      <c r="E2236" s="8">
        <v>227333270</v>
      </c>
      <c r="F2236" s="8">
        <v>227333270</v>
      </c>
      <c r="G2236" s="8" t="s">
        <v>46</v>
      </c>
      <c r="H2236" s="8" t="s">
        <v>41</v>
      </c>
      <c r="I2236" s="8" t="s">
        <v>23</v>
      </c>
      <c r="J2236" s="8" t="s">
        <v>4466</v>
      </c>
      <c r="K2236" s="8" t="s">
        <v>4468</v>
      </c>
      <c r="L2236" s="8" t="s">
        <v>19</v>
      </c>
      <c r="M2236" s="8">
        <v>2006</v>
      </c>
      <c r="N2236" s="8" t="s">
        <v>758</v>
      </c>
      <c r="O2236" s="8">
        <v>355</v>
      </c>
      <c r="P2236" s="8" t="s">
        <v>10611</v>
      </c>
      <c r="Q2236" s="8" t="s">
        <v>4262</v>
      </c>
      <c r="R2236" s="8">
        <v>0.125</v>
      </c>
      <c r="S2236" s="8">
        <v>227333270</v>
      </c>
      <c r="T2236" s="8" t="s">
        <v>46</v>
      </c>
      <c r="U2236" s="8" t="s">
        <v>41</v>
      </c>
    </row>
    <row r="2237" spans="1:21">
      <c r="A2237" s="8" t="s">
        <v>10349</v>
      </c>
      <c r="B2237" s="8" t="s">
        <v>4465</v>
      </c>
      <c r="C2237" s="8">
        <v>8476</v>
      </c>
      <c r="D2237" s="8" t="s">
        <v>22</v>
      </c>
      <c r="E2237" s="8">
        <v>227348300</v>
      </c>
      <c r="F2237" s="8">
        <v>227348300</v>
      </c>
      <c r="G2237" s="8" t="s">
        <v>46</v>
      </c>
      <c r="H2237" s="8" t="s">
        <v>41</v>
      </c>
      <c r="I2237" s="8" t="s">
        <v>23</v>
      </c>
      <c r="J2237" s="8" t="s">
        <v>4466</v>
      </c>
      <c r="K2237" s="8" t="s">
        <v>4468</v>
      </c>
      <c r="L2237" s="8" t="s">
        <v>19</v>
      </c>
      <c r="M2237" s="8">
        <v>1580</v>
      </c>
      <c r="N2237" s="8" t="s">
        <v>1364</v>
      </c>
      <c r="O2237" s="8">
        <v>213</v>
      </c>
      <c r="P2237" s="8" t="s">
        <v>10612</v>
      </c>
      <c r="Q2237" s="8" t="s">
        <v>4262</v>
      </c>
      <c r="R2237" s="8">
        <v>0.13200000000000001</v>
      </c>
      <c r="S2237" s="8">
        <v>227348300</v>
      </c>
      <c r="T2237" s="8" t="s">
        <v>46</v>
      </c>
      <c r="U2237" s="8" t="s">
        <v>41</v>
      </c>
    </row>
    <row r="2238" spans="1:21">
      <c r="A2238" s="8" t="s">
        <v>10349</v>
      </c>
      <c r="B2238" s="8" t="s">
        <v>876</v>
      </c>
      <c r="C2238" s="8">
        <v>84033</v>
      </c>
      <c r="D2238" s="8" t="s">
        <v>22</v>
      </c>
      <c r="E2238" s="8">
        <v>228437713</v>
      </c>
      <c r="F2238" s="8">
        <v>228437713</v>
      </c>
      <c r="G2238" s="8" t="s">
        <v>46</v>
      </c>
      <c r="H2238" s="8" t="s">
        <v>41</v>
      </c>
      <c r="I2238" s="8" t="s">
        <v>23</v>
      </c>
      <c r="J2238" s="8" t="s">
        <v>877</v>
      </c>
      <c r="K2238" s="8" t="s">
        <v>4470</v>
      </c>
      <c r="L2238" s="8" t="s">
        <v>76</v>
      </c>
      <c r="M2238" s="8">
        <v>4125</v>
      </c>
      <c r="N2238" s="8" t="s">
        <v>371</v>
      </c>
      <c r="O2238" s="8">
        <v>1361</v>
      </c>
      <c r="P2238" s="8" t="s">
        <v>10613</v>
      </c>
      <c r="Q2238" s="8" t="s">
        <v>4262</v>
      </c>
      <c r="R2238" s="8">
        <v>0.127</v>
      </c>
      <c r="S2238" s="8">
        <v>228437713</v>
      </c>
      <c r="T2238" s="8" t="s">
        <v>46</v>
      </c>
      <c r="U2238" s="8" t="s">
        <v>41</v>
      </c>
    </row>
    <row r="2239" spans="1:21">
      <c r="A2239" s="8" t="s">
        <v>10349</v>
      </c>
      <c r="B2239" s="8" t="s">
        <v>876</v>
      </c>
      <c r="C2239" s="8">
        <v>84033</v>
      </c>
      <c r="D2239" s="8" t="s">
        <v>22</v>
      </c>
      <c r="E2239" s="8">
        <v>228444517</v>
      </c>
      <c r="F2239" s="8">
        <v>228444517</v>
      </c>
      <c r="G2239" s="8" t="s">
        <v>46</v>
      </c>
      <c r="H2239" s="8" t="s">
        <v>41</v>
      </c>
      <c r="I2239" s="8" t="s">
        <v>23</v>
      </c>
      <c r="J2239" s="8" t="s">
        <v>877</v>
      </c>
      <c r="K2239" s="8" t="s">
        <v>4470</v>
      </c>
      <c r="L2239" s="8" t="s">
        <v>19</v>
      </c>
      <c r="M2239" s="8">
        <v>4519</v>
      </c>
      <c r="N2239" s="8" t="s">
        <v>389</v>
      </c>
      <c r="O2239" s="8">
        <v>1492</v>
      </c>
      <c r="P2239" s="8" t="s">
        <v>10614</v>
      </c>
      <c r="Q2239" s="8" t="s">
        <v>4262</v>
      </c>
      <c r="R2239" s="8">
        <v>0.39400000000000002</v>
      </c>
      <c r="S2239" s="8">
        <v>228444517</v>
      </c>
      <c r="T2239" s="8" t="s">
        <v>46</v>
      </c>
      <c r="U2239" s="8" t="s">
        <v>41</v>
      </c>
    </row>
    <row r="2240" spans="1:21">
      <c r="A2240" s="8" t="s">
        <v>10349</v>
      </c>
      <c r="B2240" s="8" t="s">
        <v>876</v>
      </c>
      <c r="C2240" s="8">
        <v>84033</v>
      </c>
      <c r="D2240" s="8" t="s">
        <v>22</v>
      </c>
      <c r="E2240" s="8">
        <v>228481958</v>
      </c>
      <c r="F2240" s="8">
        <v>228481958</v>
      </c>
      <c r="G2240" s="8" t="s">
        <v>24</v>
      </c>
      <c r="H2240" s="8" t="s">
        <v>25</v>
      </c>
      <c r="I2240" s="8" t="s">
        <v>23</v>
      </c>
      <c r="J2240" s="8" t="s">
        <v>877</v>
      </c>
      <c r="K2240" s="8" t="s">
        <v>4470</v>
      </c>
      <c r="L2240" s="8" t="s">
        <v>19</v>
      </c>
      <c r="M2240" s="8">
        <v>11281</v>
      </c>
      <c r="N2240" s="8" t="s">
        <v>2483</v>
      </c>
      <c r="O2240" s="8">
        <v>3746</v>
      </c>
      <c r="P2240" s="8" t="s">
        <v>10615</v>
      </c>
      <c r="Q2240" s="8" t="s">
        <v>4262</v>
      </c>
      <c r="R2240" s="8">
        <v>0.33300000000000002</v>
      </c>
      <c r="S2240" s="8">
        <v>228481958</v>
      </c>
      <c r="T2240" s="8" t="s">
        <v>24</v>
      </c>
      <c r="U2240" s="8" t="s">
        <v>25</v>
      </c>
    </row>
    <row r="2241" spans="1:21">
      <c r="A2241" s="8" t="s">
        <v>10349</v>
      </c>
      <c r="B2241" s="8" t="s">
        <v>10616</v>
      </c>
      <c r="C2241" s="8">
        <v>58</v>
      </c>
      <c r="D2241" s="8" t="s">
        <v>22</v>
      </c>
      <c r="E2241" s="8">
        <v>229568390</v>
      </c>
      <c r="F2241" s="8">
        <v>229568390</v>
      </c>
      <c r="G2241" s="8" t="s">
        <v>24</v>
      </c>
      <c r="H2241" s="8" t="s">
        <v>25</v>
      </c>
      <c r="I2241" s="8" t="s">
        <v>23</v>
      </c>
      <c r="J2241" s="8" t="s">
        <v>10617</v>
      </c>
      <c r="K2241" s="8" t="s">
        <v>10619</v>
      </c>
      <c r="L2241" s="8" t="s">
        <v>76</v>
      </c>
      <c r="M2241" s="8">
        <v>472</v>
      </c>
      <c r="N2241" s="8" t="s">
        <v>371</v>
      </c>
      <c r="O2241" s="8">
        <v>123</v>
      </c>
      <c r="P2241" s="8" t="s">
        <v>10618</v>
      </c>
      <c r="Q2241" s="8" t="s">
        <v>4262</v>
      </c>
      <c r="R2241" s="8">
        <v>0.127</v>
      </c>
      <c r="S2241" s="8">
        <v>229568390</v>
      </c>
      <c r="T2241" s="8" t="s">
        <v>24</v>
      </c>
      <c r="U2241" s="8" t="s">
        <v>25</v>
      </c>
    </row>
    <row r="2242" spans="1:21">
      <c r="A2242" s="8" t="s">
        <v>10349</v>
      </c>
      <c r="B2242" s="8" t="s">
        <v>10620</v>
      </c>
      <c r="C2242" s="8">
        <v>128061</v>
      </c>
      <c r="D2242" s="8" t="s">
        <v>22</v>
      </c>
      <c r="E2242" s="8">
        <v>231360116</v>
      </c>
      <c r="F2242" s="8">
        <v>231360116</v>
      </c>
      <c r="G2242" s="8" t="s">
        <v>46</v>
      </c>
      <c r="H2242" s="8" t="s">
        <v>41</v>
      </c>
      <c r="I2242" s="8" t="s">
        <v>23</v>
      </c>
      <c r="J2242" s="8" t="s">
        <v>10621</v>
      </c>
      <c r="K2242" s="8" t="s">
        <v>10623</v>
      </c>
      <c r="L2242" s="8" t="s">
        <v>19</v>
      </c>
      <c r="M2242" s="8">
        <v>828</v>
      </c>
      <c r="N2242" s="8" t="s">
        <v>61</v>
      </c>
      <c r="O2242" s="8">
        <v>264</v>
      </c>
      <c r="P2242" s="8" t="s">
        <v>10622</v>
      </c>
      <c r="Q2242" s="8" t="s">
        <v>4262</v>
      </c>
      <c r="R2242" s="8">
        <v>0.185</v>
      </c>
      <c r="S2242" s="8">
        <v>231360116</v>
      </c>
      <c r="T2242" s="8" t="s">
        <v>46</v>
      </c>
      <c r="U2242" s="8" t="s">
        <v>41</v>
      </c>
    </row>
    <row r="2243" spans="1:21">
      <c r="A2243" s="8" t="s">
        <v>10349</v>
      </c>
      <c r="B2243" s="8" t="s">
        <v>10624</v>
      </c>
      <c r="C2243" s="8">
        <v>2048</v>
      </c>
      <c r="D2243" s="8" t="s">
        <v>22</v>
      </c>
      <c r="E2243" s="8">
        <v>23189587</v>
      </c>
      <c r="F2243" s="8">
        <v>23189587</v>
      </c>
      <c r="G2243" s="8" t="s">
        <v>46</v>
      </c>
      <c r="H2243" s="8" t="s">
        <v>41</v>
      </c>
      <c r="I2243" s="8" t="s">
        <v>23</v>
      </c>
      <c r="J2243" s="8" t="s">
        <v>10625</v>
      </c>
      <c r="K2243" s="8" t="s">
        <v>10627</v>
      </c>
      <c r="L2243" s="8" t="s">
        <v>19</v>
      </c>
      <c r="M2243" s="8">
        <v>1014</v>
      </c>
      <c r="N2243" s="8" t="s">
        <v>333</v>
      </c>
      <c r="O2243" s="8">
        <v>290</v>
      </c>
      <c r="P2243" s="8" t="s">
        <v>10626</v>
      </c>
      <c r="Q2243" s="8" t="s">
        <v>4262</v>
      </c>
      <c r="R2243" s="8">
        <v>0.16</v>
      </c>
      <c r="S2243" s="8">
        <v>23189587</v>
      </c>
      <c r="T2243" s="8" t="s">
        <v>46</v>
      </c>
      <c r="U2243" s="8" t="s">
        <v>41</v>
      </c>
    </row>
    <row r="2244" spans="1:21">
      <c r="A2244" s="8" t="s">
        <v>10349</v>
      </c>
      <c r="B2244" s="8" t="s">
        <v>2417</v>
      </c>
      <c r="C2244" s="8">
        <v>7107</v>
      </c>
      <c r="D2244" s="8" t="s">
        <v>22</v>
      </c>
      <c r="E2244" s="8">
        <v>236341804</v>
      </c>
      <c r="F2244" s="8">
        <v>236341804</v>
      </c>
      <c r="G2244" s="8" t="s">
        <v>24</v>
      </c>
      <c r="H2244" s="8" t="s">
        <v>25</v>
      </c>
      <c r="I2244" s="8" t="s">
        <v>23</v>
      </c>
      <c r="J2244" s="8" t="s">
        <v>2418</v>
      </c>
      <c r="K2244" s="8" t="s">
        <v>10629</v>
      </c>
      <c r="L2244" s="8" t="s">
        <v>76</v>
      </c>
      <c r="M2244" s="8">
        <v>646</v>
      </c>
      <c r="N2244" s="8" t="s">
        <v>716</v>
      </c>
      <c r="O2244" s="8">
        <v>185</v>
      </c>
      <c r="P2244" s="8" t="s">
        <v>10628</v>
      </c>
      <c r="Q2244" s="8" t="s">
        <v>4262</v>
      </c>
      <c r="R2244" s="8">
        <v>0.30199999999999999</v>
      </c>
      <c r="S2244" s="8">
        <v>236341804</v>
      </c>
      <c r="T2244" s="8" t="s">
        <v>24</v>
      </c>
      <c r="U2244" s="8" t="s">
        <v>25</v>
      </c>
    </row>
    <row r="2245" spans="1:21">
      <c r="A2245" s="8" t="s">
        <v>10349</v>
      </c>
      <c r="B2245" s="8" t="s">
        <v>3911</v>
      </c>
      <c r="C2245" s="8">
        <v>56776</v>
      </c>
      <c r="D2245" s="8" t="s">
        <v>22</v>
      </c>
      <c r="E2245" s="8">
        <v>240493921</v>
      </c>
      <c r="F2245" s="8">
        <v>240493921</v>
      </c>
      <c r="G2245" s="8" t="s">
        <v>24</v>
      </c>
      <c r="H2245" s="8" t="s">
        <v>25</v>
      </c>
      <c r="I2245" s="8" t="s">
        <v>23</v>
      </c>
      <c r="J2245" s="8" t="s">
        <v>3912</v>
      </c>
      <c r="K2245" s="8" t="s">
        <v>7119</v>
      </c>
      <c r="L2245" s="8" t="s">
        <v>19</v>
      </c>
      <c r="M2245" s="8">
        <v>4681</v>
      </c>
      <c r="N2245" s="8" t="s">
        <v>28</v>
      </c>
      <c r="O2245" s="8">
        <v>1486</v>
      </c>
      <c r="P2245" s="8" t="s">
        <v>10403</v>
      </c>
      <c r="Q2245" s="8" t="s">
        <v>4262</v>
      </c>
      <c r="R2245" s="8">
        <v>0.158</v>
      </c>
      <c r="S2245" s="8">
        <v>240493921</v>
      </c>
      <c r="T2245" s="8" t="s">
        <v>24</v>
      </c>
      <c r="U2245" s="8" t="s">
        <v>25</v>
      </c>
    </row>
    <row r="2246" spans="1:21">
      <c r="A2246" s="8" t="s">
        <v>10349</v>
      </c>
      <c r="B2246" s="8" t="s">
        <v>10630</v>
      </c>
      <c r="C2246" s="8">
        <v>2271</v>
      </c>
      <c r="D2246" s="8" t="s">
        <v>22</v>
      </c>
      <c r="E2246" s="8">
        <v>241663821</v>
      </c>
      <c r="F2246" s="8">
        <v>241663821</v>
      </c>
      <c r="G2246" s="8" t="s">
        <v>46</v>
      </c>
      <c r="H2246" s="8" t="s">
        <v>41</v>
      </c>
      <c r="I2246" s="8" t="s">
        <v>23</v>
      </c>
      <c r="J2246" s="8" t="s">
        <v>10631</v>
      </c>
      <c r="K2246" s="8" t="s">
        <v>10633</v>
      </c>
      <c r="L2246" s="8" t="s">
        <v>19</v>
      </c>
      <c r="M2246" s="8">
        <v>1369</v>
      </c>
      <c r="N2246" s="8" t="s">
        <v>171</v>
      </c>
      <c r="O2246" s="8">
        <v>436</v>
      </c>
      <c r="P2246" s="8" t="s">
        <v>10632</v>
      </c>
      <c r="Q2246" s="8" t="s">
        <v>4262</v>
      </c>
      <c r="R2246" s="8">
        <v>0.11</v>
      </c>
      <c r="S2246" s="8">
        <v>241663821</v>
      </c>
      <c r="T2246" s="8" t="s">
        <v>46</v>
      </c>
      <c r="U2246" s="8" t="s">
        <v>41</v>
      </c>
    </row>
    <row r="2247" spans="1:21">
      <c r="A2247" s="8" t="s">
        <v>10349</v>
      </c>
      <c r="B2247" s="8" t="s">
        <v>10634</v>
      </c>
      <c r="C2247" s="8">
        <v>10000</v>
      </c>
      <c r="D2247" s="8" t="s">
        <v>22</v>
      </c>
      <c r="E2247" s="8">
        <v>243800995</v>
      </c>
      <c r="F2247" s="8">
        <v>243800995</v>
      </c>
      <c r="G2247" s="8" t="s">
        <v>46</v>
      </c>
      <c r="H2247" s="8" t="s">
        <v>41</v>
      </c>
      <c r="I2247" s="8" t="s">
        <v>23</v>
      </c>
      <c r="J2247" s="8" t="s">
        <v>10635</v>
      </c>
      <c r="K2247" s="8" t="s">
        <v>10637</v>
      </c>
      <c r="L2247" s="8" t="s">
        <v>19</v>
      </c>
      <c r="M2247" s="8">
        <v>591</v>
      </c>
      <c r="N2247" s="8" t="s">
        <v>1399</v>
      </c>
      <c r="O2247" s="8">
        <v>160</v>
      </c>
      <c r="P2247" s="8" t="s">
        <v>10636</v>
      </c>
      <c r="Q2247" s="8" t="s">
        <v>4262</v>
      </c>
      <c r="R2247" s="8">
        <v>0.27300000000000002</v>
      </c>
      <c r="S2247" s="8">
        <v>243800995</v>
      </c>
      <c r="T2247" s="8" t="s">
        <v>46</v>
      </c>
      <c r="U2247" s="8" t="s">
        <v>41</v>
      </c>
    </row>
    <row r="2248" spans="1:21">
      <c r="A2248" s="8" t="s">
        <v>10349</v>
      </c>
      <c r="B2248" s="8" t="s">
        <v>10638</v>
      </c>
      <c r="C2248" s="8">
        <v>163882</v>
      </c>
      <c r="D2248" s="8" t="s">
        <v>22</v>
      </c>
      <c r="E2248" s="8">
        <v>246829169</v>
      </c>
      <c r="F2248" s="8">
        <v>246829169</v>
      </c>
      <c r="G2248" s="8" t="s">
        <v>24</v>
      </c>
      <c r="H2248" s="8" t="s">
        <v>25</v>
      </c>
      <c r="I2248" s="8" t="s">
        <v>23</v>
      </c>
      <c r="J2248" s="8" t="s">
        <v>10639</v>
      </c>
      <c r="K2248" s="8" t="s">
        <v>10641</v>
      </c>
      <c r="L2248" s="8" t="s">
        <v>19</v>
      </c>
      <c r="M2248" s="8">
        <v>2518</v>
      </c>
      <c r="N2248" s="8" t="s">
        <v>1364</v>
      </c>
      <c r="O2248" s="8">
        <v>714</v>
      </c>
      <c r="P2248" s="8" t="s">
        <v>10640</v>
      </c>
      <c r="Q2248" s="8" t="s">
        <v>4262</v>
      </c>
      <c r="R2248" s="8">
        <v>0.23799999999999999</v>
      </c>
      <c r="S2248" s="8">
        <v>246829169</v>
      </c>
      <c r="T2248" s="8" t="s">
        <v>24</v>
      </c>
      <c r="U2248" s="8" t="s">
        <v>25</v>
      </c>
    </row>
    <row r="2249" spans="1:21">
      <c r="A2249" s="8" t="s">
        <v>10349</v>
      </c>
      <c r="B2249" s="8" t="s">
        <v>10642</v>
      </c>
      <c r="C2249" s="8">
        <v>25909</v>
      </c>
      <c r="D2249" s="8" t="s">
        <v>22</v>
      </c>
      <c r="E2249" s="8">
        <v>247063543</v>
      </c>
      <c r="F2249" s="8">
        <v>247063543</v>
      </c>
      <c r="G2249" s="8" t="s">
        <v>46</v>
      </c>
      <c r="H2249" s="8" t="s">
        <v>41</v>
      </c>
      <c r="I2249" s="8" t="s">
        <v>23</v>
      </c>
      <c r="J2249" s="8" t="s">
        <v>10643</v>
      </c>
      <c r="K2249" s="8" t="s">
        <v>10645</v>
      </c>
      <c r="L2249" s="8" t="s">
        <v>19</v>
      </c>
      <c r="M2249" s="8">
        <v>1380</v>
      </c>
      <c r="N2249" s="8" t="s">
        <v>494</v>
      </c>
      <c r="O2249" s="8">
        <v>428</v>
      </c>
      <c r="P2249" s="8" t="s">
        <v>10644</v>
      </c>
      <c r="Q2249" s="8" t="s">
        <v>4262</v>
      </c>
      <c r="R2249" s="8">
        <v>0.16400000000000001</v>
      </c>
      <c r="S2249" s="8">
        <v>247063543</v>
      </c>
      <c r="T2249" s="8" t="s">
        <v>46</v>
      </c>
      <c r="U2249" s="8" t="s">
        <v>41</v>
      </c>
    </row>
    <row r="2250" spans="1:21">
      <c r="A2250" s="8" t="s">
        <v>10349</v>
      </c>
      <c r="B2250" s="8" t="s">
        <v>10646</v>
      </c>
      <c r="C2250" s="8">
        <v>441932</v>
      </c>
      <c r="D2250" s="8" t="s">
        <v>22</v>
      </c>
      <c r="E2250" s="8">
        <v>247655213</v>
      </c>
      <c r="F2250" s="8">
        <v>247655213</v>
      </c>
      <c r="G2250" s="8" t="s">
        <v>24</v>
      </c>
      <c r="H2250" s="8" t="s">
        <v>25</v>
      </c>
      <c r="I2250" s="8" t="s">
        <v>23</v>
      </c>
      <c r="J2250" s="8" t="s">
        <v>10647</v>
      </c>
      <c r="K2250" s="8" t="s">
        <v>10649</v>
      </c>
      <c r="L2250" s="8" t="s">
        <v>19</v>
      </c>
      <c r="M2250" s="8">
        <v>844</v>
      </c>
      <c r="N2250" s="8" t="s">
        <v>155</v>
      </c>
      <c r="O2250" s="8">
        <v>262</v>
      </c>
      <c r="P2250" s="8" t="s">
        <v>10648</v>
      </c>
      <c r="Q2250" s="8" t="s">
        <v>4262</v>
      </c>
      <c r="R2250" s="8">
        <v>0.24</v>
      </c>
      <c r="S2250" s="8">
        <v>247655213</v>
      </c>
      <c r="T2250" s="8" t="s">
        <v>24</v>
      </c>
      <c r="U2250" s="8" t="s">
        <v>25</v>
      </c>
    </row>
    <row r="2251" spans="1:21">
      <c r="A2251" s="8" t="s">
        <v>10349</v>
      </c>
      <c r="B2251" s="8" t="s">
        <v>10650</v>
      </c>
      <c r="C2251" s="8">
        <v>26188</v>
      </c>
      <c r="D2251" s="8" t="s">
        <v>22</v>
      </c>
      <c r="E2251" s="8">
        <v>247920831</v>
      </c>
      <c r="F2251" s="8">
        <v>247920831</v>
      </c>
      <c r="G2251" s="8" t="s">
        <v>46</v>
      </c>
      <c r="H2251" s="8" t="s">
        <v>41</v>
      </c>
      <c r="I2251" s="8" t="s">
        <v>23</v>
      </c>
      <c r="J2251" s="8" t="s">
        <v>10651</v>
      </c>
      <c r="K2251" s="8" t="s">
        <v>10653</v>
      </c>
      <c r="L2251" s="8" t="s">
        <v>19</v>
      </c>
      <c r="M2251" s="8">
        <v>878</v>
      </c>
      <c r="N2251" s="8" t="s">
        <v>2483</v>
      </c>
      <c r="O2251" s="8">
        <v>293</v>
      </c>
      <c r="P2251" s="8" t="s">
        <v>10652</v>
      </c>
      <c r="Q2251" s="8" t="s">
        <v>4262</v>
      </c>
      <c r="R2251" s="8">
        <v>0.255</v>
      </c>
      <c r="S2251" s="8">
        <v>247920831</v>
      </c>
      <c r="T2251" s="8" t="s">
        <v>46</v>
      </c>
      <c r="U2251" s="8" t="s">
        <v>41</v>
      </c>
    </row>
    <row r="2252" spans="1:21">
      <c r="A2252" s="8" t="s">
        <v>10349</v>
      </c>
      <c r="B2252" s="8" t="s">
        <v>10654</v>
      </c>
      <c r="C2252" s="8">
        <v>127062</v>
      </c>
      <c r="D2252" s="8" t="s">
        <v>22</v>
      </c>
      <c r="E2252" s="8">
        <v>248366725</v>
      </c>
      <c r="F2252" s="8">
        <v>248366725</v>
      </c>
      <c r="G2252" s="8" t="s">
        <v>46</v>
      </c>
      <c r="H2252" s="8" t="s">
        <v>41</v>
      </c>
      <c r="I2252" s="8" t="s">
        <v>23</v>
      </c>
      <c r="J2252" s="8" t="s">
        <v>10655</v>
      </c>
      <c r="K2252" s="8" t="s">
        <v>10657</v>
      </c>
      <c r="L2252" s="8" t="s">
        <v>19</v>
      </c>
      <c r="M2252" s="8">
        <v>356</v>
      </c>
      <c r="N2252" s="8" t="s">
        <v>389</v>
      </c>
      <c r="O2252" s="8">
        <v>119</v>
      </c>
      <c r="P2252" s="8" t="s">
        <v>10656</v>
      </c>
      <c r="Q2252" s="8" t="s">
        <v>4262</v>
      </c>
      <c r="R2252" s="8">
        <v>0.13</v>
      </c>
      <c r="S2252" s="8">
        <v>248366725</v>
      </c>
      <c r="T2252" s="8" t="s">
        <v>46</v>
      </c>
      <c r="U2252" s="8" t="s">
        <v>41</v>
      </c>
    </row>
    <row r="2253" spans="1:21">
      <c r="A2253" s="8" t="s">
        <v>10349</v>
      </c>
      <c r="B2253" s="8" t="s">
        <v>10658</v>
      </c>
      <c r="C2253" s="8">
        <v>391211</v>
      </c>
      <c r="D2253" s="8" t="s">
        <v>22</v>
      </c>
      <c r="E2253" s="8">
        <v>248685062</v>
      </c>
      <c r="F2253" s="8">
        <v>248685062</v>
      </c>
      <c r="G2253" s="8" t="s">
        <v>46</v>
      </c>
      <c r="H2253" s="8" t="s">
        <v>41</v>
      </c>
      <c r="I2253" s="8" t="s">
        <v>23</v>
      </c>
      <c r="J2253" s="8" t="s">
        <v>10659</v>
      </c>
      <c r="K2253" s="8" t="s">
        <v>10661</v>
      </c>
      <c r="L2253" s="8" t="s">
        <v>19</v>
      </c>
      <c r="M2253" s="8">
        <v>115</v>
      </c>
      <c r="N2253" s="8" t="s">
        <v>1118</v>
      </c>
      <c r="O2253" s="8">
        <v>39</v>
      </c>
      <c r="P2253" s="8" t="s">
        <v>10660</v>
      </c>
      <c r="Q2253" s="8" t="s">
        <v>4262</v>
      </c>
      <c r="R2253" s="8">
        <v>0.23300000000000001</v>
      </c>
      <c r="S2253" s="8">
        <v>248685062</v>
      </c>
      <c r="T2253" s="8" t="s">
        <v>46</v>
      </c>
      <c r="U2253" s="8" t="s">
        <v>41</v>
      </c>
    </row>
    <row r="2254" spans="1:21">
      <c r="A2254" s="8" t="s">
        <v>10349</v>
      </c>
      <c r="B2254" s="8" t="s">
        <v>2420</v>
      </c>
      <c r="C2254" s="8">
        <v>10726</v>
      </c>
      <c r="D2254" s="8" t="s">
        <v>22</v>
      </c>
      <c r="E2254" s="8">
        <v>27269527</v>
      </c>
      <c r="F2254" s="8">
        <v>27269527</v>
      </c>
      <c r="G2254" s="8" t="s">
        <v>24</v>
      </c>
      <c r="H2254" s="8" t="s">
        <v>25</v>
      </c>
      <c r="I2254" s="8" t="s">
        <v>23</v>
      </c>
      <c r="J2254" s="8" t="s">
        <v>2421</v>
      </c>
      <c r="K2254" s="8" t="s">
        <v>5045</v>
      </c>
      <c r="L2254" s="8" t="s">
        <v>19</v>
      </c>
      <c r="M2254" s="8">
        <v>828</v>
      </c>
      <c r="N2254" s="8" t="s">
        <v>536</v>
      </c>
      <c r="O2254" s="8">
        <v>238</v>
      </c>
      <c r="P2254" s="8" t="s">
        <v>10662</v>
      </c>
      <c r="Q2254" s="8" t="s">
        <v>4262</v>
      </c>
      <c r="R2254" s="8">
        <v>0.26700000000000002</v>
      </c>
      <c r="S2254" s="8">
        <v>27269527</v>
      </c>
      <c r="T2254" s="8" t="s">
        <v>24</v>
      </c>
      <c r="U2254" s="8" t="s">
        <v>25</v>
      </c>
    </row>
    <row r="2255" spans="1:21">
      <c r="A2255" s="8" t="s">
        <v>10349</v>
      </c>
      <c r="B2255" s="8" t="s">
        <v>2422</v>
      </c>
      <c r="C2255" s="8">
        <v>84958</v>
      </c>
      <c r="D2255" s="8" t="s">
        <v>22</v>
      </c>
      <c r="E2255" s="8">
        <v>27676899</v>
      </c>
      <c r="F2255" s="8">
        <v>27676899</v>
      </c>
      <c r="G2255" s="8" t="s">
        <v>46</v>
      </c>
      <c r="H2255" s="8" t="s">
        <v>41</v>
      </c>
      <c r="I2255" s="8" t="s">
        <v>23</v>
      </c>
      <c r="J2255" s="8" t="s">
        <v>10663</v>
      </c>
      <c r="K2255" s="8" t="s">
        <v>10665</v>
      </c>
      <c r="L2255" s="8" t="s">
        <v>19</v>
      </c>
      <c r="M2255" s="8">
        <v>1125</v>
      </c>
      <c r="N2255" s="8" t="s">
        <v>58</v>
      </c>
      <c r="O2255" s="8">
        <v>310</v>
      </c>
      <c r="P2255" s="8" t="s">
        <v>10664</v>
      </c>
      <c r="Q2255" s="8" t="s">
        <v>4262</v>
      </c>
      <c r="R2255" s="8">
        <v>0.111</v>
      </c>
      <c r="S2255" s="8">
        <v>27676899</v>
      </c>
      <c r="T2255" s="8" t="s">
        <v>46</v>
      </c>
      <c r="U2255" s="8" t="s">
        <v>41</v>
      </c>
    </row>
    <row r="2256" spans="1:21">
      <c r="A2256" s="8" t="s">
        <v>10349</v>
      </c>
      <c r="B2256" s="8" t="s">
        <v>10666</v>
      </c>
      <c r="C2256" s="8">
        <v>2827</v>
      </c>
      <c r="D2256" s="8" t="s">
        <v>22</v>
      </c>
      <c r="E2256" s="8">
        <v>27720454</v>
      </c>
      <c r="F2256" s="8">
        <v>27720454</v>
      </c>
      <c r="G2256" s="8" t="s">
        <v>24</v>
      </c>
      <c r="H2256" s="8" t="s">
        <v>25</v>
      </c>
      <c r="I2256" s="8" t="s">
        <v>23</v>
      </c>
      <c r="J2256" s="8" t="s">
        <v>10667</v>
      </c>
      <c r="K2256" s="8" t="s">
        <v>10669</v>
      </c>
      <c r="L2256" s="8" t="s">
        <v>19</v>
      </c>
      <c r="M2256" s="8">
        <v>247</v>
      </c>
      <c r="N2256" s="8" t="s">
        <v>205</v>
      </c>
      <c r="O2256" s="8">
        <v>51</v>
      </c>
      <c r="P2256" s="8" t="s">
        <v>10668</v>
      </c>
      <c r="Q2256" s="8" t="s">
        <v>4262</v>
      </c>
      <c r="R2256" s="8">
        <v>0.25</v>
      </c>
      <c r="S2256" s="8">
        <v>27720454</v>
      </c>
      <c r="T2256" s="8" t="s">
        <v>24</v>
      </c>
      <c r="U2256" s="8" t="s">
        <v>25</v>
      </c>
    </row>
    <row r="2257" spans="1:21">
      <c r="A2257" s="8" t="s">
        <v>10349</v>
      </c>
      <c r="B2257" s="8" t="s">
        <v>10670</v>
      </c>
      <c r="C2257" s="8">
        <v>10691</v>
      </c>
      <c r="D2257" s="8" t="s">
        <v>22</v>
      </c>
      <c r="E2257" s="8">
        <v>29037115</v>
      </c>
      <c r="F2257" s="8">
        <v>29037115</v>
      </c>
      <c r="G2257" s="8" t="s">
        <v>24</v>
      </c>
      <c r="H2257" s="8" t="s">
        <v>25</v>
      </c>
      <c r="I2257" s="8" t="s">
        <v>23</v>
      </c>
      <c r="J2257" s="8" t="s">
        <v>10671</v>
      </c>
      <c r="K2257" s="8" t="s">
        <v>10673</v>
      </c>
      <c r="L2257" s="8" t="s">
        <v>19</v>
      </c>
      <c r="M2257" s="8">
        <v>1091</v>
      </c>
      <c r="N2257" s="8" t="s">
        <v>322</v>
      </c>
      <c r="O2257" s="8">
        <v>318</v>
      </c>
      <c r="P2257" s="8" t="s">
        <v>10672</v>
      </c>
      <c r="Q2257" s="8" t="s">
        <v>4262</v>
      </c>
      <c r="R2257" s="8">
        <v>0.115</v>
      </c>
      <c r="S2257" s="8">
        <v>29037115</v>
      </c>
      <c r="T2257" s="8" t="s">
        <v>24</v>
      </c>
      <c r="U2257" s="8" t="s">
        <v>25</v>
      </c>
    </row>
    <row r="2258" spans="1:21">
      <c r="A2258" s="8" t="s">
        <v>10349</v>
      </c>
      <c r="B2258" s="8" t="s">
        <v>10674</v>
      </c>
      <c r="C2258" s="8">
        <v>9698</v>
      </c>
      <c r="D2258" s="8" t="s">
        <v>22</v>
      </c>
      <c r="E2258" s="8">
        <v>31465458</v>
      </c>
      <c r="F2258" s="8">
        <v>31465458</v>
      </c>
      <c r="G2258" s="8" t="s">
        <v>46</v>
      </c>
      <c r="H2258" s="8" t="s">
        <v>41</v>
      </c>
      <c r="I2258" s="8" t="s">
        <v>23</v>
      </c>
      <c r="J2258" s="8" t="s">
        <v>10675</v>
      </c>
      <c r="K2258" s="8" t="s">
        <v>10677</v>
      </c>
      <c r="L2258" s="8" t="s">
        <v>19</v>
      </c>
      <c r="M2258" s="8">
        <v>1050</v>
      </c>
      <c r="N2258" s="8" t="s">
        <v>878</v>
      </c>
      <c r="O2258" s="8">
        <v>313</v>
      </c>
      <c r="P2258" s="8" t="s">
        <v>10676</v>
      </c>
      <c r="Q2258" s="8" t="s">
        <v>4262</v>
      </c>
      <c r="R2258" s="8">
        <v>0.17100000000000001</v>
      </c>
      <c r="S2258" s="8">
        <v>31465458</v>
      </c>
      <c r="T2258" s="8" t="s">
        <v>46</v>
      </c>
      <c r="U2258" s="8" t="s">
        <v>41</v>
      </c>
    </row>
    <row r="2259" spans="1:21">
      <c r="A2259" s="8" t="s">
        <v>10349</v>
      </c>
      <c r="B2259" s="8" t="s">
        <v>2423</v>
      </c>
      <c r="C2259" s="8">
        <v>114784</v>
      </c>
      <c r="D2259" s="8" t="s">
        <v>22</v>
      </c>
      <c r="E2259" s="8">
        <v>34066474</v>
      </c>
      <c r="F2259" s="8">
        <v>34066474</v>
      </c>
      <c r="G2259" s="8" t="s">
        <v>46</v>
      </c>
      <c r="H2259" s="8" t="s">
        <v>41</v>
      </c>
      <c r="I2259" s="8" t="s">
        <v>23</v>
      </c>
      <c r="J2259" s="8" t="s">
        <v>2424</v>
      </c>
      <c r="K2259" s="8" t="s">
        <v>10679</v>
      </c>
      <c r="L2259" s="8" t="s">
        <v>19</v>
      </c>
      <c r="M2259" s="8">
        <v>6882</v>
      </c>
      <c r="N2259" s="8" t="s">
        <v>768</v>
      </c>
      <c r="O2259" s="8">
        <v>2285</v>
      </c>
      <c r="P2259" s="8" t="s">
        <v>10678</v>
      </c>
      <c r="Q2259" s="8" t="s">
        <v>4262</v>
      </c>
      <c r="R2259" s="8">
        <v>0.188</v>
      </c>
      <c r="S2259" s="8">
        <v>34066474</v>
      </c>
      <c r="T2259" s="8" t="s">
        <v>46</v>
      </c>
      <c r="U2259" s="8" t="s">
        <v>41</v>
      </c>
    </row>
    <row r="2260" spans="1:21">
      <c r="A2260" s="8" t="s">
        <v>10349</v>
      </c>
      <c r="B2260" s="8" t="s">
        <v>2423</v>
      </c>
      <c r="C2260" s="8">
        <v>114784</v>
      </c>
      <c r="D2260" s="8" t="s">
        <v>22</v>
      </c>
      <c r="E2260" s="8">
        <v>34401424</v>
      </c>
      <c r="F2260" s="8">
        <v>34401424</v>
      </c>
      <c r="G2260" s="8" t="s">
        <v>24</v>
      </c>
      <c r="H2260" s="8" t="s">
        <v>25</v>
      </c>
      <c r="I2260" s="8" t="s">
        <v>23</v>
      </c>
      <c r="J2260" s="8" t="s">
        <v>2424</v>
      </c>
      <c r="K2260" s="8" t="s">
        <v>10679</v>
      </c>
      <c r="L2260" s="8" t="s">
        <v>19</v>
      </c>
      <c r="M2260" s="8">
        <v>558</v>
      </c>
      <c r="N2260" s="8" t="s">
        <v>58</v>
      </c>
      <c r="O2260" s="8">
        <v>177</v>
      </c>
      <c r="P2260" s="8" t="s">
        <v>10680</v>
      </c>
      <c r="Q2260" s="8" t="s">
        <v>4262</v>
      </c>
      <c r="R2260" s="8">
        <v>0.3</v>
      </c>
      <c r="S2260" s="8">
        <v>34401424</v>
      </c>
      <c r="T2260" s="8" t="s">
        <v>24</v>
      </c>
      <c r="U2260" s="8" t="s">
        <v>25</v>
      </c>
    </row>
    <row r="2261" spans="1:21">
      <c r="A2261" s="8" t="s">
        <v>10349</v>
      </c>
      <c r="B2261" s="8" t="s">
        <v>7142</v>
      </c>
      <c r="C2261" s="8">
        <v>84970</v>
      </c>
      <c r="D2261" s="8" t="s">
        <v>22</v>
      </c>
      <c r="E2261" s="8">
        <v>34684291</v>
      </c>
      <c r="F2261" s="8">
        <v>34684291</v>
      </c>
      <c r="G2261" s="8" t="s">
        <v>24</v>
      </c>
      <c r="H2261" s="8" t="s">
        <v>25</v>
      </c>
      <c r="I2261" s="8" t="s">
        <v>23</v>
      </c>
      <c r="J2261" s="8" t="s">
        <v>7143</v>
      </c>
      <c r="K2261" s="8" t="s">
        <v>7145</v>
      </c>
      <c r="L2261" s="8" t="s">
        <v>19</v>
      </c>
      <c r="M2261" s="8">
        <v>2564</v>
      </c>
      <c r="N2261" s="8" t="s">
        <v>536</v>
      </c>
      <c r="O2261" s="8">
        <v>576</v>
      </c>
      <c r="P2261" s="8" t="s">
        <v>10681</v>
      </c>
      <c r="Q2261" s="8" t="s">
        <v>4262</v>
      </c>
      <c r="R2261" s="8">
        <v>0.25700000000000001</v>
      </c>
      <c r="S2261" s="8">
        <v>34684291</v>
      </c>
      <c r="T2261" s="8" t="s">
        <v>24</v>
      </c>
      <c r="U2261" s="8" t="s">
        <v>25</v>
      </c>
    </row>
    <row r="2262" spans="1:21">
      <c r="A2262" s="8" t="s">
        <v>10349</v>
      </c>
      <c r="B2262" s="8" t="s">
        <v>10682</v>
      </c>
      <c r="C2262" s="8">
        <v>192670</v>
      </c>
      <c r="D2262" s="8" t="s">
        <v>22</v>
      </c>
      <c r="E2262" s="8">
        <v>36297709</v>
      </c>
      <c r="F2262" s="8">
        <v>36297709</v>
      </c>
      <c r="G2262" s="8" t="s">
        <v>24</v>
      </c>
      <c r="H2262" s="8" t="s">
        <v>25</v>
      </c>
      <c r="I2262" s="8" t="s">
        <v>23</v>
      </c>
      <c r="J2262" s="8" t="s">
        <v>10683</v>
      </c>
      <c r="K2262" s="8" t="s">
        <v>10685</v>
      </c>
      <c r="L2262" s="8" t="s">
        <v>19</v>
      </c>
      <c r="M2262" s="8">
        <v>1358</v>
      </c>
      <c r="N2262" s="8" t="s">
        <v>878</v>
      </c>
      <c r="O2262" s="8">
        <v>390</v>
      </c>
      <c r="P2262" s="8" t="s">
        <v>10684</v>
      </c>
      <c r="Q2262" s="8" t="s">
        <v>4262</v>
      </c>
      <c r="R2262" s="8">
        <v>0.153</v>
      </c>
      <c r="S2262" s="8">
        <v>36297709</v>
      </c>
      <c r="T2262" s="8" t="s">
        <v>24</v>
      </c>
      <c r="U2262" s="8" t="s">
        <v>25</v>
      </c>
    </row>
    <row r="2263" spans="1:21">
      <c r="A2263" s="8" t="s">
        <v>10349</v>
      </c>
      <c r="B2263" s="8" t="s">
        <v>308</v>
      </c>
      <c r="C2263" s="8">
        <v>23499</v>
      </c>
      <c r="D2263" s="8" t="s">
        <v>22</v>
      </c>
      <c r="E2263" s="8">
        <v>39818823</v>
      </c>
      <c r="F2263" s="8">
        <v>39818823</v>
      </c>
      <c r="G2263" s="8" t="s">
        <v>24</v>
      </c>
      <c r="H2263" s="8" t="s">
        <v>25</v>
      </c>
      <c r="I2263" s="8" t="s">
        <v>23</v>
      </c>
      <c r="J2263" s="8" t="s">
        <v>1435</v>
      </c>
      <c r="K2263" s="8" t="s">
        <v>10687</v>
      </c>
      <c r="L2263" s="8" t="s">
        <v>19</v>
      </c>
      <c r="M2263" s="8">
        <v>5392</v>
      </c>
      <c r="N2263" s="8" t="s">
        <v>1364</v>
      </c>
      <c r="O2263" s="8">
        <v>1720</v>
      </c>
      <c r="P2263" s="8" t="s">
        <v>10686</v>
      </c>
      <c r="Q2263" s="8" t="s">
        <v>4262</v>
      </c>
      <c r="R2263" s="8">
        <v>0.25</v>
      </c>
      <c r="S2263" s="8">
        <v>39818823</v>
      </c>
      <c r="T2263" s="8" t="s">
        <v>24</v>
      </c>
      <c r="U2263" s="8" t="s">
        <v>25</v>
      </c>
    </row>
    <row r="2264" spans="1:21">
      <c r="A2264" s="8" t="s">
        <v>10349</v>
      </c>
      <c r="B2264" s="8" t="s">
        <v>308</v>
      </c>
      <c r="C2264" s="8">
        <v>23499</v>
      </c>
      <c r="D2264" s="8" t="s">
        <v>22</v>
      </c>
      <c r="E2264" s="8">
        <v>39854241</v>
      </c>
      <c r="F2264" s="8">
        <v>39854241</v>
      </c>
      <c r="G2264" s="8" t="s">
        <v>24</v>
      </c>
      <c r="H2264" s="8" t="s">
        <v>25</v>
      </c>
      <c r="I2264" s="8" t="s">
        <v>23</v>
      </c>
      <c r="J2264" s="8" t="s">
        <v>1435</v>
      </c>
      <c r="K2264" s="8" t="s">
        <v>10687</v>
      </c>
      <c r="L2264" s="8" t="s">
        <v>19</v>
      </c>
      <c r="M2264" s="8">
        <v>9775</v>
      </c>
      <c r="N2264" s="8" t="s">
        <v>941</v>
      </c>
      <c r="O2264" s="8">
        <v>3181</v>
      </c>
      <c r="P2264" s="8" t="s">
        <v>10688</v>
      </c>
      <c r="Q2264" s="8" t="s">
        <v>4262</v>
      </c>
      <c r="R2264" s="8">
        <v>0.28599999999999998</v>
      </c>
      <c r="S2264" s="8">
        <v>39854241</v>
      </c>
      <c r="T2264" s="8" t="s">
        <v>24</v>
      </c>
      <c r="U2264" s="8" t="s">
        <v>25</v>
      </c>
    </row>
    <row r="2265" spans="1:21">
      <c r="A2265" s="8" t="s">
        <v>10349</v>
      </c>
      <c r="B2265" s="8" t="s">
        <v>308</v>
      </c>
      <c r="C2265" s="8">
        <v>23499</v>
      </c>
      <c r="D2265" s="8" t="s">
        <v>22</v>
      </c>
      <c r="E2265" s="8">
        <v>39926422</v>
      </c>
      <c r="F2265" s="8">
        <v>39926422</v>
      </c>
      <c r="G2265" s="8" t="s">
        <v>24</v>
      </c>
      <c r="H2265" s="8" t="s">
        <v>25</v>
      </c>
      <c r="I2265" s="8" t="s">
        <v>23</v>
      </c>
      <c r="J2265" s="8" t="s">
        <v>1435</v>
      </c>
      <c r="K2265" s="8" t="s">
        <v>10687</v>
      </c>
      <c r="L2265" s="8" t="s">
        <v>19</v>
      </c>
      <c r="M2265" s="8">
        <v>15536</v>
      </c>
      <c r="N2265" s="8" t="s">
        <v>1399</v>
      </c>
      <c r="O2265" s="8">
        <v>5101</v>
      </c>
      <c r="P2265" s="8" t="s">
        <v>10689</v>
      </c>
      <c r="Q2265" s="8" t="s">
        <v>4262</v>
      </c>
      <c r="R2265" s="8">
        <v>0.184</v>
      </c>
      <c r="S2265" s="8">
        <v>39926422</v>
      </c>
      <c r="T2265" s="8" t="s">
        <v>24</v>
      </c>
      <c r="U2265" s="8" t="s">
        <v>25</v>
      </c>
    </row>
    <row r="2266" spans="1:21">
      <c r="A2266" s="8" t="s">
        <v>10349</v>
      </c>
      <c r="B2266" s="8" t="s">
        <v>10690</v>
      </c>
      <c r="C2266" s="8">
        <v>728621</v>
      </c>
      <c r="D2266" s="8" t="s">
        <v>22</v>
      </c>
      <c r="E2266" s="8">
        <v>43108159</v>
      </c>
      <c r="F2266" s="8">
        <v>43108159</v>
      </c>
      <c r="G2266" s="8" t="s">
        <v>24</v>
      </c>
      <c r="H2266" s="8" t="s">
        <v>25</v>
      </c>
      <c r="I2266" s="8" t="s">
        <v>23</v>
      </c>
      <c r="J2266" s="8" t="s">
        <v>10691</v>
      </c>
      <c r="K2266" s="8" t="s">
        <v>10693</v>
      </c>
      <c r="L2266" s="8" t="s">
        <v>19</v>
      </c>
      <c r="M2266" s="8">
        <v>1764</v>
      </c>
      <c r="N2266" s="8" t="s">
        <v>485</v>
      </c>
      <c r="O2266" s="8">
        <v>552</v>
      </c>
      <c r="P2266" s="8" t="s">
        <v>10692</v>
      </c>
      <c r="Q2266" s="8" t="s">
        <v>4262</v>
      </c>
      <c r="R2266" s="8">
        <v>0.23400000000000001</v>
      </c>
      <c r="S2266" s="8">
        <v>43108159</v>
      </c>
      <c r="T2266" s="8" t="s">
        <v>24</v>
      </c>
      <c r="U2266" s="8" t="s">
        <v>25</v>
      </c>
    </row>
    <row r="2267" spans="1:21">
      <c r="A2267" s="8" t="s">
        <v>10349</v>
      </c>
      <c r="B2267" s="8" t="s">
        <v>10694</v>
      </c>
      <c r="C2267" s="8">
        <v>6487</v>
      </c>
      <c r="D2267" s="8" t="s">
        <v>22</v>
      </c>
      <c r="E2267" s="8">
        <v>44360116</v>
      </c>
      <c r="F2267" s="8">
        <v>44360116</v>
      </c>
      <c r="G2267" s="8" t="s">
        <v>24</v>
      </c>
      <c r="H2267" s="8" t="s">
        <v>41</v>
      </c>
      <c r="I2267" s="8" t="s">
        <v>23</v>
      </c>
      <c r="J2267" s="8" t="s">
        <v>10695</v>
      </c>
      <c r="K2267" s="8" t="s">
        <v>10697</v>
      </c>
      <c r="L2267" s="8" t="s">
        <v>76</v>
      </c>
      <c r="M2267" s="8">
        <v>748</v>
      </c>
      <c r="N2267" s="8" t="s">
        <v>263</v>
      </c>
      <c r="O2267" s="8">
        <v>191</v>
      </c>
      <c r="P2267" s="8" t="s">
        <v>10696</v>
      </c>
      <c r="Q2267" s="8" t="s">
        <v>4262</v>
      </c>
      <c r="R2267" s="8">
        <v>0.16300000000000001</v>
      </c>
      <c r="S2267" s="8">
        <v>44360116</v>
      </c>
      <c r="T2267" s="8" t="s">
        <v>24</v>
      </c>
      <c r="U2267" s="8" t="s">
        <v>41</v>
      </c>
    </row>
    <row r="2268" spans="1:21">
      <c r="A2268" s="8" t="s">
        <v>10349</v>
      </c>
      <c r="B2268" s="8" t="s">
        <v>432</v>
      </c>
      <c r="C2268" s="8">
        <v>55182</v>
      </c>
      <c r="D2268" s="8" t="s">
        <v>22</v>
      </c>
      <c r="E2268" s="8">
        <v>44878034</v>
      </c>
      <c r="F2268" s="8">
        <v>44878034</v>
      </c>
      <c r="G2268" s="8" t="s">
        <v>46</v>
      </c>
      <c r="H2268" s="8" t="s">
        <v>41</v>
      </c>
      <c r="I2268" s="8" t="s">
        <v>23</v>
      </c>
      <c r="J2268" s="8" t="s">
        <v>433</v>
      </c>
      <c r="K2268" s="8" t="s">
        <v>10699</v>
      </c>
      <c r="L2268" s="8" t="s">
        <v>19</v>
      </c>
      <c r="M2268" s="8">
        <v>625</v>
      </c>
      <c r="N2268" s="8" t="s">
        <v>2400</v>
      </c>
      <c r="O2268" s="8">
        <v>89</v>
      </c>
      <c r="P2268" s="8" t="s">
        <v>10698</v>
      </c>
      <c r="Q2268" s="8" t="s">
        <v>4262</v>
      </c>
      <c r="R2268" s="8">
        <v>0.16700000000000001</v>
      </c>
      <c r="S2268" s="8">
        <v>44878034</v>
      </c>
      <c r="T2268" s="8" t="s">
        <v>46</v>
      </c>
      <c r="U2268" s="8" t="s">
        <v>41</v>
      </c>
    </row>
    <row r="2269" spans="1:21">
      <c r="A2269" s="8" t="s">
        <v>10349</v>
      </c>
      <c r="B2269" s="8" t="s">
        <v>2047</v>
      </c>
      <c r="C2269" s="8">
        <v>9378</v>
      </c>
      <c r="D2269" s="8" t="s">
        <v>172</v>
      </c>
      <c r="E2269" s="8">
        <v>50318598</v>
      </c>
      <c r="F2269" s="8">
        <v>50318598</v>
      </c>
      <c r="G2269" s="8" t="s">
        <v>46</v>
      </c>
      <c r="H2269" s="8" t="s">
        <v>41</v>
      </c>
      <c r="I2269" s="8" t="s">
        <v>23</v>
      </c>
      <c r="J2269" s="8" t="s">
        <v>6624</v>
      </c>
      <c r="K2269" s="8" t="s">
        <v>6626</v>
      </c>
      <c r="L2269" s="8" t="s">
        <v>19</v>
      </c>
      <c r="M2269" s="8">
        <v>5058</v>
      </c>
      <c r="N2269" s="8" t="s">
        <v>1399</v>
      </c>
      <c r="O2269" s="8">
        <v>1194</v>
      </c>
      <c r="P2269" s="8" t="s">
        <v>10700</v>
      </c>
      <c r="Q2269" s="8" t="s">
        <v>4262</v>
      </c>
      <c r="R2269" s="8">
        <v>0.24299999999999999</v>
      </c>
      <c r="S2269" s="8">
        <v>50318598</v>
      </c>
      <c r="T2269" s="8" t="s">
        <v>46</v>
      </c>
      <c r="U2269" s="8" t="s">
        <v>41</v>
      </c>
    </row>
    <row r="2270" spans="1:21">
      <c r="A2270" s="8" t="s">
        <v>10349</v>
      </c>
      <c r="B2270" s="8" t="s">
        <v>2047</v>
      </c>
      <c r="C2270" s="8">
        <v>9378</v>
      </c>
      <c r="D2270" s="8" t="s">
        <v>172</v>
      </c>
      <c r="E2270" s="8">
        <v>50692595</v>
      </c>
      <c r="F2270" s="8">
        <v>50692595</v>
      </c>
      <c r="G2270" s="8" t="s">
        <v>24</v>
      </c>
      <c r="H2270" s="8" t="s">
        <v>25</v>
      </c>
      <c r="I2270" s="8" t="s">
        <v>23</v>
      </c>
      <c r="J2270" s="8" t="s">
        <v>6624</v>
      </c>
      <c r="K2270" s="8" t="s">
        <v>6626</v>
      </c>
      <c r="L2270" s="8" t="s">
        <v>19</v>
      </c>
      <c r="M2270" s="8">
        <v>4826</v>
      </c>
      <c r="N2270" s="8" t="s">
        <v>423</v>
      </c>
      <c r="O2270" s="8">
        <v>1117</v>
      </c>
      <c r="P2270" s="8" t="s">
        <v>10701</v>
      </c>
      <c r="Q2270" s="8" t="s">
        <v>4262</v>
      </c>
      <c r="R2270" s="8">
        <v>8.8999999999999996E-2</v>
      </c>
      <c r="S2270" s="8">
        <v>50692595</v>
      </c>
      <c r="T2270" s="8" t="s">
        <v>24</v>
      </c>
      <c r="U2270" s="8" t="s">
        <v>25</v>
      </c>
    </row>
    <row r="2271" spans="1:21">
      <c r="A2271" s="8" t="s">
        <v>10349</v>
      </c>
      <c r="B2271" s="8" t="s">
        <v>2048</v>
      </c>
      <c r="C2271" s="8">
        <v>51130</v>
      </c>
      <c r="D2271" s="8" t="s">
        <v>172</v>
      </c>
      <c r="E2271" s="8">
        <v>53943800</v>
      </c>
      <c r="F2271" s="8">
        <v>53943800</v>
      </c>
      <c r="G2271" s="8" t="s">
        <v>46</v>
      </c>
      <c r="H2271" s="8" t="s">
        <v>41</v>
      </c>
      <c r="I2271" s="8" t="s">
        <v>23</v>
      </c>
      <c r="J2271" s="8" t="s">
        <v>10702</v>
      </c>
      <c r="K2271" s="8" t="s">
        <v>10704</v>
      </c>
      <c r="L2271" s="8" t="s">
        <v>19</v>
      </c>
      <c r="M2271" s="8">
        <v>887</v>
      </c>
      <c r="N2271" s="8" t="s">
        <v>166</v>
      </c>
      <c r="O2271" s="8">
        <v>229</v>
      </c>
      <c r="P2271" s="8" t="s">
        <v>10703</v>
      </c>
      <c r="Q2271" s="8" t="s">
        <v>4262</v>
      </c>
      <c r="R2271" s="8">
        <v>0.16700000000000001</v>
      </c>
      <c r="S2271" s="8">
        <v>53943800</v>
      </c>
      <c r="T2271" s="8" t="s">
        <v>46</v>
      </c>
      <c r="U2271" s="8" t="s">
        <v>41</v>
      </c>
    </row>
    <row r="2272" spans="1:21">
      <c r="A2272" s="8" t="s">
        <v>10349</v>
      </c>
      <c r="B2272" s="8" t="s">
        <v>1917</v>
      </c>
      <c r="C2272" s="8">
        <v>57142</v>
      </c>
      <c r="D2272" s="8" t="s">
        <v>172</v>
      </c>
      <c r="E2272" s="8">
        <v>55252617</v>
      </c>
      <c r="F2272" s="8">
        <v>55252617</v>
      </c>
      <c r="G2272" s="8" t="s">
        <v>24</v>
      </c>
      <c r="H2272" s="8" t="s">
        <v>25</v>
      </c>
      <c r="I2272" s="8" t="s">
        <v>23</v>
      </c>
      <c r="J2272" s="8" t="s">
        <v>10705</v>
      </c>
      <c r="K2272" s="8" t="s">
        <v>10707</v>
      </c>
      <c r="L2272" s="8" t="s">
        <v>19</v>
      </c>
      <c r="M2272" s="8">
        <v>2916</v>
      </c>
      <c r="N2272" s="8" t="s">
        <v>364</v>
      </c>
      <c r="O2272" s="8">
        <v>873</v>
      </c>
      <c r="P2272" s="8" t="s">
        <v>10706</v>
      </c>
      <c r="Q2272" s="8" t="s">
        <v>4262</v>
      </c>
      <c r="R2272" s="8">
        <v>0.25</v>
      </c>
      <c r="S2272" s="8">
        <v>55252617</v>
      </c>
      <c r="T2272" s="8" t="s">
        <v>24</v>
      </c>
      <c r="U2272" s="8" t="s">
        <v>25</v>
      </c>
    </row>
    <row r="2273" spans="1:21">
      <c r="A2273" s="8" t="s">
        <v>10349</v>
      </c>
      <c r="B2273" s="8" t="s">
        <v>2373</v>
      </c>
      <c r="C2273" s="8">
        <v>114800</v>
      </c>
      <c r="D2273" s="8" t="s">
        <v>172</v>
      </c>
      <c r="E2273" s="8">
        <v>56599540</v>
      </c>
      <c r="F2273" s="8">
        <v>56599540</v>
      </c>
      <c r="G2273" s="8" t="s">
        <v>24</v>
      </c>
      <c r="H2273" s="8" t="s">
        <v>25</v>
      </c>
      <c r="I2273" s="8" t="s">
        <v>23</v>
      </c>
      <c r="J2273" s="8" t="s">
        <v>2374</v>
      </c>
      <c r="K2273" s="8" t="s">
        <v>10709</v>
      </c>
      <c r="L2273" s="8" t="s">
        <v>19</v>
      </c>
      <c r="M2273" s="8">
        <v>1881</v>
      </c>
      <c r="N2273" s="8" t="s">
        <v>1399</v>
      </c>
      <c r="O2273" s="8">
        <v>460</v>
      </c>
      <c r="P2273" s="8" t="s">
        <v>10708</v>
      </c>
      <c r="Q2273" s="8" t="s">
        <v>4262</v>
      </c>
      <c r="R2273" s="8">
        <v>0.121</v>
      </c>
      <c r="S2273" s="8">
        <v>56599540</v>
      </c>
      <c r="T2273" s="8" t="s">
        <v>24</v>
      </c>
      <c r="U2273" s="8" t="s">
        <v>25</v>
      </c>
    </row>
    <row r="2274" spans="1:21">
      <c r="A2274" s="8" t="s">
        <v>10349</v>
      </c>
      <c r="B2274" s="8" t="s">
        <v>2637</v>
      </c>
      <c r="C2274" s="8">
        <v>23301</v>
      </c>
      <c r="D2274" s="8" t="s">
        <v>172</v>
      </c>
      <c r="E2274" s="8">
        <v>63169881</v>
      </c>
      <c r="F2274" s="8">
        <v>63169881</v>
      </c>
      <c r="G2274" s="8" t="s">
        <v>24</v>
      </c>
      <c r="H2274" s="8" t="s">
        <v>25</v>
      </c>
      <c r="I2274" s="8" t="s">
        <v>23</v>
      </c>
      <c r="J2274" s="8" t="s">
        <v>10710</v>
      </c>
      <c r="K2274" s="8" t="s">
        <v>10712</v>
      </c>
      <c r="L2274" s="8" t="s">
        <v>19</v>
      </c>
      <c r="M2274" s="8">
        <v>1801</v>
      </c>
      <c r="N2274" s="8" t="s">
        <v>1399</v>
      </c>
      <c r="O2274" s="8">
        <v>440</v>
      </c>
      <c r="P2274" s="8" t="s">
        <v>10711</v>
      </c>
      <c r="Q2274" s="8" t="s">
        <v>4262</v>
      </c>
      <c r="R2274" s="8">
        <v>0.26700000000000002</v>
      </c>
      <c r="S2274" s="8">
        <v>63169881</v>
      </c>
      <c r="T2274" s="8" t="s">
        <v>24</v>
      </c>
      <c r="U2274" s="8" t="s">
        <v>25</v>
      </c>
    </row>
    <row r="2275" spans="1:21">
      <c r="A2275" s="8" t="s">
        <v>10349</v>
      </c>
      <c r="B2275" s="8" t="s">
        <v>3712</v>
      </c>
      <c r="C2275" s="8">
        <v>27332</v>
      </c>
      <c r="D2275" s="8" t="s">
        <v>172</v>
      </c>
      <c r="E2275" s="8">
        <v>71650654</v>
      </c>
      <c r="F2275" s="8">
        <v>71650654</v>
      </c>
      <c r="G2275" s="8" t="s">
        <v>24</v>
      </c>
      <c r="H2275" s="8" t="s">
        <v>25</v>
      </c>
      <c r="I2275" s="8" t="s">
        <v>23</v>
      </c>
      <c r="J2275" s="8" t="s">
        <v>5282</v>
      </c>
      <c r="K2275" s="8" t="s">
        <v>5284</v>
      </c>
      <c r="L2275" s="8" t="s">
        <v>19</v>
      </c>
      <c r="M2275" s="8">
        <v>4319</v>
      </c>
      <c r="N2275" s="8" t="s">
        <v>2483</v>
      </c>
      <c r="O2275" s="8">
        <v>1337</v>
      </c>
      <c r="P2275" s="8" t="s">
        <v>10713</v>
      </c>
      <c r="Q2275" s="8" t="s">
        <v>4262</v>
      </c>
      <c r="R2275" s="8">
        <v>0.154</v>
      </c>
      <c r="S2275" s="8">
        <v>71650654</v>
      </c>
      <c r="T2275" s="8" t="s">
        <v>24</v>
      </c>
      <c r="U2275" s="8" t="s">
        <v>25</v>
      </c>
    </row>
    <row r="2276" spans="1:21">
      <c r="A2276" s="8" t="s">
        <v>10349</v>
      </c>
      <c r="B2276" s="8" t="s">
        <v>10714</v>
      </c>
      <c r="C2276" s="8">
        <v>10617</v>
      </c>
      <c r="D2276" s="8" t="s">
        <v>172</v>
      </c>
      <c r="E2276" s="8">
        <v>74076615</v>
      </c>
      <c r="F2276" s="8">
        <v>74076615</v>
      </c>
      <c r="G2276" s="8" t="s">
        <v>24</v>
      </c>
      <c r="H2276" s="8" t="s">
        <v>25</v>
      </c>
      <c r="I2276" s="8" t="s">
        <v>23</v>
      </c>
      <c r="J2276" s="8" t="s">
        <v>10715</v>
      </c>
      <c r="K2276" s="8" t="s">
        <v>10716</v>
      </c>
      <c r="L2276" s="8" t="s">
        <v>68</v>
      </c>
      <c r="M2276" s="8">
        <v>0</v>
      </c>
      <c r="N2276" s="8" t="s">
        <v>35</v>
      </c>
      <c r="O2276" s="8">
        <v>0</v>
      </c>
      <c r="P2276" s="8" t="s">
        <v>35</v>
      </c>
      <c r="Q2276" s="8" t="s">
        <v>4262</v>
      </c>
      <c r="R2276" s="8">
        <v>0.16700000000000001</v>
      </c>
      <c r="S2276" s="8">
        <v>74076615</v>
      </c>
      <c r="T2276" s="8" t="s">
        <v>24</v>
      </c>
      <c r="U2276" s="8" t="s">
        <v>25</v>
      </c>
    </row>
    <row r="2277" spans="1:21">
      <c r="A2277" s="8" t="s">
        <v>10349</v>
      </c>
      <c r="B2277" s="8" t="s">
        <v>10717</v>
      </c>
      <c r="C2277" s="8">
        <v>5967</v>
      </c>
      <c r="D2277" s="8" t="s">
        <v>172</v>
      </c>
      <c r="E2277" s="8">
        <v>79348712</v>
      </c>
      <c r="F2277" s="8">
        <v>79348712</v>
      </c>
      <c r="G2277" s="8" t="s">
        <v>46</v>
      </c>
      <c r="H2277" s="8" t="s">
        <v>41</v>
      </c>
      <c r="I2277" s="8" t="s">
        <v>23</v>
      </c>
      <c r="J2277" s="8" t="s">
        <v>10718</v>
      </c>
      <c r="K2277" s="8" t="s">
        <v>10720</v>
      </c>
      <c r="L2277" s="8" t="s">
        <v>19</v>
      </c>
      <c r="M2277" s="8">
        <v>192</v>
      </c>
      <c r="N2277" s="8" t="s">
        <v>333</v>
      </c>
      <c r="O2277" s="8">
        <v>30</v>
      </c>
      <c r="P2277" s="8" t="s">
        <v>10719</v>
      </c>
      <c r="Q2277" s="8" t="s">
        <v>4262</v>
      </c>
      <c r="R2277" s="8">
        <v>0.21099999999999999</v>
      </c>
      <c r="S2277" s="8">
        <v>79348712</v>
      </c>
      <c r="T2277" s="8" t="s">
        <v>46</v>
      </c>
      <c r="U2277" s="8" t="s">
        <v>41</v>
      </c>
    </row>
    <row r="2278" spans="1:21">
      <c r="A2278" s="8" t="s">
        <v>10349</v>
      </c>
      <c r="B2278" s="8" t="s">
        <v>2638</v>
      </c>
      <c r="C2278" s="8">
        <v>150572</v>
      </c>
      <c r="D2278" s="8" t="s">
        <v>172</v>
      </c>
      <c r="E2278" s="8">
        <v>88367441</v>
      </c>
      <c r="F2278" s="8">
        <v>88367441</v>
      </c>
      <c r="G2278" s="8" t="s">
        <v>24</v>
      </c>
      <c r="H2278" s="8" t="s">
        <v>25</v>
      </c>
      <c r="I2278" s="8" t="s">
        <v>23</v>
      </c>
      <c r="J2278" s="8" t="s">
        <v>2639</v>
      </c>
      <c r="K2278" s="8" t="s">
        <v>10722</v>
      </c>
      <c r="L2278" s="8" t="s">
        <v>19</v>
      </c>
      <c r="M2278" s="8">
        <v>143</v>
      </c>
      <c r="N2278" s="8" t="s">
        <v>878</v>
      </c>
      <c r="O2278" s="8">
        <v>20</v>
      </c>
      <c r="P2278" s="8" t="s">
        <v>10721</v>
      </c>
      <c r="Q2278" s="8" t="s">
        <v>4262</v>
      </c>
      <c r="R2278" s="8">
        <v>0.20599999999999999</v>
      </c>
      <c r="S2278" s="8">
        <v>88367441</v>
      </c>
      <c r="T2278" s="8" t="s">
        <v>24</v>
      </c>
      <c r="U2278" s="8" t="s">
        <v>25</v>
      </c>
    </row>
    <row r="2279" spans="1:21">
      <c r="A2279" s="8" t="s">
        <v>10349</v>
      </c>
      <c r="B2279" s="8" t="s">
        <v>10723</v>
      </c>
      <c r="C2279" s="8">
        <v>57498</v>
      </c>
      <c r="D2279" s="8" t="s">
        <v>172</v>
      </c>
      <c r="E2279" s="8">
        <v>8957813</v>
      </c>
      <c r="F2279" s="8">
        <v>8957813</v>
      </c>
      <c r="G2279" s="8" t="s">
        <v>46</v>
      </c>
      <c r="H2279" s="8" t="s">
        <v>41</v>
      </c>
      <c r="I2279" s="8" t="s">
        <v>23</v>
      </c>
      <c r="J2279" s="8" t="s">
        <v>10724</v>
      </c>
      <c r="K2279" s="8" t="s">
        <v>10726</v>
      </c>
      <c r="L2279" s="8" t="s">
        <v>19</v>
      </c>
      <c r="M2279" s="8">
        <v>423</v>
      </c>
      <c r="N2279" s="8" t="s">
        <v>758</v>
      </c>
      <c r="O2279" s="8">
        <v>81</v>
      </c>
      <c r="P2279" s="8" t="s">
        <v>10725</v>
      </c>
      <c r="Q2279" s="8" t="s">
        <v>4262</v>
      </c>
      <c r="R2279" s="8">
        <v>0.25</v>
      </c>
      <c r="S2279" s="8">
        <v>8957813</v>
      </c>
      <c r="T2279" s="8" t="s">
        <v>46</v>
      </c>
      <c r="U2279" s="8" t="s">
        <v>41</v>
      </c>
    </row>
    <row r="2280" spans="1:21">
      <c r="A2280" s="8" t="s">
        <v>10349</v>
      </c>
      <c r="B2280" s="8" t="s">
        <v>7146</v>
      </c>
      <c r="C2280" s="8">
        <v>731220</v>
      </c>
      <c r="D2280" s="8" t="s">
        <v>172</v>
      </c>
      <c r="E2280" s="8">
        <v>102014155</v>
      </c>
      <c r="F2280" s="8">
        <v>102014155</v>
      </c>
      <c r="G2280" s="8" t="s">
        <v>24</v>
      </c>
      <c r="H2280" s="8" t="s">
        <v>25</v>
      </c>
      <c r="I2280" s="8" t="s">
        <v>23</v>
      </c>
      <c r="J2280" s="8" t="s">
        <v>7147</v>
      </c>
      <c r="K2280" s="8" t="s">
        <v>7149</v>
      </c>
      <c r="L2280" s="8" t="s">
        <v>19</v>
      </c>
      <c r="M2280" s="8">
        <v>1397</v>
      </c>
      <c r="N2280" s="8" t="s">
        <v>96</v>
      </c>
      <c r="O2280" s="8">
        <v>426</v>
      </c>
      <c r="P2280" s="8" t="s">
        <v>10727</v>
      </c>
      <c r="Q2280" s="8" t="s">
        <v>4262</v>
      </c>
      <c r="R2280" s="8">
        <v>0.28599999999999998</v>
      </c>
      <c r="S2280" s="8">
        <v>102014155</v>
      </c>
      <c r="T2280" s="8" t="s">
        <v>24</v>
      </c>
      <c r="U2280" s="8" t="s">
        <v>25</v>
      </c>
    </row>
    <row r="2281" spans="1:21">
      <c r="A2281" s="8" t="s">
        <v>10349</v>
      </c>
      <c r="B2281" s="8" t="s">
        <v>1939</v>
      </c>
      <c r="C2281" s="8">
        <v>9448</v>
      </c>
      <c r="D2281" s="8" t="s">
        <v>172</v>
      </c>
      <c r="E2281" s="8">
        <v>102477286</v>
      </c>
      <c r="F2281" s="8">
        <v>102477286</v>
      </c>
      <c r="G2281" s="8" t="s">
        <v>24</v>
      </c>
      <c r="H2281" s="8" t="s">
        <v>25</v>
      </c>
      <c r="I2281" s="8" t="s">
        <v>23</v>
      </c>
      <c r="J2281" s="8" t="s">
        <v>10728</v>
      </c>
      <c r="K2281" s="8" t="s">
        <v>10729</v>
      </c>
      <c r="L2281" s="8" t="s">
        <v>68</v>
      </c>
      <c r="M2281" s="8">
        <v>0</v>
      </c>
      <c r="N2281" s="8" t="s">
        <v>35</v>
      </c>
      <c r="O2281" s="8">
        <v>0</v>
      </c>
      <c r="P2281" s="8" t="s">
        <v>35</v>
      </c>
      <c r="Q2281" s="8" t="s">
        <v>4262</v>
      </c>
      <c r="R2281" s="8">
        <v>0.36599999999999999</v>
      </c>
      <c r="S2281" s="8">
        <v>102477286</v>
      </c>
      <c r="T2281" s="8" t="s">
        <v>24</v>
      </c>
      <c r="U2281" s="8" t="s">
        <v>25</v>
      </c>
    </row>
    <row r="2282" spans="1:21">
      <c r="A2282" s="8" t="s">
        <v>10349</v>
      </c>
      <c r="B2282" s="8" t="s">
        <v>2610</v>
      </c>
      <c r="C2282" s="8">
        <v>5903</v>
      </c>
      <c r="D2282" s="8" t="s">
        <v>172</v>
      </c>
      <c r="E2282" s="8">
        <v>109367731</v>
      </c>
      <c r="F2282" s="8">
        <v>109367731</v>
      </c>
      <c r="G2282" s="8" t="s">
        <v>24</v>
      </c>
      <c r="H2282" s="8" t="s">
        <v>25</v>
      </c>
      <c r="I2282" s="8" t="s">
        <v>23</v>
      </c>
      <c r="J2282" s="8" t="s">
        <v>2611</v>
      </c>
      <c r="K2282" s="8" t="s">
        <v>10730</v>
      </c>
      <c r="L2282" s="8" t="s">
        <v>19</v>
      </c>
      <c r="M2282" s="8">
        <v>1411</v>
      </c>
      <c r="N2282" s="8" t="s">
        <v>1070</v>
      </c>
      <c r="O2282" s="8">
        <v>429</v>
      </c>
      <c r="P2282" s="8" t="s">
        <v>7054</v>
      </c>
      <c r="Q2282" s="8" t="s">
        <v>4262</v>
      </c>
      <c r="R2282" s="8">
        <v>0.188</v>
      </c>
      <c r="S2282" s="8">
        <v>109367731</v>
      </c>
      <c r="T2282" s="8" t="s">
        <v>24</v>
      </c>
      <c r="U2282" s="8" t="s">
        <v>25</v>
      </c>
    </row>
    <row r="2283" spans="1:21">
      <c r="A2283" s="8" t="s">
        <v>10349</v>
      </c>
      <c r="B2283" s="8" t="s">
        <v>2610</v>
      </c>
      <c r="C2283" s="8">
        <v>5903</v>
      </c>
      <c r="D2283" s="8" t="s">
        <v>172</v>
      </c>
      <c r="E2283" s="8">
        <v>109380036</v>
      </c>
      <c r="F2283" s="8">
        <v>109380036</v>
      </c>
      <c r="G2283" s="8" t="s">
        <v>24</v>
      </c>
      <c r="H2283" s="8" t="s">
        <v>25</v>
      </c>
      <c r="I2283" s="8" t="s">
        <v>23</v>
      </c>
      <c r="J2283" s="8" t="s">
        <v>2611</v>
      </c>
      <c r="K2283" s="8" t="s">
        <v>10730</v>
      </c>
      <c r="L2283" s="8" t="s">
        <v>19</v>
      </c>
      <c r="M2283" s="8">
        <v>3167</v>
      </c>
      <c r="N2283" s="8" t="s">
        <v>494</v>
      </c>
      <c r="O2283" s="8">
        <v>1014</v>
      </c>
      <c r="P2283" s="8" t="s">
        <v>10731</v>
      </c>
      <c r="Q2283" s="8" t="s">
        <v>4262</v>
      </c>
      <c r="R2283" s="8">
        <v>0.3</v>
      </c>
      <c r="S2283" s="8">
        <v>109380036</v>
      </c>
      <c r="T2283" s="8" t="s">
        <v>24</v>
      </c>
      <c r="U2283" s="8" t="s">
        <v>25</v>
      </c>
    </row>
    <row r="2284" spans="1:21">
      <c r="A2284" s="8" t="s">
        <v>10349</v>
      </c>
      <c r="B2284" s="8" t="s">
        <v>2612</v>
      </c>
      <c r="C2284" s="8">
        <v>9475</v>
      </c>
      <c r="D2284" s="8" t="s">
        <v>172</v>
      </c>
      <c r="E2284" s="8">
        <v>11332645</v>
      </c>
      <c r="F2284" s="8">
        <v>11332645</v>
      </c>
      <c r="G2284" s="8" t="s">
        <v>46</v>
      </c>
      <c r="H2284" s="8" t="s">
        <v>41</v>
      </c>
      <c r="I2284" s="8" t="s">
        <v>23</v>
      </c>
      <c r="J2284" s="8" t="s">
        <v>2613</v>
      </c>
      <c r="K2284" s="8" t="s">
        <v>10733</v>
      </c>
      <c r="L2284" s="8" t="s">
        <v>19</v>
      </c>
      <c r="M2284" s="8">
        <v>4330</v>
      </c>
      <c r="N2284" s="8" t="s">
        <v>73</v>
      </c>
      <c r="O2284" s="8">
        <v>1294</v>
      </c>
      <c r="P2284" s="8" t="s">
        <v>10732</v>
      </c>
      <c r="Q2284" s="8" t="s">
        <v>4262</v>
      </c>
      <c r="R2284" s="8">
        <v>0.13500000000000001</v>
      </c>
      <c r="S2284" s="8">
        <v>11332645</v>
      </c>
      <c r="T2284" s="8" t="s">
        <v>46</v>
      </c>
      <c r="U2284" s="8" t="s">
        <v>41</v>
      </c>
    </row>
    <row r="2285" spans="1:21">
      <c r="A2285" s="8" t="s">
        <v>10349</v>
      </c>
      <c r="B2285" s="8" t="s">
        <v>2612</v>
      </c>
      <c r="C2285" s="8">
        <v>9475</v>
      </c>
      <c r="D2285" s="8" t="s">
        <v>172</v>
      </c>
      <c r="E2285" s="8">
        <v>11354482</v>
      </c>
      <c r="F2285" s="8">
        <v>11354482</v>
      </c>
      <c r="G2285" s="8" t="s">
        <v>46</v>
      </c>
      <c r="H2285" s="8" t="s">
        <v>41</v>
      </c>
      <c r="I2285" s="8" t="s">
        <v>23</v>
      </c>
      <c r="J2285" s="8" t="s">
        <v>2613</v>
      </c>
      <c r="K2285" s="8" t="s">
        <v>10733</v>
      </c>
      <c r="L2285" s="8" t="s">
        <v>68</v>
      </c>
      <c r="M2285" s="8">
        <v>0</v>
      </c>
      <c r="N2285" s="8" t="s">
        <v>35</v>
      </c>
      <c r="O2285" s="8">
        <v>0</v>
      </c>
      <c r="P2285" s="8" t="s">
        <v>35</v>
      </c>
      <c r="Q2285" s="8" t="s">
        <v>4262</v>
      </c>
      <c r="R2285" s="8">
        <v>0.25800000000000001</v>
      </c>
      <c r="S2285" s="8">
        <v>11354482</v>
      </c>
      <c r="T2285" s="8" t="s">
        <v>46</v>
      </c>
      <c r="U2285" s="8" t="s">
        <v>41</v>
      </c>
    </row>
    <row r="2286" spans="1:21">
      <c r="A2286" s="8" t="s">
        <v>10349</v>
      </c>
      <c r="B2286" s="8" t="s">
        <v>10734</v>
      </c>
      <c r="C2286" s="8">
        <v>3553</v>
      </c>
      <c r="D2286" s="8" t="s">
        <v>172</v>
      </c>
      <c r="E2286" s="8">
        <v>113590347</v>
      </c>
      <c r="F2286" s="8">
        <v>113590347</v>
      </c>
      <c r="G2286" s="8" t="s">
        <v>24</v>
      </c>
      <c r="H2286" s="8" t="s">
        <v>25</v>
      </c>
      <c r="I2286" s="8" t="s">
        <v>23</v>
      </c>
      <c r="J2286" s="8" t="s">
        <v>10735</v>
      </c>
      <c r="K2286" s="8" t="s">
        <v>10737</v>
      </c>
      <c r="L2286" s="8" t="s">
        <v>76</v>
      </c>
      <c r="M2286" s="8">
        <v>445</v>
      </c>
      <c r="N2286" s="8" t="s">
        <v>103</v>
      </c>
      <c r="O2286" s="8">
        <v>120</v>
      </c>
      <c r="P2286" s="8" t="s">
        <v>10736</v>
      </c>
      <c r="Q2286" s="8" t="s">
        <v>4262</v>
      </c>
      <c r="R2286" s="8">
        <v>0.158</v>
      </c>
      <c r="S2286" s="8">
        <v>113590347</v>
      </c>
      <c r="T2286" s="8" t="s">
        <v>24</v>
      </c>
      <c r="U2286" s="8" t="s">
        <v>25</v>
      </c>
    </row>
    <row r="2287" spans="1:21">
      <c r="A2287" s="8" t="s">
        <v>10349</v>
      </c>
      <c r="B2287" s="8" t="s">
        <v>2614</v>
      </c>
      <c r="C2287" s="8">
        <v>56300</v>
      </c>
      <c r="D2287" s="8" t="s">
        <v>172</v>
      </c>
      <c r="E2287" s="8">
        <v>113737634</v>
      </c>
      <c r="F2287" s="8">
        <v>113737634</v>
      </c>
      <c r="G2287" s="8" t="s">
        <v>24</v>
      </c>
      <c r="H2287" s="8" t="s">
        <v>25</v>
      </c>
      <c r="I2287" s="8" t="s">
        <v>23</v>
      </c>
      <c r="J2287" s="8" t="s">
        <v>2615</v>
      </c>
      <c r="K2287" s="8" t="s">
        <v>10739</v>
      </c>
      <c r="L2287" s="8" t="s">
        <v>19</v>
      </c>
      <c r="M2287" s="8">
        <v>278</v>
      </c>
      <c r="N2287" s="8" t="s">
        <v>205</v>
      </c>
      <c r="O2287" s="8">
        <v>70</v>
      </c>
      <c r="P2287" s="8" t="s">
        <v>10738</v>
      </c>
      <c r="Q2287" s="8" t="s">
        <v>4262</v>
      </c>
      <c r="R2287" s="8">
        <v>0.24399999999999999</v>
      </c>
      <c r="S2287" s="8">
        <v>113737634</v>
      </c>
      <c r="T2287" s="8" t="s">
        <v>24</v>
      </c>
      <c r="U2287" s="8" t="s">
        <v>25</v>
      </c>
    </row>
    <row r="2288" spans="1:21">
      <c r="A2288" s="8" t="s">
        <v>10349</v>
      </c>
      <c r="B2288" s="8" t="s">
        <v>10740</v>
      </c>
      <c r="C2288" s="8">
        <v>27179</v>
      </c>
      <c r="D2288" s="8" t="s">
        <v>172</v>
      </c>
      <c r="E2288" s="8">
        <v>113765408</v>
      </c>
      <c r="F2288" s="8">
        <v>113765408</v>
      </c>
      <c r="G2288" s="8" t="s">
        <v>24</v>
      </c>
      <c r="H2288" s="8" t="s">
        <v>25</v>
      </c>
      <c r="I2288" s="8" t="s">
        <v>23</v>
      </c>
      <c r="J2288" s="8" t="s">
        <v>10741</v>
      </c>
      <c r="K2288" s="8" t="s">
        <v>10742</v>
      </c>
      <c r="L2288" s="8" t="s">
        <v>68</v>
      </c>
      <c r="M2288" s="8">
        <v>0</v>
      </c>
      <c r="N2288" s="8" t="s">
        <v>35</v>
      </c>
      <c r="O2288" s="8">
        <v>0</v>
      </c>
      <c r="P2288" s="8" t="s">
        <v>35</v>
      </c>
      <c r="Q2288" s="8" t="s">
        <v>4262</v>
      </c>
      <c r="R2288" s="8">
        <v>0.21099999999999999</v>
      </c>
      <c r="S2288" s="8">
        <v>113765408</v>
      </c>
      <c r="T2288" s="8" t="s">
        <v>24</v>
      </c>
      <c r="U2288" s="8" t="s">
        <v>25</v>
      </c>
    </row>
    <row r="2289" spans="1:21">
      <c r="A2289" s="8" t="s">
        <v>10349</v>
      </c>
      <c r="B2289" s="8" t="s">
        <v>2616</v>
      </c>
      <c r="C2289" s="8">
        <v>27177</v>
      </c>
      <c r="D2289" s="8" t="s">
        <v>172</v>
      </c>
      <c r="E2289" s="8">
        <v>113785565</v>
      </c>
      <c r="F2289" s="8">
        <v>113785565</v>
      </c>
      <c r="G2289" s="8" t="s">
        <v>24</v>
      </c>
      <c r="H2289" s="8" t="s">
        <v>25</v>
      </c>
      <c r="I2289" s="8" t="s">
        <v>23</v>
      </c>
      <c r="J2289" s="8" t="s">
        <v>2617</v>
      </c>
      <c r="K2289" s="8" t="s">
        <v>10744</v>
      </c>
      <c r="L2289" s="8" t="s">
        <v>19</v>
      </c>
      <c r="M2289" s="8">
        <v>493</v>
      </c>
      <c r="N2289" s="8" t="s">
        <v>309</v>
      </c>
      <c r="O2289" s="8">
        <v>130</v>
      </c>
      <c r="P2289" s="8" t="s">
        <v>10743</v>
      </c>
      <c r="Q2289" s="8" t="s">
        <v>4262</v>
      </c>
      <c r="R2289" s="8">
        <v>0.182</v>
      </c>
      <c r="S2289" s="8">
        <v>113785565</v>
      </c>
      <c r="T2289" s="8" t="s">
        <v>24</v>
      </c>
      <c r="U2289" s="8" t="s">
        <v>25</v>
      </c>
    </row>
    <row r="2290" spans="1:21">
      <c r="A2290" s="8" t="s">
        <v>10349</v>
      </c>
      <c r="B2290" s="8"/>
      <c r="C2290" s="8">
        <v>100130100</v>
      </c>
      <c r="D2290" s="8" t="s">
        <v>172</v>
      </c>
      <c r="E2290" s="8">
        <v>114164356</v>
      </c>
      <c r="F2290" s="8">
        <v>114164356</v>
      </c>
      <c r="G2290" s="8" t="s">
        <v>24</v>
      </c>
      <c r="H2290" s="8" t="s">
        <v>25</v>
      </c>
      <c r="I2290" s="8" t="s">
        <v>23</v>
      </c>
      <c r="J2290" s="8" t="s">
        <v>10745</v>
      </c>
      <c r="K2290" s="8" t="s">
        <v>10747</v>
      </c>
      <c r="L2290" s="8" t="s">
        <v>19</v>
      </c>
      <c r="M2290" s="8">
        <v>260</v>
      </c>
      <c r="N2290" s="8" t="s">
        <v>2664</v>
      </c>
      <c r="O2290" s="8">
        <v>87</v>
      </c>
      <c r="P2290" s="8" t="s">
        <v>10746</v>
      </c>
      <c r="Q2290" s="8" t="s">
        <v>4262</v>
      </c>
      <c r="R2290" s="8">
        <v>0.25</v>
      </c>
      <c r="S2290" s="8">
        <v>114164356</v>
      </c>
      <c r="T2290" s="8" t="s">
        <v>24</v>
      </c>
      <c r="U2290" s="8" t="s">
        <v>25</v>
      </c>
    </row>
    <row r="2291" spans="1:21">
      <c r="A2291" s="8" t="s">
        <v>10349</v>
      </c>
      <c r="B2291" s="8" t="s">
        <v>10748</v>
      </c>
      <c r="C2291" s="8">
        <v>9687</v>
      </c>
      <c r="D2291" s="8" t="s">
        <v>172</v>
      </c>
      <c r="E2291" s="8">
        <v>11772167</v>
      </c>
      <c r="F2291" s="8">
        <v>11772167</v>
      </c>
      <c r="G2291" s="8" t="s">
        <v>24</v>
      </c>
      <c r="H2291" s="8" t="s">
        <v>25</v>
      </c>
      <c r="I2291" s="8" t="s">
        <v>23</v>
      </c>
      <c r="J2291" s="8" t="s">
        <v>10749</v>
      </c>
      <c r="K2291" s="8" t="s">
        <v>10751</v>
      </c>
      <c r="L2291" s="8" t="s">
        <v>19</v>
      </c>
      <c r="M2291" s="8">
        <v>5044</v>
      </c>
      <c r="N2291" s="8" t="s">
        <v>1070</v>
      </c>
      <c r="O2291" s="8">
        <v>1582</v>
      </c>
      <c r="P2291" s="8" t="s">
        <v>10750</v>
      </c>
      <c r="Q2291" s="8" t="s">
        <v>4262</v>
      </c>
      <c r="R2291" s="8">
        <v>0.217</v>
      </c>
      <c r="S2291" s="8">
        <v>11772167</v>
      </c>
      <c r="T2291" s="8" t="s">
        <v>24</v>
      </c>
      <c r="U2291" s="8" t="s">
        <v>25</v>
      </c>
    </row>
    <row r="2292" spans="1:21">
      <c r="A2292" s="8" t="s">
        <v>10349</v>
      </c>
      <c r="B2292" s="8" t="s">
        <v>10752</v>
      </c>
      <c r="C2292" s="8">
        <v>23620</v>
      </c>
      <c r="D2292" s="8" t="s">
        <v>172</v>
      </c>
      <c r="E2292" s="8">
        <v>11798723</v>
      </c>
      <c r="F2292" s="8">
        <v>11798723</v>
      </c>
      <c r="G2292" s="8" t="s">
        <v>24</v>
      </c>
      <c r="H2292" s="8" t="s">
        <v>25</v>
      </c>
      <c r="I2292" s="8" t="s">
        <v>23</v>
      </c>
      <c r="J2292" s="8" t="s">
        <v>10753</v>
      </c>
      <c r="K2292" s="8" t="s">
        <v>10755</v>
      </c>
      <c r="L2292" s="8" t="s">
        <v>19</v>
      </c>
      <c r="M2292" s="8">
        <v>1189</v>
      </c>
      <c r="N2292" s="8" t="s">
        <v>1421</v>
      </c>
      <c r="O2292" s="8">
        <v>372</v>
      </c>
      <c r="P2292" s="8" t="s">
        <v>10754</v>
      </c>
      <c r="Q2292" s="8" t="s">
        <v>4262</v>
      </c>
      <c r="R2292" s="8">
        <v>0.14299999999999999</v>
      </c>
      <c r="S2292" s="8">
        <v>11798723</v>
      </c>
      <c r="T2292" s="8" t="s">
        <v>24</v>
      </c>
      <c r="U2292" s="8" t="s">
        <v>25</v>
      </c>
    </row>
    <row r="2293" spans="1:21">
      <c r="A2293" s="8" t="s">
        <v>10349</v>
      </c>
      <c r="B2293" s="8"/>
      <c r="C2293" s="8">
        <v>200373</v>
      </c>
      <c r="D2293" s="8" t="s">
        <v>172</v>
      </c>
      <c r="E2293" s="8">
        <v>120413963</v>
      </c>
      <c r="F2293" s="8">
        <v>120413963</v>
      </c>
      <c r="G2293" s="8" t="s">
        <v>24</v>
      </c>
      <c r="H2293" s="8" t="s">
        <v>25</v>
      </c>
      <c r="I2293" s="8" t="s">
        <v>23</v>
      </c>
      <c r="J2293" s="8" t="s">
        <v>10756</v>
      </c>
      <c r="K2293" s="8" t="s">
        <v>10758</v>
      </c>
      <c r="L2293" s="8" t="s">
        <v>19</v>
      </c>
      <c r="M2293" s="8">
        <v>2694</v>
      </c>
      <c r="N2293" s="8" t="s">
        <v>1070</v>
      </c>
      <c r="O2293" s="8">
        <v>528</v>
      </c>
      <c r="P2293" s="8" t="s">
        <v>10757</v>
      </c>
      <c r="Q2293" s="8" t="s">
        <v>4262</v>
      </c>
      <c r="R2293" s="8">
        <v>0.29399999999999998</v>
      </c>
      <c r="S2293" s="8">
        <v>120413963</v>
      </c>
      <c r="T2293" s="8" t="s">
        <v>24</v>
      </c>
      <c r="U2293" s="8" t="s">
        <v>25</v>
      </c>
    </row>
    <row r="2294" spans="1:21">
      <c r="A2294" s="8" t="s">
        <v>10349</v>
      </c>
      <c r="B2294" s="8" t="s">
        <v>10759</v>
      </c>
      <c r="C2294" s="8">
        <v>56886</v>
      </c>
      <c r="D2294" s="8" t="s">
        <v>172</v>
      </c>
      <c r="E2294" s="8">
        <v>128934395</v>
      </c>
      <c r="F2294" s="8">
        <v>128934395</v>
      </c>
      <c r="G2294" s="8" t="s">
        <v>24</v>
      </c>
      <c r="H2294" s="8" t="s">
        <v>25</v>
      </c>
      <c r="I2294" s="8" t="s">
        <v>23</v>
      </c>
      <c r="J2294" s="8" t="s">
        <v>10760</v>
      </c>
      <c r="K2294" s="8" t="s">
        <v>10762</v>
      </c>
      <c r="L2294" s="8" t="s">
        <v>19</v>
      </c>
      <c r="M2294" s="8">
        <v>3725</v>
      </c>
      <c r="N2294" s="8" t="s">
        <v>536</v>
      </c>
      <c r="O2294" s="8">
        <v>1183</v>
      </c>
      <c r="P2294" s="8" t="s">
        <v>10761</v>
      </c>
      <c r="Q2294" s="8" t="s">
        <v>4262</v>
      </c>
      <c r="R2294" s="8">
        <v>0.156</v>
      </c>
      <c r="S2294" s="8">
        <v>128934395</v>
      </c>
      <c r="T2294" s="8" t="s">
        <v>24</v>
      </c>
      <c r="U2294" s="8" t="s">
        <v>25</v>
      </c>
    </row>
    <row r="2295" spans="1:21">
      <c r="A2295" s="8" t="s">
        <v>10349</v>
      </c>
      <c r="B2295" s="8" t="s">
        <v>10763</v>
      </c>
      <c r="C2295" s="8">
        <v>653269</v>
      </c>
      <c r="D2295" s="8" t="s">
        <v>172</v>
      </c>
      <c r="E2295" s="8">
        <v>131221233</v>
      </c>
      <c r="F2295" s="8">
        <v>131221233</v>
      </c>
      <c r="G2295" s="8" t="s">
        <v>46</v>
      </c>
      <c r="H2295" s="8" t="s">
        <v>41</v>
      </c>
      <c r="I2295" s="8" t="s">
        <v>23</v>
      </c>
      <c r="J2295" s="8" t="s">
        <v>10764</v>
      </c>
      <c r="K2295" s="8" t="s">
        <v>10766</v>
      </c>
      <c r="L2295" s="8" t="s">
        <v>19</v>
      </c>
      <c r="M2295" s="8">
        <v>2384</v>
      </c>
      <c r="N2295" s="8" t="s">
        <v>297</v>
      </c>
      <c r="O2295" s="8">
        <v>795</v>
      </c>
      <c r="P2295" s="8" t="s">
        <v>10765</v>
      </c>
      <c r="Q2295" s="8" t="s">
        <v>4262</v>
      </c>
      <c r="R2295" s="8">
        <v>0.13</v>
      </c>
      <c r="S2295" s="8">
        <v>131221233</v>
      </c>
      <c r="T2295" s="8" t="s">
        <v>46</v>
      </c>
      <c r="U2295" s="8" t="s">
        <v>41</v>
      </c>
    </row>
    <row r="2296" spans="1:21">
      <c r="A2296" s="8" t="s">
        <v>10349</v>
      </c>
      <c r="B2296" s="8" t="s">
        <v>10767</v>
      </c>
      <c r="C2296" s="8">
        <v>90557</v>
      </c>
      <c r="D2296" s="8" t="s">
        <v>172</v>
      </c>
      <c r="E2296" s="8">
        <v>132290172</v>
      </c>
      <c r="F2296" s="8">
        <v>132290172</v>
      </c>
      <c r="G2296" s="8" t="s">
        <v>24</v>
      </c>
      <c r="H2296" s="8" t="s">
        <v>25</v>
      </c>
      <c r="I2296" s="8" t="s">
        <v>23</v>
      </c>
      <c r="J2296" s="8" t="s">
        <v>10768</v>
      </c>
      <c r="K2296" s="8" t="s">
        <v>10769</v>
      </c>
      <c r="L2296" s="8" t="s">
        <v>19</v>
      </c>
      <c r="M2296" s="8">
        <v>746</v>
      </c>
      <c r="N2296" s="8" t="s">
        <v>1070</v>
      </c>
      <c r="O2296" s="8">
        <v>232</v>
      </c>
      <c r="P2296" s="8" t="s">
        <v>5502</v>
      </c>
      <c r="Q2296" s="8" t="s">
        <v>4262</v>
      </c>
      <c r="R2296" s="8">
        <v>0.39100000000000001</v>
      </c>
      <c r="S2296" s="8">
        <v>132290172</v>
      </c>
      <c r="T2296" s="8" t="s">
        <v>24</v>
      </c>
      <c r="U2296" s="8" t="s">
        <v>25</v>
      </c>
    </row>
    <row r="2297" spans="1:21">
      <c r="A2297" s="8" t="s">
        <v>10349</v>
      </c>
      <c r="B2297" s="8" t="s">
        <v>730</v>
      </c>
      <c r="C2297" s="8">
        <v>80731</v>
      </c>
      <c r="D2297" s="8" t="s">
        <v>172</v>
      </c>
      <c r="E2297" s="8">
        <v>137814523</v>
      </c>
      <c r="F2297" s="8">
        <v>137814523</v>
      </c>
      <c r="G2297" s="8" t="s">
        <v>24</v>
      </c>
      <c r="H2297" s="8" t="s">
        <v>25</v>
      </c>
      <c r="I2297" s="8" t="s">
        <v>23</v>
      </c>
      <c r="J2297" s="8" t="s">
        <v>731</v>
      </c>
      <c r="K2297" s="8" t="s">
        <v>8656</v>
      </c>
      <c r="L2297" s="8" t="s">
        <v>19</v>
      </c>
      <c r="M2297" s="8">
        <v>580</v>
      </c>
      <c r="N2297" s="8" t="s">
        <v>155</v>
      </c>
      <c r="O2297" s="8">
        <v>194</v>
      </c>
      <c r="P2297" s="8" t="s">
        <v>10770</v>
      </c>
      <c r="Q2297" s="8" t="s">
        <v>4262</v>
      </c>
      <c r="R2297" s="8">
        <v>0.19</v>
      </c>
      <c r="S2297" s="8">
        <v>137814523</v>
      </c>
      <c r="T2297" s="8" t="s">
        <v>24</v>
      </c>
      <c r="U2297" s="8" t="s">
        <v>25</v>
      </c>
    </row>
    <row r="2298" spans="1:21">
      <c r="A2298" s="8" t="s">
        <v>10349</v>
      </c>
      <c r="B2298" s="8" t="s">
        <v>10771</v>
      </c>
      <c r="C2298" s="8">
        <v>26122</v>
      </c>
      <c r="D2298" s="8" t="s">
        <v>172</v>
      </c>
      <c r="E2298" s="8">
        <v>149447864</v>
      </c>
      <c r="F2298" s="8">
        <v>149447864</v>
      </c>
      <c r="G2298" s="8" t="s">
        <v>24</v>
      </c>
      <c r="H2298" s="8" t="s">
        <v>25</v>
      </c>
      <c r="I2298" s="8" t="s">
        <v>23</v>
      </c>
      <c r="J2298" s="8" t="s">
        <v>10772</v>
      </c>
      <c r="K2298" s="8" t="s">
        <v>10774</v>
      </c>
      <c r="L2298" s="8" t="s">
        <v>19</v>
      </c>
      <c r="M2298" s="8">
        <v>262</v>
      </c>
      <c r="N2298" s="8" t="s">
        <v>1070</v>
      </c>
      <c r="O2298" s="8">
        <v>79</v>
      </c>
      <c r="P2298" s="8" t="s">
        <v>10773</v>
      </c>
      <c r="Q2298" s="8" t="s">
        <v>4262</v>
      </c>
      <c r="R2298" s="8">
        <v>0.17199999999999999</v>
      </c>
      <c r="S2298" s="8">
        <v>149447864</v>
      </c>
      <c r="T2298" s="8" t="s">
        <v>24</v>
      </c>
      <c r="U2298" s="8" t="s">
        <v>25</v>
      </c>
    </row>
    <row r="2299" spans="1:21">
      <c r="A2299" s="8" t="s">
        <v>10349</v>
      </c>
      <c r="B2299" s="8" t="s">
        <v>10775</v>
      </c>
      <c r="C2299" s="8">
        <v>3800</v>
      </c>
      <c r="D2299" s="8" t="s">
        <v>172</v>
      </c>
      <c r="E2299" s="8">
        <v>149803499</v>
      </c>
      <c r="F2299" s="8">
        <v>149803499</v>
      </c>
      <c r="G2299" s="8" t="s">
        <v>24</v>
      </c>
      <c r="H2299" s="8" t="s">
        <v>25</v>
      </c>
      <c r="I2299" s="8" t="s">
        <v>23</v>
      </c>
      <c r="J2299" s="8" t="s">
        <v>10776</v>
      </c>
      <c r="K2299" s="8" t="s">
        <v>10778</v>
      </c>
      <c r="L2299" s="8" t="s">
        <v>19</v>
      </c>
      <c r="M2299" s="8">
        <v>1071</v>
      </c>
      <c r="N2299" s="8" t="s">
        <v>28</v>
      </c>
      <c r="O2299" s="8">
        <v>226</v>
      </c>
      <c r="P2299" s="8" t="s">
        <v>10777</v>
      </c>
      <c r="Q2299" s="8" t="s">
        <v>4262</v>
      </c>
      <c r="R2299" s="8">
        <v>0.153</v>
      </c>
      <c r="S2299" s="8">
        <v>149803499</v>
      </c>
      <c r="T2299" s="8" t="s">
        <v>24</v>
      </c>
      <c r="U2299" s="8" t="s">
        <v>25</v>
      </c>
    </row>
    <row r="2300" spans="1:21">
      <c r="A2300" s="8" t="s">
        <v>10349</v>
      </c>
      <c r="B2300" s="8" t="s">
        <v>10779</v>
      </c>
      <c r="C2300" s="8">
        <v>114805</v>
      </c>
      <c r="D2300" s="8" t="s">
        <v>172</v>
      </c>
      <c r="E2300" s="8">
        <v>155102360</v>
      </c>
      <c r="F2300" s="8">
        <v>155102360</v>
      </c>
      <c r="G2300" s="8" t="s">
        <v>24</v>
      </c>
      <c r="H2300" s="8" t="s">
        <v>25</v>
      </c>
      <c r="I2300" s="8" t="s">
        <v>23</v>
      </c>
      <c r="J2300" s="8" t="s">
        <v>10780</v>
      </c>
      <c r="K2300" s="8" t="s">
        <v>10782</v>
      </c>
      <c r="L2300" s="8" t="s">
        <v>19</v>
      </c>
      <c r="M2300" s="8">
        <v>1289</v>
      </c>
      <c r="N2300" s="8" t="s">
        <v>2664</v>
      </c>
      <c r="O2300" s="8">
        <v>241</v>
      </c>
      <c r="P2300" s="8" t="s">
        <v>10781</v>
      </c>
      <c r="Q2300" s="8" t="s">
        <v>4262</v>
      </c>
      <c r="R2300" s="8">
        <v>0.13600000000000001</v>
      </c>
      <c r="S2300" s="8">
        <v>155102360</v>
      </c>
      <c r="T2300" s="8" t="s">
        <v>24</v>
      </c>
      <c r="U2300" s="8" t="s">
        <v>25</v>
      </c>
    </row>
    <row r="2301" spans="1:21">
      <c r="A2301" s="8" t="s">
        <v>10349</v>
      </c>
      <c r="B2301" s="8" t="s">
        <v>6820</v>
      </c>
      <c r="C2301" s="8">
        <v>3760</v>
      </c>
      <c r="D2301" s="8" t="s">
        <v>172</v>
      </c>
      <c r="E2301" s="8">
        <v>155711529</v>
      </c>
      <c r="F2301" s="8">
        <v>155711529</v>
      </c>
      <c r="G2301" s="8" t="s">
        <v>46</v>
      </c>
      <c r="H2301" s="8" t="s">
        <v>41</v>
      </c>
      <c r="I2301" s="8" t="s">
        <v>23</v>
      </c>
      <c r="J2301" s="8" t="s">
        <v>6821</v>
      </c>
      <c r="K2301" s="8" t="s">
        <v>6823</v>
      </c>
      <c r="L2301" s="8" t="s">
        <v>76</v>
      </c>
      <c r="M2301" s="8">
        <v>1405</v>
      </c>
      <c r="N2301" s="8" t="s">
        <v>371</v>
      </c>
      <c r="O2301" s="8">
        <v>404</v>
      </c>
      <c r="P2301" s="8" t="s">
        <v>10783</v>
      </c>
      <c r="Q2301" s="8" t="s">
        <v>4262</v>
      </c>
      <c r="R2301" s="8">
        <v>0.188</v>
      </c>
      <c r="S2301" s="8">
        <v>155711529</v>
      </c>
      <c r="T2301" s="8" t="s">
        <v>46</v>
      </c>
      <c r="U2301" s="8" t="s">
        <v>41</v>
      </c>
    </row>
    <row r="2302" spans="1:21">
      <c r="A2302" s="8" t="s">
        <v>10349</v>
      </c>
      <c r="B2302" s="8" t="s">
        <v>10784</v>
      </c>
      <c r="C2302" s="8">
        <v>57471</v>
      </c>
      <c r="D2302" s="8" t="s">
        <v>172</v>
      </c>
      <c r="E2302" s="8">
        <v>158178157</v>
      </c>
      <c r="F2302" s="8">
        <v>158178157</v>
      </c>
      <c r="G2302" s="8" t="s">
        <v>46</v>
      </c>
      <c r="H2302" s="8" t="s">
        <v>41</v>
      </c>
      <c r="I2302" s="8" t="s">
        <v>23</v>
      </c>
      <c r="J2302" s="8" t="s">
        <v>10785</v>
      </c>
      <c r="K2302" s="8" t="s">
        <v>10787</v>
      </c>
      <c r="L2302" s="8" t="s">
        <v>19</v>
      </c>
      <c r="M2302" s="8">
        <v>675</v>
      </c>
      <c r="N2302" s="8" t="s">
        <v>1364</v>
      </c>
      <c r="O2302" s="8">
        <v>174</v>
      </c>
      <c r="P2302" s="8" t="s">
        <v>10786</v>
      </c>
      <c r="Q2302" s="8" t="s">
        <v>4262</v>
      </c>
      <c r="R2302" s="8">
        <v>0.2</v>
      </c>
      <c r="S2302" s="8">
        <v>158178157</v>
      </c>
      <c r="T2302" s="8" t="s">
        <v>46</v>
      </c>
      <c r="U2302" s="8" t="s">
        <v>41</v>
      </c>
    </row>
    <row r="2303" spans="1:21">
      <c r="A2303" s="8" t="s">
        <v>10349</v>
      </c>
      <c r="B2303" s="8" t="s">
        <v>2618</v>
      </c>
      <c r="C2303" s="8">
        <v>8502</v>
      </c>
      <c r="D2303" s="8" t="s">
        <v>172</v>
      </c>
      <c r="E2303" s="8">
        <v>159519829</v>
      </c>
      <c r="F2303" s="8">
        <v>159519829</v>
      </c>
      <c r="G2303" s="8" t="s">
        <v>24</v>
      </c>
      <c r="H2303" s="8" t="s">
        <v>25</v>
      </c>
      <c r="I2303" s="8" t="s">
        <v>23</v>
      </c>
      <c r="J2303" s="8" t="s">
        <v>10788</v>
      </c>
      <c r="K2303" s="8" t="s">
        <v>10790</v>
      </c>
      <c r="L2303" s="8" t="s">
        <v>19</v>
      </c>
      <c r="M2303" s="8">
        <v>2709</v>
      </c>
      <c r="N2303" s="8" t="s">
        <v>28</v>
      </c>
      <c r="O2303" s="8">
        <v>817</v>
      </c>
      <c r="P2303" s="8" t="s">
        <v>10789</v>
      </c>
      <c r="Q2303" s="8" t="s">
        <v>4262</v>
      </c>
      <c r="R2303" s="8">
        <v>0.33300000000000002</v>
      </c>
      <c r="S2303" s="8">
        <v>159519829</v>
      </c>
      <c r="T2303" s="8" t="s">
        <v>24</v>
      </c>
      <c r="U2303" s="8" t="s">
        <v>25</v>
      </c>
    </row>
    <row r="2304" spans="1:21">
      <c r="A2304" s="8" t="s">
        <v>10349</v>
      </c>
      <c r="B2304" s="8" t="s">
        <v>10791</v>
      </c>
      <c r="C2304" s="8">
        <v>57282</v>
      </c>
      <c r="D2304" s="8" t="s">
        <v>172</v>
      </c>
      <c r="E2304" s="8">
        <v>162627565</v>
      </c>
      <c r="F2304" s="8">
        <v>162627565</v>
      </c>
      <c r="G2304" s="8" t="s">
        <v>24</v>
      </c>
      <c r="H2304" s="8" t="s">
        <v>25</v>
      </c>
      <c r="I2304" s="8" t="s">
        <v>23</v>
      </c>
      <c r="J2304" s="8" t="s">
        <v>10792</v>
      </c>
      <c r="K2304" s="8" t="s">
        <v>10793</v>
      </c>
      <c r="L2304" s="8" t="s">
        <v>68</v>
      </c>
      <c r="M2304" s="8">
        <v>0</v>
      </c>
      <c r="N2304" s="8" t="s">
        <v>35</v>
      </c>
      <c r="O2304" s="8">
        <v>0</v>
      </c>
      <c r="P2304" s="8" t="s">
        <v>35</v>
      </c>
      <c r="Q2304" s="8" t="s">
        <v>4262</v>
      </c>
      <c r="R2304" s="8">
        <v>0.14799999999999999</v>
      </c>
      <c r="S2304" s="8">
        <v>162627565</v>
      </c>
      <c r="T2304" s="8" t="s">
        <v>24</v>
      </c>
      <c r="U2304" s="8" t="s">
        <v>25</v>
      </c>
    </row>
    <row r="2305" spans="1:21">
      <c r="A2305" s="8" t="s">
        <v>10349</v>
      </c>
      <c r="B2305" s="8" t="s">
        <v>10794</v>
      </c>
      <c r="C2305" s="8">
        <v>2191</v>
      </c>
      <c r="D2305" s="8" t="s">
        <v>172</v>
      </c>
      <c r="E2305" s="8">
        <v>163082028</v>
      </c>
      <c r="F2305" s="8">
        <v>163082028</v>
      </c>
      <c r="G2305" s="8" t="s">
        <v>46</v>
      </c>
      <c r="H2305" s="8" t="s">
        <v>41</v>
      </c>
      <c r="I2305" s="8" t="s">
        <v>23</v>
      </c>
      <c r="J2305" s="8" t="s">
        <v>10795</v>
      </c>
      <c r="K2305" s="8" t="s">
        <v>10797</v>
      </c>
      <c r="L2305" s="8" t="s">
        <v>19</v>
      </c>
      <c r="M2305" s="8">
        <v>458</v>
      </c>
      <c r="N2305" s="8" t="s">
        <v>1364</v>
      </c>
      <c r="O2305" s="8">
        <v>84</v>
      </c>
      <c r="P2305" s="8" t="s">
        <v>10796</v>
      </c>
      <c r="Q2305" s="8" t="s">
        <v>4262</v>
      </c>
      <c r="R2305" s="8">
        <v>0.16700000000000001</v>
      </c>
      <c r="S2305" s="8">
        <v>163082028</v>
      </c>
      <c r="T2305" s="8" t="s">
        <v>46</v>
      </c>
      <c r="U2305" s="8" t="s">
        <v>41</v>
      </c>
    </row>
    <row r="2306" spans="1:21">
      <c r="A2306" s="8" t="s">
        <v>10349</v>
      </c>
      <c r="B2306" s="8" t="s">
        <v>10798</v>
      </c>
      <c r="C2306" s="8">
        <v>6328</v>
      </c>
      <c r="D2306" s="8" t="s">
        <v>172</v>
      </c>
      <c r="E2306" s="8">
        <v>166003386</v>
      </c>
      <c r="F2306" s="8">
        <v>166003386</v>
      </c>
      <c r="G2306" s="8" t="s">
        <v>24</v>
      </c>
      <c r="H2306" s="8" t="s">
        <v>25</v>
      </c>
      <c r="I2306" s="8" t="s">
        <v>23</v>
      </c>
      <c r="J2306" s="8" t="s">
        <v>10799</v>
      </c>
      <c r="K2306" s="8" t="s">
        <v>10802</v>
      </c>
      <c r="L2306" s="8" t="s">
        <v>19</v>
      </c>
      <c r="M2306" s="8">
        <v>2026</v>
      </c>
      <c r="N2306" s="8" t="s">
        <v>1118</v>
      </c>
      <c r="O2306" s="8">
        <v>512</v>
      </c>
      <c r="P2306" s="8" t="s">
        <v>10800</v>
      </c>
      <c r="Q2306" s="8" t="s">
        <v>10801</v>
      </c>
      <c r="R2306" s="8">
        <v>0.17599999999999999</v>
      </c>
      <c r="S2306" s="8">
        <v>166003386</v>
      </c>
      <c r="T2306" s="8" t="s">
        <v>24</v>
      </c>
      <c r="U2306" s="8" t="s">
        <v>25</v>
      </c>
    </row>
    <row r="2307" spans="1:21">
      <c r="A2307" s="8" t="s">
        <v>10349</v>
      </c>
      <c r="B2307" s="8" t="s">
        <v>2282</v>
      </c>
      <c r="C2307" s="8">
        <v>6332</v>
      </c>
      <c r="D2307" s="8" t="s">
        <v>172</v>
      </c>
      <c r="E2307" s="8">
        <v>167262955</v>
      </c>
      <c r="F2307" s="8">
        <v>167262955</v>
      </c>
      <c r="G2307" s="8" t="s">
        <v>24</v>
      </c>
      <c r="H2307" s="8" t="s">
        <v>25</v>
      </c>
      <c r="I2307" s="8" t="s">
        <v>23</v>
      </c>
      <c r="J2307" s="8" t="s">
        <v>10803</v>
      </c>
      <c r="K2307" s="8" t="s">
        <v>10805</v>
      </c>
      <c r="L2307" s="8" t="s">
        <v>19</v>
      </c>
      <c r="M2307" s="8">
        <v>4314</v>
      </c>
      <c r="N2307" s="8" t="s">
        <v>1421</v>
      </c>
      <c r="O2307" s="8">
        <v>1395</v>
      </c>
      <c r="P2307" s="8" t="s">
        <v>10804</v>
      </c>
      <c r="Q2307" s="8" t="s">
        <v>4262</v>
      </c>
      <c r="R2307" s="8">
        <v>0.23799999999999999</v>
      </c>
      <c r="S2307" s="8">
        <v>167262955</v>
      </c>
      <c r="T2307" s="8" t="s">
        <v>24</v>
      </c>
      <c r="U2307" s="8" t="s">
        <v>25</v>
      </c>
    </row>
    <row r="2308" spans="1:21">
      <c r="A2308" s="8" t="s">
        <v>10349</v>
      </c>
      <c r="B2308" s="8" t="s">
        <v>2619</v>
      </c>
      <c r="C2308" s="8">
        <v>129446</v>
      </c>
      <c r="D2308" s="8" t="s">
        <v>172</v>
      </c>
      <c r="E2308" s="8">
        <v>168107588</v>
      </c>
      <c r="F2308" s="8">
        <v>168107588</v>
      </c>
      <c r="G2308" s="8" t="s">
        <v>46</v>
      </c>
      <c r="H2308" s="8" t="s">
        <v>41</v>
      </c>
      <c r="I2308" s="8" t="s">
        <v>23</v>
      </c>
      <c r="J2308" s="8" t="s">
        <v>4525</v>
      </c>
      <c r="K2308" s="8" t="s">
        <v>4527</v>
      </c>
      <c r="L2308" s="8" t="s">
        <v>19</v>
      </c>
      <c r="M2308" s="8">
        <v>9775</v>
      </c>
      <c r="N2308" s="8" t="s">
        <v>96</v>
      </c>
      <c r="O2308" s="8">
        <v>3229</v>
      </c>
      <c r="P2308" s="8" t="s">
        <v>10806</v>
      </c>
      <c r="Q2308" s="8" t="s">
        <v>4262</v>
      </c>
      <c r="R2308" s="8">
        <v>0.26800000000000002</v>
      </c>
      <c r="S2308" s="8">
        <v>168107588</v>
      </c>
      <c r="T2308" s="8" t="s">
        <v>46</v>
      </c>
      <c r="U2308" s="8" t="s">
        <v>41</v>
      </c>
    </row>
    <row r="2309" spans="1:21">
      <c r="A2309" s="8" t="s">
        <v>10349</v>
      </c>
      <c r="B2309" s="8" t="s">
        <v>4286</v>
      </c>
      <c r="C2309" s="8">
        <v>8647</v>
      </c>
      <c r="D2309" s="8" t="s">
        <v>172</v>
      </c>
      <c r="E2309" s="8">
        <v>169787242</v>
      </c>
      <c r="F2309" s="8">
        <v>169787242</v>
      </c>
      <c r="G2309" s="8" t="s">
        <v>46</v>
      </c>
      <c r="H2309" s="8" t="s">
        <v>41</v>
      </c>
      <c r="I2309" s="8" t="s">
        <v>23</v>
      </c>
      <c r="J2309" s="8" t="s">
        <v>4287</v>
      </c>
      <c r="K2309" s="8" t="s">
        <v>4289</v>
      </c>
      <c r="L2309" s="8" t="s">
        <v>19</v>
      </c>
      <c r="M2309" s="8">
        <v>3470</v>
      </c>
      <c r="N2309" s="8" t="s">
        <v>2664</v>
      </c>
      <c r="O2309" s="8">
        <v>1115</v>
      </c>
      <c r="P2309" s="8" t="s">
        <v>10807</v>
      </c>
      <c r="Q2309" s="8" t="s">
        <v>4262</v>
      </c>
      <c r="R2309" s="8">
        <v>0.20399999999999999</v>
      </c>
      <c r="S2309" s="8">
        <v>169787242</v>
      </c>
      <c r="T2309" s="8" t="s">
        <v>46</v>
      </c>
      <c r="U2309" s="8" t="s">
        <v>41</v>
      </c>
    </row>
    <row r="2310" spans="1:21">
      <c r="A2310" s="8" t="s">
        <v>10349</v>
      </c>
      <c r="B2310" s="8" t="s">
        <v>9614</v>
      </c>
      <c r="C2310" s="8">
        <v>4036</v>
      </c>
      <c r="D2310" s="8" t="s">
        <v>172</v>
      </c>
      <c r="E2310" s="8">
        <v>170042322</v>
      </c>
      <c r="F2310" s="8">
        <v>170042322</v>
      </c>
      <c r="G2310" s="8" t="s">
        <v>24</v>
      </c>
      <c r="H2310" s="8" t="s">
        <v>25</v>
      </c>
      <c r="I2310" s="8" t="s">
        <v>23</v>
      </c>
      <c r="J2310" s="8" t="s">
        <v>9615</v>
      </c>
      <c r="K2310" s="8" t="s">
        <v>9617</v>
      </c>
      <c r="L2310" s="8" t="s">
        <v>19</v>
      </c>
      <c r="M2310" s="8">
        <v>9749</v>
      </c>
      <c r="N2310" s="8" t="s">
        <v>1421</v>
      </c>
      <c r="O2310" s="8">
        <v>3179</v>
      </c>
      <c r="P2310" s="8" t="s">
        <v>10808</v>
      </c>
      <c r="Q2310" s="8" t="s">
        <v>4262</v>
      </c>
      <c r="R2310" s="8">
        <v>0.17899999999999999</v>
      </c>
      <c r="S2310" s="8">
        <v>170042322</v>
      </c>
      <c r="T2310" s="8" t="s">
        <v>24</v>
      </c>
      <c r="U2310" s="8" t="s">
        <v>25</v>
      </c>
    </row>
    <row r="2311" spans="1:21">
      <c r="A2311" s="8" t="s">
        <v>10349</v>
      </c>
      <c r="B2311" s="8" t="s">
        <v>10809</v>
      </c>
      <c r="C2311" s="8">
        <v>65977</v>
      </c>
      <c r="D2311" s="8" t="s">
        <v>172</v>
      </c>
      <c r="E2311" s="8">
        <v>179350400</v>
      </c>
      <c r="F2311" s="8">
        <v>179350400</v>
      </c>
      <c r="G2311" s="8" t="s">
        <v>24</v>
      </c>
      <c r="H2311" s="8" t="s">
        <v>25</v>
      </c>
      <c r="I2311" s="8" t="s">
        <v>23</v>
      </c>
      <c r="J2311" s="8" t="s">
        <v>10810</v>
      </c>
      <c r="K2311" s="8" t="s">
        <v>10812</v>
      </c>
      <c r="L2311" s="8" t="s">
        <v>19</v>
      </c>
      <c r="M2311" s="8">
        <v>471</v>
      </c>
      <c r="N2311" s="8" t="s">
        <v>1364</v>
      </c>
      <c r="O2311" s="8">
        <v>25</v>
      </c>
      <c r="P2311" s="8" t="s">
        <v>10811</v>
      </c>
      <c r="Q2311" s="8" t="s">
        <v>4262</v>
      </c>
      <c r="R2311" s="8">
        <v>0.24299999999999999</v>
      </c>
      <c r="S2311" s="8">
        <v>179350400</v>
      </c>
      <c r="T2311" s="8" t="s">
        <v>24</v>
      </c>
      <c r="U2311" s="8" t="s">
        <v>25</v>
      </c>
    </row>
    <row r="2312" spans="1:21">
      <c r="A2312" s="8" t="s">
        <v>10349</v>
      </c>
      <c r="B2312" s="8" t="s">
        <v>737</v>
      </c>
      <c r="C2312" s="8">
        <v>7273</v>
      </c>
      <c r="D2312" s="8" t="s">
        <v>172</v>
      </c>
      <c r="E2312" s="8">
        <v>179446674</v>
      </c>
      <c r="F2312" s="8">
        <v>179446674</v>
      </c>
      <c r="G2312" s="8" t="s">
        <v>24</v>
      </c>
      <c r="H2312" s="8" t="s">
        <v>25</v>
      </c>
      <c r="I2312" s="8" t="s">
        <v>23</v>
      </c>
      <c r="J2312" s="8" t="s">
        <v>4530</v>
      </c>
      <c r="K2312" s="8" t="s">
        <v>4532</v>
      </c>
      <c r="L2312" s="8" t="s">
        <v>19</v>
      </c>
      <c r="M2312" s="8">
        <v>58943</v>
      </c>
      <c r="N2312" s="8" t="s">
        <v>333</v>
      </c>
      <c r="O2312" s="8">
        <v>19573</v>
      </c>
      <c r="P2312" s="8" t="s">
        <v>10813</v>
      </c>
      <c r="Q2312" s="8" t="s">
        <v>4262</v>
      </c>
      <c r="R2312" s="8">
        <v>0.17599999999999999</v>
      </c>
      <c r="S2312" s="8">
        <v>179446674</v>
      </c>
      <c r="T2312" s="8" t="s">
        <v>24</v>
      </c>
      <c r="U2312" s="8" t="s">
        <v>25</v>
      </c>
    </row>
    <row r="2313" spans="1:21">
      <c r="A2313" s="8" t="s">
        <v>10349</v>
      </c>
      <c r="B2313" s="8" t="s">
        <v>737</v>
      </c>
      <c r="C2313" s="8">
        <v>7273</v>
      </c>
      <c r="D2313" s="8" t="s">
        <v>172</v>
      </c>
      <c r="E2313" s="8">
        <v>179587401</v>
      </c>
      <c r="F2313" s="8">
        <v>179587401</v>
      </c>
      <c r="G2313" s="8" t="s">
        <v>46</v>
      </c>
      <c r="H2313" s="8" t="s">
        <v>41</v>
      </c>
      <c r="I2313" s="8" t="s">
        <v>23</v>
      </c>
      <c r="J2313" s="8" t="s">
        <v>4530</v>
      </c>
      <c r="K2313" s="8" t="s">
        <v>4532</v>
      </c>
      <c r="L2313" s="8" t="s">
        <v>19</v>
      </c>
      <c r="M2313" s="8">
        <v>18718</v>
      </c>
      <c r="N2313" s="8" t="s">
        <v>171</v>
      </c>
      <c r="O2313" s="8">
        <v>6165</v>
      </c>
      <c r="P2313" s="8" t="s">
        <v>10814</v>
      </c>
      <c r="Q2313" s="8" t="s">
        <v>4262</v>
      </c>
      <c r="R2313" s="8">
        <v>0.14000000000000001</v>
      </c>
      <c r="S2313" s="8">
        <v>179587401</v>
      </c>
      <c r="T2313" s="8" t="s">
        <v>46</v>
      </c>
      <c r="U2313" s="8" t="s">
        <v>41</v>
      </c>
    </row>
    <row r="2314" spans="1:21">
      <c r="A2314" s="8" t="s">
        <v>10349</v>
      </c>
      <c r="B2314" s="8" t="s">
        <v>737</v>
      </c>
      <c r="C2314" s="8">
        <v>7273</v>
      </c>
      <c r="D2314" s="8" t="s">
        <v>172</v>
      </c>
      <c r="E2314" s="8">
        <v>179596901</v>
      </c>
      <c r="F2314" s="8">
        <v>179596901</v>
      </c>
      <c r="G2314" s="8" t="s">
        <v>46</v>
      </c>
      <c r="H2314" s="8" t="s">
        <v>41</v>
      </c>
      <c r="I2314" s="8" t="s">
        <v>23</v>
      </c>
      <c r="J2314" s="8" t="s">
        <v>4530</v>
      </c>
      <c r="K2314" s="8" t="s">
        <v>4532</v>
      </c>
      <c r="L2314" s="8" t="s">
        <v>19</v>
      </c>
      <c r="M2314" s="8">
        <v>13288</v>
      </c>
      <c r="N2314" s="8" t="s">
        <v>1070</v>
      </c>
      <c r="O2314" s="8">
        <v>4355</v>
      </c>
      <c r="P2314" s="8" t="s">
        <v>10815</v>
      </c>
      <c r="Q2314" s="8" t="s">
        <v>4262</v>
      </c>
      <c r="R2314" s="8">
        <v>0.24099999999999999</v>
      </c>
      <c r="S2314" s="8">
        <v>179596901</v>
      </c>
      <c r="T2314" s="8" t="s">
        <v>46</v>
      </c>
      <c r="U2314" s="8" t="s">
        <v>41</v>
      </c>
    </row>
    <row r="2315" spans="1:21">
      <c r="A2315" s="8" t="s">
        <v>10349</v>
      </c>
      <c r="B2315" s="8" t="s">
        <v>737</v>
      </c>
      <c r="C2315" s="8">
        <v>7273</v>
      </c>
      <c r="D2315" s="8" t="s">
        <v>172</v>
      </c>
      <c r="E2315" s="8">
        <v>179597788</v>
      </c>
      <c r="F2315" s="8">
        <v>179597788</v>
      </c>
      <c r="G2315" s="8" t="s">
        <v>46</v>
      </c>
      <c r="H2315" s="8" t="s">
        <v>41</v>
      </c>
      <c r="I2315" s="8" t="s">
        <v>23</v>
      </c>
      <c r="J2315" s="8" t="s">
        <v>4530</v>
      </c>
      <c r="K2315" s="8" t="s">
        <v>4532</v>
      </c>
      <c r="L2315" s="8" t="s">
        <v>19</v>
      </c>
      <c r="M2315" s="8">
        <v>12608</v>
      </c>
      <c r="N2315" s="8" t="s">
        <v>796</v>
      </c>
      <c r="O2315" s="8">
        <v>4128</v>
      </c>
      <c r="P2315" s="8" t="s">
        <v>10816</v>
      </c>
      <c r="Q2315" s="8" t="s">
        <v>4262</v>
      </c>
      <c r="R2315" s="8">
        <v>0.19700000000000001</v>
      </c>
      <c r="S2315" s="8">
        <v>179597788</v>
      </c>
      <c r="T2315" s="8" t="s">
        <v>46</v>
      </c>
      <c r="U2315" s="8" t="s">
        <v>41</v>
      </c>
    </row>
    <row r="2316" spans="1:21">
      <c r="A2316" s="8" t="s">
        <v>10349</v>
      </c>
      <c r="B2316" s="8" t="s">
        <v>737</v>
      </c>
      <c r="C2316" s="8">
        <v>7273</v>
      </c>
      <c r="D2316" s="8" t="s">
        <v>172</v>
      </c>
      <c r="E2316" s="8">
        <v>179640766</v>
      </c>
      <c r="F2316" s="8">
        <v>179640766</v>
      </c>
      <c r="G2316" s="8" t="s">
        <v>24</v>
      </c>
      <c r="H2316" s="8" t="s">
        <v>25</v>
      </c>
      <c r="I2316" s="8" t="s">
        <v>23</v>
      </c>
      <c r="J2316" s="8" t="s">
        <v>4530</v>
      </c>
      <c r="K2316" s="8" t="s">
        <v>4532</v>
      </c>
      <c r="L2316" s="8" t="s">
        <v>19</v>
      </c>
      <c r="M2316" s="8">
        <v>6050</v>
      </c>
      <c r="N2316" s="8" t="s">
        <v>389</v>
      </c>
      <c r="O2316" s="8">
        <v>1942</v>
      </c>
      <c r="P2316" s="8" t="s">
        <v>10817</v>
      </c>
      <c r="Q2316" s="8" t="s">
        <v>4262</v>
      </c>
      <c r="R2316" s="8">
        <v>0.17599999999999999</v>
      </c>
      <c r="S2316" s="8">
        <v>179640766</v>
      </c>
      <c r="T2316" s="8" t="s">
        <v>24</v>
      </c>
      <c r="U2316" s="8" t="s">
        <v>25</v>
      </c>
    </row>
    <row r="2317" spans="1:21">
      <c r="A2317" s="8" t="s">
        <v>10349</v>
      </c>
      <c r="B2317" s="8" t="s">
        <v>7174</v>
      </c>
      <c r="C2317" s="8">
        <v>3676</v>
      </c>
      <c r="D2317" s="8" t="s">
        <v>172</v>
      </c>
      <c r="E2317" s="8">
        <v>182374424</v>
      </c>
      <c r="F2317" s="8">
        <v>182374424</v>
      </c>
      <c r="G2317" s="8" t="s">
        <v>24</v>
      </c>
      <c r="H2317" s="8" t="s">
        <v>25</v>
      </c>
      <c r="I2317" s="8" t="s">
        <v>23</v>
      </c>
      <c r="J2317" s="8" t="s">
        <v>7175</v>
      </c>
      <c r="K2317" s="8" t="s">
        <v>7176</v>
      </c>
      <c r="L2317" s="8" t="s">
        <v>19</v>
      </c>
      <c r="M2317" s="8">
        <v>2498</v>
      </c>
      <c r="N2317" s="8" t="s">
        <v>768</v>
      </c>
      <c r="O2317" s="8">
        <v>579</v>
      </c>
      <c r="P2317" s="8" t="s">
        <v>10818</v>
      </c>
      <c r="Q2317" s="8" t="s">
        <v>4262</v>
      </c>
      <c r="R2317" s="8">
        <v>0.26800000000000002</v>
      </c>
      <c r="S2317" s="8">
        <v>182374424</v>
      </c>
      <c r="T2317" s="8" t="s">
        <v>24</v>
      </c>
      <c r="U2317" s="8" t="s">
        <v>25</v>
      </c>
    </row>
    <row r="2318" spans="1:21">
      <c r="A2318" s="8" t="s">
        <v>10349</v>
      </c>
      <c r="B2318" s="8" t="s">
        <v>3493</v>
      </c>
      <c r="C2318" s="8">
        <v>91752</v>
      </c>
      <c r="D2318" s="8" t="s">
        <v>172</v>
      </c>
      <c r="E2318" s="8">
        <v>185803733</v>
      </c>
      <c r="F2318" s="8">
        <v>185803733</v>
      </c>
      <c r="G2318" s="8" t="s">
        <v>46</v>
      </c>
      <c r="H2318" s="8" t="s">
        <v>41</v>
      </c>
      <c r="I2318" s="8" t="s">
        <v>23</v>
      </c>
      <c r="J2318" s="8" t="s">
        <v>3494</v>
      </c>
      <c r="K2318" s="8" t="s">
        <v>5955</v>
      </c>
      <c r="L2318" s="8" t="s">
        <v>19</v>
      </c>
      <c r="M2318" s="8">
        <v>4204</v>
      </c>
      <c r="N2318" s="8" t="s">
        <v>415</v>
      </c>
      <c r="O2318" s="8">
        <v>1204</v>
      </c>
      <c r="P2318" s="8" t="s">
        <v>10819</v>
      </c>
      <c r="Q2318" s="8" t="s">
        <v>4262</v>
      </c>
      <c r="R2318" s="8">
        <v>0.156</v>
      </c>
      <c r="S2318" s="8">
        <v>185803733</v>
      </c>
      <c r="T2318" s="8" t="s">
        <v>46</v>
      </c>
      <c r="U2318" s="8" t="s">
        <v>41</v>
      </c>
    </row>
    <row r="2319" spans="1:21">
      <c r="A2319" s="8" t="s">
        <v>10349</v>
      </c>
      <c r="B2319" s="8" t="s">
        <v>10820</v>
      </c>
      <c r="C2319" s="8">
        <v>3685</v>
      </c>
      <c r="D2319" s="8" t="s">
        <v>172</v>
      </c>
      <c r="E2319" s="8">
        <v>187540330</v>
      </c>
      <c r="F2319" s="8">
        <v>187540330</v>
      </c>
      <c r="G2319" s="8" t="s">
        <v>24</v>
      </c>
      <c r="H2319" s="8" t="s">
        <v>25</v>
      </c>
      <c r="I2319" s="8" t="s">
        <v>23</v>
      </c>
      <c r="J2319" s="8" t="s">
        <v>10821</v>
      </c>
      <c r="K2319" s="8" t="s">
        <v>10822</v>
      </c>
      <c r="L2319" s="8" t="s">
        <v>68</v>
      </c>
      <c r="M2319" s="8">
        <v>0</v>
      </c>
      <c r="N2319" s="8" t="s">
        <v>35</v>
      </c>
      <c r="O2319" s="8">
        <v>0</v>
      </c>
      <c r="P2319" s="8" t="s">
        <v>35</v>
      </c>
      <c r="Q2319" s="8" t="s">
        <v>4262</v>
      </c>
      <c r="R2319" s="8">
        <v>0.23699999999999999</v>
      </c>
      <c r="S2319" s="8">
        <v>187540330</v>
      </c>
      <c r="T2319" s="8" t="s">
        <v>24</v>
      </c>
      <c r="U2319" s="8" t="s">
        <v>25</v>
      </c>
    </row>
    <row r="2320" spans="1:21">
      <c r="A2320" s="8" t="s">
        <v>10349</v>
      </c>
      <c r="B2320" s="8" t="s">
        <v>10823</v>
      </c>
      <c r="C2320" s="8">
        <v>84128</v>
      </c>
      <c r="D2320" s="8" t="s">
        <v>172</v>
      </c>
      <c r="E2320" s="8">
        <v>190327263</v>
      </c>
      <c r="F2320" s="8">
        <v>190327263</v>
      </c>
      <c r="G2320" s="8" t="s">
        <v>24</v>
      </c>
      <c r="H2320" s="8" t="s">
        <v>25</v>
      </c>
      <c r="I2320" s="8" t="s">
        <v>23</v>
      </c>
      <c r="J2320" s="8" t="s">
        <v>10824</v>
      </c>
      <c r="K2320" s="8" t="s">
        <v>10826</v>
      </c>
      <c r="L2320" s="8" t="s">
        <v>19</v>
      </c>
      <c r="M2320" s="8">
        <v>892</v>
      </c>
      <c r="N2320" s="8" t="s">
        <v>1070</v>
      </c>
      <c r="O2320" s="8">
        <v>278</v>
      </c>
      <c r="P2320" s="8" t="s">
        <v>10825</v>
      </c>
      <c r="Q2320" s="8" t="s">
        <v>4262</v>
      </c>
      <c r="R2320" s="8">
        <v>7.2999999999999995E-2</v>
      </c>
      <c r="S2320" s="8">
        <v>190327263</v>
      </c>
      <c r="T2320" s="8" t="s">
        <v>24</v>
      </c>
      <c r="U2320" s="8" t="s">
        <v>25</v>
      </c>
    </row>
    <row r="2321" spans="1:21">
      <c r="A2321" s="8" t="s">
        <v>10349</v>
      </c>
      <c r="B2321" s="8" t="s">
        <v>2621</v>
      </c>
      <c r="C2321" s="8">
        <v>5378</v>
      </c>
      <c r="D2321" s="8" t="s">
        <v>172</v>
      </c>
      <c r="E2321" s="8">
        <v>190670402</v>
      </c>
      <c r="F2321" s="8">
        <v>190670402</v>
      </c>
      <c r="G2321" s="8" t="s">
        <v>24</v>
      </c>
      <c r="H2321" s="8" t="s">
        <v>25</v>
      </c>
      <c r="I2321" s="8" t="s">
        <v>23</v>
      </c>
      <c r="J2321" s="8" t="s">
        <v>10827</v>
      </c>
      <c r="K2321" s="8" t="s">
        <v>10829</v>
      </c>
      <c r="L2321" s="8" t="s">
        <v>19</v>
      </c>
      <c r="M2321" s="8">
        <v>869</v>
      </c>
      <c r="N2321" s="8" t="s">
        <v>768</v>
      </c>
      <c r="O2321" s="8">
        <v>114</v>
      </c>
      <c r="P2321" s="8" t="s">
        <v>10828</v>
      </c>
      <c r="Q2321" s="8" t="s">
        <v>4262</v>
      </c>
      <c r="R2321" s="8">
        <v>0.30199999999999999</v>
      </c>
      <c r="S2321" s="8">
        <v>190670402</v>
      </c>
      <c r="T2321" s="8" t="s">
        <v>24</v>
      </c>
      <c r="U2321" s="8" t="s">
        <v>25</v>
      </c>
    </row>
    <row r="2322" spans="1:21">
      <c r="A2322" s="8" t="s">
        <v>10349</v>
      </c>
      <c r="B2322" s="8" t="s">
        <v>10830</v>
      </c>
      <c r="C2322" s="8">
        <v>2660</v>
      </c>
      <c r="D2322" s="8" t="s">
        <v>172</v>
      </c>
      <c r="E2322" s="8">
        <v>190922103</v>
      </c>
      <c r="F2322" s="8">
        <v>190922103</v>
      </c>
      <c r="G2322" s="8" t="s">
        <v>46</v>
      </c>
      <c r="H2322" s="8" t="s">
        <v>41</v>
      </c>
      <c r="I2322" s="8" t="s">
        <v>23</v>
      </c>
      <c r="J2322" s="8" t="s">
        <v>10831</v>
      </c>
      <c r="K2322" s="8" t="s">
        <v>10833</v>
      </c>
      <c r="L2322" s="8" t="s">
        <v>19</v>
      </c>
      <c r="M2322" s="8">
        <v>1142</v>
      </c>
      <c r="N2322" s="8" t="s">
        <v>536</v>
      </c>
      <c r="O2322" s="8">
        <v>337</v>
      </c>
      <c r="P2322" s="8" t="s">
        <v>10832</v>
      </c>
      <c r="Q2322" s="8" t="s">
        <v>4262</v>
      </c>
      <c r="R2322" s="8">
        <v>0.11799999999999999</v>
      </c>
      <c r="S2322" s="8">
        <v>190922103</v>
      </c>
      <c r="T2322" s="8" t="s">
        <v>46</v>
      </c>
      <c r="U2322" s="8" t="s">
        <v>41</v>
      </c>
    </row>
    <row r="2323" spans="1:21">
      <c r="A2323" s="8" t="s">
        <v>10349</v>
      </c>
      <c r="B2323" s="8" t="s">
        <v>5138</v>
      </c>
      <c r="C2323" s="8">
        <v>6775</v>
      </c>
      <c r="D2323" s="8" t="s">
        <v>172</v>
      </c>
      <c r="E2323" s="8">
        <v>191929573</v>
      </c>
      <c r="F2323" s="8">
        <v>191929573</v>
      </c>
      <c r="G2323" s="8" t="s">
        <v>46</v>
      </c>
      <c r="H2323" s="8" t="s">
        <v>41</v>
      </c>
      <c r="I2323" s="8" t="s">
        <v>23</v>
      </c>
      <c r="J2323" s="8" t="s">
        <v>5139</v>
      </c>
      <c r="K2323" s="8" t="s">
        <v>5141</v>
      </c>
      <c r="L2323" s="8" t="s">
        <v>19</v>
      </c>
      <c r="M2323" s="8">
        <v>996</v>
      </c>
      <c r="N2323" s="8" t="s">
        <v>28</v>
      </c>
      <c r="O2323" s="8">
        <v>248</v>
      </c>
      <c r="P2323" s="8" t="s">
        <v>10834</v>
      </c>
      <c r="Q2323" s="8" t="s">
        <v>4262</v>
      </c>
      <c r="R2323" s="8">
        <v>0.129</v>
      </c>
      <c r="S2323" s="8">
        <v>191929573</v>
      </c>
      <c r="T2323" s="8" t="s">
        <v>46</v>
      </c>
      <c r="U2323" s="8" t="s">
        <v>41</v>
      </c>
    </row>
    <row r="2324" spans="1:21">
      <c r="A2324" s="8" t="s">
        <v>10349</v>
      </c>
      <c r="B2324" s="8" t="s">
        <v>10835</v>
      </c>
      <c r="C2324" s="8">
        <v>4430</v>
      </c>
      <c r="D2324" s="8" t="s">
        <v>172</v>
      </c>
      <c r="E2324" s="8">
        <v>192228560</v>
      </c>
      <c r="F2324" s="8">
        <v>192228560</v>
      </c>
      <c r="G2324" s="8" t="s">
        <v>24</v>
      </c>
      <c r="H2324" s="8" t="s">
        <v>25</v>
      </c>
      <c r="I2324" s="8" t="s">
        <v>23</v>
      </c>
      <c r="J2324" s="8" t="s">
        <v>10836</v>
      </c>
      <c r="K2324" s="8" t="s">
        <v>10838</v>
      </c>
      <c r="L2324" s="8" t="s">
        <v>19</v>
      </c>
      <c r="M2324" s="8">
        <v>1127</v>
      </c>
      <c r="N2324" s="8" t="s">
        <v>577</v>
      </c>
      <c r="O2324" s="8">
        <v>291</v>
      </c>
      <c r="P2324" s="8" t="s">
        <v>10837</v>
      </c>
      <c r="Q2324" s="8" t="s">
        <v>4262</v>
      </c>
      <c r="R2324" s="8">
        <v>0.128</v>
      </c>
      <c r="S2324" s="8">
        <v>192228560</v>
      </c>
      <c r="T2324" s="8" t="s">
        <v>24</v>
      </c>
      <c r="U2324" s="8" t="s">
        <v>25</v>
      </c>
    </row>
    <row r="2325" spans="1:21">
      <c r="A2325" s="8" t="s">
        <v>10349</v>
      </c>
      <c r="B2325" s="8" t="s">
        <v>10839</v>
      </c>
      <c r="C2325" s="8">
        <v>66037</v>
      </c>
      <c r="D2325" s="8" t="s">
        <v>172</v>
      </c>
      <c r="E2325" s="8">
        <v>198636691</v>
      </c>
      <c r="F2325" s="8">
        <v>198636691</v>
      </c>
      <c r="G2325" s="8" t="s">
        <v>24</v>
      </c>
      <c r="H2325" s="8" t="s">
        <v>25</v>
      </c>
      <c r="I2325" s="8" t="s">
        <v>23</v>
      </c>
      <c r="J2325" s="8" t="s">
        <v>10840</v>
      </c>
      <c r="K2325" s="8" t="s">
        <v>10842</v>
      </c>
      <c r="L2325" s="8" t="s">
        <v>19</v>
      </c>
      <c r="M2325" s="8">
        <v>615</v>
      </c>
      <c r="N2325" s="8" t="s">
        <v>522</v>
      </c>
      <c r="O2325" s="8">
        <v>135</v>
      </c>
      <c r="P2325" s="8" t="s">
        <v>10841</v>
      </c>
      <c r="Q2325" s="8" t="s">
        <v>4262</v>
      </c>
      <c r="R2325" s="8">
        <v>0.17599999999999999</v>
      </c>
      <c r="S2325" s="8">
        <v>198636691</v>
      </c>
      <c r="T2325" s="8" t="s">
        <v>24</v>
      </c>
      <c r="U2325" s="8" t="s">
        <v>25</v>
      </c>
    </row>
    <row r="2326" spans="1:21">
      <c r="A2326" s="8" t="s">
        <v>10349</v>
      </c>
      <c r="B2326" s="8" t="s">
        <v>1936</v>
      </c>
      <c r="C2326" s="8">
        <v>316</v>
      </c>
      <c r="D2326" s="8" t="s">
        <v>172</v>
      </c>
      <c r="E2326" s="8">
        <v>201477347</v>
      </c>
      <c r="F2326" s="8">
        <v>201477347</v>
      </c>
      <c r="G2326" s="8" t="s">
        <v>24</v>
      </c>
      <c r="H2326" s="8" t="s">
        <v>25</v>
      </c>
      <c r="I2326" s="8" t="s">
        <v>23</v>
      </c>
      <c r="J2326" s="8" t="s">
        <v>5497</v>
      </c>
      <c r="K2326" s="8" t="s">
        <v>5498</v>
      </c>
      <c r="L2326" s="8" t="s">
        <v>19</v>
      </c>
      <c r="M2326" s="8">
        <v>1380</v>
      </c>
      <c r="N2326" s="8" t="s">
        <v>155</v>
      </c>
      <c r="O2326" s="8">
        <v>427</v>
      </c>
      <c r="P2326" s="8" t="s">
        <v>10843</v>
      </c>
      <c r="Q2326" s="8" t="s">
        <v>4262</v>
      </c>
      <c r="R2326" s="8">
        <v>0.28899999999999998</v>
      </c>
      <c r="S2326" s="8">
        <v>201477347</v>
      </c>
      <c r="T2326" s="8" t="s">
        <v>24</v>
      </c>
      <c r="U2326" s="8" t="s">
        <v>25</v>
      </c>
    </row>
    <row r="2327" spans="1:21">
      <c r="A2327" s="8" t="s">
        <v>10349</v>
      </c>
      <c r="B2327" s="8" t="s">
        <v>10844</v>
      </c>
      <c r="C2327" s="8">
        <v>391475</v>
      </c>
      <c r="D2327" s="8" t="s">
        <v>172</v>
      </c>
      <c r="E2327" s="8">
        <v>207527795</v>
      </c>
      <c r="F2327" s="8">
        <v>207527795</v>
      </c>
      <c r="G2327" s="8" t="s">
        <v>24</v>
      </c>
      <c r="H2327" s="8" t="s">
        <v>25</v>
      </c>
      <c r="I2327" s="8" t="s">
        <v>23</v>
      </c>
      <c r="J2327" s="8" t="s">
        <v>10845</v>
      </c>
      <c r="K2327" s="8" t="s">
        <v>10847</v>
      </c>
      <c r="L2327" s="8" t="s">
        <v>76</v>
      </c>
      <c r="M2327" s="8">
        <v>1582</v>
      </c>
      <c r="N2327" s="8" t="s">
        <v>371</v>
      </c>
      <c r="O2327" s="8">
        <v>489</v>
      </c>
      <c r="P2327" s="8" t="s">
        <v>10846</v>
      </c>
      <c r="Q2327" s="8" t="s">
        <v>4262</v>
      </c>
      <c r="R2327" s="8">
        <v>0.17100000000000001</v>
      </c>
      <c r="S2327" s="8">
        <v>207527795</v>
      </c>
      <c r="T2327" s="8" t="s">
        <v>24</v>
      </c>
      <c r="U2327" s="8" t="s">
        <v>25</v>
      </c>
    </row>
    <row r="2328" spans="1:21">
      <c r="A2328" s="8" t="s">
        <v>10349</v>
      </c>
      <c r="B2328" s="8" t="s">
        <v>2288</v>
      </c>
      <c r="C2328" s="8">
        <v>2066</v>
      </c>
      <c r="D2328" s="8" t="s">
        <v>172</v>
      </c>
      <c r="E2328" s="8">
        <v>212589833</v>
      </c>
      <c r="F2328" s="8">
        <v>212589833</v>
      </c>
      <c r="G2328" s="8" t="s">
        <v>46</v>
      </c>
      <c r="H2328" s="8" t="s">
        <v>41</v>
      </c>
      <c r="I2328" s="8" t="s">
        <v>23</v>
      </c>
      <c r="J2328" s="8" t="s">
        <v>5294</v>
      </c>
      <c r="K2328" s="8" t="s">
        <v>5296</v>
      </c>
      <c r="L2328" s="8" t="s">
        <v>19</v>
      </c>
      <c r="M2328" s="8">
        <v>807</v>
      </c>
      <c r="N2328" s="8" t="s">
        <v>536</v>
      </c>
      <c r="O2328" s="8">
        <v>237</v>
      </c>
      <c r="P2328" s="8" t="s">
        <v>10848</v>
      </c>
      <c r="Q2328" s="8" t="s">
        <v>4262</v>
      </c>
      <c r="R2328" s="8">
        <v>0.16700000000000001</v>
      </c>
      <c r="S2328" s="8">
        <v>212589833</v>
      </c>
      <c r="T2328" s="8" t="s">
        <v>46</v>
      </c>
      <c r="U2328" s="8" t="s">
        <v>41</v>
      </c>
    </row>
    <row r="2329" spans="1:21">
      <c r="A2329" s="8" t="s">
        <v>10349</v>
      </c>
      <c r="B2329" s="8" t="s">
        <v>4539</v>
      </c>
      <c r="C2329" s="8">
        <v>79582</v>
      </c>
      <c r="D2329" s="8" t="s">
        <v>172</v>
      </c>
      <c r="E2329" s="8">
        <v>214794683</v>
      </c>
      <c r="F2329" s="8">
        <v>214794683</v>
      </c>
      <c r="G2329" s="8" t="s">
        <v>24</v>
      </c>
      <c r="H2329" s="8" t="s">
        <v>25</v>
      </c>
      <c r="I2329" s="8" t="s">
        <v>23</v>
      </c>
      <c r="J2329" s="8" t="s">
        <v>4540</v>
      </c>
      <c r="K2329" s="8" t="s">
        <v>4542</v>
      </c>
      <c r="L2329" s="8" t="s">
        <v>68</v>
      </c>
      <c r="M2329" s="8">
        <v>0</v>
      </c>
      <c r="N2329" s="8" t="s">
        <v>35</v>
      </c>
      <c r="O2329" s="8">
        <v>0</v>
      </c>
      <c r="P2329" s="8" t="s">
        <v>35</v>
      </c>
      <c r="Q2329" s="8" t="s">
        <v>4262</v>
      </c>
      <c r="R2329" s="8">
        <v>0.122</v>
      </c>
      <c r="S2329" s="8">
        <v>214794683</v>
      </c>
      <c r="T2329" s="8" t="s">
        <v>24</v>
      </c>
      <c r="U2329" s="8" t="s">
        <v>25</v>
      </c>
    </row>
    <row r="2330" spans="1:21">
      <c r="A2330" s="8" t="s">
        <v>10349</v>
      </c>
      <c r="B2330" s="8" t="s">
        <v>3430</v>
      </c>
      <c r="C2330" s="8">
        <v>26154</v>
      </c>
      <c r="D2330" s="8" t="s">
        <v>172</v>
      </c>
      <c r="E2330" s="8">
        <v>215815640</v>
      </c>
      <c r="F2330" s="8">
        <v>215815640</v>
      </c>
      <c r="G2330" s="8" t="s">
        <v>24</v>
      </c>
      <c r="H2330" s="8" t="s">
        <v>25</v>
      </c>
      <c r="I2330" s="8" t="s">
        <v>23</v>
      </c>
      <c r="J2330" s="8" t="s">
        <v>6638</v>
      </c>
      <c r="K2330" s="8" t="s">
        <v>6640</v>
      </c>
      <c r="L2330" s="8" t="s">
        <v>19</v>
      </c>
      <c r="M2330" s="8">
        <v>7035</v>
      </c>
      <c r="N2330" s="8" t="s">
        <v>389</v>
      </c>
      <c r="O2330" s="8">
        <v>2272</v>
      </c>
      <c r="P2330" s="8" t="s">
        <v>10849</v>
      </c>
      <c r="Q2330" s="8" t="s">
        <v>4262</v>
      </c>
      <c r="R2330" s="8">
        <v>0.24299999999999999</v>
      </c>
      <c r="S2330" s="8">
        <v>215815640</v>
      </c>
      <c r="T2330" s="8" t="s">
        <v>24</v>
      </c>
      <c r="U2330" s="8" t="s">
        <v>25</v>
      </c>
    </row>
    <row r="2331" spans="1:21">
      <c r="A2331" s="8" t="s">
        <v>10349</v>
      </c>
      <c r="B2331" s="8" t="s">
        <v>742</v>
      </c>
      <c r="C2331" s="8">
        <v>10290</v>
      </c>
      <c r="D2331" s="8" t="s">
        <v>172</v>
      </c>
      <c r="E2331" s="8">
        <v>220354393</v>
      </c>
      <c r="F2331" s="8">
        <v>220354393</v>
      </c>
      <c r="G2331" s="8" t="s">
        <v>24</v>
      </c>
      <c r="H2331" s="8" t="s">
        <v>25</v>
      </c>
      <c r="I2331" s="8" t="s">
        <v>23</v>
      </c>
      <c r="J2331" s="8" t="s">
        <v>743</v>
      </c>
      <c r="K2331" s="8" t="s">
        <v>7181</v>
      </c>
      <c r="L2331" s="8" t="s">
        <v>19</v>
      </c>
      <c r="M2331" s="8">
        <v>8653</v>
      </c>
      <c r="N2331" s="8" t="s">
        <v>155</v>
      </c>
      <c r="O2331" s="8">
        <v>2885</v>
      </c>
      <c r="P2331" s="8" t="s">
        <v>10850</v>
      </c>
      <c r="Q2331" s="8" t="s">
        <v>4262</v>
      </c>
      <c r="R2331" s="8">
        <v>0.27100000000000002</v>
      </c>
      <c r="S2331" s="8">
        <v>220354393</v>
      </c>
      <c r="T2331" s="8" t="s">
        <v>24</v>
      </c>
      <c r="U2331" s="8" t="s">
        <v>25</v>
      </c>
    </row>
    <row r="2332" spans="1:21">
      <c r="A2332" s="8" t="s">
        <v>10349</v>
      </c>
      <c r="B2332" s="8" t="s">
        <v>10851</v>
      </c>
      <c r="C2332" s="8">
        <v>29926</v>
      </c>
      <c r="D2332" s="8" t="s">
        <v>172</v>
      </c>
      <c r="E2332" s="8">
        <v>220366752</v>
      </c>
      <c r="F2332" s="8">
        <v>220366752</v>
      </c>
      <c r="G2332" s="8" t="s">
        <v>24</v>
      </c>
      <c r="H2332" s="8" t="s">
        <v>25</v>
      </c>
      <c r="I2332" s="8" t="s">
        <v>23</v>
      </c>
      <c r="J2332" s="8" t="s">
        <v>10852</v>
      </c>
      <c r="K2332" s="8" t="s">
        <v>10854</v>
      </c>
      <c r="L2332" s="8" t="s">
        <v>19</v>
      </c>
      <c r="M2332" s="8">
        <v>516</v>
      </c>
      <c r="N2332" s="8" t="s">
        <v>205</v>
      </c>
      <c r="O2332" s="8">
        <v>141</v>
      </c>
      <c r="P2332" s="8" t="s">
        <v>10853</v>
      </c>
      <c r="Q2332" s="8" t="s">
        <v>4262</v>
      </c>
      <c r="R2332" s="8">
        <v>0.17100000000000001</v>
      </c>
      <c r="S2332" s="8">
        <v>220366752</v>
      </c>
      <c r="T2332" s="8" t="s">
        <v>24</v>
      </c>
      <c r="U2332" s="8" t="s">
        <v>25</v>
      </c>
    </row>
    <row r="2333" spans="1:21">
      <c r="A2333" s="8" t="s">
        <v>10349</v>
      </c>
      <c r="B2333" s="8" t="s">
        <v>2624</v>
      </c>
      <c r="C2333" s="8">
        <v>80704</v>
      </c>
      <c r="D2333" s="8" t="s">
        <v>172</v>
      </c>
      <c r="E2333" s="8">
        <v>228564036</v>
      </c>
      <c r="F2333" s="8">
        <v>228564036</v>
      </c>
      <c r="G2333" s="8" t="s">
        <v>46</v>
      </c>
      <c r="H2333" s="8" t="s">
        <v>41</v>
      </c>
      <c r="I2333" s="8" t="s">
        <v>23</v>
      </c>
      <c r="J2333" s="8" t="s">
        <v>2625</v>
      </c>
      <c r="K2333" s="8" t="s">
        <v>10856</v>
      </c>
      <c r="L2333" s="8" t="s">
        <v>19</v>
      </c>
      <c r="M2333" s="8">
        <v>484</v>
      </c>
      <c r="N2333" s="8" t="s">
        <v>708</v>
      </c>
      <c r="O2333" s="8">
        <v>132</v>
      </c>
      <c r="P2333" s="8" t="s">
        <v>10855</v>
      </c>
      <c r="Q2333" s="8" t="s">
        <v>4262</v>
      </c>
      <c r="R2333" s="8">
        <v>0.20499999999999999</v>
      </c>
      <c r="S2333" s="8">
        <v>228564036</v>
      </c>
      <c r="T2333" s="8" t="s">
        <v>46</v>
      </c>
      <c r="U2333" s="8" t="s">
        <v>41</v>
      </c>
    </row>
    <row r="2334" spans="1:21">
      <c r="A2334" s="8" t="s">
        <v>10349</v>
      </c>
      <c r="B2334" s="8" t="s">
        <v>1813</v>
      </c>
      <c r="C2334" s="8">
        <v>3431</v>
      </c>
      <c r="D2334" s="8" t="s">
        <v>172</v>
      </c>
      <c r="E2334" s="8">
        <v>231067331</v>
      </c>
      <c r="F2334" s="8">
        <v>231067331</v>
      </c>
      <c r="G2334" s="8" t="s">
        <v>46</v>
      </c>
      <c r="H2334" s="8" t="s">
        <v>41</v>
      </c>
      <c r="I2334" s="8" t="s">
        <v>23</v>
      </c>
      <c r="J2334" s="8" t="s">
        <v>10857</v>
      </c>
      <c r="K2334" s="8" t="s">
        <v>10859</v>
      </c>
      <c r="L2334" s="8" t="s">
        <v>19</v>
      </c>
      <c r="M2334" s="8">
        <v>1252</v>
      </c>
      <c r="N2334" s="8" t="s">
        <v>941</v>
      </c>
      <c r="O2334" s="8">
        <v>338</v>
      </c>
      <c r="P2334" s="8" t="s">
        <v>10858</v>
      </c>
      <c r="Q2334" s="8" t="s">
        <v>4262</v>
      </c>
      <c r="R2334" s="8">
        <v>0.188</v>
      </c>
      <c r="S2334" s="8">
        <v>231067331</v>
      </c>
      <c r="T2334" s="8" t="s">
        <v>46</v>
      </c>
      <c r="U2334" s="8" t="s">
        <v>41</v>
      </c>
    </row>
    <row r="2335" spans="1:21">
      <c r="A2335" s="8" t="s">
        <v>10349</v>
      </c>
      <c r="B2335" s="8" t="s">
        <v>10860</v>
      </c>
      <c r="C2335" s="8">
        <v>93010</v>
      </c>
      <c r="D2335" s="8" t="s">
        <v>172</v>
      </c>
      <c r="E2335" s="8">
        <v>232263157</v>
      </c>
      <c r="F2335" s="8">
        <v>232263157</v>
      </c>
      <c r="G2335" s="8" t="s">
        <v>24</v>
      </c>
      <c r="H2335" s="8" t="s">
        <v>25</v>
      </c>
      <c r="I2335" s="8" t="s">
        <v>23</v>
      </c>
      <c r="J2335" s="8" t="s">
        <v>10861</v>
      </c>
      <c r="K2335" s="8" t="s">
        <v>10863</v>
      </c>
      <c r="L2335" s="8" t="s">
        <v>19</v>
      </c>
      <c r="M2335" s="8">
        <v>907</v>
      </c>
      <c r="N2335" s="8" t="s">
        <v>21</v>
      </c>
      <c r="O2335" s="8">
        <v>243</v>
      </c>
      <c r="P2335" s="8" t="s">
        <v>10862</v>
      </c>
      <c r="Q2335" s="8" t="s">
        <v>4262</v>
      </c>
      <c r="R2335" s="8">
        <v>0.13300000000000001</v>
      </c>
      <c r="S2335" s="8">
        <v>232263157</v>
      </c>
      <c r="T2335" s="8" t="s">
        <v>24</v>
      </c>
      <c r="U2335" s="8" t="s">
        <v>25</v>
      </c>
    </row>
    <row r="2336" spans="1:21">
      <c r="A2336" s="8" t="s">
        <v>10349</v>
      </c>
      <c r="B2336" s="8" t="s">
        <v>1940</v>
      </c>
      <c r="C2336" s="8">
        <v>26058</v>
      </c>
      <c r="D2336" s="8" t="s">
        <v>172</v>
      </c>
      <c r="E2336" s="8">
        <v>233671323</v>
      </c>
      <c r="F2336" s="8">
        <v>233671323</v>
      </c>
      <c r="G2336" s="8" t="s">
        <v>24</v>
      </c>
      <c r="H2336" s="8" t="s">
        <v>25</v>
      </c>
      <c r="I2336" s="8" t="s">
        <v>23</v>
      </c>
      <c r="J2336" s="8" t="s">
        <v>4543</v>
      </c>
      <c r="K2336" s="8" t="s">
        <v>4545</v>
      </c>
      <c r="L2336" s="8" t="s">
        <v>19</v>
      </c>
      <c r="M2336" s="8">
        <v>1959</v>
      </c>
      <c r="N2336" s="8" t="s">
        <v>1364</v>
      </c>
      <c r="O2336" s="8">
        <v>588</v>
      </c>
      <c r="P2336" s="8" t="s">
        <v>10864</v>
      </c>
      <c r="Q2336" s="8" t="s">
        <v>4262</v>
      </c>
      <c r="R2336" s="8">
        <v>0.156</v>
      </c>
      <c r="S2336" s="8">
        <v>233671323</v>
      </c>
      <c r="T2336" s="8" t="s">
        <v>24</v>
      </c>
      <c r="U2336" s="8" t="s">
        <v>25</v>
      </c>
    </row>
    <row r="2337" spans="1:21">
      <c r="A2337" s="8" t="s">
        <v>10349</v>
      </c>
      <c r="B2337" s="8" t="s">
        <v>1940</v>
      </c>
      <c r="C2337" s="8">
        <v>26058</v>
      </c>
      <c r="D2337" s="8" t="s">
        <v>172</v>
      </c>
      <c r="E2337" s="8">
        <v>233671344</v>
      </c>
      <c r="F2337" s="8">
        <v>233671344</v>
      </c>
      <c r="G2337" s="8" t="s">
        <v>24</v>
      </c>
      <c r="H2337" s="8" t="s">
        <v>25</v>
      </c>
      <c r="I2337" s="8" t="s">
        <v>23</v>
      </c>
      <c r="J2337" s="8" t="s">
        <v>4543</v>
      </c>
      <c r="K2337" s="8" t="s">
        <v>4545</v>
      </c>
      <c r="L2337" s="8" t="s">
        <v>19</v>
      </c>
      <c r="M2337" s="8">
        <v>1980</v>
      </c>
      <c r="N2337" s="8" t="s">
        <v>878</v>
      </c>
      <c r="O2337" s="8">
        <v>595</v>
      </c>
      <c r="P2337" s="8" t="s">
        <v>10865</v>
      </c>
      <c r="Q2337" s="8" t="s">
        <v>4262</v>
      </c>
      <c r="R2337" s="8">
        <v>0.255</v>
      </c>
      <c r="S2337" s="8">
        <v>233671344</v>
      </c>
      <c r="T2337" s="8" t="s">
        <v>24</v>
      </c>
      <c r="U2337" s="8" t="s">
        <v>25</v>
      </c>
    </row>
    <row r="2338" spans="1:21">
      <c r="A2338" s="8" t="s">
        <v>10349</v>
      </c>
      <c r="B2338" s="8" t="s">
        <v>10866</v>
      </c>
      <c r="C2338" s="8">
        <v>6295</v>
      </c>
      <c r="D2338" s="8" t="s">
        <v>172</v>
      </c>
      <c r="E2338" s="8">
        <v>234237146</v>
      </c>
      <c r="F2338" s="8">
        <v>234237146</v>
      </c>
      <c r="G2338" s="8" t="s">
        <v>46</v>
      </c>
      <c r="H2338" s="8" t="s">
        <v>41</v>
      </c>
      <c r="I2338" s="8" t="s">
        <v>23</v>
      </c>
      <c r="J2338" s="8" t="s">
        <v>10867</v>
      </c>
      <c r="K2338" s="8" t="s">
        <v>10869</v>
      </c>
      <c r="L2338" s="8" t="s">
        <v>19</v>
      </c>
      <c r="M2338" s="8">
        <v>923</v>
      </c>
      <c r="N2338" s="8" t="s">
        <v>560</v>
      </c>
      <c r="O2338" s="8">
        <v>179</v>
      </c>
      <c r="P2338" s="8" t="s">
        <v>10868</v>
      </c>
      <c r="Q2338" s="8" t="s">
        <v>4262</v>
      </c>
      <c r="R2338" s="8">
        <v>0.111</v>
      </c>
      <c r="S2338" s="8">
        <v>234237146</v>
      </c>
      <c r="T2338" s="8" t="s">
        <v>46</v>
      </c>
      <c r="U2338" s="8" t="s">
        <v>41</v>
      </c>
    </row>
    <row r="2339" spans="1:21">
      <c r="A2339" s="8" t="s">
        <v>10349</v>
      </c>
      <c r="B2339" s="8" t="s">
        <v>10870</v>
      </c>
      <c r="C2339" s="8">
        <v>54658</v>
      </c>
      <c r="D2339" s="8" t="s">
        <v>172</v>
      </c>
      <c r="E2339" s="8">
        <v>234669182</v>
      </c>
      <c r="F2339" s="8">
        <v>234669182</v>
      </c>
      <c r="G2339" s="8" t="s">
        <v>46</v>
      </c>
      <c r="H2339" s="8" t="s">
        <v>24</v>
      </c>
      <c r="I2339" s="8" t="s">
        <v>23</v>
      </c>
      <c r="J2339" s="8" t="s">
        <v>10871</v>
      </c>
      <c r="K2339" s="8" t="s">
        <v>10873</v>
      </c>
      <c r="L2339" s="8" t="s">
        <v>19</v>
      </c>
      <c r="M2339" s="8">
        <v>264</v>
      </c>
      <c r="N2339" s="8" t="s">
        <v>347</v>
      </c>
      <c r="O2339" s="8">
        <v>83</v>
      </c>
      <c r="P2339" s="8" t="s">
        <v>10872</v>
      </c>
      <c r="Q2339" s="8" t="s">
        <v>4262</v>
      </c>
      <c r="R2339" s="8">
        <v>0.13800000000000001</v>
      </c>
      <c r="S2339" s="8">
        <v>234669182</v>
      </c>
      <c r="T2339" s="8" t="s">
        <v>46</v>
      </c>
      <c r="U2339" s="8" t="s">
        <v>24</v>
      </c>
    </row>
    <row r="2340" spans="1:21">
      <c r="A2340" s="8" t="s">
        <v>10349</v>
      </c>
      <c r="B2340" s="8" t="s">
        <v>2626</v>
      </c>
      <c r="C2340" s="8">
        <v>1293</v>
      </c>
      <c r="D2340" s="8" t="s">
        <v>172</v>
      </c>
      <c r="E2340" s="8">
        <v>238266492</v>
      </c>
      <c r="F2340" s="8">
        <v>238266492</v>
      </c>
      <c r="G2340" s="8" t="s">
        <v>24</v>
      </c>
      <c r="H2340" s="8" t="s">
        <v>25</v>
      </c>
      <c r="I2340" s="8" t="s">
        <v>23</v>
      </c>
      <c r="J2340" s="8" t="s">
        <v>8690</v>
      </c>
      <c r="K2340" s="8" t="s">
        <v>8692</v>
      </c>
      <c r="L2340" s="8" t="s">
        <v>19</v>
      </c>
      <c r="M2340" s="8">
        <v>6790</v>
      </c>
      <c r="N2340" s="8" t="s">
        <v>2400</v>
      </c>
      <c r="O2340" s="8">
        <v>2169</v>
      </c>
      <c r="P2340" s="8" t="s">
        <v>10874</v>
      </c>
      <c r="Q2340" s="8" t="s">
        <v>4262</v>
      </c>
      <c r="R2340" s="8">
        <v>0.125</v>
      </c>
      <c r="S2340" s="8">
        <v>238266492</v>
      </c>
      <c r="T2340" s="8" t="s">
        <v>24</v>
      </c>
      <c r="U2340" s="8" t="s">
        <v>25</v>
      </c>
    </row>
    <row r="2341" spans="1:21">
      <c r="A2341" s="8" t="s">
        <v>10349</v>
      </c>
      <c r="B2341" s="8" t="s">
        <v>10875</v>
      </c>
      <c r="C2341" s="8">
        <v>9759</v>
      </c>
      <c r="D2341" s="8" t="s">
        <v>172</v>
      </c>
      <c r="E2341" s="8">
        <v>240003877</v>
      </c>
      <c r="F2341" s="8">
        <v>240003877</v>
      </c>
      <c r="G2341" s="8" t="s">
        <v>46</v>
      </c>
      <c r="H2341" s="8" t="s">
        <v>41</v>
      </c>
      <c r="I2341" s="8" t="s">
        <v>23</v>
      </c>
      <c r="J2341" s="8" t="s">
        <v>10876</v>
      </c>
      <c r="K2341" s="8" t="s">
        <v>10878</v>
      </c>
      <c r="L2341" s="8" t="s">
        <v>19</v>
      </c>
      <c r="M2341" s="8">
        <v>3350</v>
      </c>
      <c r="N2341" s="8" t="s">
        <v>708</v>
      </c>
      <c r="O2341" s="8">
        <v>853</v>
      </c>
      <c r="P2341" s="8" t="s">
        <v>10877</v>
      </c>
      <c r="Q2341" s="8" t="s">
        <v>4262</v>
      </c>
      <c r="R2341" s="8">
        <v>0.189</v>
      </c>
      <c r="S2341" s="8">
        <v>240003877</v>
      </c>
      <c r="T2341" s="8" t="s">
        <v>46</v>
      </c>
      <c r="U2341" s="8" t="s">
        <v>41</v>
      </c>
    </row>
    <row r="2342" spans="1:21">
      <c r="A2342" s="8" t="s">
        <v>10349</v>
      </c>
      <c r="B2342" s="8" t="s">
        <v>2627</v>
      </c>
      <c r="C2342" s="8">
        <v>109</v>
      </c>
      <c r="D2342" s="8" t="s">
        <v>172</v>
      </c>
      <c r="E2342" s="8">
        <v>25061448</v>
      </c>
      <c r="F2342" s="8">
        <v>25061448</v>
      </c>
      <c r="G2342" s="8" t="s">
        <v>46</v>
      </c>
      <c r="H2342" s="8" t="s">
        <v>41</v>
      </c>
      <c r="I2342" s="8" t="s">
        <v>23</v>
      </c>
      <c r="J2342" s="8" t="s">
        <v>2628</v>
      </c>
      <c r="K2342" s="8" t="s">
        <v>10880</v>
      </c>
      <c r="L2342" s="8" t="s">
        <v>19</v>
      </c>
      <c r="M2342" s="8">
        <v>1598</v>
      </c>
      <c r="N2342" s="8" t="s">
        <v>166</v>
      </c>
      <c r="O2342" s="8">
        <v>467</v>
      </c>
      <c r="P2342" s="8" t="s">
        <v>10879</v>
      </c>
      <c r="Q2342" s="8" t="s">
        <v>4262</v>
      </c>
      <c r="R2342" s="8">
        <v>0.14299999999999999</v>
      </c>
      <c r="S2342" s="8">
        <v>25061448</v>
      </c>
      <c r="T2342" s="8" t="s">
        <v>46</v>
      </c>
      <c r="U2342" s="8" t="s">
        <v>41</v>
      </c>
    </row>
    <row r="2343" spans="1:21">
      <c r="A2343" s="8" t="s">
        <v>10349</v>
      </c>
      <c r="B2343" s="8" t="s">
        <v>2283</v>
      </c>
      <c r="C2343" s="8">
        <v>55252</v>
      </c>
      <c r="D2343" s="8" t="s">
        <v>172</v>
      </c>
      <c r="E2343" s="8">
        <v>25964972</v>
      </c>
      <c r="F2343" s="8">
        <v>25964972</v>
      </c>
      <c r="G2343" s="8" t="s">
        <v>46</v>
      </c>
      <c r="H2343" s="8" t="s">
        <v>41</v>
      </c>
      <c r="I2343" s="8" t="s">
        <v>23</v>
      </c>
      <c r="J2343" s="8" t="s">
        <v>10881</v>
      </c>
      <c r="K2343" s="8" t="s">
        <v>10883</v>
      </c>
      <c r="L2343" s="8" t="s">
        <v>19</v>
      </c>
      <c r="M2343" s="8">
        <v>4455</v>
      </c>
      <c r="N2343" s="8" t="s">
        <v>536</v>
      </c>
      <c r="O2343" s="8">
        <v>1412</v>
      </c>
      <c r="P2343" s="8" t="s">
        <v>10882</v>
      </c>
      <c r="Q2343" s="8" t="s">
        <v>4262</v>
      </c>
      <c r="R2343" s="8">
        <v>0.158</v>
      </c>
      <c r="S2343" s="8">
        <v>25964972</v>
      </c>
      <c r="T2343" s="8" t="s">
        <v>46</v>
      </c>
      <c r="U2343" s="8" t="s">
        <v>41</v>
      </c>
    </row>
    <row r="2344" spans="1:21">
      <c r="A2344" s="8" t="s">
        <v>10349</v>
      </c>
      <c r="B2344" s="8" t="s">
        <v>2283</v>
      </c>
      <c r="C2344" s="8">
        <v>55252</v>
      </c>
      <c r="D2344" s="8" t="s">
        <v>172</v>
      </c>
      <c r="E2344" s="8">
        <v>25965556</v>
      </c>
      <c r="F2344" s="8">
        <v>25965556</v>
      </c>
      <c r="G2344" s="8" t="s">
        <v>46</v>
      </c>
      <c r="H2344" s="8" t="s">
        <v>41</v>
      </c>
      <c r="I2344" s="8" t="s">
        <v>23</v>
      </c>
      <c r="J2344" s="8" t="s">
        <v>10881</v>
      </c>
      <c r="K2344" s="8" t="s">
        <v>10883</v>
      </c>
      <c r="L2344" s="8" t="s">
        <v>19</v>
      </c>
      <c r="M2344" s="8">
        <v>3871</v>
      </c>
      <c r="N2344" s="8" t="s">
        <v>2483</v>
      </c>
      <c r="O2344" s="8">
        <v>1217</v>
      </c>
      <c r="P2344" s="8" t="s">
        <v>10884</v>
      </c>
      <c r="Q2344" s="8" t="s">
        <v>4262</v>
      </c>
      <c r="R2344" s="8">
        <v>0.217</v>
      </c>
      <c r="S2344" s="8">
        <v>25965556</v>
      </c>
      <c r="T2344" s="8" t="s">
        <v>46</v>
      </c>
      <c r="U2344" s="8" t="s">
        <v>41</v>
      </c>
    </row>
    <row r="2345" spans="1:21">
      <c r="A2345" s="8" t="s">
        <v>10349</v>
      </c>
      <c r="B2345" s="8" t="s">
        <v>2629</v>
      </c>
      <c r="C2345" s="8">
        <v>3777</v>
      </c>
      <c r="D2345" s="8" t="s">
        <v>172</v>
      </c>
      <c r="E2345" s="8">
        <v>26950693</v>
      </c>
      <c r="F2345" s="8">
        <v>26950693</v>
      </c>
      <c r="G2345" s="8" t="s">
        <v>24</v>
      </c>
      <c r="H2345" s="8" t="s">
        <v>25</v>
      </c>
      <c r="I2345" s="8" t="s">
        <v>23</v>
      </c>
      <c r="J2345" s="8" t="s">
        <v>2630</v>
      </c>
      <c r="K2345" s="8" t="s">
        <v>10886</v>
      </c>
      <c r="L2345" s="8" t="s">
        <v>19</v>
      </c>
      <c r="M2345" s="8">
        <v>605</v>
      </c>
      <c r="N2345" s="8" t="s">
        <v>536</v>
      </c>
      <c r="O2345" s="8">
        <v>148</v>
      </c>
      <c r="P2345" s="8" t="s">
        <v>10885</v>
      </c>
      <c r="Q2345" s="8" t="s">
        <v>4262</v>
      </c>
      <c r="R2345" s="8">
        <v>0.23799999999999999</v>
      </c>
      <c r="S2345" s="8">
        <v>26950693</v>
      </c>
      <c r="T2345" s="8" t="s">
        <v>24</v>
      </c>
      <c r="U2345" s="8" t="s">
        <v>25</v>
      </c>
    </row>
    <row r="2346" spans="1:21">
      <c r="A2346" s="8" t="s">
        <v>10349</v>
      </c>
      <c r="B2346" s="8" t="s">
        <v>2631</v>
      </c>
      <c r="C2346" s="8">
        <v>790</v>
      </c>
      <c r="D2346" s="8" t="s">
        <v>172</v>
      </c>
      <c r="E2346" s="8">
        <v>27455354</v>
      </c>
      <c r="F2346" s="8">
        <v>27455354</v>
      </c>
      <c r="G2346" s="8" t="s">
        <v>24</v>
      </c>
      <c r="H2346" s="8" t="s">
        <v>25</v>
      </c>
      <c r="I2346" s="8" t="s">
        <v>23</v>
      </c>
      <c r="J2346" s="8" t="s">
        <v>2632</v>
      </c>
      <c r="K2346" s="8" t="s">
        <v>9507</v>
      </c>
      <c r="L2346" s="8" t="s">
        <v>19</v>
      </c>
      <c r="M2346" s="8">
        <v>2846</v>
      </c>
      <c r="N2346" s="8" t="s">
        <v>1399</v>
      </c>
      <c r="O2346" s="8">
        <v>895</v>
      </c>
      <c r="P2346" s="8" t="s">
        <v>10887</v>
      </c>
      <c r="Q2346" s="8" t="s">
        <v>4262</v>
      </c>
      <c r="R2346" s="8">
        <v>0.25</v>
      </c>
      <c r="S2346" s="8">
        <v>27455354</v>
      </c>
      <c r="T2346" s="8" t="s">
        <v>24</v>
      </c>
      <c r="U2346" s="8" t="s">
        <v>25</v>
      </c>
    </row>
    <row r="2347" spans="1:21">
      <c r="A2347" s="8" t="s">
        <v>10349</v>
      </c>
      <c r="B2347" s="8" t="s">
        <v>2631</v>
      </c>
      <c r="C2347" s="8">
        <v>790</v>
      </c>
      <c r="D2347" s="8" t="s">
        <v>172</v>
      </c>
      <c r="E2347" s="8">
        <v>27455365</v>
      </c>
      <c r="F2347" s="8">
        <v>27455365</v>
      </c>
      <c r="G2347" s="8" t="s">
        <v>24</v>
      </c>
      <c r="H2347" s="8" t="s">
        <v>25</v>
      </c>
      <c r="I2347" s="8" t="s">
        <v>23</v>
      </c>
      <c r="J2347" s="8" t="s">
        <v>2632</v>
      </c>
      <c r="K2347" s="8" t="s">
        <v>9507</v>
      </c>
      <c r="L2347" s="8" t="s">
        <v>19</v>
      </c>
      <c r="M2347" s="8">
        <v>2857</v>
      </c>
      <c r="N2347" s="8" t="s">
        <v>1070</v>
      </c>
      <c r="O2347" s="8">
        <v>899</v>
      </c>
      <c r="P2347" s="8" t="s">
        <v>10888</v>
      </c>
      <c r="Q2347" s="8" t="s">
        <v>4262</v>
      </c>
      <c r="R2347" s="8">
        <v>0.23799999999999999</v>
      </c>
      <c r="S2347" s="8">
        <v>27455365</v>
      </c>
      <c r="T2347" s="8" t="s">
        <v>24</v>
      </c>
      <c r="U2347" s="8" t="s">
        <v>25</v>
      </c>
    </row>
    <row r="2348" spans="1:21">
      <c r="A2348" s="8" t="s">
        <v>10349</v>
      </c>
      <c r="B2348" s="8" t="s">
        <v>2633</v>
      </c>
      <c r="C2348" s="8">
        <v>26160</v>
      </c>
      <c r="D2348" s="8" t="s">
        <v>172</v>
      </c>
      <c r="E2348" s="8">
        <v>27700141</v>
      </c>
      <c r="F2348" s="8">
        <v>27700141</v>
      </c>
      <c r="G2348" s="8" t="s">
        <v>46</v>
      </c>
      <c r="H2348" s="8" t="s">
        <v>41</v>
      </c>
      <c r="I2348" s="8" t="s">
        <v>23</v>
      </c>
      <c r="J2348" s="8" t="s">
        <v>2634</v>
      </c>
      <c r="K2348" s="8" t="s">
        <v>10890</v>
      </c>
      <c r="L2348" s="8" t="s">
        <v>19</v>
      </c>
      <c r="M2348" s="8">
        <v>1319</v>
      </c>
      <c r="N2348" s="8" t="s">
        <v>1399</v>
      </c>
      <c r="O2348" s="8">
        <v>423</v>
      </c>
      <c r="P2348" s="8" t="s">
        <v>10889</v>
      </c>
      <c r="Q2348" s="8" t="s">
        <v>4262</v>
      </c>
      <c r="R2348" s="8">
        <v>0.24099999999999999</v>
      </c>
      <c r="S2348" s="8">
        <v>27700141</v>
      </c>
      <c r="T2348" s="8" t="s">
        <v>46</v>
      </c>
      <c r="U2348" s="8" t="s">
        <v>41</v>
      </c>
    </row>
    <row r="2349" spans="1:21">
      <c r="A2349" s="8" t="s">
        <v>10349</v>
      </c>
      <c r="B2349" s="8" t="s">
        <v>2635</v>
      </c>
      <c r="C2349" s="8">
        <v>151056</v>
      </c>
      <c r="D2349" s="8" t="s">
        <v>172</v>
      </c>
      <c r="E2349" s="8">
        <v>28825715</v>
      </c>
      <c r="F2349" s="8">
        <v>28825715</v>
      </c>
      <c r="G2349" s="8" t="s">
        <v>24</v>
      </c>
      <c r="H2349" s="8" t="s">
        <v>25</v>
      </c>
      <c r="I2349" s="8" t="s">
        <v>23</v>
      </c>
      <c r="J2349" s="8" t="s">
        <v>6645</v>
      </c>
      <c r="K2349" s="8" t="s">
        <v>6647</v>
      </c>
      <c r="L2349" s="8" t="s">
        <v>19</v>
      </c>
      <c r="M2349" s="8">
        <v>2745</v>
      </c>
      <c r="N2349" s="8" t="s">
        <v>485</v>
      </c>
      <c r="O2349" s="8">
        <v>901</v>
      </c>
      <c r="P2349" s="8" t="s">
        <v>10891</v>
      </c>
      <c r="Q2349" s="8" t="s">
        <v>4262</v>
      </c>
      <c r="R2349" s="8">
        <v>0.23499999999999999</v>
      </c>
      <c r="S2349" s="8">
        <v>28825715</v>
      </c>
      <c r="T2349" s="8" t="s">
        <v>24</v>
      </c>
      <c r="U2349" s="8" t="s">
        <v>25</v>
      </c>
    </row>
    <row r="2350" spans="1:21">
      <c r="A2350" s="8" t="s">
        <v>10349</v>
      </c>
      <c r="B2350" s="8" t="s">
        <v>10892</v>
      </c>
      <c r="C2350" s="8">
        <v>165186</v>
      </c>
      <c r="D2350" s="8" t="s">
        <v>172</v>
      </c>
      <c r="E2350" s="8">
        <v>29240114</v>
      </c>
      <c r="F2350" s="8">
        <v>29240114</v>
      </c>
      <c r="G2350" s="8" t="s">
        <v>46</v>
      </c>
      <c r="H2350" s="8" t="s">
        <v>41</v>
      </c>
      <c r="I2350" s="8" t="s">
        <v>23</v>
      </c>
      <c r="J2350" s="8" t="s">
        <v>10893</v>
      </c>
      <c r="K2350" s="8" t="s">
        <v>10895</v>
      </c>
      <c r="L2350" s="8" t="s">
        <v>19</v>
      </c>
      <c r="M2350" s="8">
        <v>1490</v>
      </c>
      <c r="N2350" s="8" t="s">
        <v>364</v>
      </c>
      <c r="O2350" s="8">
        <v>380</v>
      </c>
      <c r="P2350" s="8" t="s">
        <v>10894</v>
      </c>
      <c r="Q2350" s="8" t="s">
        <v>4262</v>
      </c>
      <c r="R2350" s="8">
        <v>0.13900000000000001</v>
      </c>
      <c r="S2350" s="8">
        <v>29240114</v>
      </c>
      <c r="T2350" s="8" t="s">
        <v>46</v>
      </c>
      <c r="U2350" s="8" t="s">
        <v>41</v>
      </c>
    </row>
    <row r="2351" spans="1:21">
      <c r="A2351" s="8" t="s">
        <v>10349</v>
      </c>
      <c r="B2351" s="8" t="s">
        <v>10896</v>
      </c>
      <c r="C2351" s="8">
        <v>388939</v>
      </c>
      <c r="D2351" s="8" t="s">
        <v>172</v>
      </c>
      <c r="E2351" s="8">
        <v>29296715</v>
      </c>
      <c r="F2351" s="8">
        <v>29296715</v>
      </c>
      <c r="G2351" s="8" t="s">
        <v>46</v>
      </c>
      <c r="H2351" s="8" t="s">
        <v>41</v>
      </c>
      <c r="I2351" s="8" t="s">
        <v>23</v>
      </c>
      <c r="J2351" s="8" t="s">
        <v>10897</v>
      </c>
      <c r="K2351" s="8" t="s">
        <v>10899</v>
      </c>
      <c r="L2351" s="8" t="s">
        <v>19</v>
      </c>
      <c r="M2351" s="8">
        <v>413</v>
      </c>
      <c r="N2351" s="8" t="s">
        <v>2664</v>
      </c>
      <c r="O2351" s="8">
        <v>138</v>
      </c>
      <c r="P2351" s="8" t="s">
        <v>10898</v>
      </c>
      <c r="Q2351" s="8" t="s">
        <v>4262</v>
      </c>
      <c r="R2351" s="8">
        <v>0.17100000000000001</v>
      </c>
      <c r="S2351" s="8">
        <v>29296715</v>
      </c>
      <c r="T2351" s="8" t="s">
        <v>46</v>
      </c>
      <c r="U2351" s="8" t="s">
        <v>41</v>
      </c>
    </row>
    <row r="2352" spans="1:21">
      <c r="A2352" s="8" t="s">
        <v>10349</v>
      </c>
      <c r="B2352" s="8" t="s">
        <v>2636</v>
      </c>
      <c r="C2352" s="8">
        <v>55622</v>
      </c>
      <c r="D2352" s="8" t="s">
        <v>172</v>
      </c>
      <c r="E2352" s="8">
        <v>33036145</v>
      </c>
      <c r="F2352" s="8">
        <v>33036145</v>
      </c>
      <c r="G2352" s="8" t="s">
        <v>24</v>
      </c>
      <c r="H2352" s="8" t="s">
        <v>25</v>
      </c>
      <c r="I2352" s="8" t="s">
        <v>23</v>
      </c>
      <c r="J2352" s="8" t="s">
        <v>10900</v>
      </c>
      <c r="K2352" s="8" t="s">
        <v>10902</v>
      </c>
      <c r="L2352" s="8" t="s">
        <v>19</v>
      </c>
      <c r="M2352" s="8">
        <v>2326</v>
      </c>
      <c r="N2352" s="8" t="s">
        <v>557</v>
      </c>
      <c r="O2352" s="8">
        <v>685</v>
      </c>
      <c r="P2352" s="8" t="s">
        <v>10901</v>
      </c>
      <c r="Q2352" s="8" t="s">
        <v>4262</v>
      </c>
      <c r="R2352" s="8">
        <v>0.19400000000000001</v>
      </c>
      <c r="S2352" s="8">
        <v>33036145</v>
      </c>
      <c r="T2352" s="8" t="s">
        <v>24</v>
      </c>
      <c r="U2352" s="8" t="s">
        <v>25</v>
      </c>
    </row>
    <row r="2353" spans="1:21">
      <c r="A2353" s="8" t="s">
        <v>10349</v>
      </c>
      <c r="B2353" s="8" t="s">
        <v>7190</v>
      </c>
      <c r="C2353" s="8">
        <v>51232</v>
      </c>
      <c r="D2353" s="8" t="s">
        <v>172</v>
      </c>
      <c r="E2353" s="8">
        <v>36774196</v>
      </c>
      <c r="F2353" s="8">
        <v>36774196</v>
      </c>
      <c r="G2353" s="8" t="s">
        <v>46</v>
      </c>
      <c r="H2353" s="8" t="s">
        <v>41</v>
      </c>
      <c r="I2353" s="8" t="s">
        <v>23</v>
      </c>
      <c r="J2353" s="8" t="s">
        <v>7191</v>
      </c>
      <c r="K2353" s="8" t="s">
        <v>7193</v>
      </c>
      <c r="L2353" s="8" t="s">
        <v>19</v>
      </c>
      <c r="M2353" s="8">
        <v>2882</v>
      </c>
      <c r="N2353" s="8" t="s">
        <v>309</v>
      </c>
      <c r="O2353" s="8">
        <v>939</v>
      </c>
      <c r="P2353" s="8" t="s">
        <v>10903</v>
      </c>
      <c r="Q2353" s="8" t="s">
        <v>4262</v>
      </c>
      <c r="R2353" s="8">
        <v>0.14299999999999999</v>
      </c>
      <c r="S2353" s="8">
        <v>36774196</v>
      </c>
      <c r="T2353" s="8" t="s">
        <v>46</v>
      </c>
      <c r="U2353" s="8" t="s">
        <v>41</v>
      </c>
    </row>
    <row r="2354" spans="1:21">
      <c r="A2354" s="8" t="s">
        <v>10349</v>
      </c>
      <c r="B2354" s="8" t="s">
        <v>10904</v>
      </c>
      <c r="C2354" s="8">
        <v>54497</v>
      </c>
      <c r="D2354" s="8" t="s">
        <v>172</v>
      </c>
      <c r="E2354" s="8">
        <v>37246999</v>
      </c>
      <c r="F2354" s="8">
        <v>37246999</v>
      </c>
      <c r="G2354" s="8" t="s">
        <v>46</v>
      </c>
      <c r="H2354" s="8" t="s">
        <v>41</v>
      </c>
      <c r="I2354" s="8" t="s">
        <v>23</v>
      </c>
      <c r="J2354" s="8" t="s">
        <v>10905</v>
      </c>
      <c r="K2354" s="8" t="s">
        <v>10907</v>
      </c>
      <c r="L2354" s="8" t="s">
        <v>19</v>
      </c>
      <c r="M2354" s="8">
        <v>4153</v>
      </c>
      <c r="N2354" s="8" t="s">
        <v>155</v>
      </c>
      <c r="O2354" s="8">
        <v>1353</v>
      </c>
      <c r="P2354" s="8" t="s">
        <v>10906</v>
      </c>
      <c r="Q2354" s="8" t="s">
        <v>4262</v>
      </c>
      <c r="R2354" s="8">
        <v>0.16</v>
      </c>
      <c r="S2354" s="8">
        <v>37246999</v>
      </c>
      <c r="T2354" s="8" t="s">
        <v>46</v>
      </c>
      <c r="U2354" s="8" t="s">
        <v>41</v>
      </c>
    </row>
    <row r="2355" spans="1:21">
      <c r="A2355" s="8" t="s">
        <v>10349</v>
      </c>
      <c r="B2355" s="8" t="s">
        <v>10908</v>
      </c>
      <c r="C2355" s="8">
        <v>728597</v>
      </c>
      <c r="D2355" s="8" t="s">
        <v>172</v>
      </c>
      <c r="E2355" s="8">
        <v>3826452</v>
      </c>
      <c r="F2355" s="8">
        <v>3826452</v>
      </c>
      <c r="G2355" s="8" t="s">
        <v>46</v>
      </c>
      <c r="H2355" s="8" t="s">
        <v>41</v>
      </c>
      <c r="I2355" s="8" t="s">
        <v>23</v>
      </c>
      <c r="J2355" s="8" t="s">
        <v>10909</v>
      </c>
      <c r="K2355" s="8" t="s">
        <v>10912</v>
      </c>
      <c r="L2355" s="8" t="s">
        <v>19</v>
      </c>
      <c r="M2355" s="8">
        <v>1736</v>
      </c>
      <c r="N2355" s="8" t="s">
        <v>1325</v>
      </c>
      <c r="O2355" s="8">
        <v>579</v>
      </c>
      <c r="P2355" s="8" t="s">
        <v>10910</v>
      </c>
      <c r="Q2355" s="8" t="s">
        <v>10911</v>
      </c>
      <c r="R2355" s="8">
        <v>0.185</v>
      </c>
      <c r="S2355" s="8">
        <v>3826452</v>
      </c>
      <c r="T2355" s="8" t="s">
        <v>46</v>
      </c>
      <c r="U2355" s="8" t="s">
        <v>41</v>
      </c>
    </row>
    <row r="2356" spans="1:21">
      <c r="A2356" s="8" t="s">
        <v>10349</v>
      </c>
      <c r="B2356" s="8" t="s">
        <v>8696</v>
      </c>
      <c r="C2356" s="8">
        <v>6654</v>
      </c>
      <c r="D2356" s="8" t="s">
        <v>172</v>
      </c>
      <c r="E2356" s="8">
        <v>39250247</v>
      </c>
      <c r="F2356" s="8">
        <v>39250247</v>
      </c>
      <c r="G2356" s="8" t="s">
        <v>46</v>
      </c>
      <c r="H2356" s="8" t="s">
        <v>41</v>
      </c>
      <c r="I2356" s="8" t="s">
        <v>23</v>
      </c>
      <c r="J2356" s="8" t="s">
        <v>8697</v>
      </c>
      <c r="K2356" s="8" t="s">
        <v>8699</v>
      </c>
      <c r="L2356" s="8" t="s">
        <v>19</v>
      </c>
      <c r="M2356" s="8">
        <v>1363</v>
      </c>
      <c r="N2356" s="8" t="s">
        <v>618</v>
      </c>
      <c r="O2356" s="8">
        <v>441</v>
      </c>
      <c r="P2356" s="8" t="s">
        <v>10913</v>
      </c>
      <c r="Q2356" s="8" t="s">
        <v>10914</v>
      </c>
      <c r="R2356" s="8">
        <v>0.24</v>
      </c>
      <c r="S2356" s="8">
        <v>39250247</v>
      </c>
      <c r="T2356" s="8" t="s">
        <v>46</v>
      </c>
      <c r="U2356" s="8" t="s">
        <v>41</v>
      </c>
    </row>
    <row r="2357" spans="1:21">
      <c r="A2357" s="8" t="s">
        <v>10349</v>
      </c>
      <c r="B2357" s="8" t="s">
        <v>10915</v>
      </c>
      <c r="C2357" s="8">
        <v>6546</v>
      </c>
      <c r="D2357" s="8" t="s">
        <v>172</v>
      </c>
      <c r="E2357" s="8">
        <v>40656475</v>
      </c>
      <c r="F2357" s="8">
        <v>40656475</v>
      </c>
      <c r="G2357" s="8" t="s">
        <v>46</v>
      </c>
      <c r="H2357" s="8" t="s">
        <v>41</v>
      </c>
      <c r="I2357" s="8" t="s">
        <v>23</v>
      </c>
      <c r="J2357" s="8" t="s">
        <v>10916</v>
      </c>
      <c r="K2357" s="8" t="s">
        <v>10918</v>
      </c>
      <c r="L2357" s="8" t="s">
        <v>19</v>
      </c>
      <c r="M2357" s="8">
        <v>970</v>
      </c>
      <c r="N2357" s="8" t="s">
        <v>485</v>
      </c>
      <c r="O2357" s="8">
        <v>316</v>
      </c>
      <c r="P2357" s="8" t="s">
        <v>10917</v>
      </c>
      <c r="Q2357" s="8" t="s">
        <v>4262</v>
      </c>
      <c r="R2357" s="8">
        <v>0.20399999999999999</v>
      </c>
      <c r="S2357" s="8">
        <v>40656475</v>
      </c>
      <c r="T2357" s="8" t="s">
        <v>46</v>
      </c>
      <c r="U2357" s="8" t="s">
        <v>41</v>
      </c>
    </row>
    <row r="2358" spans="1:21">
      <c r="A2358" s="8" t="s">
        <v>10349</v>
      </c>
      <c r="B2358" s="8" t="s">
        <v>10919</v>
      </c>
      <c r="C2358" s="8">
        <v>90423</v>
      </c>
      <c r="D2358" s="8" t="s">
        <v>172</v>
      </c>
      <c r="E2358" s="8">
        <v>46739211</v>
      </c>
      <c r="F2358" s="8">
        <v>46739211</v>
      </c>
      <c r="G2358" s="8" t="s">
        <v>46</v>
      </c>
      <c r="H2358" s="8" t="s">
        <v>41</v>
      </c>
      <c r="I2358" s="8" t="s">
        <v>23</v>
      </c>
      <c r="J2358" s="8" t="s">
        <v>10920</v>
      </c>
      <c r="K2358" s="8" t="s">
        <v>10922</v>
      </c>
      <c r="L2358" s="8" t="s">
        <v>19</v>
      </c>
      <c r="M2358" s="8">
        <v>1754</v>
      </c>
      <c r="N2358" s="8" t="s">
        <v>155</v>
      </c>
      <c r="O2358" s="8">
        <v>214</v>
      </c>
      <c r="P2358" s="8" t="s">
        <v>10921</v>
      </c>
      <c r="Q2358" s="8" t="s">
        <v>4262</v>
      </c>
      <c r="R2358" s="8">
        <v>0.30299999999999999</v>
      </c>
      <c r="S2358" s="8">
        <v>46739211</v>
      </c>
      <c r="T2358" s="8" t="s">
        <v>46</v>
      </c>
      <c r="U2358" s="8" t="s">
        <v>41</v>
      </c>
    </row>
    <row r="2359" spans="1:21">
      <c r="A2359" s="8" t="s">
        <v>10349</v>
      </c>
      <c r="B2359" s="8" t="s">
        <v>10923</v>
      </c>
      <c r="C2359" s="8">
        <v>3973</v>
      </c>
      <c r="D2359" s="8" t="s">
        <v>172</v>
      </c>
      <c r="E2359" s="8">
        <v>48915011</v>
      </c>
      <c r="F2359" s="8">
        <v>48915011</v>
      </c>
      <c r="G2359" s="8" t="s">
        <v>46</v>
      </c>
      <c r="H2359" s="8" t="s">
        <v>41</v>
      </c>
      <c r="I2359" s="8" t="s">
        <v>23</v>
      </c>
      <c r="J2359" s="8" t="s">
        <v>10924</v>
      </c>
      <c r="K2359" s="8" t="s">
        <v>10926</v>
      </c>
      <c r="L2359" s="8" t="s">
        <v>19</v>
      </c>
      <c r="M2359" s="8">
        <v>1995</v>
      </c>
      <c r="N2359" s="8" t="s">
        <v>205</v>
      </c>
      <c r="O2359" s="8">
        <v>642</v>
      </c>
      <c r="P2359" s="8" t="s">
        <v>10925</v>
      </c>
      <c r="Q2359" s="8" t="s">
        <v>4262</v>
      </c>
      <c r="R2359" s="8">
        <v>0.16200000000000001</v>
      </c>
      <c r="S2359" s="8">
        <v>48915011</v>
      </c>
      <c r="T2359" s="8" t="s">
        <v>46</v>
      </c>
      <c r="U2359" s="8" t="s">
        <v>41</v>
      </c>
    </row>
    <row r="2360" spans="1:21">
      <c r="A2360" s="8" t="s">
        <v>10349</v>
      </c>
      <c r="B2360" s="8" t="s">
        <v>10927</v>
      </c>
      <c r="C2360" s="8">
        <v>1849</v>
      </c>
      <c r="D2360" s="8" t="s">
        <v>201</v>
      </c>
      <c r="E2360" s="8">
        <v>52084966</v>
      </c>
      <c r="F2360" s="8">
        <v>52084966</v>
      </c>
      <c r="G2360" s="8" t="s">
        <v>46</v>
      </c>
      <c r="H2360" s="8" t="s">
        <v>41</v>
      </c>
      <c r="I2360" s="8" t="s">
        <v>23</v>
      </c>
      <c r="J2360" s="8" t="s">
        <v>10928</v>
      </c>
      <c r="K2360" s="8" t="s">
        <v>10930</v>
      </c>
      <c r="L2360" s="8" t="s">
        <v>19</v>
      </c>
      <c r="M2360" s="8">
        <v>1204</v>
      </c>
      <c r="N2360" s="8" t="s">
        <v>2439</v>
      </c>
      <c r="O2360" s="8">
        <v>375</v>
      </c>
      <c r="P2360" s="8" t="s">
        <v>10929</v>
      </c>
      <c r="Q2360" s="8" t="s">
        <v>4262</v>
      </c>
      <c r="R2360" s="8">
        <v>0.185</v>
      </c>
      <c r="S2360" s="8">
        <v>52084966</v>
      </c>
      <c r="T2360" s="8" t="s">
        <v>46</v>
      </c>
      <c r="U2360" s="8" t="s">
        <v>41</v>
      </c>
    </row>
    <row r="2361" spans="1:21">
      <c r="A2361" s="8" t="s">
        <v>10349</v>
      </c>
      <c r="B2361" s="8" t="s">
        <v>3890</v>
      </c>
      <c r="C2361" s="8">
        <v>776</v>
      </c>
      <c r="D2361" s="8" t="s">
        <v>201</v>
      </c>
      <c r="E2361" s="8">
        <v>53777119</v>
      </c>
      <c r="F2361" s="8">
        <v>53777119</v>
      </c>
      <c r="G2361" s="8" t="s">
        <v>24</v>
      </c>
      <c r="H2361" s="8" t="s">
        <v>25</v>
      </c>
      <c r="I2361" s="8" t="s">
        <v>23</v>
      </c>
      <c r="J2361" s="8" t="s">
        <v>4557</v>
      </c>
      <c r="K2361" s="8" t="s">
        <v>4559</v>
      </c>
      <c r="L2361" s="8" t="s">
        <v>19</v>
      </c>
      <c r="M2361" s="8">
        <v>3116</v>
      </c>
      <c r="N2361" s="8" t="s">
        <v>171</v>
      </c>
      <c r="O2361" s="8">
        <v>985</v>
      </c>
      <c r="P2361" s="8" t="s">
        <v>10931</v>
      </c>
      <c r="Q2361" s="8" t="s">
        <v>4262</v>
      </c>
      <c r="R2361" s="8">
        <v>0.19600000000000001</v>
      </c>
      <c r="S2361" s="8">
        <v>53777119</v>
      </c>
      <c r="T2361" s="8" t="s">
        <v>24</v>
      </c>
      <c r="U2361" s="8" t="s">
        <v>25</v>
      </c>
    </row>
    <row r="2362" spans="1:21">
      <c r="A2362" s="8" t="s">
        <v>10349</v>
      </c>
      <c r="B2362" s="8" t="s">
        <v>4095</v>
      </c>
      <c r="C2362" s="8">
        <v>5793</v>
      </c>
      <c r="D2362" s="8" t="s">
        <v>201</v>
      </c>
      <c r="E2362" s="8">
        <v>61975436</v>
      </c>
      <c r="F2362" s="8">
        <v>61975436</v>
      </c>
      <c r="G2362" s="8" t="s">
        <v>24</v>
      </c>
      <c r="H2362" s="8" t="s">
        <v>25</v>
      </c>
      <c r="I2362" s="8" t="s">
        <v>23</v>
      </c>
      <c r="J2362" s="8" t="s">
        <v>10932</v>
      </c>
      <c r="K2362" s="8" t="s">
        <v>10934</v>
      </c>
      <c r="L2362" s="8" t="s">
        <v>19</v>
      </c>
      <c r="M2362" s="8">
        <v>1047</v>
      </c>
      <c r="N2362" s="8" t="s">
        <v>166</v>
      </c>
      <c r="O2362" s="8">
        <v>110</v>
      </c>
      <c r="P2362" s="8" t="s">
        <v>10933</v>
      </c>
      <c r="Q2362" s="8" t="s">
        <v>4262</v>
      </c>
      <c r="R2362" s="8">
        <v>0.25</v>
      </c>
      <c r="S2362" s="8">
        <v>61975436</v>
      </c>
      <c r="T2362" s="8" t="s">
        <v>24</v>
      </c>
      <c r="U2362" s="8" t="s">
        <v>25</v>
      </c>
    </row>
    <row r="2363" spans="1:21">
      <c r="A2363" s="8" t="s">
        <v>10349</v>
      </c>
      <c r="B2363" s="8" t="s">
        <v>3659</v>
      </c>
      <c r="C2363" s="8">
        <v>8618</v>
      </c>
      <c r="D2363" s="8" t="s">
        <v>201</v>
      </c>
      <c r="E2363" s="8">
        <v>62385163</v>
      </c>
      <c r="F2363" s="8">
        <v>62385163</v>
      </c>
      <c r="G2363" s="8" t="s">
        <v>24</v>
      </c>
      <c r="H2363" s="8" t="s">
        <v>25</v>
      </c>
      <c r="I2363" s="8" t="s">
        <v>23</v>
      </c>
      <c r="J2363" s="8" t="s">
        <v>3660</v>
      </c>
      <c r="K2363" s="8" t="s">
        <v>4562</v>
      </c>
      <c r="L2363" s="8" t="s">
        <v>19</v>
      </c>
      <c r="M2363" s="8">
        <v>4340</v>
      </c>
      <c r="N2363" s="8" t="s">
        <v>1421</v>
      </c>
      <c r="O2363" s="8">
        <v>1327</v>
      </c>
      <c r="P2363" s="8" t="s">
        <v>10935</v>
      </c>
      <c r="Q2363" s="8" t="s">
        <v>4262</v>
      </c>
      <c r="R2363" s="8">
        <v>0.16700000000000001</v>
      </c>
      <c r="S2363" s="8">
        <v>62385163</v>
      </c>
      <c r="T2363" s="8" t="s">
        <v>24</v>
      </c>
      <c r="U2363" s="8" t="s">
        <v>25</v>
      </c>
    </row>
    <row r="2364" spans="1:21">
      <c r="A2364" s="8" t="s">
        <v>10349</v>
      </c>
      <c r="B2364" s="8" t="s">
        <v>3659</v>
      </c>
      <c r="C2364" s="8">
        <v>8618</v>
      </c>
      <c r="D2364" s="8" t="s">
        <v>201</v>
      </c>
      <c r="E2364" s="8">
        <v>62478014</v>
      </c>
      <c r="F2364" s="8">
        <v>62478014</v>
      </c>
      <c r="G2364" s="8" t="s">
        <v>46</v>
      </c>
      <c r="H2364" s="8" t="s">
        <v>41</v>
      </c>
      <c r="I2364" s="8" t="s">
        <v>23</v>
      </c>
      <c r="J2364" s="8" t="s">
        <v>3660</v>
      </c>
      <c r="K2364" s="8" t="s">
        <v>4562</v>
      </c>
      <c r="L2364" s="8" t="s">
        <v>76</v>
      </c>
      <c r="M2364" s="8">
        <v>3195</v>
      </c>
      <c r="N2364" s="8" t="s">
        <v>716</v>
      </c>
      <c r="O2364" s="8">
        <v>945</v>
      </c>
      <c r="P2364" s="8" t="s">
        <v>10936</v>
      </c>
      <c r="Q2364" s="8" t="s">
        <v>4262</v>
      </c>
      <c r="R2364" s="8">
        <v>0.18</v>
      </c>
      <c r="S2364" s="8">
        <v>62478014</v>
      </c>
      <c r="T2364" s="8" t="s">
        <v>46</v>
      </c>
      <c r="U2364" s="8" t="s">
        <v>41</v>
      </c>
    </row>
    <row r="2365" spans="1:21">
      <c r="A2365" s="8" t="s">
        <v>10349</v>
      </c>
      <c r="B2365" s="8" t="s">
        <v>3659</v>
      </c>
      <c r="C2365" s="8">
        <v>8618</v>
      </c>
      <c r="D2365" s="8" t="s">
        <v>201</v>
      </c>
      <c r="E2365" s="8">
        <v>62535653</v>
      </c>
      <c r="F2365" s="8">
        <v>62535653</v>
      </c>
      <c r="G2365" s="8" t="s">
        <v>24</v>
      </c>
      <c r="H2365" s="8" t="s">
        <v>25</v>
      </c>
      <c r="I2365" s="8" t="s">
        <v>23</v>
      </c>
      <c r="J2365" s="8" t="s">
        <v>3660</v>
      </c>
      <c r="K2365" s="8" t="s">
        <v>4562</v>
      </c>
      <c r="L2365" s="8" t="s">
        <v>19</v>
      </c>
      <c r="M2365" s="8">
        <v>2251</v>
      </c>
      <c r="N2365" s="8" t="s">
        <v>2400</v>
      </c>
      <c r="O2365" s="8">
        <v>631</v>
      </c>
      <c r="P2365" s="8" t="s">
        <v>10937</v>
      </c>
      <c r="Q2365" s="8" t="s">
        <v>4262</v>
      </c>
      <c r="R2365" s="8">
        <v>0.17100000000000001</v>
      </c>
      <c r="S2365" s="8">
        <v>62535653</v>
      </c>
      <c r="T2365" s="8" t="s">
        <v>24</v>
      </c>
      <c r="U2365" s="8" t="s">
        <v>25</v>
      </c>
    </row>
    <row r="2366" spans="1:21">
      <c r="A2366" s="8" t="s">
        <v>10349</v>
      </c>
      <c r="B2366" s="8" t="s">
        <v>10938</v>
      </c>
      <c r="C2366" s="8">
        <v>166336</v>
      </c>
      <c r="D2366" s="8" t="s">
        <v>201</v>
      </c>
      <c r="E2366" s="8">
        <v>64132992</v>
      </c>
      <c r="F2366" s="8">
        <v>64132992</v>
      </c>
      <c r="G2366" s="8" t="s">
        <v>24</v>
      </c>
      <c r="H2366" s="8" t="s">
        <v>25</v>
      </c>
      <c r="I2366" s="8" t="s">
        <v>23</v>
      </c>
      <c r="J2366" s="8" t="s">
        <v>10939</v>
      </c>
      <c r="K2366" s="8" t="s">
        <v>10941</v>
      </c>
      <c r="L2366" s="8" t="s">
        <v>19</v>
      </c>
      <c r="M2366" s="8">
        <v>1760</v>
      </c>
      <c r="N2366" s="8" t="s">
        <v>2400</v>
      </c>
      <c r="O2366" s="8">
        <v>392</v>
      </c>
      <c r="P2366" s="8" t="s">
        <v>10940</v>
      </c>
      <c r="Q2366" s="8" t="s">
        <v>4262</v>
      </c>
      <c r="R2366" s="8">
        <v>0.17100000000000001</v>
      </c>
      <c r="S2366" s="8">
        <v>64132992</v>
      </c>
      <c r="T2366" s="8" t="s">
        <v>24</v>
      </c>
      <c r="U2366" s="8" t="s">
        <v>25</v>
      </c>
    </row>
    <row r="2367" spans="1:21">
      <c r="A2367" s="8" t="s">
        <v>10349</v>
      </c>
      <c r="B2367" s="8" t="s">
        <v>2687</v>
      </c>
      <c r="C2367" s="8">
        <v>4286</v>
      </c>
      <c r="D2367" s="8" t="s">
        <v>201</v>
      </c>
      <c r="E2367" s="8">
        <v>70014226</v>
      </c>
      <c r="F2367" s="8">
        <v>70014226</v>
      </c>
      <c r="G2367" s="8" t="s">
        <v>24</v>
      </c>
      <c r="H2367" s="8" t="s">
        <v>25</v>
      </c>
      <c r="I2367" s="8" t="s">
        <v>23</v>
      </c>
      <c r="J2367" s="8" t="s">
        <v>10942</v>
      </c>
      <c r="K2367" s="8" t="s">
        <v>10944</v>
      </c>
      <c r="L2367" s="8" t="s">
        <v>19</v>
      </c>
      <c r="M2367" s="8">
        <v>1553</v>
      </c>
      <c r="N2367" s="8" t="s">
        <v>155</v>
      </c>
      <c r="O2367" s="8">
        <v>464</v>
      </c>
      <c r="P2367" s="8" t="s">
        <v>10943</v>
      </c>
      <c r="Q2367" s="8" t="s">
        <v>4262</v>
      </c>
      <c r="R2367" s="8">
        <v>0.20799999999999999</v>
      </c>
      <c r="S2367" s="8">
        <v>70014226</v>
      </c>
      <c r="T2367" s="8" t="s">
        <v>24</v>
      </c>
      <c r="U2367" s="8" t="s">
        <v>25</v>
      </c>
    </row>
    <row r="2368" spans="1:21">
      <c r="A2368" s="8" t="s">
        <v>10349</v>
      </c>
      <c r="B2368" s="8" t="s">
        <v>2688</v>
      </c>
      <c r="C2368" s="8">
        <v>389136</v>
      </c>
      <c r="D2368" s="8" t="s">
        <v>201</v>
      </c>
      <c r="E2368" s="8">
        <v>87018088</v>
      </c>
      <c r="F2368" s="8">
        <v>87018088</v>
      </c>
      <c r="G2368" s="8" t="s">
        <v>24</v>
      </c>
      <c r="H2368" s="8" t="s">
        <v>25</v>
      </c>
      <c r="I2368" s="8" t="s">
        <v>23</v>
      </c>
      <c r="J2368" s="8" t="s">
        <v>2689</v>
      </c>
      <c r="K2368" s="8" t="s">
        <v>10946</v>
      </c>
      <c r="L2368" s="8" t="s">
        <v>19</v>
      </c>
      <c r="M2368" s="8">
        <v>953</v>
      </c>
      <c r="N2368" s="8" t="s">
        <v>423</v>
      </c>
      <c r="O2368" s="8">
        <v>197</v>
      </c>
      <c r="P2368" s="8" t="s">
        <v>10945</v>
      </c>
      <c r="Q2368" s="8" t="s">
        <v>4262</v>
      </c>
      <c r="R2368" s="8">
        <v>0.26300000000000001</v>
      </c>
      <c r="S2368" s="8">
        <v>87018088</v>
      </c>
      <c r="T2368" s="8" t="s">
        <v>24</v>
      </c>
      <c r="U2368" s="8" t="s">
        <v>25</v>
      </c>
    </row>
    <row r="2369" spans="1:21">
      <c r="A2369" s="8" t="s">
        <v>10349</v>
      </c>
      <c r="B2369" s="8" t="s">
        <v>2690</v>
      </c>
      <c r="C2369" s="8">
        <v>403274</v>
      </c>
      <c r="D2369" s="8" t="s">
        <v>201</v>
      </c>
      <c r="E2369" s="8">
        <v>97888367</v>
      </c>
      <c r="F2369" s="8">
        <v>97888367</v>
      </c>
      <c r="G2369" s="8" t="s">
        <v>46</v>
      </c>
      <c r="H2369" s="8" t="s">
        <v>41</v>
      </c>
      <c r="I2369" s="8" t="s">
        <v>23</v>
      </c>
      <c r="J2369" s="8" t="s">
        <v>2691</v>
      </c>
      <c r="K2369" s="8" t="s">
        <v>10948</v>
      </c>
      <c r="L2369" s="8" t="s">
        <v>19</v>
      </c>
      <c r="M2369" s="8">
        <v>824</v>
      </c>
      <c r="N2369" s="8" t="s">
        <v>1140</v>
      </c>
      <c r="O2369" s="8">
        <v>275</v>
      </c>
      <c r="P2369" s="8" t="s">
        <v>10947</v>
      </c>
      <c r="Q2369" s="8" t="s">
        <v>4262</v>
      </c>
      <c r="R2369" s="8">
        <v>0.22900000000000001</v>
      </c>
      <c r="S2369" s="8">
        <v>97888367</v>
      </c>
      <c r="T2369" s="8" t="s">
        <v>46</v>
      </c>
      <c r="U2369" s="8" t="s">
        <v>41</v>
      </c>
    </row>
    <row r="2370" spans="1:21">
      <c r="A2370" s="8" t="s">
        <v>10349</v>
      </c>
      <c r="B2370" s="8" t="s">
        <v>10949</v>
      </c>
      <c r="C2370" s="8">
        <v>84818</v>
      </c>
      <c r="D2370" s="8" t="s">
        <v>201</v>
      </c>
      <c r="E2370" s="8">
        <v>9959294</v>
      </c>
      <c r="F2370" s="8">
        <v>9959294</v>
      </c>
      <c r="G2370" s="8" t="s">
        <v>24</v>
      </c>
      <c r="H2370" s="8" t="s">
        <v>25</v>
      </c>
      <c r="I2370" s="8" t="s">
        <v>23</v>
      </c>
      <c r="J2370" s="8" t="s">
        <v>10950</v>
      </c>
      <c r="K2370" s="8" t="s">
        <v>10952</v>
      </c>
      <c r="L2370" s="8" t="s">
        <v>19</v>
      </c>
      <c r="M2370" s="8">
        <v>513</v>
      </c>
      <c r="N2370" s="8" t="s">
        <v>28</v>
      </c>
      <c r="O2370" s="8">
        <v>99</v>
      </c>
      <c r="P2370" s="8" t="s">
        <v>10951</v>
      </c>
      <c r="Q2370" s="8" t="s">
        <v>4262</v>
      </c>
      <c r="R2370" s="8">
        <v>0.17499999999999999</v>
      </c>
      <c r="S2370" s="8">
        <v>9959294</v>
      </c>
      <c r="T2370" s="8" t="s">
        <v>24</v>
      </c>
      <c r="U2370" s="8" t="s">
        <v>25</v>
      </c>
    </row>
    <row r="2371" spans="1:21">
      <c r="A2371" s="8" t="s">
        <v>10349</v>
      </c>
      <c r="B2371" s="8" t="s">
        <v>2661</v>
      </c>
      <c r="C2371" s="8">
        <v>2177</v>
      </c>
      <c r="D2371" s="8" t="s">
        <v>201</v>
      </c>
      <c r="E2371" s="8">
        <v>10088331</v>
      </c>
      <c r="F2371" s="8">
        <v>10088331</v>
      </c>
      <c r="G2371" s="8" t="s">
        <v>24</v>
      </c>
      <c r="H2371" s="8" t="s">
        <v>25</v>
      </c>
      <c r="I2371" s="8" t="s">
        <v>23</v>
      </c>
      <c r="J2371" s="8" t="s">
        <v>10953</v>
      </c>
      <c r="K2371" s="8" t="s">
        <v>10955</v>
      </c>
      <c r="L2371" s="8" t="s">
        <v>19</v>
      </c>
      <c r="M2371" s="8">
        <v>1280</v>
      </c>
      <c r="N2371" s="8" t="s">
        <v>2483</v>
      </c>
      <c r="O2371" s="8">
        <v>401</v>
      </c>
      <c r="P2371" s="8" t="s">
        <v>10954</v>
      </c>
      <c r="Q2371" s="8" t="s">
        <v>4262</v>
      </c>
      <c r="R2371" s="8">
        <v>0.114</v>
      </c>
      <c r="S2371" s="8">
        <v>10088331</v>
      </c>
      <c r="T2371" s="8" t="s">
        <v>24</v>
      </c>
      <c r="U2371" s="8" t="s">
        <v>25</v>
      </c>
    </row>
    <row r="2372" spans="1:21">
      <c r="A2372" s="8" t="s">
        <v>10349</v>
      </c>
      <c r="B2372" s="8" t="s">
        <v>10956</v>
      </c>
      <c r="C2372" s="8">
        <v>50939</v>
      </c>
      <c r="D2372" s="8" t="s">
        <v>201</v>
      </c>
      <c r="E2372" s="8">
        <v>100964744</v>
      </c>
      <c r="F2372" s="8">
        <v>100964744</v>
      </c>
      <c r="G2372" s="8" t="s">
        <v>46</v>
      </c>
      <c r="H2372" s="8" t="s">
        <v>41</v>
      </c>
      <c r="I2372" s="8" t="s">
        <v>23</v>
      </c>
      <c r="J2372" s="8" t="s">
        <v>10957</v>
      </c>
      <c r="K2372" s="8" t="s">
        <v>10959</v>
      </c>
      <c r="L2372" s="8" t="s">
        <v>19</v>
      </c>
      <c r="M2372" s="8">
        <v>1648</v>
      </c>
      <c r="N2372" s="8" t="s">
        <v>708</v>
      </c>
      <c r="O2372" s="8">
        <v>482</v>
      </c>
      <c r="P2372" s="8" t="s">
        <v>10958</v>
      </c>
      <c r="Q2372" s="8" t="s">
        <v>4262</v>
      </c>
      <c r="R2372" s="8">
        <v>0.14799999999999999</v>
      </c>
      <c r="S2372" s="8">
        <v>100964744</v>
      </c>
      <c r="T2372" s="8" t="s">
        <v>46</v>
      </c>
      <c r="U2372" s="8" t="s">
        <v>41</v>
      </c>
    </row>
    <row r="2373" spans="1:21">
      <c r="A2373" s="8" t="s">
        <v>10349</v>
      </c>
      <c r="B2373" s="8" t="s">
        <v>10956</v>
      </c>
      <c r="C2373" s="8">
        <v>50939</v>
      </c>
      <c r="D2373" s="8" t="s">
        <v>201</v>
      </c>
      <c r="E2373" s="8">
        <v>100976477</v>
      </c>
      <c r="F2373" s="8">
        <v>100976477</v>
      </c>
      <c r="G2373" s="8" t="s">
        <v>24</v>
      </c>
      <c r="H2373" s="8" t="s">
        <v>25</v>
      </c>
      <c r="I2373" s="8" t="s">
        <v>23</v>
      </c>
      <c r="J2373" s="8" t="s">
        <v>10957</v>
      </c>
      <c r="K2373" s="8" t="s">
        <v>10959</v>
      </c>
      <c r="L2373" s="8" t="s">
        <v>19</v>
      </c>
      <c r="M2373" s="8">
        <v>1252</v>
      </c>
      <c r="N2373" s="8" t="s">
        <v>364</v>
      </c>
      <c r="O2373" s="8">
        <v>350</v>
      </c>
      <c r="P2373" s="8" t="s">
        <v>10960</v>
      </c>
      <c r="Q2373" s="8" t="s">
        <v>4262</v>
      </c>
      <c r="R2373" s="8">
        <v>0.22900000000000001</v>
      </c>
      <c r="S2373" s="8">
        <v>100976477</v>
      </c>
      <c r="T2373" s="8" t="s">
        <v>24</v>
      </c>
      <c r="U2373" s="8" t="s">
        <v>25</v>
      </c>
    </row>
    <row r="2374" spans="1:21">
      <c r="A2374" s="8" t="s">
        <v>10349</v>
      </c>
      <c r="B2374" s="8" t="s">
        <v>1826</v>
      </c>
      <c r="C2374" s="8">
        <v>25945</v>
      </c>
      <c r="D2374" s="8" t="s">
        <v>201</v>
      </c>
      <c r="E2374" s="8">
        <v>110831060</v>
      </c>
      <c r="F2374" s="8">
        <v>110831060</v>
      </c>
      <c r="G2374" s="8" t="s">
        <v>24</v>
      </c>
      <c r="H2374" s="8" t="s">
        <v>25</v>
      </c>
      <c r="I2374" s="8" t="s">
        <v>23</v>
      </c>
      <c r="J2374" s="8" t="s">
        <v>10961</v>
      </c>
      <c r="K2374" s="8" t="s">
        <v>10963</v>
      </c>
      <c r="L2374" s="8" t="s">
        <v>19</v>
      </c>
      <c r="M2374" s="8">
        <v>344</v>
      </c>
      <c r="N2374" s="8" t="s">
        <v>494</v>
      </c>
      <c r="O2374" s="8">
        <v>115</v>
      </c>
      <c r="P2374" s="8" t="s">
        <v>10962</v>
      </c>
      <c r="Q2374" s="8" t="s">
        <v>4262</v>
      </c>
      <c r="R2374" s="8">
        <v>0.193</v>
      </c>
      <c r="S2374" s="8">
        <v>110831060</v>
      </c>
      <c r="T2374" s="8" t="s">
        <v>24</v>
      </c>
      <c r="U2374" s="8" t="s">
        <v>25</v>
      </c>
    </row>
    <row r="2375" spans="1:21">
      <c r="A2375" s="8" t="s">
        <v>10349</v>
      </c>
      <c r="B2375" s="8" t="s">
        <v>4563</v>
      </c>
      <c r="C2375" s="8">
        <v>285335</v>
      </c>
      <c r="D2375" s="8" t="s">
        <v>201</v>
      </c>
      <c r="E2375" s="8">
        <v>111898400</v>
      </c>
      <c r="F2375" s="8">
        <v>111898400</v>
      </c>
      <c r="G2375" s="8" t="s">
        <v>24</v>
      </c>
      <c r="H2375" s="8" t="s">
        <v>25</v>
      </c>
      <c r="I2375" s="8" t="s">
        <v>23</v>
      </c>
      <c r="J2375" s="8" t="s">
        <v>4564</v>
      </c>
      <c r="K2375" s="8" t="s">
        <v>4566</v>
      </c>
      <c r="L2375" s="8" t="s">
        <v>19</v>
      </c>
      <c r="M2375" s="8">
        <v>3119</v>
      </c>
      <c r="N2375" s="8" t="s">
        <v>1421</v>
      </c>
      <c r="O2375" s="8">
        <v>966</v>
      </c>
      <c r="P2375" s="8" t="s">
        <v>10964</v>
      </c>
      <c r="Q2375" s="8" t="s">
        <v>4262</v>
      </c>
      <c r="R2375" s="8">
        <v>9.0999999999999998E-2</v>
      </c>
      <c r="S2375" s="8">
        <v>111898400</v>
      </c>
      <c r="T2375" s="8" t="s">
        <v>24</v>
      </c>
      <c r="U2375" s="8" t="s">
        <v>25</v>
      </c>
    </row>
    <row r="2376" spans="1:21">
      <c r="A2376" s="8" t="s">
        <v>10349</v>
      </c>
      <c r="B2376" s="8" t="s">
        <v>4563</v>
      </c>
      <c r="C2376" s="8">
        <v>285335</v>
      </c>
      <c r="D2376" s="8" t="s">
        <v>201</v>
      </c>
      <c r="E2376" s="8">
        <v>111981826</v>
      </c>
      <c r="F2376" s="8">
        <v>111981826</v>
      </c>
      <c r="G2376" s="8" t="s">
        <v>24</v>
      </c>
      <c r="H2376" s="8" t="s">
        <v>25</v>
      </c>
      <c r="I2376" s="8" t="s">
        <v>23</v>
      </c>
      <c r="J2376" s="8" t="s">
        <v>4564</v>
      </c>
      <c r="K2376" s="8" t="s">
        <v>4566</v>
      </c>
      <c r="L2376" s="8" t="s">
        <v>19</v>
      </c>
      <c r="M2376" s="8">
        <v>1364</v>
      </c>
      <c r="N2376" s="8" t="s">
        <v>1421</v>
      </c>
      <c r="O2376" s="8">
        <v>381</v>
      </c>
      <c r="P2376" s="8" t="s">
        <v>10965</v>
      </c>
      <c r="Q2376" s="8" t="s">
        <v>4262</v>
      </c>
      <c r="R2376" s="8">
        <v>0.17399999999999999</v>
      </c>
      <c r="S2376" s="8">
        <v>111981826</v>
      </c>
      <c r="T2376" s="8" t="s">
        <v>24</v>
      </c>
      <c r="U2376" s="8" t="s">
        <v>25</v>
      </c>
    </row>
    <row r="2377" spans="1:21">
      <c r="A2377" s="8" t="s">
        <v>10349</v>
      </c>
      <c r="B2377" s="8" t="s">
        <v>2662</v>
      </c>
      <c r="C2377" s="8">
        <v>205717</v>
      </c>
      <c r="D2377" s="8" t="s">
        <v>201</v>
      </c>
      <c r="E2377" s="8">
        <v>113379771</v>
      </c>
      <c r="F2377" s="8">
        <v>113379771</v>
      </c>
      <c r="G2377" s="8" t="s">
        <v>46</v>
      </c>
      <c r="H2377" s="8" t="s">
        <v>41</v>
      </c>
      <c r="I2377" s="8" t="s">
        <v>23</v>
      </c>
      <c r="J2377" s="8" t="s">
        <v>2663</v>
      </c>
      <c r="K2377" s="8" t="s">
        <v>10967</v>
      </c>
      <c r="L2377" s="8" t="s">
        <v>19</v>
      </c>
      <c r="M2377" s="8">
        <v>1169</v>
      </c>
      <c r="N2377" s="8" t="s">
        <v>2664</v>
      </c>
      <c r="O2377" s="8">
        <v>253</v>
      </c>
      <c r="P2377" s="8" t="s">
        <v>10966</v>
      </c>
      <c r="Q2377" s="8" t="s">
        <v>4262</v>
      </c>
      <c r="R2377" s="8">
        <v>0.23799999999999999</v>
      </c>
      <c r="S2377" s="8">
        <v>113379771</v>
      </c>
      <c r="T2377" s="8" t="s">
        <v>46</v>
      </c>
      <c r="U2377" s="8" t="s">
        <v>41</v>
      </c>
    </row>
    <row r="2378" spans="1:21">
      <c r="A2378" s="8" t="s">
        <v>10349</v>
      </c>
      <c r="B2378" s="8" t="s">
        <v>10968</v>
      </c>
      <c r="C2378" s="8">
        <v>523</v>
      </c>
      <c r="D2378" s="8" t="s">
        <v>201</v>
      </c>
      <c r="E2378" s="8">
        <v>113513951</v>
      </c>
      <c r="F2378" s="8">
        <v>113513951</v>
      </c>
      <c r="G2378" s="8" t="s">
        <v>24</v>
      </c>
      <c r="H2378" s="8" t="s">
        <v>25</v>
      </c>
      <c r="I2378" s="8" t="s">
        <v>23</v>
      </c>
      <c r="J2378" s="8" t="s">
        <v>10969</v>
      </c>
      <c r="K2378" s="8" t="s">
        <v>10971</v>
      </c>
      <c r="L2378" s="8" t="s">
        <v>19</v>
      </c>
      <c r="M2378" s="8">
        <v>1234</v>
      </c>
      <c r="N2378" s="8" t="s">
        <v>155</v>
      </c>
      <c r="O2378" s="8">
        <v>376</v>
      </c>
      <c r="P2378" s="8" t="s">
        <v>10970</v>
      </c>
      <c r="Q2378" s="8" t="s">
        <v>4262</v>
      </c>
      <c r="R2378" s="8">
        <v>0.154</v>
      </c>
      <c r="S2378" s="8">
        <v>113513951</v>
      </c>
      <c r="T2378" s="8" t="s">
        <v>24</v>
      </c>
      <c r="U2378" s="8" t="s">
        <v>25</v>
      </c>
    </row>
    <row r="2379" spans="1:21">
      <c r="A2379" s="8" t="s">
        <v>10349</v>
      </c>
      <c r="B2379" s="8" t="s">
        <v>3385</v>
      </c>
      <c r="C2379" s="8">
        <v>1814</v>
      </c>
      <c r="D2379" s="8" t="s">
        <v>201</v>
      </c>
      <c r="E2379" s="8">
        <v>113847735</v>
      </c>
      <c r="F2379" s="8">
        <v>113847735</v>
      </c>
      <c r="G2379" s="8" t="s">
        <v>24</v>
      </c>
      <c r="H2379" s="8" t="s">
        <v>25</v>
      </c>
      <c r="I2379" s="8" t="s">
        <v>23</v>
      </c>
      <c r="J2379" s="8" t="s">
        <v>10972</v>
      </c>
      <c r="K2379" s="8" t="s">
        <v>10974</v>
      </c>
      <c r="L2379" s="8" t="s">
        <v>19</v>
      </c>
      <c r="M2379" s="8">
        <v>1462</v>
      </c>
      <c r="N2379" s="8" t="s">
        <v>333</v>
      </c>
      <c r="O2379" s="8">
        <v>344</v>
      </c>
      <c r="P2379" s="8" t="s">
        <v>10973</v>
      </c>
      <c r="Q2379" s="8" t="s">
        <v>4262</v>
      </c>
      <c r="R2379" s="8">
        <v>0.186</v>
      </c>
      <c r="S2379" s="8">
        <v>113847735</v>
      </c>
      <c r="T2379" s="8" t="s">
        <v>24</v>
      </c>
      <c r="U2379" s="8" t="s">
        <v>25</v>
      </c>
    </row>
    <row r="2380" spans="1:21">
      <c r="A2380" s="8" t="s">
        <v>10349</v>
      </c>
      <c r="B2380" s="8" t="s">
        <v>10975</v>
      </c>
      <c r="C2380" s="8">
        <v>285282</v>
      </c>
      <c r="D2380" s="8" t="s">
        <v>201</v>
      </c>
      <c r="E2380" s="8">
        <v>120449571</v>
      </c>
      <c r="F2380" s="8">
        <v>120449571</v>
      </c>
      <c r="G2380" s="8" t="s">
        <v>46</v>
      </c>
      <c r="H2380" s="8" t="s">
        <v>41</v>
      </c>
      <c r="I2380" s="8" t="s">
        <v>23</v>
      </c>
      <c r="J2380" s="8" t="s">
        <v>10976</v>
      </c>
      <c r="K2380" s="8" t="s">
        <v>10978</v>
      </c>
      <c r="L2380" s="8" t="s">
        <v>76</v>
      </c>
      <c r="M2380" s="8">
        <v>140</v>
      </c>
      <c r="N2380" s="8" t="s">
        <v>471</v>
      </c>
      <c r="O2380" s="8">
        <v>37</v>
      </c>
      <c r="P2380" s="8" t="s">
        <v>10977</v>
      </c>
      <c r="Q2380" s="8" t="s">
        <v>4262</v>
      </c>
      <c r="R2380" s="8">
        <v>0.154</v>
      </c>
      <c r="S2380" s="8">
        <v>120449571</v>
      </c>
      <c r="T2380" s="8" t="s">
        <v>46</v>
      </c>
      <c r="U2380" s="8" t="s">
        <v>41</v>
      </c>
    </row>
    <row r="2381" spans="1:21">
      <c r="A2381" s="8" t="s">
        <v>10349</v>
      </c>
      <c r="B2381" s="8" t="s">
        <v>2217</v>
      </c>
      <c r="C2381" s="8">
        <v>10721</v>
      </c>
      <c r="D2381" s="8" t="s">
        <v>201</v>
      </c>
      <c r="E2381" s="8">
        <v>121168263</v>
      </c>
      <c r="F2381" s="8">
        <v>121168263</v>
      </c>
      <c r="G2381" s="8" t="s">
        <v>46</v>
      </c>
      <c r="H2381" s="8" t="s">
        <v>41</v>
      </c>
      <c r="I2381" s="8" t="s">
        <v>23</v>
      </c>
      <c r="J2381" s="8" t="s">
        <v>10979</v>
      </c>
      <c r="K2381" s="8" t="s">
        <v>10981</v>
      </c>
      <c r="L2381" s="8" t="s">
        <v>19</v>
      </c>
      <c r="M2381" s="8">
        <v>7292</v>
      </c>
      <c r="N2381" s="8" t="s">
        <v>1399</v>
      </c>
      <c r="O2381" s="8">
        <v>2388</v>
      </c>
      <c r="P2381" s="8" t="s">
        <v>10980</v>
      </c>
      <c r="Q2381" s="8" t="s">
        <v>4262</v>
      </c>
      <c r="R2381" s="8">
        <v>0.153</v>
      </c>
      <c r="S2381" s="8">
        <v>121168263</v>
      </c>
      <c r="T2381" s="8" t="s">
        <v>46</v>
      </c>
      <c r="U2381" s="8" t="s">
        <v>41</v>
      </c>
    </row>
    <row r="2382" spans="1:21">
      <c r="A2382" s="8" t="s">
        <v>10349</v>
      </c>
      <c r="B2382" s="8" t="s">
        <v>2217</v>
      </c>
      <c r="C2382" s="8">
        <v>10721</v>
      </c>
      <c r="D2382" s="8" t="s">
        <v>201</v>
      </c>
      <c r="E2382" s="8">
        <v>121238871</v>
      </c>
      <c r="F2382" s="8">
        <v>121238871</v>
      </c>
      <c r="G2382" s="8" t="s">
        <v>46</v>
      </c>
      <c r="H2382" s="8" t="s">
        <v>41</v>
      </c>
      <c r="I2382" s="8" t="s">
        <v>23</v>
      </c>
      <c r="J2382" s="8" t="s">
        <v>10979</v>
      </c>
      <c r="K2382" s="8" t="s">
        <v>10981</v>
      </c>
      <c r="L2382" s="8" t="s">
        <v>19</v>
      </c>
      <c r="M2382" s="8">
        <v>1444</v>
      </c>
      <c r="N2382" s="8" t="s">
        <v>21</v>
      </c>
      <c r="O2382" s="8">
        <v>439</v>
      </c>
      <c r="P2382" s="8" t="s">
        <v>10982</v>
      </c>
      <c r="Q2382" s="8" t="s">
        <v>4262</v>
      </c>
      <c r="R2382" s="8">
        <v>0.29199999999999998</v>
      </c>
      <c r="S2382" s="8">
        <v>121238871</v>
      </c>
      <c r="T2382" s="8" t="s">
        <v>46</v>
      </c>
      <c r="U2382" s="8" t="s">
        <v>41</v>
      </c>
    </row>
    <row r="2383" spans="1:21">
      <c r="A2383" s="8" t="s">
        <v>10349</v>
      </c>
      <c r="B2383" s="8" t="s">
        <v>2217</v>
      </c>
      <c r="C2383" s="8">
        <v>10721</v>
      </c>
      <c r="D2383" s="8" t="s">
        <v>201</v>
      </c>
      <c r="E2383" s="8">
        <v>121260252</v>
      </c>
      <c r="F2383" s="8">
        <v>121260252</v>
      </c>
      <c r="G2383" s="8" t="s">
        <v>46</v>
      </c>
      <c r="H2383" s="8" t="s">
        <v>41</v>
      </c>
      <c r="I2383" s="8" t="s">
        <v>23</v>
      </c>
      <c r="J2383" s="8" t="s">
        <v>10979</v>
      </c>
      <c r="K2383" s="8" t="s">
        <v>10981</v>
      </c>
      <c r="L2383" s="8" t="s">
        <v>19</v>
      </c>
      <c r="M2383" s="8">
        <v>547</v>
      </c>
      <c r="N2383" s="8" t="s">
        <v>768</v>
      </c>
      <c r="O2383" s="8">
        <v>140</v>
      </c>
      <c r="P2383" s="8" t="s">
        <v>10983</v>
      </c>
      <c r="Q2383" s="8" t="s">
        <v>4262</v>
      </c>
      <c r="R2383" s="8">
        <v>0.20599999999999999</v>
      </c>
      <c r="S2383" s="8">
        <v>121260252</v>
      </c>
      <c r="T2383" s="8" t="s">
        <v>46</v>
      </c>
      <c r="U2383" s="8" t="s">
        <v>41</v>
      </c>
    </row>
    <row r="2384" spans="1:21">
      <c r="A2384" s="8" t="s">
        <v>10349</v>
      </c>
      <c r="B2384" s="8" t="s">
        <v>2665</v>
      </c>
      <c r="C2384" s="8">
        <v>79663</v>
      </c>
      <c r="D2384" s="8" t="s">
        <v>201</v>
      </c>
      <c r="E2384" s="8">
        <v>122478135</v>
      </c>
      <c r="F2384" s="8">
        <v>122478135</v>
      </c>
      <c r="G2384" s="8" t="s">
        <v>46</v>
      </c>
      <c r="H2384" s="8" t="s">
        <v>41</v>
      </c>
      <c r="I2384" s="8" t="s">
        <v>23</v>
      </c>
      <c r="J2384" s="8" t="s">
        <v>2666</v>
      </c>
      <c r="K2384" s="8" t="s">
        <v>4576</v>
      </c>
      <c r="L2384" s="8" t="s">
        <v>19</v>
      </c>
      <c r="M2384" s="8">
        <v>628</v>
      </c>
      <c r="N2384" s="8" t="s">
        <v>1364</v>
      </c>
      <c r="O2384" s="8">
        <v>169</v>
      </c>
      <c r="P2384" s="8" t="s">
        <v>10984</v>
      </c>
      <c r="Q2384" s="8" t="s">
        <v>4262</v>
      </c>
      <c r="R2384" s="8">
        <v>0.36799999999999999</v>
      </c>
      <c r="S2384" s="8">
        <v>122478135</v>
      </c>
      <c r="T2384" s="8" t="s">
        <v>46</v>
      </c>
      <c r="U2384" s="8" t="s">
        <v>41</v>
      </c>
    </row>
    <row r="2385" spans="1:21">
      <c r="A2385" s="8" t="s">
        <v>10349</v>
      </c>
      <c r="B2385" s="8" t="s">
        <v>599</v>
      </c>
      <c r="C2385" s="8">
        <v>111</v>
      </c>
      <c r="D2385" s="8" t="s">
        <v>201</v>
      </c>
      <c r="E2385" s="8">
        <v>123066686</v>
      </c>
      <c r="F2385" s="8">
        <v>123066686</v>
      </c>
      <c r="G2385" s="8" t="s">
        <v>24</v>
      </c>
      <c r="H2385" s="8" t="s">
        <v>25</v>
      </c>
      <c r="I2385" s="8" t="s">
        <v>23</v>
      </c>
      <c r="J2385" s="8" t="s">
        <v>10985</v>
      </c>
      <c r="K2385" s="8" t="s">
        <v>10987</v>
      </c>
      <c r="L2385" s="8" t="s">
        <v>19</v>
      </c>
      <c r="M2385" s="8">
        <v>1349</v>
      </c>
      <c r="N2385" s="8" t="s">
        <v>1421</v>
      </c>
      <c r="O2385" s="8">
        <v>450</v>
      </c>
      <c r="P2385" s="8" t="s">
        <v>10986</v>
      </c>
      <c r="Q2385" s="8" t="s">
        <v>4262</v>
      </c>
      <c r="R2385" s="8">
        <v>0.113</v>
      </c>
      <c r="S2385" s="8">
        <v>123066686</v>
      </c>
      <c r="T2385" s="8" t="s">
        <v>24</v>
      </c>
      <c r="U2385" s="8" t="s">
        <v>25</v>
      </c>
    </row>
    <row r="2386" spans="1:21">
      <c r="A2386" s="8" t="s">
        <v>10349</v>
      </c>
      <c r="B2386" s="8" t="s">
        <v>2071</v>
      </c>
      <c r="C2386" s="8">
        <v>8997</v>
      </c>
      <c r="D2386" s="8" t="s">
        <v>201</v>
      </c>
      <c r="E2386" s="8">
        <v>124393220</v>
      </c>
      <c r="F2386" s="8">
        <v>124393220</v>
      </c>
      <c r="G2386" s="8" t="s">
        <v>24</v>
      </c>
      <c r="H2386" s="8" t="s">
        <v>25</v>
      </c>
      <c r="I2386" s="8" t="s">
        <v>23</v>
      </c>
      <c r="J2386" s="8" t="s">
        <v>4294</v>
      </c>
      <c r="K2386" s="8" t="s">
        <v>4296</v>
      </c>
      <c r="L2386" s="8" t="s">
        <v>19</v>
      </c>
      <c r="M2386" s="8">
        <v>7079</v>
      </c>
      <c r="N2386" s="8" t="s">
        <v>1364</v>
      </c>
      <c r="O2386" s="8">
        <v>2318</v>
      </c>
      <c r="P2386" s="8" t="s">
        <v>10988</v>
      </c>
      <c r="Q2386" s="8" t="s">
        <v>4262</v>
      </c>
      <c r="R2386" s="8">
        <v>0.19400000000000001</v>
      </c>
      <c r="S2386" s="8">
        <v>124393220</v>
      </c>
      <c r="T2386" s="8" t="s">
        <v>24</v>
      </c>
      <c r="U2386" s="8" t="s">
        <v>25</v>
      </c>
    </row>
    <row r="2387" spans="1:21">
      <c r="A2387" s="8" t="s">
        <v>10349</v>
      </c>
      <c r="B2387" s="8" t="s">
        <v>2071</v>
      </c>
      <c r="C2387" s="8">
        <v>8997</v>
      </c>
      <c r="D2387" s="8" t="s">
        <v>201</v>
      </c>
      <c r="E2387" s="8">
        <v>124393233</v>
      </c>
      <c r="F2387" s="8">
        <v>124393233</v>
      </c>
      <c r="G2387" s="8" t="s">
        <v>24</v>
      </c>
      <c r="H2387" s="8" t="s">
        <v>25</v>
      </c>
      <c r="I2387" s="8" t="s">
        <v>23</v>
      </c>
      <c r="J2387" s="8" t="s">
        <v>4294</v>
      </c>
      <c r="K2387" s="8" t="s">
        <v>4296</v>
      </c>
      <c r="L2387" s="8" t="s">
        <v>19</v>
      </c>
      <c r="M2387" s="8">
        <v>7092</v>
      </c>
      <c r="N2387" s="8" t="s">
        <v>1399</v>
      </c>
      <c r="O2387" s="8">
        <v>2322</v>
      </c>
      <c r="P2387" s="8" t="s">
        <v>10989</v>
      </c>
      <c r="Q2387" s="8" t="s">
        <v>4262</v>
      </c>
      <c r="R2387" s="8">
        <v>0.214</v>
      </c>
      <c r="S2387" s="8">
        <v>124393233</v>
      </c>
      <c r="T2387" s="8" t="s">
        <v>24</v>
      </c>
      <c r="U2387" s="8" t="s">
        <v>25</v>
      </c>
    </row>
    <row r="2388" spans="1:21">
      <c r="A2388" s="8" t="s">
        <v>10349</v>
      </c>
      <c r="B2388" s="8" t="s">
        <v>10990</v>
      </c>
      <c r="C2388" s="8">
        <v>7372</v>
      </c>
      <c r="D2388" s="8" t="s">
        <v>201</v>
      </c>
      <c r="E2388" s="8">
        <v>124456552</v>
      </c>
      <c r="F2388" s="8">
        <v>124456552</v>
      </c>
      <c r="G2388" s="8" t="s">
        <v>25</v>
      </c>
      <c r="H2388" s="8" t="s">
        <v>24</v>
      </c>
      <c r="I2388" s="8" t="s">
        <v>23</v>
      </c>
      <c r="J2388" s="8" t="s">
        <v>10991</v>
      </c>
      <c r="K2388" s="8" t="s">
        <v>10993</v>
      </c>
      <c r="L2388" s="8" t="s">
        <v>19</v>
      </c>
      <c r="M2388" s="8">
        <v>554</v>
      </c>
      <c r="N2388" s="8" t="s">
        <v>99</v>
      </c>
      <c r="O2388" s="8">
        <v>150</v>
      </c>
      <c r="P2388" s="8" t="s">
        <v>10992</v>
      </c>
      <c r="Q2388" s="8" t="s">
        <v>4262</v>
      </c>
      <c r="R2388" s="8">
        <v>0.189</v>
      </c>
      <c r="S2388" s="8">
        <v>124456552</v>
      </c>
      <c r="T2388" s="8" t="s">
        <v>25</v>
      </c>
      <c r="U2388" s="8" t="s">
        <v>24</v>
      </c>
    </row>
    <row r="2389" spans="1:21">
      <c r="A2389" s="8" t="s">
        <v>10349</v>
      </c>
      <c r="B2389" s="8" t="s">
        <v>10994</v>
      </c>
      <c r="C2389" s="8">
        <v>56667</v>
      </c>
      <c r="D2389" s="8" t="s">
        <v>201</v>
      </c>
      <c r="E2389" s="8">
        <v>124646678</v>
      </c>
      <c r="F2389" s="8">
        <v>124646678</v>
      </c>
      <c r="G2389" s="8" t="s">
        <v>24</v>
      </c>
      <c r="H2389" s="8" t="s">
        <v>25</v>
      </c>
      <c r="I2389" s="8" t="s">
        <v>23</v>
      </c>
      <c r="J2389" s="8" t="s">
        <v>10995</v>
      </c>
      <c r="K2389" s="8" t="s">
        <v>10997</v>
      </c>
      <c r="L2389" s="8" t="s">
        <v>19</v>
      </c>
      <c r="M2389" s="8">
        <v>251</v>
      </c>
      <c r="N2389" s="8" t="s">
        <v>333</v>
      </c>
      <c r="O2389" s="8">
        <v>71</v>
      </c>
      <c r="P2389" s="8" t="s">
        <v>10996</v>
      </c>
      <c r="Q2389" s="8" t="s">
        <v>4262</v>
      </c>
      <c r="R2389" s="8">
        <v>0.22700000000000001</v>
      </c>
      <c r="S2389" s="8">
        <v>124646678</v>
      </c>
      <c r="T2389" s="8" t="s">
        <v>24</v>
      </c>
      <c r="U2389" s="8" t="s">
        <v>25</v>
      </c>
    </row>
    <row r="2390" spans="1:21">
      <c r="A2390" s="8" t="s">
        <v>10349</v>
      </c>
      <c r="B2390" s="8" t="s">
        <v>10998</v>
      </c>
      <c r="C2390" s="8">
        <v>8723</v>
      </c>
      <c r="D2390" s="8" t="s">
        <v>201</v>
      </c>
      <c r="E2390" s="8">
        <v>125216677</v>
      </c>
      <c r="F2390" s="8">
        <v>125216677</v>
      </c>
      <c r="G2390" s="8" t="s">
        <v>46</v>
      </c>
      <c r="H2390" s="8" t="s">
        <v>41</v>
      </c>
      <c r="I2390" s="8" t="s">
        <v>23</v>
      </c>
      <c r="J2390" s="8" t="s">
        <v>10999</v>
      </c>
      <c r="K2390" s="8" t="s">
        <v>11000</v>
      </c>
      <c r="L2390" s="8" t="s">
        <v>68</v>
      </c>
      <c r="M2390" s="8">
        <v>0</v>
      </c>
      <c r="N2390" s="8" t="s">
        <v>35</v>
      </c>
      <c r="O2390" s="8">
        <v>0</v>
      </c>
      <c r="P2390" s="8" t="s">
        <v>35</v>
      </c>
      <c r="Q2390" s="8" t="s">
        <v>4262</v>
      </c>
      <c r="R2390" s="8">
        <v>0.19</v>
      </c>
      <c r="S2390" s="8">
        <v>125216677</v>
      </c>
      <c r="T2390" s="8" t="s">
        <v>46</v>
      </c>
      <c r="U2390" s="8" t="s">
        <v>41</v>
      </c>
    </row>
    <row r="2391" spans="1:21">
      <c r="A2391" s="8" t="s">
        <v>10349</v>
      </c>
      <c r="B2391" s="8" t="s">
        <v>2083</v>
      </c>
      <c r="C2391" s="8">
        <v>79364</v>
      </c>
      <c r="D2391" s="8" t="s">
        <v>201</v>
      </c>
      <c r="E2391" s="8">
        <v>126189839</v>
      </c>
      <c r="F2391" s="8">
        <v>126189839</v>
      </c>
      <c r="G2391" s="8" t="s">
        <v>46</v>
      </c>
      <c r="H2391" s="8" t="s">
        <v>41</v>
      </c>
      <c r="I2391" s="8" t="s">
        <v>23</v>
      </c>
      <c r="J2391" s="8" t="s">
        <v>11001</v>
      </c>
      <c r="K2391" s="8" t="s">
        <v>11003</v>
      </c>
      <c r="L2391" s="8" t="s">
        <v>19</v>
      </c>
      <c r="M2391" s="8">
        <v>1223</v>
      </c>
      <c r="N2391" s="8" t="s">
        <v>732</v>
      </c>
      <c r="O2391" s="8">
        <v>390</v>
      </c>
      <c r="P2391" s="8" t="s">
        <v>11002</v>
      </c>
      <c r="Q2391" s="8" t="s">
        <v>4262</v>
      </c>
      <c r="R2391" s="8">
        <v>0.26700000000000002</v>
      </c>
      <c r="S2391" s="8">
        <v>126189839</v>
      </c>
      <c r="T2391" s="8" t="s">
        <v>46</v>
      </c>
      <c r="U2391" s="8" t="s">
        <v>41</v>
      </c>
    </row>
    <row r="2392" spans="1:21">
      <c r="A2392" s="8" t="s">
        <v>10349</v>
      </c>
      <c r="B2392" s="8" t="s">
        <v>2667</v>
      </c>
      <c r="C2392" s="8">
        <v>114112</v>
      </c>
      <c r="D2392" s="8" t="s">
        <v>201</v>
      </c>
      <c r="E2392" s="8">
        <v>126350632</v>
      </c>
      <c r="F2392" s="8">
        <v>126350632</v>
      </c>
      <c r="G2392" s="8" t="s">
        <v>46</v>
      </c>
      <c r="H2392" s="8" t="s">
        <v>41</v>
      </c>
      <c r="I2392" s="8" t="s">
        <v>23</v>
      </c>
      <c r="J2392" s="8" t="s">
        <v>11004</v>
      </c>
      <c r="K2392" s="8" t="s">
        <v>11006</v>
      </c>
      <c r="L2392" s="8" t="s">
        <v>19</v>
      </c>
      <c r="M2392" s="8">
        <v>1080</v>
      </c>
      <c r="N2392" s="8" t="s">
        <v>1364</v>
      </c>
      <c r="O2392" s="8">
        <v>316</v>
      </c>
      <c r="P2392" s="8" t="s">
        <v>11005</v>
      </c>
      <c r="Q2392" s="8" t="s">
        <v>4262</v>
      </c>
      <c r="R2392" s="8">
        <v>0.216</v>
      </c>
      <c r="S2392" s="8">
        <v>126350632</v>
      </c>
      <c r="T2392" s="8" t="s">
        <v>46</v>
      </c>
      <c r="U2392" s="8" t="s">
        <v>41</v>
      </c>
    </row>
    <row r="2393" spans="1:21">
      <c r="A2393" s="8" t="s">
        <v>10349</v>
      </c>
      <c r="B2393" s="8" t="s">
        <v>11007</v>
      </c>
      <c r="C2393" s="8">
        <v>8607</v>
      </c>
      <c r="D2393" s="8" t="s">
        <v>201</v>
      </c>
      <c r="E2393" s="8">
        <v>127831829</v>
      </c>
      <c r="F2393" s="8">
        <v>127831829</v>
      </c>
      <c r="G2393" s="8" t="s">
        <v>46</v>
      </c>
      <c r="H2393" s="8" t="s">
        <v>41</v>
      </c>
      <c r="I2393" s="8" t="s">
        <v>23</v>
      </c>
      <c r="J2393" s="8" t="s">
        <v>11008</v>
      </c>
      <c r="K2393" s="8" t="s">
        <v>11010</v>
      </c>
      <c r="L2393" s="8" t="s">
        <v>19</v>
      </c>
      <c r="M2393" s="8">
        <v>367</v>
      </c>
      <c r="N2393" s="8" t="s">
        <v>796</v>
      </c>
      <c r="O2393" s="8">
        <v>88</v>
      </c>
      <c r="P2393" s="8" t="s">
        <v>11009</v>
      </c>
      <c r="Q2393" s="8" t="s">
        <v>4262</v>
      </c>
      <c r="R2393" s="8">
        <v>0.17499999999999999</v>
      </c>
      <c r="S2393" s="8">
        <v>127831829</v>
      </c>
      <c r="T2393" s="8" t="s">
        <v>46</v>
      </c>
      <c r="U2393" s="8" t="s">
        <v>41</v>
      </c>
    </row>
    <row r="2394" spans="1:21">
      <c r="A2394" s="8" t="s">
        <v>10349</v>
      </c>
      <c r="B2394" s="8" t="s">
        <v>1827</v>
      </c>
      <c r="C2394" s="8">
        <v>7555</v>
      </c>
      <c r="D2394" s="8" t="s">
        <v>201</v>
      </c>
      <c r="E2394" s="8">
        <v>128890352</v>
      </c>
      <c r="F2394" s="8">
        <v>128890352</v>
      </c>
      <c r="G2394" s="8" t="s">
        <v>46</v>
      </c>
      <c r="H2394" s="8" t="s">
        <v>41</v>
      </c>
      <c r="I2394" s="8" t="s">
        <v>23</v>
      </c>
      <c r="J2394" s="8" t="s">
        <v>11011</v>
      </c>
      <c r="K2394" s="8" t="s">
        <v>11013</v>
      </c>
      <c r="L2394" s="8" t="s">
        <v>19</v>
      </c>
      <c r="M2394" s="8">
        <v>360</v>
      </c>
      <c r="N2394" s="8" t="s">
        <v>485</v>
      </c>
      <c r="O2394" s="8">
        <v>52</v>
      </c>
      <c r="P2394" s="8" t="s">
        <v>11012</v>
      </c>
      <c r="Q2394" s="8" t="s">
        <v>4262</v>
      </c>
      <c r="R2394" s="8">
        <v>0.28199999999999997</v>
      </c>
      <c r="S2394" s="8">
        <v>128890352</v>
      </c>
      <c r="T2394" s="8" t="s">
        <v>46</v>
      </c>
      <c r="U2394" s="8" t="s">
        <v>41</v>
      </c>
    </row>
    <row r="2395" spans="1:21">
      <c r="A2395" s="8" t="s">
        <v>10349</v>
      </c>
      <c r="B2395" s="8" t="s">
        <v>1828</v>
      </c>
      <c r="C2395" s="8">
        <v>131873</v>
      </c>
      <c r="D2395" s="8" t="s">
        <v>201</v>
      </c>
      <c r="E2395" s="8">
        <v>130287206</v>
      </c>
      <c r="F2395" s="8">
        <v>130287206</v>
      </c>
      <c r="G2395" s="8" t="s">
        <v>46</v>
      </c>
      <c r="H2395" s="8" t="s">
        <v>41</v>
      </c>
      <c r="I2395" s="8" t="s">
        <v>23</v>
      </c>
      <c r="J2395" s="8" t="s">
        <v>11014</v>
      </c>
      <c r="K2395" s="8" t="s">
        <v>11016</v>
      </c>
      <c r="L2395" s="8" t="s">
        <v>19</v>
      </c>
      <c r="M2395" s="8">
        <v>2190</v>
      </c>
      <c r="N2395" s="8" t="s">
        <v>333</v>
      </c>
      <c r="O2395" s="8">
        <v>720</v>
      </c>
      <c r="P2395" s="8" t="s">
        <v>11015</v>
      </c>
      <c r="Q2395" s="8" t="s">
        <v>4262</v>
      </c>
      <c r="R2395" s="8">
        <v>0.2</v>
      </c>
      <c r="S2395" s="8">
        <v>130287206</v>
      </c>
      <c r="T2395" s="8" t="s">
        <v>46</v>
      </c>
      <c r="U2395" s="8" t="s">
        <v>41</v>
      </c>
    </row>
    <row r="2396" spans="1:21">
      <c r="A2396" s="8" t="s">
        <v>10349</v>
      </c>
      <c r="B2396" s="8" t="s">
        <v>1952</v>
      </c>
      <c r="C2396" s="8">
        <v>51163</v>
      </c>
      <c r="D2396" s="8" t="s">
        <v>201</v>
      </c>
      <c r="E2396" s="8">
        <v>137886012</v>
      </c>
      <c r="F2396" s="8">
        <v>137886012</v>
      </c>
      <c r="G2396" s="8" t="s">
        <v>46</v>
      </c>
      <c r="H2396" s="8" t="s">
        <v>41</v>
      </c>
      <c r="I2396" s="8" t="s">
        <v>23</v>
      </c>
      <c r="J2396" s="8" t="s">
        <v>2668</v>
      </c>
      <c r="K2396" s="8" t="s">
        <v>4585</v>
      </c>
      <c r="L2396" s="8" t="s">
        <v>19</v>
      </c>
      <c r="M2396" s="8">
        <v>779</v>
      </c>
      <c r="N2396" s="8" t="s">
        <v>768</v>
      </c>
      <c r="O2396" s="8">
        <v>209</v>
      </c>
      <c r="P2396" s="8" t="s">
        <v>11017</v>
      </c>
      <c r="Q2396" s="8" t="s">
        <v>4262</v>
      </c>
      <c r="R2396" s="8">
        <v>0.20699999999999999</v>
      </c>
      <c r="S2396" s="8">
        <v>137886012</v>
      </c>
      <c r="T2396" s="8" t="s">
        <v>46</v>
      </c>
      <c r="U2396" s="8" t="s">
        <v>41</v>
      </c>
    </row>
    <row r="2397" spans="1:21">
      <c r="A2397" s="8" t="s">
        <v>10349</v>
      </c>
      <c r="B2397" s="8" t="s">
        <v>11018</v>
      </c>
      <c r="C2397" s="8">
        <v>5922</v>
      </c>
      <c r="D2397" s="8" t="s">
        <v>201</v>
      </c>
      <c r="E2397" s="8">
        <v>141291521</v>
      </c>
      <c r="F2397" s="8">
        <v>141291521</v>
      </c>
      <c r="G2397" s="8" t="s">
        <v>24</v>
      </c>
      <c r="H2397" s="8" t="s">
        <v>25</v>
      </c>
      <c r="I2397" s="8" t="s">
        <v>23</v>
      </c>
      <c r="J2397" s="8" t="s">
        <v>11019</v>
      </c>
      <c r="K2397" s="8" t="s">
        <v>11021</v>
      </c>
      <c r="L2397" s="8" t="s">
        <v>19</v>
      </c>
      <c r="M2397" s="8">
        <v>1240</v>
      </c>
      <c r="N2397" s="8" t="s">
        <v>1364</v>
      </c>
      <c r="O2397" s="8">
        <v>414</v>
      </c>
      <c r="P2397" s="8" t="s">
        <v>11020</v>
      </c>
      <c r="Q2397" s="8" t="s">
        <v>4262</v>
      </c>
      <c r="R2397" s="8">
        <v>0.20899999999999999</v>
      </c>
      <c r="S2397" s="8">
        <v>141291521</v>
      </c>
      <c r="T2397" s="8" t="s">
        <v>24</v>
      </c>
      <c r="U2397" s="8" t="s">
        <v>25</v>
      </c>
    </row>
    <row r="2398" spans="1:21">
      <c r="A2398" s="8" t="s">
        <v>10349</v>
      </c>
      <c r="B2398" s="8" t="s">
        <v>3114</v>
      </c>
      <c r="C2398" s="8">
        <v>23350</v>
      </c>
      <c r="D2398" s="8" t="s">
        <v>201</v>
      </c>
      <c r="E2398" s="8">
        <v>142775189</v>
      </c>
      <c r="F2398" s="8">
        <v>142775189</v>
      </c>
      <c r="G2398" s="8" t="s">
        <v>24</v>
      </c>
      <c r="H2398" s="8" t="s">
        <v>25</v>
      </c>
      <c r="I2398" s="8" t="s">
        <v>23</v>
      </c>
      <c r="J2398" s="8" t="s">
        <v>3115</v>
      </c>
      <c r="K2398" s="8" t="s">
        <v>7991</v>
      </c>
      <c r="L2398" s="8" t="s">
        <v>19</v>
      </c>
      <c r="M2398" s="8">
        <v>3086</v>
      </c>
      <c r="N2398" s="8" t="s">
        <v>2483</v>
      </c>
      <c r="O2398" s="8">
        <v>996</v>
      </c>
      <c r="P2398" s="8" t="s">
        <v>11022</v>
      </c>
      <c r="Q2398" s="8" t="s">
        <v>4262</v>
      </c>
      <c r="R2398" s="8">
        <v>0.222</v>
      </c>
      <c r="S2398" s="8">
        <v>142775189</v>
      </c>
      <c r="T2398" s="8" t="s">
        <v>24</v>
      </c>
      <c r="U2398" s="8" t="s">
        <v>25</v>
      </c>
    </row>
    <row r="2399" spans="1:21">
      <c r="A2399" s="8" t="s">
        <v>10349</v>
      </c>
      <c r="B2399" s="8" t="s">
        <v>2671</v>
      </c>
      <c r="C2399" s="8">
        <v>84077</v>
      </c>
      <c r="D2399" s="8" t="s">
        <v>201</v>
      </c>
      <c r="E2399" s="8">
        <v>14746067</v>
      </c>
      <c r="F2399" s="8">
        <v>14746067</v>
      </c>
      <c r="G2399" s="8" t="s">
        <v>24</v>
      </c>
      <c r="H2399" s="8" t="s">
        <v>25</v>
      </c>
      <c r="I2399" s="8" t="s">
        <v>23</v>
      </c>
      <c r="J2399" s="8" t="s">
        <v>11023</v>
      </c>
      <c r="K2399" s="8" t="s">
        <v>11025</v>
      </c>
      <c r="L2399" s="8" t="s">
        <v>19</v>
      </c>
      <c r="M2399" s="8">
        <v>1554</v>
      </c>
      <c r="N2399" s="8" t="s">
        <v>1070</v>
      </c>
      <c r="O2399" s="8">
        <v>368</v>
      </c>
      <c r="P2399" s="8" t="s">
        <v>11024</v>
      </c>
      <c r="Q2399" s="8" t="s">
        <v>4262</v>
      </c>
      <c r="R2399" s="8">
        <v>0.214</v>
      </c>
      <c r="S2399" s="8">
        <v>14746067</v>
      </c>
      <c r="T2399" s="8" t="s">
        <v>24</v>
      </c>
      <c r="U2399" s="8" t="s">
        <v>25</v>
      </c>
    </row>
    <row r="2400" spans="1:21">
      <c r="A2400" s="8" t="s">
        <v>10349</v>
      </c>
      <c r="B2400" s="8" t="s">
        <v>11026</v>
      </c>
      <c r="C2400" s="8">
        <v>1360</v>
      </c>
      <c r="D2400" s="8" t="s">
        <v>201</v>
      </c>
      <c r="E2400" s="8">
        <v>148577617</v>
      </c>
      <c r="F2400" s="8">
        <v>148577617</v>
      </c>
      <c r="G2400" s="8" t="s">
        <v>24</v>
      </c>
      <c r="H2400" s="8" t="s">
        <v>25</v>
      </c>
      <c r="I2400" s="8" t="s">
        <v>23</v>
      </c>
      <c r="J2400" s="8" t="s">
        <v>11027</v>
      </c>
      <c r="K2400" s="8" t="s">
        <v>11029</v>
      </c>
      <c r="L2400" s="8" t="s">
        <v>19</v>
      </c>
      <c r="M2400" s="8">
        <v>1105</v>
      </c>
      <c r="N2400" s="8" t="s">
        <v>205</v>
      </c>
      <c r="O2400" s="8">
        <v>361</v>
      </c>
      <c r="P2400" s="8" t="s">
        <v>11028</v>
      </c>
      <c r="Q2400" s="8" t="s">
        <v>4262</v>
      </c>
      <c r="R2400" s="8">
        <v>0.23300000000000001</v>
      </c>
      <c r="S2400" s="8">
        <v>148577617</v>
      </c>
      <c r="T2400" s="8" t="s">
        <v>24</v>
      </c>
      <c r="U2400" s="8" t="s">
        <v>25</v>
      </c>
    </row>
    <row r="2401" spans="1:21">
      <c r="A2401" s="8" t="s">
        <v>10349</v>
      </c>
      <c r="B2401" s="8" t="s">
        <v>11030</v>
      </c>
      <c r="C2401" s="8">
        <v>56670</v>
      </c>
      <c r="D2401" s="8" t="s">
        <v>201</v>
      </c>
      <c r="E2401" s="8">
        <v>151598873</v>
      </c>
      <c r="F2401" s="8">
        <v>151598873</v>
      </c>
      <c r="G2401" s="8" t="s">
        <v>46</v>
      </c>
      <c r="H2401" s="8" t="s">
        <v>41</v>
      </c>
      <c r="I2401" s="8" t="s">
        <v>23</v>
      </c>
      <c r="J2401" s="8" t="s">
        <v>11031</v>
      </c>
      <c r="K2401" s="8" t="s">
        <v>11033</v>
      </c>
      <c r="L2401" s="8" t="s">
        <v>19</v>
      </c>
      <c r="M2401" s="8">
        <v>647</v>
      </c>
      <c r="N2401" s="8" t="s">
        <v>333</v>
      </c>
      <c r="O2401" s="8">
        <v>181</v>
      </c>
      <c r="P2401" s="8" t="s">
        <v>11032</v>
      </c>
      <c r="Q2401" s="8" t="s">
        <v>4262</v>
      </c>
      <c r="R2401" s="8">
        <v>0.17199999999999999</v>
      </c>
      <c r="S2401" s="8">
        <v>151598873</v>
      </c>
      <c r="T2401" s="8" t="s">
        <v>46</v>
      </c>
      <c r="U2401" s="8" t="s">
        <v>41</v>
      </c>
    </row>
    <row r="2402" spans="1:21">
      <c r="A2402" s="8" t="s">
        <v>10349</v>
      </c>
      <c r="B2402" s="8" t="s">
        <v>2672</v>
      </c>
      <c r="C2402" s="8">
        <v>7881</v>
      </c>
      <c r="D2402" s="8" t="s">
        <v>201</v>
      </c>
      <c r="E2402" s="8">
        <v>156192552</v>
      </c>
      <c r="F2402" s="8">
        <v>156192552</v>
      </c>
      <c r="G2402" s="8" t="s">
        <v>46</v>
      </c>
      <c r="H2402" s="8" t="s">
        <v>41</v>
      </c>
      <c r="I2402" s="8" t="s">
        <v>23</v>
      </c>
      <c r="J2402" s="8" t="s">
        <v>11034</v>
      </c>
      <c r="K2402" s="8" t="s">
        <v>11036</v>
      </c>
      <c r="L2402" s="8" t="s">
        <v>19</v>
      </c>
      <c r="M2402" s="8">
        <v>665</v>
      </c>
      <c r="N2402" s="8" t="s">
        <v>58</v>
      </c>
      <c r="O2402" s="8">
        <v>201</v>
      </c>
      <c r="P2402" s="8" t="s">
        <v>11035</v>
      </c>
      <c r="Q2402" s="8" t="s">
        <v>4262</v>
      </c>
      <c r="R2402" s="8">
        <v>0.20899999999999999</v>
      </c>
      <c r="S2402" s="8">
        <v>156192552</v>
      </c>
      <c r="T2402" s="8" t="s">
        <v>46</v>
      </c>
      <c r="U2402" s="8" t="s">
        <v>41</v>
      </c>
    </row>
    <row r="2403" spans="1:21">
      <c r="A2403" s="8" t="s">
        <v>10349</v>
      </c>
      <c r="B2403" s="8" t="s">
        <v>11037</v>
      </c>
      <c r="C2403" s="8">
        <v>6747</v>
      </c>
      <c r="D2403" s="8" t="s">
        <v>201</v>
      </c>
      <c r="E2403" s="8">
        <v>156262146</v>
      </c>
      <c r="F2403" s="8">
        <v>156262146</v>
      </c>
      <c r="G2403" s="8" t="s">
        <v>46</v>
      </c>
      <c r="H2403" s="8" t="s">
        <v>41</v>
      </c>
      <c r="I2403" s="8" t="s">
        <v>23</v>
      </c>
      <c r="J2403" s="8" t="s">
        <v>11038</v>
      </c>
      <c r="K2403" s="8" t="s">
        <v>11040</v>
      </c>
      <c r="L2403" s="8" t="s">
        <v>19</v>
      </c>
      <c r="M2403" s="8">
        <v>537</v>
      </c>
      <c r="N2403" s="8" t="s">
        <v>171</v>
      </c>
      <c r="O2403" s="8">
        <v>148</v>
      </c>
      <c r="P2403" s="8" t="s">
        <v>11039</v>
      </c>
      <c r="Q2403" s="8" t="s">
        <v>4262</v>
      </c>
      <c r="R2403" s="8">
        <v>0.13800000000000001</v>
      </c>
      <c r="S2403" s="8">
        <v>156262146</v>
      </c>
      <c r="T2403" s="8" t="s">
        <v>46</v>
      </c>
      <c r="U2403" s="8" t="s">
        <v>41</v>
      </c>
    </row>
    <row r="2404" spans="1:21">
      <c r="A2404" s="8" t="s">
        <v>10349</v>
      </c>
      <c r="B2404" s="8" t="s">
        <v>11041</v>
      </c>
      <c r="C2404" s="8">
        <v>4291</v>
      </c>
      <c r="D2404" s="8" t="s">
        <v>201</v>
      </c>
      <c r="E2404" s="8">
        <v>158315893</v>
      </c>
      <c r="F2404" s="8">
        <v>158315893</v>
      </c>
      <c r="G2404" s="8" t="s">
        <v>24</v>
      </c>
      <c r="H2404" s="8" t="s">
        <v>25</v>
      </c>
      <c r="I2404" s="8" t="s">
        <v>23</v>
      </c>
      <c r="J2404" s="8" t="s">
        <v>11042</v>
      </c>
      <c r="K2404" s="8" t="s">
        <v>11044</v>
      </c>
      <c r="L2404" s="8" t="s">
        <v>19</v>
      </c>
      <c r="M2404" s="8">
        <v>441</v>
      </c>
      <c r="N2404" s="8" t="s">
        <v>1364</v>
      </c>
      <c r="O2404" s="8">
        <v>102</v>
      </c>
      <c r="P2404" s="8" t="s">
        <v>11043</v>
      </c>
      <c r="Q2404" s="8" t="s">
        <v>4262</v>
      </c>
      <c r="R2404" s="8">
        <v>0.20499999999999999</v>
      </c>
      <c r="S2404" s="8">
        <v>158315893</v>
      </c>
      <c r="T2404" s="8" t="s">
        <v>24</v>
      </c>
      <c r="U2404" s="8" t="s">
        <v>25</v>
      </c>
    </row>
    <row r="2405" spans="1:21">
      <c r="A2405" s="8" t="s">
        <v>10349</v>
      </c>
      <c r="B2405" s="8" t="s">
        <v>11045</v>
      </c>
      <c r="C2405" s="8">
        <v>83893</v>
      </c>
      <c r="D2405" s="8" t="s">
        <v>201</v>
      </c>
      <c r="E2405" s="8">
        <v>172634217</v>
      </c>
      <c r="F2405" s="8">
        <v>172634217</v>
      </c>
      <c r="G2405" s="8" t="s">
        <v>24</v>
      </c>
      <c r="H2405" s="8" t="s">
        <v>25</v>
      </c>
      <c r="I2405" s="8" t="s">
        <v>23</v>
      </c>
      <c r="J2405" s="8" t="s">
        <v>11046</v>
      </c>
      <c r="K2405" s="8" t="s">
        <v>11048</v>
      </c>
      <c r="L2405" s="8" t="s">
        <v>19</v>
      </c>
      <c r="M2405" s="8">
        <v>1577</v>
      </c>
      <c r="N2405" s="8" t="s">
        <v>58</v>
      </c>
      <c r="O2405" s="8">
        <v>465</v>
      </c>
      <c r="P2405" s="8" t="s">
        <v>11047</v>
      </c>
      <c r="Q2405" s="8" t="s">
        <v>4262</v>
      </c>
      <c r="R2405" s="8">
        <v>0.219</v>
      </c>
      <c r="S2405" s="8">
        <v>172634217</v>
      </c>
      <c r="T2405" s="8" t="s">
        <v>24</v>
      </c>
      <c r="U2405" s="8" t="s">
        <v>25</v>
      </c>
    </row>
    <row r="2406" spans="1:21">
      <c r="A2406" s="8" t="s">
        <v>10349</v>
      </c>
      <c r="B2406" s="8" t="s">
        <v>11049</v>
      </c>
      <c r="C2406" s="8">
        <v>22871</v>
      </c>
      <c r="D2406" s="8" t="s">
        <v>201</v>
      </c>
      <c r="E2406" s="8">
        <v>173322741</v>
      </c>
      <c r="F2406" s="8">
        <v>173322741</v>
      </c>
      <c r="G2406" s="8" t="s">
        <v>46</v>
      </c>
      <c r="H2406" s="8" t="s">
        <v>41</v>
      </c>
      <c r="I2406" s="8" t="s">
        <v>23</v>
      </c>
      <c r="J2406" s="8" t="s">
        <v>11050</v>
      </c>
      <c r="K2406" s="8" t="s">
        <v>11053</v>
      </c>
      <c r="L2406" s="8" t="s">
        <v>19</v>
      </c>
      <c r="M2406" s="8">
        <v>776</v>
      </c>
      <c r="N2406" s="8" t="s">
        <v>333</v>
      </c>
      <c r="O2406" s="8">
        <v>118</v>
      </c>
      <c r="P2406" s="8" t="s">
        <v>11051</v>
      </c>
      <c r="Q2406" s="8" t="s">
        <v>11052</v>
      </c>
      <c r="R2406" s="8">
        <v>0.23</v>
      </c>
      <c r="S2406" s="8">
        <v>173322741</v>
      </c>
      <c r="T2406" s="8" t="s">
        <v>46</v>
      </c>
      <c r="U2406" s="8" t="s">
        <v>41</v>
      </c>
    </row>
    <row r="2407" spans="1:21">
      <c r="A2407" s="8" t="s">
        <v>10349</v>
      </c>
      <c r="B2407" s="8" t="s">
        <v>2673</v>
      </c>
      <c r="C2407" s="8">
        <v>9779</v>
      </c>
      <c r="D2407" s="8" t="s">
        <v>201</v>
      </c>
      <c r="E2407" s="8">
        <v>17469993</v>
      </c>
      <c r="F2407" s="8">
        <v>17469993</v>
      </c>
      <c r="G2407" s="8" t="s">
        <v>46</v>
      </c>
      <c r="H2407" s="8" t="s">
        <v>41</v>
      </c>
      <c r="I2407" s="8" t="s">
        <v>23</v>
      </c>
      <c r="J2407" s="8" t="s">
        <v>11054</v>
      </c>
      <c r="K2407" s="8" t="s">
        <v>11056</v>
      </c>
      <c r="L2407" s="8" t="s">
        <v>19</v>
      </c>
      <c r="M2407" s="8">
        <v>543</v>
      </c>
      <c r="N2407" s="8" t="s">
        <v>494</v>
      </c>
      <c r="O2407" s="8">
        <v>39</v>
      </c>
      <c r="P2407" s="8" t="s">
        <v>11055</v>
      </c>
      <c r="Q2407" s="8" t="s">
        <v>4262</v>
      </c>
      <c r="R2407" s="8">
        <v>0.28000000000000003</v>
      </c>
      <c r="S2407" s="8">
        <v>17469993</v>
      </c>
      <c r="T2407" s="8" t="s">
        <v>46</v>
      </c>
      <c r="U2407" s="8" t="s">
        <v>41</v>
      </c>
    </row>
    <row r="2408" spans="1:21">
      <c r="A2408" s="8" t="s">
        <v>10349</v>
      </c>
      <c r="B2408" s="8" t="s">
        <v>3982</v>
      </c>
      <c r="C2408" s="8">
        <v>254827</v>
      </c>
      <c r="D2408" s="8" t="s">
        <v>201</v>
      </c>
      <c r="E2408" s="8">
        <v>175520981</v>
      </c>
      <c r="F2408" s="8">
        <v>175520981</v>
      </c>
      <c r="G2408" s="8" t="s">
        <v>24</v>
      </c>
      <c r="H2408" s="8" t="s">
        <v>25</v>
      </c>
      <c r="I2408" s="8" t="s">
        <v>23</v>
      </c>
      <c r="J2408" s="8" t="s">
        <v>11057</v>
      </c>
      <c r="K2408" s="8" t="s">
        <v>11059</v>
      </c>
      <c r="L2408" s="8" t="s">
        <v>19</v>
      </c>
      <c r="M2408" s="8">
        <v>2465</v>
      </c>
      <c r="N2408" s="8" t="s">
        <v>1399</v>
      </c>
      <c r="O2408" s="8">
        <v>793</v>
      </c>
      <c r="P2408" s="8" t="s">
        <v>11058</v>
      </c>
      <c r="Q2408" s="8" t="s">
        <v>4262</v>
      </c>
      <c r="R2408" s="8">
        <v>0.26400000000000001</v>
      </c>
      <c r="S2408" s="8">
        <v>175520981</v>
      </c>
      <c r="T2408" s="8" t="s">
        <v>24</v>
      </c>
      <c r="U2408" s="8" t="s">
        <v>25</v>
      </c>
    </row>
    <row r="2409" spans="1:21">
      <c r="A2409" s="8" t="s">
        <v>10349</v>
      </c>
      <c r="B2409" s="8" t="s">
        <v>11060</v>
      </c>
      <c r="C2409" s="8">
        <v>51193</v>
      </c>
      <c r="D2409" s="8" t="s">
        <v>201</v>
      </c>
      <c r="E2409" s="8">
        <v>179051624</v>
      </c>
      <c r="F2409" s="8">
        <v>179051624</v>
      </c>
      <c r="G2409" s="8" t="s">
        <v>24</v>
      </c>
      <c r="H2409" s="8" t="s">
        <v>25</v>
      </c>
      <c r="I2409" s="8" t="s">
        <v>23</v>
      </c>
      <c r="J2409" s="8" t="s">
        <v>11061</v>
      </c>
      <c r="K2409" s="8" t="s">
        <v>11063</v>
      </c>
      <c r="L2409" s="8" t="s">
        <v>19</v>
      </c>
      <c r="M2409" s="8">
        <v>1317</v>
      </c>
      <c r="N2409" s="8" t="s">
        <v>618</v>
      </c>
      <c r="O2409" s="8">
        <v>291</v>
      </c>
      <c r="P2409" s="8" t="s">
        <v>11062</v>
      </c>
      <c r="Q2409" s="8" t="s">
        <v>4262</v>
      </c>
      <c r="R2409" s="8">
        <v>0.182</v>
      </c>
      <c r="S2409" s="8">
        <v>179051624</v>
      </c>
      <c r="T2409" s="8" t="s">
        <v>24</v>
      </c>
      <c r="U2409" s="8" t="s">
        <v>25</v>
      </c>
    </row>
    <row r="2410" spans="1:21">
      <c r="A2410" s="8" t="s">
        <v>10349</v>
      </c>
      <c r="B2410" s="8" t="s">
        <v>759</v>
      </c>
      <c r="C2410" s="8">
        <v>285242</v>
      </c>
      <c r="D2410" s="8" t="s">
        <v>201</v>
      </c>
      <c r="E2410" s="8">
        <v>183824386</v>
      </c>
      <c r="F2410" s="8">
        <v>183824386</v>
      </c>
      <c r="G2410" s="8" t="s">
        <v>46</v>
      </c>
      <c r="H2410" s="8" t="s">
        <v>41</v>
      </c>
      <c r="I2410" s="8" t="s">
        <v>23</v>
      </c>
      <c r="J2410" s="8" t="s">
        <v>760</v>
      </c>
      <c r="K2410" s="8" t="s">
        <v>6395</v>
      </c>
      <c r="L2410" s="8" t="s">
        <v>76</v>
      </c>
      <c r="M2410" s="8">
        <v>1515</v>
      </c>
      <c r="N2410" s="8" t="s">
        <v>371</v>
      </c>
      <c r="O2410" s="8">
        <v>441</v>
      </c>
      <c r="P2410" s="8" t="s">
        <v>11064</v>
      </c>
      <c r="Q2410" s="8" t="s">
        <v>4262</v>
      </c>
      <c r="R2410" s="8">
        <v>0.35</v>
      </c>
      <c r="S2410" s="8">
        <v>183824386</v>
      </c>
      <c r="T2410" s="8" t="s">
        <v>46</v>
      </c>
      <c r="U2410" s="8" t="s">
        <v>41</v>
      </c>
    </row>
    <row r="2411" spans="1:21">
      <c r="A2411" s="8" t="s">
        <v>10349</v>
      </c>
      <c r="B2411" s="8" t="s">
        <v>11065</v>
      </c>
      <c r="C2411" s="8">
        <v>23355</v>
      </c>
      <c r="D2411" s="8" t="s">
        <v>201</v>
      </c>
      <c r="E2411" s="8">
        <v>184580806</v>
      </c>
      <c r="F2411" s="8">
        <v>184580806</v>
      </c>
      <c r="G2411" s="8" t="s">
        <v>24</v>
      </c>
      <c r="H2411" s="8" t="s">
        <v>25</v>
      </c>
      <c r="I2411" s="8" t="s">
        <v>23</v>
      </c>
      <c r="J2411" s="8" t="s">
        <v>11066</v>
      </c>
      <c r="K2411" s="8" t="s">
        <v>11068</v>
      </c>
      <c r="L2411" s="8" t="s">
        <v>19</v>
      </c>
      <c r="M2411" s="8">
        <v>1511</v>
      </c>
      <c r="N2411" s="8" t="s">
        <v>708</v>
      </c>
      <c r="O2411" s="8">
        <v>447</v>
      </c>
      <c r="P2411" s="8" t="s">
        <v>11067</v>
      </c>
      <c r="Q2411" s="8" t="s">
        <v>4262</v>
      </c>
      <c r="R2411" s="8">
        <v>0.16900000000000001</v>
      </c>
      <c r="S2411" s="8">
        <v>184580806</v>
      </c>
      <c r="T2411" s="8" t="s">
        <v>24</v>
      </c>
      <c r="U2411" s="8" t="s">
        <v>25</v>
      </c>
    </row>
    <row r="2412" spans="1:21">
      <c r="A2412" s="8" t="s">
        <v>10349</v>
      </c>
      <c r="B2412" s="8" t="s">
        <v>11069</v>
      </c>
      <c r="C2412" s="8">
        <v>9370</v>
      </c>
      <c r="D2412" s="8" t="s">
        <v>201</v>
      </c>
      <c r="E2412" s="8">
        <v>186572279</v>
      </c>
      <c r="F2412" s="8">
        <v>186572279</v>
      </c>
      <c r="G2412" s="8" t="s">
        <v>24</v>
      </c>
      <c r="H2412" s="8" t="s">
        <v>25</v>
      </c>
      <c r="I2412" s="8" t="s">
        <v>23</v>
      </c>
      <c r="J2412" s="8" t="s">
        <v>11070</v>
      </c>
      <c r="K2412" s="8" t="s">
        <v>11072</v>
      </c>
      <c r="L2412" s="8" t="s">
        <v>19</v>
      </c>
      <c r="M2412" s="8">
        <v>605</v>
      </c>
      <c r="N2412" s="8" t="s">
        <v>708</v>
      </c>
      <c r="O2412" s="8">
        <v>174</v>
      </c>
      <c r="P2412" s="8" t="s">
        <v>11071</v>
      </c>
      <c r="Q2412" s="8" t="s">
        <v>4262</v>
      </c>
      <c r="R2412" s="8">
        <v>0.156</v>
      </c>
      <c r="S2412" s="8">
        <v>186572279</v>
      </c>
      <c r="T2412" s="8" t="s">
        <v>24</v>
      </c>
      <c r="U2412" s="8" t="s">
        <v>25</v>
      </c>
    </row>
    <row r="2413" spans="1:21">
      <c r="A2413" s="8" t="s">
        <v>10349</v>
      </c>
      <c r="B2413" s="8" t="s">
        <v>2674</v>
      </c>
      <c r="C2413" s="8">
        <v>132112</v>
      </c>
      <c r="D2413" s="8" t="s">
        <v>201</v>
      </c>
      <c r="E2413" s="8">
        <v>186915533</v>
      </c>
      <c r="F2413" s="8">
        <v>186915533</v>
      </c>
      <c r="G2413" s="8" t="s">
        <v>24</v>
      </c>
      <c r="H2413" s="8" t="s">
        <v>25</v>
      </c>
      <c r="I2413" s="8" t="s">
        <v>23</v>
      </c>
      <c r="J2413" s="8" t="s">
        <v>2675</v>
      </c>
      <c r="K2413" s="8" t="s">
        <v>11074</v>
      </c>
      <c r="L2413" s="8" t="s">
        <v>19</v>
      </c>
      <c r="M2413" s="8">
        <v>260</v>
      </c>
      <c r="N2413" s="8" t="s">
        <v>708</v>
      </c>
      <c r="O2413" s="8">
        <v>77</v>
      </c>
      <c r="P2413" s="8" t="s">
        <v>11073</v>
      </c>
      <c r="Q2413" s="8" t="s">
        <v>4262</v>
      </c>
      <c r="R2413" s="8">
        <v>0.26100000000000001</v>
      </c>
      <c r="S2413" s="8">
        <v>186915533</v>
      </c>
      <c r="T2413" s="8" t="s">
        <v>24</v>
      </c>
      <c r="U2413" s="8" t="s">
        <v>25</v>
      </c>
    </row>
    <row r="2414" spans="1:21">
      <c r="A2414" s="8" t="s">
        <v>10349</v>
      </c>
      <c r="B2414" s="8" t="s">
        <v>11075</v>
      </c>
      <c r="C2414" s="8">
        <v>8626</v>
      </c>
      <c r="D2414" s="8" t="s">
        <v>201</v>
      </c>
      <c r="E2414" s="8">
        <v>189607152</v>
      </c>
      <c r="F2414" s="8">
        <v>189607152</v>
      </c>
      <c r="G2414" s="8" t="s">
        <v>46</v>
      </c>
      <c r="H2414" s="8" t="s">
        <v>41</v>
      </c>
      <c r="I2414" s="8" t="s">
        <v>23</v>
      </c>
      <c r="J2414" s="8" t="s">
        <v>11076</v>
      </c>
      <c r="K2414" s="8" t="s">
        <v>11079</v>
      </c>
      <c r="L2414" s="8" t="s">
        <v>19</v>
      </c>
      <c r="M2414" s="8">
        <v>1620</v>
      </c>
      <c r="N2414" s="8" t="s">
        <v>423</v>
      </c>
      <c r="O2414" s="8">
        <v>511</v>
      </c>
      <c r="P2414" s="8" t="s">
        <v>11077</v>
      </c>
      <c r="Q2414" s="8" t="s">
        <v>11078</v>
      </c>
      <c r="R2414" s="8">
        <v>0.25600000000000001</v>
      </c>
      <c r="S2414" s="8">
        <v>189607152</v>
      </c>
      <c r="T2414" s="8" t="s">
        <v>46</v>
      </c>
      <c r="U2414" s="8" t="s">
        <v>41</v>
      </c>
    </row>
    <row r="2415" spans="1:21">
      <c r="A2415" s="8" t="s">
        <v>10349</v>
      </c>
      <c r="B2415" s="8" t="s">
        <v>3388</v>
      </c>
      <c r="C2415" s="8">
        <v>344905</v>
      </c>
      <c r="D2415" s="8" t="s">
        <v>201</v>
      </c>
      <c r="E2415" s="8">
        <v>193052744</v>
      </c>
      <c r="F2415" s="8">
        <v>193052744</v>
      </c>
      <c r="G2415" s="8" t="s">
        <v>24</v>
      </c>
      <c r="H2415" s="8" t="s">
        <v>25</v>
      </c>
      <c r="I2415" s="8" t="s">
        <v>23</v>
      </c>
      <c r="J2415" s="8" t="s">
        <v>3389</v>
      </c>
      <c r="K2415" s="8" t="s">
        <v>7227</v>
      </c>
      <c r="L2415" s="8" t="s">
        <v>19</v>
      </c>
      <c r="M2415" s="8">
        <v>1088</v>
      </c>
      <c r="N2415" s="8" t="s">
        <v>1140</v>
      </c>
      <c r="O2415" s="8">
        <v>363</v>
      </c>
      <c r="P2415" s="8" t="s">
        <v>11080</v>
      </c>
      <c r="Q2415" s="8" t="s">
        <v>4262</v>
      </c>
      <c r="R2415" s="8">
        <v>0.108</v>
      </c>
      <c r="S2415" s="8">
        <v>193052744</v>
      </c>
      <c r="T2415" s="8" t="s">
        <v>24</v>
      </c>
      <c r="U2415" s="8" t="s">
        <v>25</v>
      </c>
    </row>
    <row r="2416" spans="1:21">
      <c r="A2416" s="8" t="s">
        <v>10349</v>
      </c>
      <c r="B2416" s="8" t="s">
        <v>4297</v>
      </c>
      <c r="C2416" s="8">
        <v>4585</v>
      </c>
      <c r="D2416" s="8" t="s">
        <v>201</v>
      </c>
      <c r="E2416" s="8">
        <v>195511349</v>
      </c>
      <c r="F2416" s="8">
        <v>195511349</v>
      </c>
      <c r="G2416" s="8" t="s">
        <v>24</v>
      </c>
      <c r="H2416" s="8" t="s">
        <v>25</v>
      </c>
      <c r="I2416" s="8" t="s">
        <v>23</v>
      </c>
      <c r="J2416" s="8" t="s">
        <v>4298</v>
      </c>
      <c r="K2416" s="8" t="s">
        <v>4300</v>
      </c>
      <c r="L2416" s="8" t="s">
        <v>19</v>
      </c>
      <c r="M2416" s="8">
        <v>7258</v>
      </c>
      <c r="N2416" s="8" t="s">
        <v>415</v>
      </c>
      <c r="O2416" s="8">
        <v>2368</v>
      </c>
      <c r="P2416" s="8" t="s">
        <v>11081</v>
      </c>
      <c r="Q2416" s="8" t="s">
        <v>4262</v>
      </c>
      <c r="R2416" s="8">
        <v>5.2999999999999999E-2</v>
      </c>
      <c r="S2416" s="8">
        <v>195511349</v>
      </c>
      <c r="T2416" s="8" t="s">
        <v>24</v>
      </c>
      <c r="U2416" s="8" t="s">
        <v>25</v>
      </c>
    </row>
    <row r="2417" spans="1:21">
      <c r="A2417" s="8" t="s">
        <v>10349</v>
      </c>
      <c r="B2417" s="8" t="s">
        <v>2676</v>
      </c>
      <c r="C2417" s="8">
        <v>9711</v>
      </c>
      <c r="D2417" s="8" t="s">
        <v>201</v>
      </c>
      <c r="E2417" s="8">
        <v>197444949</v>
      </c>
      <c r="F2417" s="8">
        <v>197444949</v>
      </c>
      <c r="G2417" s="8" t="s">
        <v>46</v>
      </c>
      <c r="H2417" s="8" t="s">
        <v>41</v>
      </c>
      <c r="I2417" s="8" t="s">
        <v>23</v>
      </c>
      <c r="J2417" s="8" t="s">
        <v>2677</v>
      </c>
      <c r="K2417" s="8" t="s">
        <v>11083</v>
      </c>
      <c r="L2417" s="8" t="s">
        <v>19</v>
      </c>
      <c r="M2417" s="8">
        <v>301</v>
      </c>
      <c r="N2417" s="8" t="s">
        <v>322</v>
      </c>
      <c r="O2417" s="8">
        <v>40</v>
      </c>
      <c r="P2417" s="8" t="s">
        <v>11082</v>
      </c>
      <c r="Q2417" s="8" t="s">
        <v>4262</v>
      </c>
      <c r="R2417" s="8">
        <v>0.21099999999999999</v>
      </c>
      <c r="S2417" s="8">
        <v>197444949</v>
      </c>
      <c r="T2417" s="8" t="s">
        <v>46</v>
      </c>
      <c r="U2417" s="8" t="s">
        <v>41</v>
      </c>
    </row>
    <row r="2418" spans="1:21">
      <c r="A2418" s="8" t="s">
        <v>10349</v>
      </c>
      <c r="B2418" s="8" t="s">
        <v>2076</v>
      </c>
      <c r="C2418" s="8">
        <v>79750</v>
      </c>
      <c r="D2418" s="8" t="s">
        <v>201</v>
      </c>
      <c r="E2418" s="8">
        <v>21465514</v>
      </c>
      <c r="F2418" s="8">
        <v>21465514</v>
      </c>
      <c r="G2418" s="8" t="s">
        <v>24</v>
      </c>
      <c r="H2418" s="8" t="s">
        <v>25</v>
      </c>
      <c r="I2418" s="8" t="s">
        <v>23</v>
      </c>
      <c r="J2418" s="8" t="s">
        <v>4301</v>
      </c>
      <c r="K2418" s="8" t="s">
        <v>4303</v>
      </c>
      <c r="L2418" s="8" t="s">
        <v>19</v>
      </c>
      <c r="M2418" s="8">
        <v>1303</v>
      </c>
      <c r="N2418" s="8" t="s">
        <v>2400</v>
      </c>
      <c r="O2418" s="8">
        <v>299</v>
      </c>
      <c r="P2418" s="8" t="s">
        <v>11084</v>
      </c>
      <c r="Q2418" s="8" t="s">
        <v>4262</v>
      </c>
      <c r="R2418" s="8">
        <v>0.184</v>
      </c>
      <c r="S2418" s="8">
        <v>21465514</v>
      </c>
      <c r="T2418" s="8" t="s">
        <v>24</v>
      </c>
      <c r="U2418" s="8" t="s">
        <v>25</v>
      </c>
    </row>
    <row r="2419" spans="1:21">
      <c r="A2419" s="8" t="s">
        <v>10349</v>
      </c>
      <c r="B2419" s="8" t="s">
        <v>2267</v>
      </c>
      <c r="C2419" s="8">
        <v>152110</v>
      </c>
      <c r="D2419" s="8" t="s">
        <v>201</v>
      </c>
      <c r="E2419" s="8">
        <v>27355787</v>
      </c>
      <c r="F2419" s="8">
        <v>27355787</v>
      </c>
      <c r="G2419" s="8" t="s">
        <v>46</v>
      </c>
      <c r="H2419" s="8" t="s">
        <v>41</v>
      </c>
      <c r="I2419" s="8" t="s">
        <v>23</v>
      </c>
      <c r="J2419" s="8" t="s">
        <v>11085</v>
      </c>
      <c r="K2419" s="8" t="s">
        <v>11086</v>
      </c>
      <c r="L2419" s="8" t="s">
        <v>68</v>
      </c>
      <c r="M2419" s="8">
        <v>0</v>
      </c>
      <c r="N2419" s="8" t="s">
        <v>35</v>
      </c>
      <c r="O2419" s="8">
        <v>0</v>
      </c>
      <c r="P2419" s="8" t="s">
        <v>35</v>
      </c>
      <c r="Q2419" s="8" t="s">
        <v>4262</v>
      </c>
      <c r="R2419" s="8">
        <v>0.24399999999999999</v>
      </c>
      <c r="S2419" s="8">
        <v>27355787</v>
      </c>
      <c r="T2419" s="8" t="s">
        <v>46</v>
      </c>
      <c r="U2419" s="8" t="s">
        <v>41</v>
      </c>
    </row>
    <row r="2420" spans="1:21">
      <c r="A2420" s="8" t="s">
        <v>10349</v>
      </c>
      <c r="B2420" s="8" t="s">
        <v>2064</v>
      </c>
      <c r="C2420" s="8">
        <v>152330</v>
      </c>
      <c r="D2420" s="8" t="s">
        <v>201</v>
      </c>
      <c r="E2420" s="8">
        <v>3085340</v>
      </c>
      <c r="F2420" s="8">
        <v>3085340</v>
      </c>
      <c r="G2420" s="8" t="s">
        <v>24</v>
      </c>
      <c r="H2420" s="8" t="s">
        <v>25</v>
      </c>
      <c r="I2420" s="8" t="s">
        <v>23</v>
      </c>
      <c r="J2420" s="8" t="s">
        <v>11087</v>
      </c>
      <c r="K2420" s="8" t="s">
        <v>11090</v>
      </c>
      <c r="L2420" s="8" t="s">
        <v>76</v>
      </c>
      <c r="M2420" s="8">
        <v>3102</v>
      </c>
      <c r="N2420" s="8" t="s">
        <v>716</v>
      </c>
      <c r="O2420" s="8">
        <v>921</v>
      </c>
      <c r="P2420" s="8" t="s">
        <v>11088</v>
      </c>
      <c r="Q2420" s="8" t="s">
        <v>11089</v>
      </c>
      <c r="R2420" s="8">
        <v>0.122</v>
      </c>
      <c r="S2420" s="8">
        <v>3085340</v>
      </c>
      <c r="T2420" s="8" t="s">
        <v>24</v>
      </c>
      <c r="U2420" s="8" t="s">
        <v>25</v>
      </c>
    </row>
    <row r="2421" spans="1:21">
      <c r="A2421" s="8" t="s">
        <v>10349</v>
      </c>
      <c r="B2421" s="8" t="s">
        <v>11091</v>
      </c>
      <c r="C2421" s="8">
        <v>23122</v>
      </c>
      <c r="D2421" s="8" t="s">
        <v>201</v>
      </c>
      <c r="E2421" s="8">
        <v>33592851</v>
      </c>
      <c r="F2421" s="8">
        <v>33592851</v>
      </c>
      <c r="G2421" s="8" t="s">
        <v>46</v>
      </c>
      <c r="H2421" s="8" t="s">
        <v>41</v>
      </c>
      <c r="I2421" s="8" t="s">
        <v>23</v>
      </c>
      <c r="J2421" s="8" t="s">
        <v>11092</v>
      </c>
      <c r="K2421" s="8" t="s">
        <v>11094</v>
      </c>
      <c r="L2421" s="8" t="s">
        <v>19</v>
      </c>
      <c r="M2421" s="8">
        <v>3284</v>
      </c>
      <c r="N2421" s="8" t="s">
        <v>155</v>
      </c>
      <c r="O2421" s="8">
        <v>1025</v>
      </c>
      <c r="P2421" s="8" t="s">
        <v>11093</v>
      </c>
      <c r="Q2421" s="8" t="s">
        <v>4262</v>
      </c>
      <c r="R2421" s="8">
        <v>0.187</v>
      </c>
      <c r="S2421" s="8">
        <v>33592851</v>
      </c>
      <c r="T2421" s="8" t="s">
        <v>46</v>
      </c>
      <c r="U2421" s="8" t="s">
        <v>41</v>
      </c>
    </row>
    <row r="2422" spans="1:21">
      <c r="A2422" s="8" t="s">
        <v>10349</v>
      </c>
      <c r="B2422" s="8" t="s">
        <v>11095</v>
      </c>
      <c r="C2422" s="8">
        <v>10752</v>
      </c>
      <c r="D2422" s="8" t="s">
        <v>201</v>
      </c>
      <c r="E2422" s="8">
        <v>396347</v>
      </c>
      <c r="F2422" s="8">
        <v>396347</v>
      </c>
      <c r="G2422" s="8" t="s">
        <v>46</v>
      </c>
      <c r="H2422" s="8" t="s">
        <v>41</v>
      </c>
      <c r="I2422" s="8" t="s">
        <v>23</v>
      </c>
      <c r="J2422" s="8" t="s">
        <v>11096</v>
      </c>
      <c r="K2422" s="8" t="s">
        <v>11098</v>
      </c>
      <c r="L2422" s="8" t="s">
        <v>19</v>
      </c>
      <c r="M2422" s="8">
        <v>1329</v>
      </c>
      <c r="N2422" s="8" t="s">
        <v>1140</v>
      </c>
      <c r="O2422" s="8">
        <v>353</v>
      </c>
      <c r="P2422" s="8" t="s">
        <v>11097</v>
      </c>
      <c r="Q2422" s="8" t="s">
        <v>4262</v>
      </c>
      <c r="R2422" s="8">
        <v>0.13700000000000001</v>
      </c>
      <c r="S2422" s="8">
        <v>396347</v>
      </c>
      <c r="T2422" s="8" t="s">
        <v>46</v>
      </c>
      <c r="U2422" s="8" t="s">
        <v>41</v>
      </c>
    </row>
    <row r="2423" spans="1:21">
      <c r="A2423" s="8" t="s">
        <v>10349</v>
      </c>
      <c r="B2423" s="8" t="s">
        <v>11099</v>
      </c>
      <c r="C2423" s="8">
        <v>9881</v>
      </c>
      <c r="D2423" s="8" t="s">
        <v>201</v>
      </c>
      <c r="E2423" s="8">
        <v>36884196</v>
      </c>
      <c r="F2423" s="8">
        <v>36884196</v>
      </c>
      <c r="G2423" s="8" t="s">
        <v>46</v>
      </c>
      <c r="H2423" s="8" t="s">
        <v>41</v>
      </c>
      <c r="I2423" s="8" t="s">
        <v>23</v>
      </c>
      <c r="J2423" s="8" t="s">
        <v>11100</v>
      </c>
      <c r="K2423" s="8" t="s">
        <v>11102</v>
      </c>
      <c r="L2423" s="8" t="s">
        <v>19</v>
      </c>
      <c r="M2423" s="8">
        <v>5313</v>
      </c>
      <c r="N2423" s="8" t="s">
        <v>557</v>
      </c>
      <c r="O2423" s="8">
        <v>1689</v>
      </c>
      <c r="P2423" s="8" t="s">
        <v>11101</v>
      </c>
      <c r="Q2423" s="8" t="s">
        <v>4262</v>
      </c>
      <c r="R2423" s="8">
        <v>0.129</v>
      </c>
      <c r="S2423" s="8">
        <v>36884196</v>
      </c>
      <c r="T2423" s="8" t="s">
        <v>46</v>
      </c>
      <c r="U2423" s="8" t="s">
        <v>41</v>
      </c>
    </row>
    <row r="2424" spans="1:21">
      <c r="A2424" s="8" t="s">
        <v>10349</v>
      </c>
      <c r="B2424" s="8" t="s">
        <v>5979</v>
      </c>
      <c r="C2424" s="8">
        <v>2803</v>
      </c>
      <c r="D2424" s="8" t="s">
        <v>201</v>
      </c>
      <c r="E2424" s="8">
        <v>37368523</v>
      </c>
      <c r="F2424" s="8">
        <v>37368523</v>
      </c>
      <c r="G2424" s="8" t="s">
        <v>24</v>
      </c>
      <c r="H2424" s="8" t="s">
        <v>25</v>
      </c>
      <c r="I2424" s="8" t="s">
        <v>23</v>
      </c>
      <c r="J2424" s="8" t="s">
        <v>5980</v>
      </c>
      <c r="K2424" s="8" t="s">
        <v>5982</v>
      </c>
      <c r="L2424" s="8" t="s">
        <v>19</v>
      </c>
      <c r="M2424" s="8">
        <v>5572</v>
      </c>
      <c r="N2424" s="8" t="s">
        <v>1070</v>
      </c>
      <c r="O2424" s="8">
        <v>1738</v>
      </c>
      <c r="P2424" s="8" t="s">
        <v>11103</v>
      </c>
      <c r="Q2424" s="8" t="s">
        <v>4262</v>
      </c>
      <c r="R2424" s="8">
        <v>0.193</v>
      </c>
      <c r="S2424" s="8">
        <v>37368523</v>
      </c>
      <c r="T2424" s="8" t="s">
        <v>24</v>
      </c>
      <c r="U2424" s="8" t="s">
        <v>25</v>
      </c>
    </row>
    <row r="2425" spans="1:21">
      <c r="A2425" s="8" t="s">
        <v>10349</v>
      </c>
      <c r="B2425" s="8" t="s">
        <v>2679</v>
      </c>
      <c r="C2425" s="8">
        <v>6336</v>
      </c>
      <c r="D2425" s="8" t="s">
        <v>201</v>
      </c>
      <c r="E2425" s="8">
        <v>38743393</v>
      </c>
      <c r="F2425" s="8">
        <v>38743393</v>
      </c>
      <c r="G2425" s="8" t="s">
        <v>24</v>
      </c>
      <c r="H2425" s="8" t="s">
        <v>25</v>
      </c>
      <c r="I2425" s="8" t="s">
        <v>23</v>
      </c>
      <c r="J2425" s="8" t="s">
        <v>2680</v>
      </c>
      <c r="K2425" s="8" t="s">
        <v>8757</v>
      </c>
      <c r="L2425" s="8" t="s">
        <v>76</v>
      </c>
      <c r="M2425" s="8">
        <v>4594</v>
      </c>
      <c r="N2425" s="8" t="s">
        <v>371</v>
      </c>
      <c r="O2425" s="8">
        <v>1532</v>
      </c>
      <c r="P2425" s="8" t="s">
        <v>11104</v>
      </c>
      <c r="Q2425" s="8" t="s">
        <v>4262</v>
      </c>
      <c r="R2425" s="8">
        <v>0.26700000000000002</v>
      </c>
      <c r="S2425" s="8">
        <v>38743393</v>
      </c>
      <c r="T2425" s="8" t="s">
        <v>24</v>
      </c>
      <c r="U2425" s="8" t="s">
        <v>25</v>
      </c>
    </row>
    <row r="2426" spans="1:21">
      <c r="A2426" s="8" t="s">
        <v>10349</v>
      </c>
      <c r="B2426" s="8" t="s">
        <v>2681</v>
      </c>
      <c r="C2426" s="8">
        <v>199223</v>
      </c>
      <c r="D2426" s="8" t="s">
        <v>201</v>
      </c>
      <c r="E2426" s="8">
        <v>39170720</v>
      </c>
      <c r="F2426" s="8">
        <v>39170720</v>
      </c>
      <c r="G2426" s="8" t="s">
        <v>24</v>
      </c>
      <c r="H2426" s="8" t="s">
        <v>25</v>
      </c>
      <c r="I2426" s="8" t="s">
        <v>23</v>
      </c>
      <c r="J2426" s="8" t="s">
        <v>11105</v>
      </c>
      <c r="K2426" s="8" t="s">
        <v>11107</v>
      </c>
      <c r="L2426" s="8" t="s">
        <v>19</v>
      </c>
      <c r="M2426" s="8">
        <v>2108</v>
      </c>
      <c r="N2426" s="8" t="s">
        <v>732</v>
      </c>
      <c r="O2426" s="8">
        <v>644</v>
      </c>
      <c r="P2426" s="8" t="s">
        <v>11106</v>
      </c>
      <c r="Q2426" s="8" t="s">
        <v>4262</v>
      </c>
      <c r="R2426" s="8">
        <v>0.23100000000000001</v>
      </c>
      <c r="S2426" s="8">
        <v>39170720</v>
      </c>
      <c r="T2426" s="8" t="s">
        <v>24</v>
      </c>
      <c r="U2426" s="8" t="s">
        <v>25</v>
      </c>
    </row>
    <row r="2427" spans="1:21">
      <c r="A2427" s="8" t="s">
        <v>10349</v>
      </c>
      <c r="B2427" s="8" t="s">
        <v>2682</v>
      </c>
      <c r="C2427" s="8">
        <v>54986</v>
      </c>
      <c r="D2427" s="8" t="s">
        <v>201</v>
      </c>
      <c r="E2427" s="8">
        <v>41504586</v>
      </c>
      <c r="F2427" s="8">
        <v>41504586</v>
      </c>
      <c r="G2427" s="8" t="s">
        <v>46</v>
      </c>
      <c r="H2427" s="8" t="s">
        <v>41</v>
      </c>
      <c r="I2427" s="8" t="s">
        <v>23</v>
      </c>
      <c r="J2427" s="8" t="s">
        <v>2683</v>
      </c>
      <c r="K2427" s="8" t="s">
        <v>11109</v>
      </c>
      <c r="L2427" s="8" t="s">
        <v>19</v>
      </c>
      <c r="M2427" s="8">
        <v>3586</v>
      </c>
      <c r="N2427" s="8" t="s">
        <v>768</v>
      </c>
      <c r="O2427" s="8">
        <v>1129</v>
      </c>
      <c r="P2427" s="8" t="s">
        <v>11108</v>
      </c>
      <c r="Q2427" s="8" t="s">
        <v>4262</v>
      </c>
      <c r="R2427" s="8">
        <v>0.17799999999999999</v>
      </c>
      <c r="S2427" s="8">
        <v>41504586</v>
      </c>
      <c r="T2427" s="8" t="s">
        <v>46</v>
      </c>
      <c r="U2427" s="8" t="s">
        <v>41</v>
      </c>
    </row>
    <row r="2428" spans="1:21">
      <c r="A2428" s="8" t="s">
        <v>10349</v>
      </c>
      <c r="B2428" s="8" t="s">
        <v>2684</v>
      </c>
      <c r="C2428" s="8">
        <v>152206</v>
      </c>
      <c r="D2428" s="8" t="s">
        <v>201</v>
      </c>
      <c r="E2428" s="8">
        <v>42777293</v>
      </c>
      <c r="F2428" s="8">
        <v>42777293</v>
      </c>
      <c r="G2428" s="8" t="s">
        <v>46</v>
      </c>
      <c r="H2428" s="8" t="s">
        <v>41</v>
      </c>
      <c r="I2428" s="8" t="s">
        <v>23</v>
      </c>
      <c r="J2428" s="8" t="s">
        <v>2685</v>
      </c>
      <c r="K2428" s="8" t="s">
        <v>11111</v>
      </c>
      <c r="L2428" s="8" t="s">
        <v>19</v>
      </c>
      <c r="M2428" s="8">
        <v>1361</v>
      </c>
      <c r="N2428" s="8" t="s">
        <v>708</v>
      </c>
      <c r="O2428" s="8">
        <v>426</v>
      </c>
      <c r="P2428" s="8" t="s">
        <v>11110</v>
      </c>
      <c r="Q2428" s="8" t="s">
        <v>4262</v>
      </c>
      <c r="R2428" s="8">
        <v>0.38900000000000001</v>
      </c>
      <c r="S2428" s="8">
        <v>42777293</v>
      </c>
      <c r="T2428" s="8" t="s">
        <v>46</v>
      </c>
      <c r="U2428" s="8" t="s">
        <v>41</v>
      </c>
    </row>
    <row r="2429" spans="1:21">
      <c r="A2429" s="8" t="s">
        <v>10349</v>
      </c>
      <c r="B2429" s="8" t="s">
        <v>11112</v>
      </c>
      <c r="C2429" s="8">
        <v>56992</v>
      </c>
      <c r="D2429" s="8" t="s">
        <v>201</v>
      </c>
      <c r="E2429" s="8">
        <v>44852383</v>
      </c>
      <c r="F2429" s="8">
        <v>44852383</v>
      </c>
      <c r="G2429" s="8" t="s">
        <v>24</v>
      </c>
      <c r="H2429" s="8" t="s">
        <v>25</v>
      </c>
      <c r="I2429" s="8" t="s">
        <v>23</v>
      </c>
      <c r="J2429" s="8" t="s">
        <v>11113</v>
      </c>
      <c r="K2429" s="8" t="s">
        <v>11115</v>
      </c>
      <c r="L2429" s="8" t="s">
        <v>19</v>
      </c>
      <c r="M2429" s="8">
        <v>2166</v>
      </c>
      <c r="N2429" s="8" t="s">
        <v>322</v>
      </c>
      <c r="O2429" s="8">
        <v>673</v>
      </c>
      <c r="P2429" s="8" t="s">
        <v>11114</v>
      </c>
      <c r="Q2429" s="8" t="s">
        <v>4262</v>
      </c>
      <c r="R2429" s="8">
        <v>0.182</v>
      </c>
      <c r="S2429" s="8">
        <v>44852383</v>
      </c>
      <c r="T2429" s="8" t="s">
        <v>24</v>
      </c>
      <c r="U2429" s="8" t="s">
        <v>25</v>
      </c>
    </row>
    <row r="2430" spans="1:21">
      <c r="A2430" s="8" t="s">
        <v>10349</v>
      </c>
      <c r="B2430" s="8" t="s">
        <v>11116</v>
      </c>
      <c r="C2430" s="8">
        <v>7047</v>
      </c>
      <c r="D2430" s="8" t="s">
        <v>201</v>
      </c>
      <c r="E2430" s="8">
        <v>44952832</v>
      </c>
      <c r="F2430" s="8">
        <v>44952832</v>
      </c>
      <c r="G2430" s="8" t="s">
        <v>46</v>
      </c>
      <c r="H2430" s="8" t="s">
        <v>41</v>
      </c>
      <c r="I2430" s="8" t="s">
        <v>23</v>
      </c>
      <c r="J2430" s="8" t="s">
        <v>11117</v>
      </c>
      <c r="K2430" s="8" t="s">
        <v>11119</v>
      </c>
      <c r="L2430" s="8" t="s">
        <v>19</v>
      </c>
      <c r="M2430" s="8">
        <v>1920</v>
      </c>
      <c r="N2430" s="8" t="s">
        <v>1140</v>
      </c>
      <c r="O2430" s="8">
        <v>616</v>
      </c>
      <c r="P2430" s="8" t="s">
        <v>11118</v>
      </c>
      <c r="Q2430" s="8" t="s">
        <v>4262</v>
      </c>
      <c r="R2430" s="8">
        <v>0.24399999999999999</v>
      </c>
      <c r="S2430" s="8">
        <v>44952832</v>
      </c>
      <c r="T2430" s="8" t="s">
        <v>46</v>
      </c>
      <c r="U2430" s="8" t="s">
        <v>41</v>
      </c>
    </row>
    <row r="2431" spans="1:21">
      <c r="A2431" s="8" t="s">
        <v>10349</v>
      </c>
      <c r="B2431" s="8" t="s">
        <v>8763</v>
      </c>
      <c r="C2431" s="8">
        <v>79443</v>
      </c>
      <c r="D2431" s="8" t="s">
        <v>201</v>
      </c>
      <c r="E2431" s="8">
        <v>46009717</v>
      </c>
      <c r="F2431" s="8">
        <v>46009717</v>
      </c>
      <c r="G2431" s="8" t="s">
        <v>46</v>
      </c>
      <c r="H2431" s="8" t="s">
        <v>41</v>
      </c>
      <c r="I2431" s="8" t="s">
        <v>23</v>
      </c>
      <c r="J2431" s="8" t="s">
        <v>8764</v>
      </c>
      <c r="K2431" s="8" t="s">
        <v>8766</v>
      </c>
      <c r="L2431" s="8" t="s">
        <v>19</v>
      </c>
      <c r="M2431" s="8">
        <v>1315</v>
      </c>
      <c r="N2431" s="8" t="s">
        <v>205</v>
      </c>
      <c r="O2431" s="8">
        <v>370</v>
      </c>
      <c r="P2431" s="8" t="s">
        <v>11120</v>
      </c>
      <c r="Q2431" s="8" t="s">
        <v>4262</v>
      </c>
      <c r="R2431" s="8">
        <v>0.111</v>
      </c>
      <c r="S2431" s="8">
        <v>46009717</v>
      </c>
      <c r="T2431" s="8" t="s">
        <v>46</v>
      </c>
      <c r="U2431" s="8" t="s">
        <v>41</v>
      </c>
    </row>
    <row r="2432" spans="1:21">
      <c r="A2432" s="8" t="s">
        <v>10349</v>
      </c>
      <c r="B2432" s="8" t="s">
        <v>11121</v>
      </c>
      <c r="C2432" s="8">
        <v>1230</v>
      </c>
      <c r="D2432" s="8" t="s">
        <v>201</v>
      </c>
      <c r="E2432" s="8">
        <v>46245542</v>
      </c>
      <c r="F2432" s="8">
        <v>46245542</v>
      </c>
      <c r="G2432" s="8" t="s">
        <v>24</v>
      </c>
      <c r="H2432" s="8" t="s">
        <v>25</v>
      </c>
      <c r="I2432" s="8" t="s">
        <v>23</v>
      </c>
      <c r="J2432" s="8" t="s">
        <v>11122</v>
      </c>
      <c r="K2432" s="8" t="s">
        <v>11124</v>
      </c>
      <c r="L2432" s="8" t="s">
        <v>19</v>
      </c>
      <c r="M2432" s="8">
        <v>334</v>
      </c>
      <c r="N2432" s="8" t="s">
        <v>333</v>
      </c>
      <c r="O2432" s="8">
        <v>88</v>
      </c>
      <c r="P2432" s="8" t="s">
        <v>11123</v>
      </c>
      <c r="Q2432" s="8" t="s">
        <v>4262</v>
      </c>
      <c r="R2432" s="8">
        <v>0.19400000000000001</v>
      </c>
      <c r="S2432" s="8">
        <v>46245542</v>
      </c>
      <c r="T2432" s="8" t="s">
        <v>24</v>
      </c>
      <c r="U2432" s="8" t="s">
        <v>25</v>
      </c>
    </row>
    <row r="2433" spans="1:21">
      <c r="A2433" s="8" t="s">
        <v>10349</v>
      </c>
      <c r="B2433" s="8" t="s">
        <v>762</v>
      </c>
      <c r="C2433" s="8">
        <v>3708</v>
      </c>
      <c r="D2433" s="8" t="s">
        <v>201</v>
      </c>
      <c r="E2433" s="8">
        <v>4687359</v>
      </c>
      <c r="F2433" s="8">
        <v>4687359</v>
      </c>
      <c r="G2433" s="8" t="s">
        <v>24</v>
      </c>
      <c r="H2433" s="8" t="s">
        <v>25</v>
      </c>
      <c r="I2433" s="8" t="s">
        <v>23</v>
      </c>
      <c r="J2433" s="8" t="s">
        <v>11125</v>
      </c>
      <c r="K2433" s="8" t="s">
        <v>11127</v>
      </c>
      <c r="L2433" s="8" t="s">
        <v>19</v>
      </c>
      <c r="M2433" s="8">
        <v>1152</v>
      </c>
      <c r="N2433" s="8" t="s">
        <v>536</v>
      </c>
      <c r="O2433" s="8">
        <v>268</v>
      </c>
      <c r="P2433" s="8" t="s">
        <v>11126</v>
      </c>
      <c r="Q2433" s="8" t="s">
        <v>4262</v>
      </c>
      <c r="R2433" s="8">
        <v>0.16700000000000001</v>
      </c>
      <c r="S2433" s="8">
        <v>4687359</v>
      </c>
      <c r="T2433" s="8" t="s">
        <v>24</v>
      </c>
      <c r="U2433" s="8" t="s">
        <v>25</v>
      </c>
    </row>
    <row r="2434" spans="1:21">
      <c r="A2434" s="8" t="s">
        <v>10349</v>
      </c>
      <c r="B2434" s="8" t="s">
        <v>11128</v>
      </c>
      <c r="C2434" s="8">
        <v>1294</v>
      </c>
      <c r="D2434" s="8" t="s">
        <v>201</v>
      </c>
      <c r="E2434" s="8">
        <v>48620462</v>
      </c>
      <c r="F2434" s="8">
        <v>48620462</v>
      </c>
      <c r="G2434" s="8" t="s">
        <v>46</v>
      </c>
      <c r="H2434" s="8" t="s">
        <v>41</v>
      </c>
      <c r="I2434" s="8" t="s">
        <v>23</v>
      </c>
      <c r="J2434" s="8" t="s">
        <v>11129</v>
      </c>
      <c r="K2434" s="8" t="s">
        <v>11131</v>
      </c>
      <c r="L2434" s="8" t="s">
        <v>19</v>
      </c>
      <c r="M2434" s="8">
        <v>4503</v>
      </c>
      <c r="N2434" s="8" t="s">
        <v>205</v>
      </c>
      <c r="O2434" s="8">
        <v>1501</v>
      </c>
      <c r="P2434" s="8" t="s">
        <v>11130</v>
      </c>
      <c r="Q2434" s="8" t="s">
        <v>4262</v>
      </c>
      <c r="R2434" s="8">
        <v>0.129</v>
      </c>
      <c r="S2434" s="8">
        <v>48620462</v>
      </c>
      <c r="T2434" s="8" t="s">
        <v>46</v>
      </c>
      <c r="U2434" s="8" t="s">
        <v>41</v>
      </c>
    </row>
    <row r="2435" spans="1:21">
      <c r="A2435" s="8" t="s">
        <v>10349</v>
      </c>
      <c r="B2435" s="8" t="s">
        <v>5989</v>
      </c>
      <c r="C2435" s="8">
        <v>132671</v>
      </c>
      <c r="D2435" s="8" t="s">
        <v>220</v>
      </c>
      <c r="E2435" s="8">
        <v>52928474</v>
      </c>
      <c r="F2435" s="8">
        <v>52928474</v>
      </c>
      <c r="G2435" s="8" t="s">
        <v>24</v>
      </c>
      <c r="H2435" s="8" t="s">
        <v>25</v>
      </c>
      <c r="I2435" s="8" t="s">
        <v>23</v>
      </c>
      <c r="J2435" s="8" t="s">
        <v>5990</v>
      </c>
      <c r="K2435" s="8" t="s">
        <v>5992</v>
      </c>
      <c r="L2435" s="8" t="s">
        <v>19</v>
      </c>
      <c r="M2435" s="8">
        <v>676</v>
      </c>
      <c r="N2435" s="8" t="s">
        <v>2664</v>
      </c>
      <c r="O2435" s="8">
        <v>133</v>
      </c>
      <c r="P2435" s="8" t="s">
        <v>11132</v>
      </c>
      <c r="Q2435" s="8" t="s">
        <v>4262</v>
      </c>
      <c r="R2435" s="8">
        <v>0.26800000000000002</v>
      </c>
      <c r="S2435" s="8">
        <v>52928474</v>
      </c>
      <c r="T2435" s="8" t="s">
        <v>24</v>
      </c>
      <c r="U2435" s="8" t="s">
        <v>25</v>
      </c>
    </row>
    <row r="2436" spans="1:21">
      <c r="A2436" s="8" t="s">
        <v>10349</v>
      </c>
      <c r="B2436" s="8" t="s">
        <v>2707</v>
      </c>
      <c r="C2436" s="8">
        <v>152579</v>
      </c>
      <c r="D2436" s="8" t="s">
        <v>220</v>
      </c>
      <c r="E2436" s="8">
        <v>54140090</v>
      </c>
      <c r="F2436" s="8">
        <v>54140090</v>
      </c>
      <c r="G2436" s="8" t="s">
        <v>46</v>
      </c>
      <c r="H2436" s="8" t="s">
        <v>41</v>
      </c>
      <c r="I2436" s="8" t="s">
        <v>23</v>
      </c>
      <c r="J2436" s="8" t="s">
        <v>2708</v>
      </c>
      <c r="K2436" s="8" t="s">
        <v>11134</v>
      </c>
      <c r="L2436" s="8" t="s">
        <v>19</v>
      </c>
      <c r="M2436" s="8">
        <v>1348</v>
      </c>
      <c r="N2436" s="8" t="s">
        <v>205</v>
      </c>
      <c r="O2436" s="8">
        <v>405</v>
      </c>
      <c r="P2436" s="8" t="s">
        <v>11133</v>
      </c>
      <c r="Q2436" s="8" t="s">
        <v>4262</v>
      </c>
      <c r="R2436" s="8">
        <v>0.28899999999999998</v>
      </c>
      <c r="S2436" s="8">
        <v>54140090</v>
      </c>
      <c r="T2436" s="8" t="s">
        <v>46</v>
      </c>
      <c r="U2436" s="8" t="s">
        <v>41</v>
      </c>
    </row>
    <row r="2437" spans="1:21">
      <c r="A2437" s="8" t="s">
        <v>10349</v>
      </c>
      <c r="B2437" s="8" t="s">
        <v>11135</v>
      </c>
      <c r="C2437" s="8">
        <v>6731</v>
      </c>
      <c r="D2437" s="8" t="s">
        <v>220</v>
      </c>
      <c r="E2437" s="8">
        <v>57367897</v>
      </c>
      <c r="F2437" s="8">
        <v>57367897</v>
      </c>
      <c r="G2437" s="8" t="s">
        <v>24</v>
      </c>
      <c r="H2437" s="8" t="s">
        <v>25</v>
      </c>
      <c r="I2437" s="8" t="s">
        <v>23</v>
      </c>
      <c r="J2437" s="8" t="s">
        <v>11136</v>
      </c>
      <c r="K2437" s="8" t="s">
        <v>11138</v>
      </c>
      <c r="L2437" s="8" t="s">
        <v>19</v>
      </c>
      <c r="M2437" s="8">
        <v>1926</v>
      </c>
      <c r="N2437" s="8" t="s">
        <v>205</v>
      </c>
      <c r="O2437" s="8">
        <v>629</v>
      </c>
      <c r="P2437" s="8" t="s">
        <v>11137</v>
      </c>
      <c r="Q2437" s="8" t="s">
        <v>4262</v>
      </c>
      <c r="R2437" s="8">
        <v>0.24199999999999999</v>
      </c>
      <c r="S2437" s="8">
        <v>57367897</v>
      </c>
      <c r="T2437" s="8" t="s">
        <v>24</v>
      </c>
      <c r="U2437" s="8" t="s">
        <v>25</v>
      </c>
    </row>
    <row r="2438" spans="1:21">
      <c r="A2438" s="8" t="s">
        <v>10349</v>
      </c>
      <c r="B2438" s="8" t="s">
        <v>3810</v>
      </c>
      <c r="C2438" s="8">
        <v>2044</v>
      </c>
      <c r="D2438" s="8" t="s">
        <v>220</v>
      </c>
      <c r="E2438" s="8">
        <v>66201687</v>
      </c>
      <c r="F2438" s="8">
        <v>66201687</v>
      </c>
      <c r="G2438" s="8" t="s">
        <v>24</v>
      </c>
      <c r="H2438" s="8" t="s">
        <v>25</v>
      </c>
      <c r="I2438" s="8" t="s">
        <v>23</v>
      </c>
      <c r="J2438" s="8" t="s">
        <v>5150</v>
      </c>
      <c r="K2438" s="8" t="s">
        <v>5152</v>
      </c>
      <c r="L2438" s="8" t="s">
        <v>19</v>
      </c>
      <c r="M2438" s="8">
        <v>3008</v>
      </c>
      <c r="N2438" s="8" t="s">
        <v>423</v>
      </c>
      <c r="O2438" s="8">
        <v>939</v>
      </c>
      <c r="P2438" s="8" t="s">
        <v>11139</v>
      </c>
      <c r="Q2438" s="8" t="s">
        <v>4262</v>
      </c>
      <c r="R2438" s="8">
        <v>0.192</v>
      </c>
      <c r="S2438" s="8">
        <v>66201687</v>
      </c>
      <c r="T2438" s="8" t="s">
        <v>24</v>
      </c>
      <c r="U2438" s="8" t="s">
        <v>25</v>
      </c>
    </row>
    <row r="2439" spans="1:21">
      <c r="A2439" s="8" t="s">
        <v>10349</v>
      </c>
      <c r="B2439" s="8" t="s">
        <v>11140</v>
      </c>
      <c r="C2439" s="8">
        <v>10720</v>
      </c>
      <c r="D2439" s="8" t="s">
        <v>220</v>
      </c>
      <c r="E2439" s="8">
        <v>70079789</v>
      </c>
      <c r="F2439" s="8">
        <v>70079789</v>
      </c>
      <c r="G2439" s="8" t="s">
        <v>24</v>
      </c>
      <c r="H2439" s="8" t="s">
        <v>25</v>
      </c>
      <c r="I2439" s="8" t="s">
        <v>23</v>
      </c>
      <c r="J2439" s="8" t="s">
        <v>11141</v>
      </c>
      <c r="K2439" s="8" t="s">
        <v>11143</v>
      </c>
      <c r="L2439" s="8" t="s">
        <v>19</v>
      </c>
      <c r="M2439" s="8">
        <v>661</v>
      </c>
      <c r="N2439" s="8" t="s">
        <v>1118</v>
      </c>
      <c r="O2439" s="8">
        <v>218</v>
      </c>
      <c r="P2439" s="8" t="s">
        <v>11142</v>
      </c>
      <c r="Q2439" s="8" t="s">
        <v>4262</v>
      </c>
      <c r="R2439" s="8">
        <v>0.10100000000000001</v>
      </c>
      <c r="S2439" s="8">
        <v>70079789</v>
      </c>
      <c r="T2439" s="8" t="s">
        <v>24</v>
      </c>
      <c r="U2439" s="8" t="s">
        <v>25</v>
      </c>
    </row>
    <row r="2440" spans="1:21">
      <c r="A2440" s="8" t="s">
        <v>10349</v>
      </c>
      <c r="B2440" s="8" t="s">
        <v>3773</v>
      </c>
      <c r="C2440" s="8">
        <v>10117</v>
      </c>
      <c r="D2440" s="8" t="s">
        <v>220</v>
      </c>
      <c r="E2440" s="8">
        <v>71509194</v>
      </c>
      <c r="F2440" s="8">
        <v>71509194</v>
      </c>
      <c r="G2440" s="8" t="s">
        <v>24</v>
      </c>
      <c r="H2440" s="8" t="s">
        <v>25</v>
      </c>
      <c r="I2440" s="8" t="s">
        <v>23</v>
      </c>
      <c r="J2440" s="8" t="s">
        <v>3774</v>
      </c>
      <c r="K2440" s="8" t="s">
        <v>11145</v>
      </c>
      <c r="L2440" s="8" t="s">
        <v>19</v>
      </c>
      <c r="M2440" s="8">
        <v>2332</v>
      </c>
      <c r="N2440" s="8" t="s">
        <v>2483</v>
      </c>
      <c r="O2440" s="8">
        <v>684</v>
      </c>
      <c r="P2440" s="8" t="s">
        <v>11144</v>
      </c>
      <c r="Q2440" s="8" t="s">
        <v>4262</v>
      </c>
      <c r="R2440" s="8">
        <v>0.157</v>
      </c>
      <c r="S2440" s="8">
        <v>71509194</v>
      </c>
      <c r="T2440" s="8" t="s">
        <v>24</v>
      </c>
      <c r="U2440" s="8" t="s">
        <v>25</v>
      </c>
    </row>
    <row r="2441" spans="1:21">
      <c r="A2441" s="8" t="s">
        <v>10349</v>
      </c>
      <c r="B2441" s="8" t="s">
        <v>2089</v>
      </c>
      <c r="C2441" s="8">
        <v>441024</v>
      </c>
      <c r="D2441" s="8" t="s">
        <v>220</v>
      </c>
      <c r="E2441" s="8">
        <v>75167476</v>
      </c>
      <c r="F2441" s="8">
        <v>75167476</v>
      </c>
      <c r="G2441" s="8" t="s">
        <v>24</v>
      </c>
      <c r="H2441" s="8" t="s">
        <v>25</v>
      </c>
      <c r="I2441" s="8" t="s">
        <v>23</v>
      </c>
      <c r="J2441" s="8" t="s">
        <v>11146</v>
      </c>
      <c r="K2441" s="8" t="s">
        <v>11148</v>
      </c>
      <c r="L2441" s="8" t="s">
        <v>19</v>
      </c>
      <c r="M2441" s="8">
        <v>1021</v>
      </c>
      <c r="N2441" s="8" t="s">
        <v>1070</v>
      </c>
      <c r="O2441" s="8">
        <v>332</v>
      </c>
      <c r="P2441" s="8" t="s">
        <v>11147</v>
      </c>
      <c r="Q2441" s="8" t="s">
        <v>4262</v>
      </c>
      <c r="R2441" s="8">
        <v>0.38900000000000001</v>
      </c>
      <c r="S2441" s="8">
        <v>75167476</v>
      </c>
      <c r="T2441" s="8" t="s">
        <v>24</v>
      </c>
      <c r="U2441" s="8" t="s">
        <v>25</v>
      </c>
    </row>
    <row r="2442" spans="1:21">
      <c r="A2442" s="8" t="s">
        <v>10349</v>
      </c>
      <c r="B2442" s="8" t="s">
        <v>3721</v>
      </c>
      <c r="C2442" s="8">
        <v>55153</v>
      </c>
      <c r="D2442" s="8" t="s">
        <v>220</v>
      </c>
      <c r="E2442" s="8">
        <v>76890460</v>
      </c>
      <c r="F2442" s="8">
        <v>76890460</v>
      </c>
      <c r="G2442" s="8" t="s">
        <v>46</v>
      </c>
      <c r="H2442" s="8" t="s">
        <v>41</v>
      </c>
      <c r="I2442" s="8" t="s">
        <v>23</v>
      </c>
      <c r="J2442" s="8" t="s">
        <v>3722</v>
      </c>
      <c r="K2442" s="8" t="s">
        <v>11150</v>
      </c>
      <c r="L2442" s="8" t="s">
        <v>19</v>
      </c>
      <c r="M2442" s="8">
        <v>1095</v>
      </c>
      <c r="N2442" s="8" t="s">
        <v>1364</v>
      </c>
      <c r="O2442" s="8">
        <v>326</v>
      </c>
      <c r="P2442" s="8" t="s">
        <v>11149</v>
      </c>
      <c r="Q2442" s="8" t="s">
        <v>4262</v>
      </c>
      <c r="R2442" s="8">
        <v>0.2</v>
      </c>
      <c r="S2442" s="8">
        <v>76890460</v>
      </c>
      <c r="T2442" s="8" t="s">
        <v>46</v>
      </c>
      <c r="U2442" s="8" t="s">
        <v>41</v>
      </c>
    </row>
    <row r="2443" spans="1:21">
      <c r="A2443" s="8" t="s">
        <v>10349</v>
      </c>
      <c r="B2443" s="8" t="s">
        <v>2709</v>
      </c>
      <c r="C2443" s="8">
        <v>339965</v>
      </c>
      <c r="D2443" s="8" t="s">
        <v>220</v>
      </c>
      <c r="E2443" s="8">
        <v>77305341</v>
      </c>
      <c r="F2443" s="8">
        <v>77305341</v>
      </c>
      <c r="G2443" s="8" t="s">
        <v>46</v>
      </c>
      <c r="H2443" s="8" t="s">
        <v>41</v>
      </c>
      <c r="I2443" s="8" t="s">
        <v>23</v>
      </c>
      <c r="J2443" s="8" t="s">
        <v>2710</v>
      </c>
      <c r="K2443" s="8" t="s">
        <v>11152</v>
      </c>
      <c r="L2443" s="8" t="s">
        <v>19</v>
      </c>
      <c r="M2443" s="8">
        <v>779</v>
      </c>
      <c r="N2443" s="8" t="s">
        <v>708</v>
      </c>
      <c r="O2443" s="8">
        <v>209</v>
      </c>
      <c r="P2443" s="8" t="s">
        <v>11151</v>
      </c>
      <c r="Q2443" s="8" t="s">
        <v>4262</v>
      </c>
      <c r="R2443" s="8">
        <v>0.17100000000000001</v>
      </c>
      <c r="S2443" s="8">
        <v>77305341</v>
      </c>
      <c r="T2443" s="8" t="s">
        <v>46</v>
      </c>
      <c r="U2443" s="8" t="s">
        <v>41</v>
      </c>
    </row>
    <row r="2444" spans="1:21">
      <c r="A2444" s="8" t="s">
        <v>10349</v>
      </c>
      <c r="B2444" s="8" t="s">
        <v>1153</v>
      </c>
      <c r="C2444" s="8">
        <v>80144</v>
      </c>
      <c r="D2444" s="8" t="s">
        <v>220</v>
      </c>
      <c r="E2444" s="8">
        <v>79254528</v>
      </c>
      <c r="F2444" s="8">
        <v>79254528</v>
      </c>
      <c r="G2444" s="8" t="s">
        <v>24</v>
      </c>
      <c r="H2444" s="8" t="s">
        <v>25</v>
      </c>
      <c r="I2444" s="8" t="s">
        <v>23</v>
      </c>
      <c r="J2444" s="8" t="s">
        <v>2711</v>
      </c>
      <c r="K2444" s="8" t="s">
        <v>11154</v>
      </c>
      <c r="L2444" s="8" t="s">
        <v>19</v>
      </c>
      <c r="M2444" s="8">
        <v>2680</v>
      </c>
      <c r="N2444" s="8" t="s">
        <v>732</v>
      </c>
      <c r="O2444" s="8">
        <v>747</v>
      </c>
      <c r="P2444" s="8" t="s">
        <v>11153</v>
      </c>
      <c r="Q2444" s="8" t="s">
        <v>4262</v>
      </c>
      <c r="R2444" s="8">
        <v>0.26900000000000002</v>
      </c>
      <c r="S2444" s="8">
        <v>79254528</v>
      </c>
      <c r="T2444" s="8" t="s">
        <v>24</v>
      </c>
      <c r="U2444" s="8" t="s">
        <v>25</v>
      </c>
    </row>
    <row r="2445" spans="1:21">
      <c r="A2445" s="8" t="s">
        <v>10349</v>
      </c>
      <c r="B2445" s="8" t="s">
        <v>1153</v>
      </c>
      <c r="C2445" s="8">
        <v>80144</v>
      </c>
      <c r="D2445" s="8" t="s">
        <v>220</v>
      </c>
      <c r="E2445" s="8">
        <v>79293902</v>
      </c>
      <c r="F2445" s="8">
        <v>79293902</v>
      </c>
      <c r="G2445" s="8" t="s">
        <v>24</v>
      </c>
      <c r="H2445" s="8" t="s">
        <v>25</v>
      </c>
      <c r="I2445" s="8" t="s">
        <v>23</v>
      </c>
      <c r="J2445" s="8" t="s">
        <v>2711</v>
      </c>
      <c r="K2445" s="8" t="s">
        <v>11154</v>
      </c>
      <c r="L2445" s="8" t="s">
        <v>19</v>
      </c>
      <c r="M2445" s="8">
        <v>3340</v>
      </c>
      <c r="N2445" s="8" t="s">
        <v>1399</v>
      </c>
      <c r="O2445" s="8">
        <v>967</v>
      </c>
      <c r="P2445" s="8" t="s">
        <v>11155</v>
      </c>
      <c r="Q2445" s="8" t="s">
        <v>4262</v>
      </c>
      <c r="R2445" s="8">
        <v>0.17899999999999999</v>
      </c>
      <c r="S2445" s="8">
        <v>79293902</v>
      </c>
      <c r="T2445" s="8" t="s">
        <v>24</v>
      </c>
      <c r="U2445" s="8" t="s">
        <v>25</v>
      </c>
    </row>
    <row r="2446" spans="1:21">
      <c r="A2446" s="8" t="s">
        <v>10349</v>
      </c>
      <c r="B2446" s="8" t="s">
        <v>1153</v>
      </c>
      <c r="C2446" s="8">
        <v>80144</v>
      </c>
      <c r="D2446" s="8" t="s">
        <v>220</v>
      </c>
      <c r="E2446" s="8">
        <v>79410220</v>
      </c>
      <c r="F2446" s="8">
        <v>79410220</v>
      </c>
      <c r="G2446" s="8" t="s">
        <v>46</v>
      </c>
      <c r="H2446" s="8" t="s">
        <v>25</v>
      </c>
      <c r="I2446" s="8" t="s">
        <v>23</v>
      </c>
      <c r="J2446" s="8" t="s">
        <v>2711</v>
      </c>
      <c r="K2446" s="8" t="s">
        <v>11154</v>
      </c>
      <c r="L2446" s="8" t="s">
        <v>19</v>
      </c>
      <c r="M2446" s="8">
        <v>9384</v>
      </c>
      <c r="N2446" s="8" t="s">
        <v>9445</v>
      </c>
      <c r="O2446" s="8">
        <v>2982</v>
      </c>
      <c r="P2446" s="8" t="s">
        <v>11156</v>
      </c>
      <c r="Q2446" s="8" t="s">
        <v>4262</v>
      </c>
      <c r="R2446" s="8">
        <v>0.15</v>
      </c>
      <c r="S2446" s="8">
        <v>79410220</v>
      </c>
      <c r="T2446" s="8" t="s">
        <v>46</v>
      </c>
      <c r="U2446" s="8" t="s">
        <v>25</v>
      </c>
    </row>
    <row r="2447" spans="1:21">
      <c r="A2447" s="8" t="s">
        <v>10349</v>
      </c>
      <c r="B2447" s="8" t="s">
        <v>1153</v>
      </c>
      <c r="C2447" s="8">
        <v>80144</v>
      </c>
      <c r="D2447" s="8" t="s">
        <v>220</v>
      </c>
      <c r="E2447" s="8">
        <v>79458277</v>
      </c>
      <c r="F2447" s="8">
        <v>79458277</v>
      </c>
      <c r="G2447" s="8" t="s">
        <v>24</v>
      </c>
      <c r="H2447" s="8" t="s">
        <v>25</v>
      </c>
      <c r="I2447" s="8" t="s">
        <v>23</v>
      </c>
      <c r="J2447" s="8" t="s">
        <v>2711</v>
      </c>
      <c r="K2447" s="8" t="s">
        <v>11154</v>
      </c>
      <c r="L2447" s="8" t="s">
        <v>19</v>
      </c>
      <c r="M2447" s="8">
        <v>11661</v>
      </c>
      <c r="N2447" s="8" t="s">
        <v>28</v>
      </c>
      <c r="O2447" s="8">
        <v>3741</v>
      </c>
      <c r="P2447" s="8" t="s">
        <v>11157</v>
      </c>
      <c r="Q2447" s="8" t="s">
        <v>4262</v>
      </c>
      <c r="R2447" s="8">
        <v>0.21099999999999999</v>
      </c>
      <c r="S2447" s="8">
        <v>79458277</v>
      </c>
      <c r="T2447" s="8" t="s">
        <v>24</v>
      </c>
      <c r="U2447" s="8" t="s">
        <v>25</v>
      </c>
    </row>
    <row r="2448" spans="1:21">
      <c r="A2448" s="8" t="s">
        <v>10349</v>
      </c>
      <c r="B2448" s="8" t="s">
        <v>11158</v>
      </c>
      <c r="C2448" s="8">
        <v>55589</v>
      </c>
      <c r="D2448" s="8" t="s">
        <v>220</v>
      </c>
      <c r="E2448" s="8">
        <v>79754838</v>
      </c>
      <c r="F2448" s="8">
        <v>79754838</v>
      </c>
      <c r="G2448" s="8" t="s">
        <v>46</v>
      </c>
      <c r="H2448" s="8" t="s">
        <v>41</v>
      </c>
      <c r="I2448" s="8" t="s">
        <v>23</v>
      </c>
      <c r="J2448" s="8" t="s">
        <v>11159</v>
      </c>
      <c r="K2448" s="8" t="s">
        <v>11160</v>
      </c>
      <c r="L2448" s="8" t="s">
        <v>76</v>
      </c>
      <c r="M2448" s="8">
        <v>566</v>
      </c>
      <c r="N2448" s="8" t="s">
        <v>103</v>
      </c>
      <c r="O2448" s="8">
        <v>134</v>
      </c>
      <c r="P2448" s="8" t="s">
        <v>4491</v>
      </c>
      <c r="Q2448" s="8" t="s">
        <v>4262</v>
      </c>
      <c r="R2448" s="8">
        <v>0.13</v>
      </c>
      <c r="S2448" s="8">
        <v>79754838</v>
      </c>
      <c r="T2448" s="8" t="s">
        <v>46</v>
      </c>
      <c r="U2448" s="8" t="s">
        <v>41</v>
      </c>
    </row>
    <row r="2449" spans="1:21">
      <c r="A2449" s="8" t="s">
        <v>10349</v>
      </c>
      <c r="B2449" s="8" t="s">
        <v>1610</v>
      </c>
      <c r="C2449" s="8">
        <v>113510</v>
      </c>
      <c r="D2449" s="8" t="s">
        <v>220</v>
      </c>
      <c r="E2449" s="8">
        <v>84350807</v>
      </c>
      <c r="F2449" s="8">
        <v>84350807</v>
      </c>
      <c r="G2449" s="8" t="s">
        <v>46</v>
      </c>
      <c r="H2449" s="8" t="s">
        <v>41</v>
      </c>
      <c r="I2449" s="8" t="s">
        <v>23</v>
      </c>
      <c r="J2449" s="8" t="s">
        <v>1611</v>
      </c>
      <c r="K2449" s="8" t="s">
        <v>11162</v>
      </c>
      <c r="L2449" s="8" t="s">
        <v>76</v>
      </c>
      <c r="M2449" s="8">
        <v>2567</v>
      </c>
      <c r="N2449" s="8" t="s">
        <v>716</v>
      </c>
      <c r="O2449" s="8">
        <v>796</v>
      </c>
      <c r="P2449" s="8" t="s">
        <v>11161</v>
      </c>
      <c r="Q2449" s="8" t="s">
        <v>4262</v>
      </c>
      <c r="R2449" s="8">
        <v>0.129</v>
      </c>
      <c r="S2449" s="8">
        <v>84350807</v>
      </c>
      <c r="T2449" s="8" t="s">
        <v>46</v>
      </c>
      <c r="U2449" s="8" t="s">
        <v>41</v>
      </c>
    </row>
    <row r="2450" spans="1:21">
      <c r="A2450" s="8" t="s">
        <v>10349</v>
      </c>
      <c r="B2450" s="8" t="s">
        <v>11163</v>
      </c>
      <c r="C2450" s="8">
        <v>152992</v>
      </c>
      <c r="D2450" s="8" t="s">
        <v>220</v>
      </c>
      <c r="E2450" s="8">
        <v>8467176</v>
      </c>
      <c r="F2450" s="8">
        <v>8467176</v>
      </c>
      <c r="G2450" s="8" t="s">
        <v>24</v>
      </c>
      <c r="H2450" s="8" t="s">
        <v>25</v>
      </c>
      <c r="I2450" s="8" t="s">
        <v>23</v>
      </c>
      <c r="J2450" s="8" t="s">
        <v>11164</v>
      </c>
      <c r="K2450" s="8" t="s">
        <v>11166</v>
      </c>
      <c r="L2450" s="8" t="s">
        <v>19</v>
      </c>
      <c r="M2450" s="8">
        <v>1400</v>
      </c>
      <c r="N2450" s="8" t="s">
        <v>2483</v>
      </c>
      <c r="O2450" s="8">
        <v>461</v>
      </c>
      <c r="P2450" s="8" t="s">
        <v>11165</v>
      </c>
      <c r="Q2450" s="8" t="s">
        <v>4262</v>
      </c>
      <c r="R2450" s="8">
        <v>0.19400000000000001</v>
      </c>
      <c r="S2450" s="8">
        <v>8467176</v>
      </c>
      <c r="T2450" s="8" t="s">
        <v>24</v>
      </c>
      <c r="U2450" s="8" t="s">
        <v>25</v>
      </c>
    </row>
    <row r="2451" spans="1:21">
      <c r="A2451" s="8" t="s">
        <v>10349</v>
      </c>
      <c r="B2451" s="8" t="s">
        <v>11167</v>
      </c>
      <c r="C2451" s="8">
        <v>1758</v>
      </c>
      <c r="D2451" s="8" t="s">
        <v>220</v>
      </c>
      <c r="E2451" s="8">
        <v>88583289</v>
      </c>
      <c r="F2451" s="8">
        <v>88583289</v>
      </c>
      <c r="G2451" s="8" t="s">
        <v>24</v>
      </c>
      <c r="H2451" s="8" t="s">
        <v>25</v>
      </c>
      <c r="I2451" s="8" t="s">
        <v>23</v>
      </c>
      <c r="J2451" s="8" t="s">
        <v>11168</v>
      </c>
      <c r="K2451" s="8" t="s">
        <v>11170</v>
      </c>
      <c r="L2451" s="8" t="s">
        <v>19</v>
      </c>
      <c r="M2451" s="8">
        <v>415</v>
      </c>
      <c r="N2451" s="8" t="s">
        <v>205</v>
      </c>
      <c r="O2451" s="8">
        <v>104</v>
      </c>
      <c r="P2451" s="8" t="s">
        <v>11169</v>
      </c>
      <c r="Q2451" s="8" t="s">
        <v>4262</v>
      </c>
      <c r="R2451" s="8">
        <v>0.2</v>
      </c>
      <c r="S2451" s="8">
        <v>88583289</v>
      </c>
      <c r="T2451" s="8" t="s">
        <v>24</v>
      </c>
      <c r="U2451" s="8" t="s">
        <v>25</v>
      </c>
    </row>
    <row r="2452" spans="1:21">
      <c r="A2452" s="8" t="s">
        <v>10349</v>
      </c>
      <c r="B2452" s="8" t="s">
        <v>11171</v>
      </c>
      <c r="C2452" s="8">
        <v>285513</v>
      </c>
      <c r="D2452" s="8" t="s">
        <v>220</v>
      </c>
      <c r="E2452" s="8">
        <v>90169917</v>
      </c>
      <c r="F2452" s="8">
        <v>90169917</v>
      </c>
      <c r="G2452" s="8" t="s">
        <v>46</v>
      </c>
      <c r="H2452" s="8" t="s">
        <v>41</v>
      </c>
      <c r="I2452" s="8" t="s">
        <v>23</v>
      </c>
      <c r="J2452" s="8" t="s">
        <v>11172</v>
      </c>
      <c r="K2452" s="8" t="s">
        <v>11174</v>
      </c>
      <c r="L2452" s="8" t="s">
        <v>19</v>
      </c>
      <c r="M2452" s="8">
        <v>1864</v>
      </c>
      <c r="N2452" s="8" t="s">
        <v>166</v>
      </c>
      <c r="O2452" s="8">
        <v>449</v>
      </c>
      <c r="P2452" s="8" t="s">
        <v>11173</v>
      </c>
      <c r="Q2452" s="8" t="s">
        <v>4262</v>
      </c>
      <c r="R2452" s="8">
        <v>0.25</v>
      </c>
      <c r="S2452" s="8">
        <v>90169917</v>
      </c>
      <c r="T2452" s="8" t="s">
        <v>46</v>
      </c>
      <c r="U2452" s="8" t="s">
        <v>41</v>
      </c>
    </row>
    <row r="2453" spans="1:21">
      <c r="A2453" s="8" t="s">
        <v>10349</v>
      </c>
      <c r="B2453" s="8" t="s">
        <v>11175</v>
      </c>
      <c r="C2453" s="8">
        <v>5910</v>
      </c>
      <c r="D2453" s="8" t="s">
        <v>220</v>
      </c>
      <c r="E2453" s="8">
        <v>99313197</v>
      </c>
      <c r="F2453" s="8">
        <v>99313197</v>
      </c>
      <c r="G2453" s="8" t="s">
        <v>24</v>
      </c>
      <c r="H2453" s="8" t="s">
        <v>25</v>
      </c>
      <c r="I2453" s="8" t="s">
        <v>23</v>
      </c>
      <c r="J2453" s="8" t="s">
        <v>11176</v>
      </c>
      <c r="K2453" s="8" t="s">
        <v>11178</v>
      </c>
      <c r="L2453" s="8" t="s">
        <v>19</v>
      </c>
      <c r="M2453" s="8">
        <v>796</v>
      </c>
      <c r="N2453" s="8" t="s">
        <v>2439</v>
      </c>
      <c r="O2453" s="8">
        <v>202</v>
      </c>
      <c r="P2453" s="8" t="s">
        <v>11177</v>
      </c>
      <c r="Q2453" s="8" t="s">
        <v>4262</v>
      </c>
      <c r="R2453" s="8">
        <v>0.154</v>
      </c>
      <c r="S2453" s="8">
        <v>99313197</v>
      </c>
      <c r="T2453" s="8" t="s">
        <v>24</v>
      </c>
      <c r="U2453" s="8" t="s">
        <v>25</v>
      </c>
    </row>
    <row r="2454" spans="1:21">
      <c r="A2454" s="8" t="s">
        <v>10349</v>
      </c>
      <c r="B2454" s="8" t="s">
        <v>3931</v>
      </c>
      <c r="C2454" s="8">
        <v>5530</v>
      </c>
      <c r="D2454" s="8" t="s">
        <v>220</v>
      </c>
      <c r="E2454" s="8">
        <v>101947108</v>
      </c>
      <c r="F2454" s="8">
        <v>101947108</v>
      </c>
      <c r="G2454" s="8" t="s">
        <v>46</v>
      </c>
      <c r="H2454" s="8" t="s">
        <v>41</v>
      </c>
      <c r="I2454" s="8" t="s">
        <v>23</v>
      </c>
      <c r="J2454" s="8" t="s">
        <v>4313</v>
      </c>
      <c r="K2454" s="8" t="s">
        <v>4315</v>
      </c>
      <c r="L2454" s="8" t="s">
        <v>19</v>
      </c>
      <c r="M2454" s="8">
        <v>2155</v>
      </c>
      <c r="N2454" s="8" t="s">
        <v>155</v>
      </c>
      <c r="O2454" s="8">
        <v>494</v>
      </c>
      <c r="P2454" s="8" t="s">
        <v>11179</v>
      </c>
      <c r="Q2454" s="8" t="s">
        <v>4262</v>
      </c>
      <c r="R2454" s="8">
        <v>0.17799999999999999</v>
      </c>
      <c r="S2454" s="8">
        <v>101947108</v>
      </c>
      <c r="T2454" s="8" t="s">
        <v>46</v>
      </c>
      <c r="U2454" s="8" t="s">
        <v>41</v>
      </c>
    </row>
    <row r="2455" spans="1:21">
      <c r="A2455" s="8" t="s">
        <v>10349</v>
      </c>
      <c r="B2455" s="8" t="s">
        <v>2692</v>
      </c>
      <c r="C2455" s="8">
        <v>4790</v>
      </c>
      <c r="D2455" s="8" t="s">
        <v>220</v>
      </c>
      <c r="E2455" s="8">
        <v>103498091</v>
      </c>
      <c r="F2455" s="8">
        <v>103498091</v>
      </c>
      <c r="G2455" s="8" t="s">
        <v>24</v>
      </c>
      <c r="H2455" s="8" t="s">
        <v>25</v>
      </c>
      <c r="I2455" s="8" t="s">
        <v>23</v>
      </c>
      <c r="J2455" s="8" t="s">
        <v>11180</v>
      </c>
      <c r="K2455" s="8" t="s">
        <v>11182</v>
      </c>
      <c r="L2455" s="8" t="s">
        <v>19</v>
      </c>
      <c r="M2455" s="8">
        <v>933</v>
      </c>
      <c r="N2455" s="8" t="s">
        <v>1070</v>
      </c>
      <c r="O2455" s="8">
        <v>156</v>
      </c>
      <c r="P2455" s="8" t="s">
        <v>11181</v>
      </c>
      <c r="Q2455" s="8" t="s">
        <v>4262</v>
      </c>
      <c r="R2455" s="8">
        <v>0.19500000000000001</v>
      </c>
      <c r="S2455" s="8">
        <v>103498091</v>
      </c>
      <c r="T2455" s="8" t="s">
        <v>24</v>
      </c>
      <c r="U2455" s="8" t="s">
        <v>25</v>
      </c>
    </row>
    <row r="2456" spans="1:21">
      <c r="A2456" s="8" t="s">
        <v>10349</v>
      </c>
      <c r="B2456" s="8" t="s">
        <v>11183</v>
      </c>
      <c r="C2456" s="8">
        <v>84570</v>
      </c>
      <c r="D2456" s="8" t="s">
        <v>220</v>
      </c>
      <c r="E2456" s="8">
        <v>109738552</v>
      </c>
      <c r="F2456" s="8">
        <v>109738552</v>
      </c>
      <c r="G2456" s="8" t="s">
        <v>46</v>
      </c>
      <c r="H2456" s="8" t="s">
        <v>41</v>
      </c>
      <c r="I2456" s="8" t="s">
        <v>23</v>
      </c>
      <c r="J2456" s="8" t="s">
        <v>11184</v>
      </c>
      <c r="K2456" s="8" t="s">
        <v>11185</v>
      </c>
      <c r="L2456" s="8" t="s">
        <v>68</v>
      </c>
      <c r="M2456" s="8">
        <v>0</v>
      </c>
      <c r="N2456" s="8" t="s">
        <v>35</v>
      </c>
      <c r="O2456" s="8">
        <v>0</v>
      </c>
      <c r="P2456" s="8" t="s">
        <v>35</v>
      </c>
      <c r="Q2456" s="8" t="s">
        <v>4262</v>
      </c>
      <c r="R2456" s="8">
        <v>0.13200000000000001</v>
      </c>
      <c r="S2456" s="8">
        <v>109738552</v>
      </c>
      <c r="T2456" s="8" t="s">
        <v>46</v>
      </c>
      <c r="U2456" s="8" t="s">
        <v>41</v>
      </c>
    </row>
    <row r="2457" spans="1:21">
      <c r="A2457" s="8" t="s">
        <v>10349</v>
      </c>
      <c r="B2457" s="8" t="s">
        <v>11186</v>
      </c>
      <c r="C2457" s="8">
        <v>345193</v>
      </c>
      <c r="D2457" s="8" t="s">
        <v>220</v>
      </c>
      <c r="E2457" s="8">
        <v>110791223</v>
      </c>
      <c r="F2457" s="8">
        <v>110791223</v>
      </c>
      <c r="G2457" s="8" t="s">
        <v>46</v>
      </c>
      <c r="H2457" s="8" t="s">
        <v>41</v>
      </c>
      <c r="I2457" s="8" t="s">
        <v>23</v>
      </c>
      <c r="J2457" s="8" t="s">
        <v>11187</v>
      </c>
      <c r="K2457" s="8" t="s">
        <v>11189</v>
      </c>
      <c r="L2457" s="8" t="s">
        <v>76</v>
      </c>
      <c r="M2457" s="8">
        <v>1376</v>
      </c>
      <c r="N2457" s="8" t="s">
        <v>103</v>
      </c>
      <c r="O2457" s="8">
        <v>395</v>
      </c>
      <c r="P2457" s="8" t="s">
        <v>11188</v>
      </c>
      <c r="Q2457" s="8" t="s">
        <v>4262</v>
      </c>
      <c r="R2457" s="8">
        <v>0.24199999999999999</v>
      </c>
      <c r="S2457" s="8">
        <v>110791223</v>
      </c>
      <c r="T2457" s="8" t="s">
        <v>46</v>
      </c>
      <c r="U2457" s="8" t="s">
        <v>41</v>
      </c>
    </row>
    <row r="2458" spans="1:21">
      <c r="A2458" s="8" t="s">
        <v>10349</v>
      </c>
      <c r="B2458" s="8" t="s">
        <v>11190</v>
      </c>
      <c r="C2458" s="8">
        <v>1950</v>
      </c>
      <c r="D2458" s="8" t="s">
        <v>220</v>
      </c>
      <c r="E2458" s="8">
        <v>110908993</v>
      </c>
      <c r="F2458" s="8">
        <v>110908993</v>
      </c>
      <c r="G2458" s="8" t="s">
        <v>46</v>
      </c>
      <c r="H2458" s="8" t="s">
        <v>41</v>
      </c>
      <c r="I2458" s="8" t="s">
        <v>23</v>
      </c>
      <c r="J2458" s="8" t="s">
        <v>11191</v>
      </c>
      <c r="K2458" s="8" t="s">
        <v>11193</v>
      </c>
      <c r="L2458" s="8" t="s">
        <v>19</v>
      </c>
      <c r="M2458" s="8">
        <v>3037</v>
      </c>
      <c r="N2458" s="8" t="s">
        <v>389</v>
      </c>
      <c r="O2458" s="8">
        <v>862</v>
      </c>
      <c r="P2458" s="8" t="s">
        <v>11192</v>
      </c>
      <c r="Q2458" s="8" t="s">
        <v>4262</v>
      </c>
      <c r="R2458" s="8">
        <v>0.2</v>
      </c>
      <c r="S2458" s="8">
        <v>110908993</v>
      </c>
      <c r="T2458" s="8" t="s">
        <v>46</v>
      </c>
      <c r="U2458" s="8" t="s">
        <v>41</v>
      </c>
    </row>
    <row r="2459" spans="1:21">
      <c r="A2459" s="8" t="s">
        <v>10349</v>
      </c>
      <c r="B2459" s="8" t="s">
        <v>2693</v>
      </c>
      <c r="C2459" s="8">
        <v>80216</v>
      </c>
      <c r="D2459" s="8" t="s">
        <v>220</v>
      </c>
      <c r="E2459" s="8">
        <v>113352273</v>
      </c>
      <c r="F2459" s="8">
        <v>113352273</v>
      </c>
      <c r="G2459" s="8" t="s">
        <v>24</v>
      </c>
      <c r="H2459" s="8" t="s">
        <v>25</v>
      </c>
      <c r="I2459" s="8" t="s">
        <v>23</v>
      </c>
      <c r="J2459" s="8" t="s">
        <v>11194</v>
      </c>
      <c r="K2459" s="8" t="s">
        <v>11196</v>
      </c>
      <c r="L2459" s="8" t="s">
        <v>19</v>
      </c>
      <c r="M2459" s="8">
        <v>1797</v>
      </c>
      <c r="N2459" s="8" t="s">
        <v>878</v>
      </c>
      <c r="O2459" s="8">
        <v>524</v>
      </c>
      <c r="P2459" s="8" t="s">
        <v>11195</v>
      </c>
      <c r="Q2459" s="8" t="s">
        <v>4262</v>
      </c>
      <c r="R2459" s="8">
        <v>0.40600000000000003</v>
      </c>
      <c r="S2459" s="8">
        <v>113352273</v>
      </c>
      <c r="T2459" s="8" t="s">
        <v>24</v>
      </c>
      <c r="U2459" s="8" t="s">
        <v>25</v>
      </c>
    </row>
    <row r="2460" spans="1:21">
      <c r="A2460" s="8" t="s">
        <v>10349</v>
      </c>
      <c r="B2460" s="8" t="s">
        <v>2693</v>
      </c>
      <c r="C2460" s="8">
        <v>80216</v>
      </c>
      <c r="D2460" s="8" t="s">
        <v>220</v>
      </c>
      <c r="E2460" s="8">
        <v>113352612</v>
      </c>
      <c r="F2460" s="8">
        <v>113352612</v>
      </c>
      <c r="G2460" s="8" t="s">
        <v>24</v>
      </c>
      <c r="H2460" s="8" t="s">
        <v>25</v>
      </c>
      <c r="I2460" s="8" t="s">
        <v>23</v>
      </c>
      <c r="J2460" s="8" t="s">
        <v>11194</v>
      </c>
      <c r="K2460" s="8" t="s">
        <v>11196</v>
      </c>
      <c r="L2460" s="8" t="s">
        <v>19</v>
      </c>
      <c r="M2460" s="8">
        <v>2136</v>
      </c>
      <c r="N2460" s="8" t="s">
        <v>768</v>
      </c>
      <c r="O2460" s="8">
        <v>637</v>
      </c>
      <c r="P2460" s="8" t="s">
        <v>11197</v>
      </c>
      <c r="Q2460" s="8" t="s">
        <v>4262</v>
      </c>
      <c r="R2460" s="8">
        <v>0.20499999999999999</v>
      </c>
      <c r="S2460" s="8">
        <v>113352612</v>
      </c>
      <c r="T2460" s="8" t="s">
        <v>24</v>
      </c>
      <c r="U2460" s="8" t="s">
        <v>25</v>
      </c>
    </row>
    <row r="2461" spans="1:21">
      <c r="A2461" s="8" t="s">
        <v>10349</v>
      </c>
      <c r="B2461" s="8" t="s">
        <v>2693</v>
      </c>
      <c r="C2461" s="8">
        <v>80216</v>
      </c>
      <c r="D2461" s="8" t="s">
        <v>220</v>
      </c>
      <c r="E2461" s="8">
        <v>113353582</v>
      </c>
      <c r="F2461" s="8">
        <v>113353582</v>
      </c>
      <c r="G2461" s="8" t="s">
        <v>46</v>
      </c>
      <c r="H2461" s="8" t="s">
        <v>41</v>
      </c>
      <c r="I2461" s="8" t="s">
        <v>23</v>
      </c>
      <c r="J2461" s="8" t="s">
        <v>11194</v>
      </c>
      <c r="K2461" s="8" t="s">
        <v>11196</v>
      </c>
      <c r="L2461" s="8" t="s">
        <v>19</v>
      </c>
      <c r="M2461" s="8">
        <v>3106</v>
      </c>
      <c r="N2461" s="8" t="s">
        <v>2694</v>
      </c>
      <c r="O2461" s="8">
        <v>960</v>
      </c>
      <c r="P2461" s="8" t="s">
        <v>11198</v>
      </c>
      <c r="Q2461" s="8" t="s">
        <v>4262</v>
      </c>
      <c r="R2461" s="8">
        <v>0.24099999999999999</v>
      </c>
      <c r="S2461" s="8">
        <v>113353582</v>
      </c>
      <c r="T2461" s="8" t="s">
        <v>46</v>
      </c>
      <c r="U2461" s="8" t="s">
        <v>41</v>
      </c>
    </row>
    <row r="2462" spans="1:21">
      <c r="A2462" s="8" t="s">
        <v>10349</v>
      </c>
      <c r="B2462" s="8" t="s">
        <v>1379</v>
      </c>
      <c r="C2462" s="8">
        <v>287</v>
      </c>
      <c r="D2462" s="8" t="s">
        <v>220</v>
      </c>
      <c r="E2462" s="8">
        <v>114280066</v>
      </c>
      <c r="F2462" s="8">
        <v>114280066</v>
      </c>
      <c r="G2462" s="8" t="s">
        <v>24</v>
      </c>
      <c r="H2462" s="8" t="s">
        <v>25</v>
      </c>
      <c r="I2462" s="8" t="s">
        <v>23</v>
      </c>
      <c r="J2462" s="8" t="s">
        <v>6868</v>
      </c>
      <c r="K2462" s="8" t="s">
        <v>6870</v>
      </c>
      <c r="L2462" s="8" t="s">
        <v>19</v>
      </c>
      <c r="M2462" s="8">
        <v>10392</v>
      </c>
      <c r="N2462" s="8" t="s">
        <v>1399</v>
      </c>
      <c r="O2462" s="8">
        <v>3431</v>
      </c>
      <c r="P2462" s="8" t="s">
        <v>11199</v>
      </c>
      <c r="Q2462" s="8" t="s">
        <v>4262</v>
      </c>
      <c r="R2462" s="8">
        <v>0.26200000000000001</v>
      </c>
      <c r="S2462" s="8">
        <v>114280066</v>
      </c>
      <c r="T2462" s="8" t="s">
        <v>24</v>
      </c>
      <c r="U2462" s="8" t="s">
        <v>25</v>
      </c>
    </row>
    <row r="2463" spans="1:21">
      <c r="A2463" s="8" t="s">
        <v>10349</v>
      </c>
      <c r="B2463" s="8" t="s">
        <v>11200</v>
      </c>
      <c r="C2463" s="8">
        <v>133022</v>
      </c>
      <c r="D2463" s="8" t="s">
        <v>220</v>
      </c>
      <c r="E2463" s="8">
        <v>118006143</v>
      </c>
      <c r="F2463" s="8">
        <v>118006143</v>
      </c>
      <c r="G2463" s="8" t="s">
        <v>46</v>
      </c>
      <c r="H2463" s="8" t="s">
        <v>41</v>
      </c>
      <c r="I2463" s="8" t="s">
        <v>23</v>
      </c>
      <c r="J2463" s="8" t="s">
        <v>11201</v>
      </c>
      <c r="K2463" s="8" t="s">
        <v>11203</v>
      </c>
      <c r="L2463" s="8" t="s">
        <v>19</v>
      </c>
      <c r="M2463" s="8">
        <v>594</v>
      </c>
      <c r="N2463" s="8" t="s">
        <v>205</v>
      </c>
      <c r="O2463" s="8">
        <v>136</v>
      </c>
      <c r="P2463" s="8" t="s">
        <v>11202</v>
      </c>
      <c r="Q2463" s="8" t="s">
        <v>4262</v>
      </c>
      <c r="R2463" s="8">
        <v>0.16300000000000001</v>
      </c>
      <c r="S2463" s="8">
        <v>118006143</v>
      </c>
      <c r="T2463" s="8" t="s">
        <v>46</v>
      </c>
      <c r="U2463" s="8" t="s">
        <v>41</v>
      </c>
    </row>
    <row r="2464" spans="1:21">
      <c r="A2464" s="8" t="s">
        <v>10349</v>
      </c>
      <c r="B2464" s="8" t="s">
        <v>2695</v>
      </c>
      <c r="C2464" s="8">
        <v>171024</v>
      </c>
      <c r="D2464" s="8" t="s">
        <v>220</v>
      </c>
      <c r="E2464" s="8">
        <v>119952760</v>
      </c>
      <c r="F2464" s="8">
        <v>119952760</v>
      </c>
      <c r="G2464" s="8" t="s">
        <v>24</v>
      </c>
      <c r="H2464" s="8" t="s">
        <v>25</v>
      </c>
      <c r="I2464" s="8" t="s">
        <v>23</v>
      </c>
      <c r="J2464" s="8" t="s">
        <v>2696</v>
      </c>
      <c r="K2464" s="8" t="s">
        <v>11205</v>
      </c>
      <c r="L2464" s="8" t="s">
        <v>19</v>
      </c>
      <c r="M2464" s="8">
        <v>3026</v>
      </c>
      <c r="N2464" s="8" t="s">
        <v>768</v>
      </c>
      <c r="O2464" s="8">
        <v>944</v>
      </c>
      <c r="P2464" s="8" t="s">
        <v>11204</v>
      </c>
      <c r="Q2464" s="8" t="s">
        <v>4262</v>
      </c>
      <c r="R2464" s="8">
        <v>0.21199999999999999</v>
      </c>
      <c r="S2464" s="8">
        <v>119952760</v>
      </c>
      <c r="T2464" s="8" t="s">
        <v>24</v>
      </c>
      <c r="U2464" s="8" t="s">
        <v>25</v>
      </c>
    </row>
    <row r="2465" spans="1:21">
      <c r="A2465" s="8" t="s">
        <v>10349</v>
      </c>
      <c r="B2465" s="8" t="s">
        <v>2695</v>
      </c>
      <c r="C2465" s="8">
        <v>171024</v>
      </c>
      <c r="D2465" s="8" t="s">
        <v>220</v>
      </c>
      <c r="E2465" s="8">
        <v>119979069</v>
      </c>
      <c r="F2465" s="8">
        <v>119979069</v>
      </c>
      <c r="G2465" s="8" t="s">
        <v>24</v>
      </c>
      <c r="H2465" s="8" t="s">
        <v>25</v>
      </c>
      <c r="I2465" s="8" t="s">
        <v>23</v>
      </c>
      <c r="J2465" s="8" t="s">
        <v>2696</v>
      </c>
      <c r="K2465" s="8" t="s">
        <v>11205</v>
      </c>
      <c r="L2465" s="8" t="s">
        <v>19</v>
      </c>
      <c r="M2465" s="8">
        <v>3962</v>
      </c>
      <c r="N2465" s="8" t="s">
        <v>1364</v>
      </c>
      <c r="O2465" s="8">
        <v>1256</v>
      </c>
      <c r="P2465" s="8" t="s">
        <v>11206</v>
      </c>
      <c r="Q2465" s="8" t="s">
        <v>4262</v>
      </c>
      <c r="R2465" s="8">
        <v>0.33300000000000002</v>
      </c>
      <c r="S2465" s="8">
        <v>119979069</v>
      </c>
      <c r="T2465" s="8" t="s">
        <v>24</v>
      </c>
      <c r="U2465" s="8" t="s">
        <v>25</v>
      </c>
    </row>
    <row r="2466" spans="1:21">
      <c r="A2466" s="8" t="s">
        <v>10349</v>
      </c>
      <c r="B2466" s="8" t="s">
        <v>772</v>
      </c>
      <c r="C2466" s="8">
        <v>51778</v>
      </c>
      <c r="D2466" s="8" t="s">
        <v>220</v>
      </c>
      <c r="E2466" s="8">
        <v>120079229</v>
      </c>
      <c r="F2466" s="8">
        <v>120079229</v>
      </c>
      <c r="G2466" s="8" t="s">
        <v>24</v>
      </c>
      <c r="H2466" s="8" t="s">
        <v>25</v>
      </c>
      <c r="I2466" s="8" t="s">
        <v>23</v>
      </c>
      <c r="J2466" s="8" t="s">
        <v>773</v>
      </c>
      <c r="K2466" s="8" t="s">
        <v>11208</v>
      </c>
      <c r="L2466" s="8" t="s">
        <v>19</v>
      </c>
      <c r="M2466" s="8">
        <v>512</v>
      </c>
      <c r="N2466" s="8" t="s">
        <v>796</v>
      </c>
      <c r="O2466" s="8">
        <v>100</v>
      </c>
      <c r="P2466" s="8" t="s">
        <v>11207</v>
      </c>
      <c r="Q2466" s="8" t="s">
        <v>4262</v>
      </c>
      <c r="R2466" s="8">
        <v>0.219</v>
      </c>
      <c r="S2466" s="8">
        <v>120079229</v>
      </c>
      <c r="T2466" s="8" t="s">
        <v>24</v>
      </c>
      <c r="U2466" s="8" t="s">
        <v>25</v>
      </c>
    </row>
    <row r="2467" spans="1:21">
      <c r="A2467" s="8" t="s">
        <v>10349</v>
      </c>
      <c r="B2467" s="8" t="s">
        <v>11209</v>
      </c>
      <c r="C2467" s="8">
        <v>55212</v>
      </c>
      <c r="D2467" s="8" t="s">
        <v>220</v>
      </c>
      <c r="E2467" s="8">
        <v>122754524</v>
      </c>
      <c r="F2467" s="8">
        <v>122754524</v>
      </c>
      <c r="G2467" s="8" t="s">
        <v>46</v>
      </c>
      <c r="H2467" s="8" t="s">
        <v>41</v>
      </c>
      <c r="I2467" s="8" t="s">
        <v>23</v>
      </c>
      <c r="J2467" s="8" t="s">
        <v>11210</v>
      </c>
      <c r="K2467" s="8" t="s">
        <v>11212</v>
      </c>
      <c r="L2467" s="8" t="s">
        <v>19</v>
      </c>
      <c r="M2467" s="8">
        <v>1722</v>
      </c>
      <c r="N2467" s="8" t="s">
        <v>205</v>
      </c>
      <c r="O2467" s="8">
        <v>513</v>
      </c>
      <c r="P2467" s="8" t="s">
        <v>11211</v>
      </c>
      <c r="Q2467" s="8" t="s">
        <v>4262</v>
      </c>
      <c r="R2467" s="8">
        <v>0.25600000000000001</v>
      </c>
      <c r="S2467" s="8">
        <v>122754524</v>
      </c>
      <c r="T2467" s="8" t="s">
        <v>46</v>
      </c>
      <c r="U2467" s="8" t="s">
        <v>41</v>
      </c>
    </row>
    <row r="2468" spans="1:21">
      <c r="A2468" s="8" t="s">
        <v>10349</v>
      </c>
      <c r="B2468" s="8" t="s">
        <v>3503</v>
      </c>
      <c r="C2468" s="8">
        <v>132612</v>
      </c>
      <c r="D2468" s="8" t="s">
        <v>220</v>
      </c>
      <c r="E2468" s="8">
        <v>123350841</v>
      </c>
      <c r="F2468" s="8">
        <v>123350841</v>
      </c>
      <c r="G2468" s="8" t="s">
        <v>24</v>
      </c>
      <c r="H2468" s="8" t="s">
        <v>25</v>
      </c>
      <c r="I2468" s="8" t="s">
        <v>23</v>
      </c>
      <c r="J2468" s="8" t="s">
        <v>5999</v>
      </c>
      <c r="K2468" s="8" t="s">
        <v>6001</v>
      </c>
      <c r="L2468" s="8" t="s">
        <v>19</v>
      </c>
      <c r="M2468" s="8">
        <v>1799</v>
      </c>
      <c r="N2468" s="8" t="s">
        <v>536</v>
      </c>
      <c r="O2468" s="8">
        <v>549</v>
      </c>
      <c r="P2468" s="8" t="s">
        <v>11213</v>
      </c>
      <c r="Q2468" s="8" t="s">
        <v>4262</v>
      </c>
      <c r="R2468" s="8">
        <v>0.23699999999999999</v>
      </c>
      <c r="S2468" s="8">
        <v>123350841</v>
      </c>
      <c r="T2468" s="8" t="s">
        <v>24</v>
      </c>
      <c r="U2468" s="8" t="s">
        <v>25</v>
      </c>
    </row>
    <row r="2469" spans="1:21">
      <c r="A2469" s="8" t="s">
        <v>10349</v>
      </c>
      <c r="B2469" s="8" t="s">
        <v>11214</v>
      </c>
      <c r="C2469" s="8">
        <v>57575</v>
      </c>
      <c r="D2469" s="8" t="s">
        <v>220</v>
      </c>
      <c r="E2469" s="8">
        <v>134076076</v>
      </c>
      <c r="F2469" s="8">
        <v>134076076</v>
      </c>
      <c r="G2469" s="8" t="s">
        <v>24</v>
      </c>
      <c r="H2469" s="8" t="s">
        <v>25</v>
      </c>
      <c r="I2469" s="8" t="s">
        <v>23</v>
      </c>
      <c r="J2469" s="8" t="s">
        <v>11215</v>
      </c>
      <c r="K2469" s="8" t="s">
        <v>11216</v>
      </c>
      <c r="L2469" s="8" t="s">
        <v>19</v>
      </c>
      <c r="M2469" s="8">
        <v>3521</v>
      </c>
      <c r="N2469" s="8" t="s">
        <v>1070</v>
      </c>
      <c r="O2469" s="8">
        <v>899</v>
      </c>
      <c r="P2469" s="8" t="s">
        <v>10888</v>
      </c>
      <c r="Q2469" s="8" t="s">
        <v>4262</v>
      </c>
      <c r="R2469" s="8">
        <v>0.32300000000000001</v>
      </c>
      <c r="S2469" s="8">
        <v>134076076</v>
      </c>
      <c r="T2469" s="8" t="s">
        <v>24</v>
      </c>
      <c r="U2469" s="8" t="s">
        <v>25</v>
      </c>
    </row>
    <row r="2470" spans="1:21">
      <c r="A2470" s="8" t="s">
        <v>10349</v>
      </c>
      <c r="B2470" s="8" t="s">
        <v>2239</v>
      </c>
      <c r="C2470" s="8">
        <v>54510</v>
      </c>
      <c r="D2470" s="8" t="s">
        <v>220</v>
      </c>
      <c r="E2470" s="8">
        <v>138451789</v>
      </c>
      <c r="F2470" s="8">
        <v>138451789</v>
      </c>
      <c r="G2470" s="8" t="s">
        <v>24</v>
      </c>
      <c r="H2470" s="8" t="s">
        <v>25</v>
      </c>
      <c r="I2470" s="8" t="s">
        <v>23</v>
      </c>
      <c r="J2470" s="8" t="s">
        <v>11217</v>
      </c>
      <c r="K2470" s="8" t="s">
        <v>11219</v>
      </c>
      <c r="L2470" s="8" t="s">
        <v>19</v>
      </c>
      <c r="M2470" s="8">
        <v>1841</v>
      </c>
      <c r="N2470" s="8" t="s">
        <v>1325</v>
      </c>
      <c r="O2470" s="8">
        <v>485</v>
      </c>
      <c r="P2470" s="8" t="s">
        <v>11218</v>
      </c>
      <c r="Q2470" s="8" t="s">
        <v>4262</v>
      </c>
      <c r="R2470" s="8">
        <v>0.13600000000000001</v>
      </c>
      <c r="S2470" s="8">
        <v>138451789</v>
      </c>
      <c r="T2470" s="8" t="s">
        <v>24</v>
      </c>
      <c r="U2470" s="8" t="s">
        <v>25</v>
      </c>
    </row>
    <row r="2471" spans="1:21">
      <c r="A2471" s="8" t="s">
        <v>10349</v>
      </c>
      <c r="B2471" s="8" t="s">
        <v>4151</v>
      </c>
      <c r="C2471" s="8">
        <v>4258</v>
      </c>
      <c r="D2471" s="8" t="s">
        <v>220</v>
      </c>
      <c r="E2471" s="8">
        <v>140625231</v>
      </c>
      <c r="F2471" s="8">
        <v>140625231</v>
      </c>
      <c r="G2471" s="8" t="s">
        <v>24</v>
      </c>
      <c r="H2471" s="8" t="s">
        <v>25</v>
      </c>
      <c r="I2471" s="8" t="s">
        <v>23</v>
      </c>
      <c r="J2471" s="8" t="s">
        <v>11220</v>
      </c>
      <c r="K2471" s="8" t="s">
        <v>11222</v>
      </c>
      <c r="L2471" s="8" t="s">
        <v>19</v>
      </c>
      <c r="M2471" s="8">
        <v>625</v>
      </c>
      <c r="N2471" s="8" t="s">
        <v>1364</v>
      </c>
      <c r="O2471" s="8">
        <v>125</v>
      </c>
      <c r="P2471" s="8" t="s">
        <v>11221</v>
      </c>
      <c r="Q2471" s="8" t="s">
        <v>4262</v>
      </c>
      <c r="R2471" s="8">
        <v>0.23499999999999999</v>
      </c>
      <c r="S2471" s="8">
        <v>140625231</v>
      </c>
      <c r="T2471" s="8" t="s">
        <v>24</v>
      </c>
      <c r="U2471" s="8" t="s">
        <v>25</v>
      </c>
    </row>
    <row r="2472" spans="1:21">
      <c r="A2472" s="8" t="s">
        <v>10349</v>
      </c>
      <c r="B2472" s="8" t="s">
        <v>11223</v>
      </c>
      <c r="C2472" s="8">
        <v>1047</v>
      </c>
      <c r="D2472" s="8" t="s">
        <v>220</v>
      </c>
      <c r="E2472" s="8">
        <v>141323182</v>
      </c>
      <c r="F2472" s="8">
        <v>141323182</v>
      </c>
      <c r="G2472" s="8" t="s">
        <v>46</v>
      </c>
      <c r="H2472" s="8" t="s">
        <v>41</v>
      </c>
      <c r="I2472" s="8" t="s">
        <v>23</v>
      </c>
      <c r="J2472" s="8" t="s">
        <v>11224</v>
      </c>
      <c r="K2472" s="8" t="s">
        <v>11226</v>
      </c>
      <c r="L2472" s="8" t="s">
        <v>19</v>
      </c>
      <c r="M2472" s="8">
        <v>592</v>
      </c>
      <c r="N2472" s="8" t="s">
        <v>796</v>
      </c>
      <c r="O2472" s="8">
        <v>153</v>
      </c>
      <c r="P2472" s="8" t="s">
        <v>11225</v>
      </c>
      <c r="Q2472" s="8" t="s">
        <v>4262</v>
      </c>
      <c r="R2472" s="8">
        <v>0.25</v>
      </c>
      <c r="S2472" s="8">
        <v>141323182</v>
      </c>
      <c r="T2472" s="8" t="s">
        <v>46</v>
      </c>
      <c r="U2472" s="8" t="s">
        <v>41</v>
      </c>
    </row>
    <row r="2473" spans="1:21">
      <c r="A2473" s="8" t="s">
        <v>10349</v>
      </c>
      <c r="B2473" s="8" t="s">
        <v>11227</v>
      </c>
      <c r="C2473" s="8">
        <v>166752</v>
      </c>
      <c r="D2473" s="8" t="s">
        <v>220</v>
      </c>
      <c r="E2473" s="8">
        <v>144617880</v>
      </c>
      <c r="F2473" s="8">
        <v>144617880</v>
      </c>
      <c r="G2473" s="8" t="s">
        <v>46</v>
      </c>
      <c r="H2473" s="8" t="s">
        <v>41</v>
      </c>
      <c r="I2473" s="8" t="s">
        <v>23</v>
      </c>
      <c r="J2473" s="8" t="s">
        <v>11228</v>
      </c>
      <c r="K2473" s="8" t="s">
        <v>11230</v>
      </c>
      <c r="L2473" s="8" t="s">
        <v>19</v>
      </c>
      <c r="M2473" s="8">
        <v>3949</v>
      </c>
      <c r="N2473" s="8" t="s">
        <v>322</v>
      </c>
      <c r="O2473" s="8">
        <v>1317</v>
      </c>
      <c r="P2473" s="8" t="s">
        <v>11229</v>
      </c>
      <c r="Q2473" s="8" t="s">
        <v>4262</v>
      </c>
      <c r="R2473" s="8">
        <v>0.13800000000000001</v>
      </c>
      <c r="S2473" s="8">
        <v>144617880</v>
      </c>
      <c r="T2473" s="8" t="s">
        <v>46</v>
      </c>
      <c r="U2473" s="8" t="s">
        <v>41</v>
      </c>
    </row>
    <row r="2474" spans="1:21">
      <c r="A2474" s="8" t="s">
        <v>10349</v>
      </c>
      <c r="B2474" s="8" t="s">
        <v>11231</v>
      </c>
      <c r="C2474" s="8">
        <v>6059</v>
      </c>
      <c r="D2474" s="8" t="s">
        <v>220</v>
      </c>
      <c r="E2474" s="8">
        <v>146031387</v>
      </c>
      <c r="F2474" s="8">
        <v>146031387</v>
      </c>
      <c r="G2474" s="8" t="s">
        <v>24</v>
      </c>
      <c r="H2474" s="8" t="s">
        <v>41</v>
      </c>
      <c r="I2474" s="8" t="s">
        <v>23</v>
      </c>
      <c r="J2474" s="8" t="s">
        <v>11232</v>
      </c>
      <c r="K2474" s="8" t="s">
        <v>11234</v>
      </c>
      <c r="L2474" s="8" t="s">
        <v>19</v>
      </c>
      <c r="M2474" s="8">
        <v>981</v>
      </c>
      <c r="N2474" s="8" t="s">
        <v>124</v>
      </c>
      <c r="O2474" s="8">
        <v>180</v>
      </c>
      <c r="P2474" s="8" t="s">
        <v>11233</v>
      </c>
      <c r="Q2474" s="8" t="s">
        <v>4262</v>
      </c>
      <c r="R2474" s="8">
        <v>0.111</v>
      </c>
      <c r="S2474" s="8">
        <v>146031387</v>
      </c>
      <c r="T2474" s="8" t="s">
        <v>24</v>
      </c>
      <c r="U2474" s="8" t="s">
        <v>41</v>
      </c>
    </row>
    <row r="2475" spans="1:21">
      <c r="A2475" s="8" t="s">
        <v>10349</v>
      </c>
      <c r="B2475" s="8" t="s">
        <v>2697</v>
      </c>
      <c r="C2475" s="8">
        <v>23240</v>
      </c>
      <c r="D2475" s="8" t="s">
        <v>220</v>
      </c>
      <c r="E2475" s="8">
        <v>154557493</v>
      </c>
      <c r="F2475" s="8">
        <v>154557493</v>
      </c>
      <c r="G2475" s="8" t="s">
        <v>24</v>
      </c>
      <c r="H2475" s="8" t="s">
        <v>25</v>
      </c>
      <c r="I2475" s="8" t="s">
        <v>23</v>
      </c>
      <c r="J2475" s="8" t="s">
        <v>11235</v>
      </c>
      <c r="K2475" s="8" t="s">
        <v>11237</v>
      </c>
      <c r="L2475" s="8" t="s">
        <v>19</v>
      </c>
      <c r="M2475" s="8">
        <v>4650</v>
      </c>
      <c r="N2475" s="8" t="s">
        <v>494</v>
      </c>
      <c r="O2475" s="8">
        <v>1533</v>
      </c>
      <c r="P2475" s="8" t="s">
        <v>11236</v>
      </c>
      <c r="Q2475" s="8" t="s">
        <v>4262</v>
      </c>
      <c r="R2475" s="8">
        <v>0.22</v>
      </c>
      <c r="S2475" s="8">
        <v>154557493</v>
      </c>
      <c r="T2475" s="8" t="s">
        <v>24</v>
      </c>
      <c r="U2475" s="8" t="s">
        <v>25</v>
      </c>
    </row>
    <row r="2476" spans="1:21">
      <c r="A2476" s="8" t="s">
        <v>10349</v>
      </c>
      <c r="B2476" s="8" t="s">
        <v>1783</v>
      </c>
      <c r="C2476" s="8">
        <v>2243</v>
      </c>
      <c r="D2476" s="8" t="s">
        <v>220</v>
      </c>
      <c r="E2476" s="8">
        <v>155505866</v>
      </c>
      <c r="F2476" s="8">
        <v>155505866</v>
      </c>
      <c r="G2476" s="8" t="s">
        <v>46</v>
      </c>
      <c r="H2476" s="8" t="s">
        <v>41</v>
      </c>
      <c r="I2476" s="8" t="s">
        <v>23</v>
      </c>
      <c r="J2476" s="8" t="s">
        <v>2698</v>
      </c>
      <c r="K2476" s="8" t="s">
        <v>8321</v>
      </c>
      <c r="L2476" s="8" t="s">
        <v>19</v>
      </c>
      <c r="M2476" s="8">
        <v>2069</v>
      </c>
      <c r="N2476" s="8" t="s">
        <v>1364</v>
      </c>
      <c r="O2476" s="8">
        <v>671</v>
      </c>
      <c r="P2476" s="8" t="s">
        <v>11238</v>
      </c>
      <c r="Q2476" s="8" t="s">
        <v>4262</v>
      </c>
      <c r="R2476" s="8">
        <v>0.29199999999999998</v>
      </c>
      <c r="S2476" s="8">
        <v>155505866</v>
      </c>
      <c r="T2476" s="8" t="s">
        <v>46</v>
      </c>
      <c r="U2476" s="8" t="s">
        <v>41</v>
      </c>
    </row>
    <row r="2477" spans="1:21">
      <c r="A2477" s="8" t="s">
        <v>10349</v>
      </c>
      <c r="B2477" s="8" t="s">
        <v>11239</v>
      </c>
      <c r="C2477" s="8">
        <v>2982</v>
      </c>
      <c r="D2477" s="8" t="s">
        <v>220</v>
      </c>
      <c r="E2477" s="8">
        <v>156632300</v>
      </c>
      <c r="F2477" s="8">
        <v>156632300</v>
      </c>
      <c r="G2477" s="8" t="s">
        <v>46</v>
      </c>
      <c r="H2477" s="8" t="s">
        <v>41</v>
      </c>
      <c r="I2477" s="8" t="s">
        <v>23</v>
      </c>
      <c r="J2477" s="8" t="s">
        <v>11240</v>
      </c>
      <c r="K2477" s="8" t="s">
        <v>11242</v>
      </c>
      <c r="L2477" s="8" t="s">
        <v>19</v>
      </c>
      <c r="M2477" s="8">
        <v>1425</v>
      </c>
      <c r="N2477" s="8" t="s">
        <v>96</v>
      </c>
      <c r="O2477" s="8">
        <v>328</v>
      </c>
      <c r="P2477" s="8" t="s">
        <v>11241</v>
      </c>
      <c r="Q2477" s="8" t="s">
        <v>4262</v>
      </c>
      <c r="R2477" s="8">
        <v>0.2</v>
      </c>
      <c r="S2477" s="8">
        <v>156632300</v>
      </c>
      <c r="T2477" s="8" t="s">
        <v>46</v>
      </c>
      <c r="U2477" s="8" t="s">
        <v>41</v>
      </c>
    </row>
    <row r="2478" spans="1:21">
      <c r="A2478" s="8" t="s">
        <v>10349</v>
      </c>
      <c r="B2478" s="8" t="s">
        <v>11243</v>
      </c>
      <c r="C2478" s="8">
        <v>2891</v>
      </c>
      <c r="D2478" s="8" t="s">
        <v>220</v>
      </c>
      <c r="E2478" s="8">
        <v>158281103</v>
      </c>
      <c r="F2478" s="8">
        <v>158281103</v>
      </c>
      <c r="G2478" s="8" t="s">
        <v>46</v>
      </c>
      <c r="H2478" s="8" t="s">
        <v>41</v>
      </c>
      <c r="I2478" s="8" t="s">
        <v>23</v>
      </c>
      <c r="J2478" s="8" t="s">
        <v>11244</v>
      </c>
      <c r="K2478" s="8" t="s">
        <v>11246</v>
      </c>
      <c r="L2478" s="8" t="s">
        <v>19</v>
      </c>
      <c r="M2478" s="8">
        <v>2558</v>
      </c>
      <c r="N2478" s="8" t="s">
        <v>333</v>
      </c>
      <c r="O2478" s="8">
        <v>700</v>
      </c>
      <c r="P2478" s="8" t="s">
        <v>11245</v>
      </c>
      <c r="Q2478" s="8" t="s">
        <v>4262</v>
      </c>
      <c r="R2478" s="8">
        <v>0.19</v>
      </c>
      <c r="S2478" s="8">
        <v>158281103</v>
      </c>
      <c r="T2478" s="8" t="s">
        <v>46</v>
      </c>
      <c r="U2478" s="8" t="s">
        <v>41</v>
      </c>
    </row>
    <row r="2479" spans="1:21">
      <c r="A2479" s="8" t="s">
        <v>10349</v>
      </c>
      <c r="B2479" s="8" t="s">
        <v>11243</v>
      </c>
      <c r="C2479" s="8">
        <v>2891</v>
      </c>
      <c r="D2479" s="8" t="s">
        <v>220</v>
      </c>
      <c r="E2479" s="8">
        <v>158284011</v>
      </c>
      <c r="F2479" s="8">
        <v>158284011</v>
      </c>
      <c r="G2479" s="8" t="s">
        <v>24</v>
      </c>
      <c r="H2479" s="8" t="s">
        <v>25</v>
      </c>
      <c r="I2479" s="8" t="s">
        <v>23</v>
      </c>
      <c r="J2479" s="8" t="s">
        <v>11244</v>
      </c>
      <c r="K2479" s="8" t="s">
        <v>11246</v>
      </c>
      <c r="L2479" s="8" t="s">
        <v>19</v>
      </c>
      <c r="M2479" s="8">
        <v>2926</v>
      </c>
      <c r="N2479" s="8" t="s">
        <v>536</v>
      </c>
      <c r="O2479" s="8">
        <v>823</v>
      </c>
      <c r="P2479" s="8" t="s">
        <v>11247</v>
      </c>
      <c r="Q2479" s="8" t="s">
        <v>4262</v>
      </c>
      <c r="R2479" s="8">
        <v>0.17100000000000001</v>
      </c>
      <c r="S2479" s="8">
        <v>158284011</v>
      </c>
      <c r="T2479" s="8" t="s">
        <v>24</v>
      </c>
      <c r="U2479" s="8" t="s">
        <v>25</v>
      </c>
    </row>
    <row r="2480" spans="1:21">
      <c r="A2480" s="8" t="s">
        <v>10349</v>
      </c>
      <c r="B2480" s="8" t="s">
        <v>11248</v>
      </c>
      <c r="C2480" s="8">
        <v>56884</v>
      </c>
      <c r="D2480" s="8" t="s">
        <v>220</v>
      </c>
      <c r="E2480" s="8">
        <v>162697134</v>
      </c>
      <c r="F2480" s="8">
        <v>162697134</v>
      </c>
      <c r="G2480" s="8" t="s">
        <v>24</v>
      </c>
      <c r="H2480" s="8" t="s">
        <v>25</v>
      </c>
      <c r="I2480" s="8" t="s">
        <v>23</v>
      </c>
      <c r="J2480" s="8" t="s">
        <v>11249</v>
      </c>
      <c r="K2480" s="8" t="s">
        <v>11251</v>
      </c>
      <c r="L2480" s="8" t="s">
        <v>19</v>
      </c>
      <c r="M2480" s="8">
        <v>938</v>
      </c>
      <c r="N2480" s="8" t="s">
        <v>415</v>
      </c>
      <c r="O2480" s="8">
        <v>168</v>
      </c>
      <c r="P2480" s="8" t="s">
        <v>11250</v>
      </c>
      <c r="Q2480" s="8" t="s">
        <v>4262</v>
      </c>
      <c r="R2480" s="8">
        <v>0.153</v>
      </c>
      <c r="S2480" s="8">
        <v>162697134</v>
      </c>
      <c r="T2480" s="8" t="s">
        <v>24</v>
      </c>
      <c r="U2480" s="8" t="s">
        <v>25</v>
      </c>
    </row>
    <row r="2481" spans="1:21">
      <c r="A2481" s="8" t="s">
        <v>10349</v>
      </c>
      <c r="B2481" s="8" t="s">
        <v>11252</v>
      </c>
      <c r="C2481" s="8">
        <v>84076</v>
      </c>
      <c r="D2481" s="8" t="s">
        <v>220</v>
      </c>
      <c r="E2481" s="8">
        <v>164393230</v>
      </c>
      <c r="F2481" s="8">
        <v>164393230</v>
      </c>
      <c r="G2481" s="8" t="s">
        <v>46</v>
      </c>
      <c r="H2481" s="8" t="s">
        <v>41</v>
      </c>
      <c r="I2481" s="8" t="s">
        <v>23</v>
      </c>
      <c r="J2481" s="8" t="s">
        <v>11253</v>
      </c>
      <c r="K2481" s="8" t="s">
        <v>11255</v>
      </c>
      <c r="L2481" s="8" t="s">
        <v>19</v>
      </c>
      <c r="M2481" s="8">
        <v>1818</v>
      </c>
      <c r="N2481" s="8" t="s">
        <v>1070</v>
      </c>
      <c r="O2481" s="8">
        <v>553</v>
      </c>
      <c r="P2481" s="8" t="s">
        <v>11254</v>
      </c>
      <c r="Q2481" s="8" t="s">
        <v>4262</v>
      </c>
      <c r="R2481" s="8">
        <v>0.2</v>
      </c>
      <c r="S2481" s="8">
        <v>164393230</v>
      </c>
      <c r="T2481" s="8" t="s">
        <v>46</v>
      </c>
      <c r="U2481" s="8" t="s">
        <v>41</v>
      </c>
    </row>
    <row r="2482" spans="1:21">
      <c r="A2482" s="8" t="s">
        <v>10349</v>
      </c>
      <c r="B2482" s="8" t="s">
        <v>11252</v>
      </c>
      <c r="C2482" s="8">
        <v>84076</v>
      </c>
      <c r="D2482" s="8" t="s">
        <v>220</v>
      </c>
      <c r="E2482" s="8">
        <v>164393985</v>
      </c>
      <c r="F2482" s="8">
        <v>164393985</v>
      </c>
      <c r="G2482" s="8" t="s">
        <v>46</v>
      </c>
      <c r="H2482" s="8" t="s">
        <v>41</v>
      </c>
      <c r="I2482" s="8" t="s">
        <v>23</v>
      </c>
      <c r="J2482" s="8" t="s">
        <v>11253</v>
      </c>
      <c r="K2482" s="8" t="s">
        <v>11255</v>
      </c>
      <c r="L2482" s="8" t="s">
        <v>19</v>
      </c>
      <c r="M2482" s="8">
        <v>1063</v>
      </c>
      <c r="N2482" s="8" t="s">
        <v>708</v>
      </c>
      <c r="O2482" s="8">
        <v>301</v>
      </c>
      <c r="P2482" s="8" t="s">
        <v>11256</v>
      </c>
      <c r="Q2482" s="8" t="s">
        <v>4262</v>
      </c>
      <c r="R2482" s="8">
        <v>0.21199999999999999</v>
      </c>
      <c r="S2482" s="8">
        <v>164393985</v>
      </c>
      <c r="T2482" s="8" t="s">
        <v>46</v>
      </c>
      <c r="U2482" s="8" t="s">
        <v>41</v>
      </c>
    </row>
    <row r="2483" spans="1:21">
      <c r="A2483" s="8" t="s">
        <v>10349</v>
      </c>
      <c r="B2483" s="8" t="s">
        <v>3770</v>
      </c>
      <c r="C2483" s="8">
        <v>91351</v>
      </c>
      <c r="D2483" s="8" t="s">
        <v>220</v>
      </c>
      <c r="E2483" s="8">
        <v>169327165</v>
      </c>
      <c r="F2483" s="8">
        <v>169327165</v>
      </c>
      <c r="G2483" s="8" t="s">
        <v>46</v>
      </c>
      <c r="H2483" s="8" t="s">
        <v>41</v>
      </c>
      <c r="I2483" s="8" t="s">
        <v>23</v>
      </c>
      <c r="J2483" s="8" t="s">
        <v>3771</v>
      </c>
      <c r="K2483" s="8" t="s">
        <v>8782</v>
      </c>
      <c r="L2483" s="8" t="s">
        <v>19</v>
      </c>
      <c r="M2483" s="8">
        <v>3370</v>
      </c>
      <c r="N2483" s="8" t="s">
        <v>736</v>
      </c>
      <c r="O2483" s="8">
        <v>1050</v>
      </c>
      <c r="P2483" s="8" t="s">
        <v>11257</v>
      </c>
      <c r="Q2483" s="8" t="s">
        <v>4262</v>
      </c>
      <c r="R2483" s="8">
        <v>0.14799999999999999</v>
      </c>
      <c r="S2483" s="8">
        <v>169327165</v>
      </c>
      <c r="T2483" s="8" t="s">
        <v>46</v>
      </c>
      <c r="U2483" s="8" t="s">
        <v>41</v>
      </c>
    </row>
    <row r="2484" spans="1:21">
      <c r="A2484" s="8" t="s">
        <v>10349</v>
      </c>
      <c r="B2484" s="8" t="s">
        <v>3770</v>
      </c>
      <c r="C2484" s="8">
        <v>91351</v>
      </c>
      <c r="D2484" s="8" t="s">
        <v>220</v>
      </c>
      <c r="E2484" s="8">
        <v>169342948</v>
      </c>
      <c r="F2484" s="8">
        <v>169342948</v>
      </c>
      <c r="G2484" s="8" t="s">
        <v>46</v>
      </c>
      <c r="H2484" s="8" t="s">
        <v>41</v>
      </c>
      <c r="I2484" s="8" t="s">
        <v>23</v>
      </c>
      <c r="J2484" s="8" t="s">
        <v>3771</v>
      </c>
      <c r="K2484" s="8" t="s">
        <v>8782</v>
      </c>
      <c r="L2484" s="8" t="s">
        <v>19</v>
      </c>
      <c r="M2484" s="8">
        <v>2578</v>
      </c>
      <c r="N2484" s="8" t="s">
        <v>708</v>
      </c>
      <c r="O2484" s="8">
        <v>786</v>
      </c>
      <c r="P2484" s="8" t="s">
        <v>11258</v>
      </c>
      <c r="Q2484" s="8" t="s">
        <v>4262</v>
      </c>
      <c r="R2484" s="8">
        <v>0.19800000000000001</v>
      </c>
      <c r="S2484" s="8">
        <v>169342948</v>
      </c>
      <c r="T2484" s="8" t="s">
        <v>46</v>
      </c>
      <c r="U2484" s="8" t="s">
        <v>41</v>
      </c>
    </row>
    <row r="2485" spans="1:21">
      <c r="A2485" s="8" t="s">
        <v>10349</v>
      </c>
      <c r="B2485" s="8" t="s">
        <v>3568</v>
      </c>
      <c r="C2485" s="8">
        <v>442117</v>
      </c>
      <c r="D2485" s="8" t="s">
        <v>220</v>
      </c>
      <c r="E2485" s="8">
        <v>173269793</v>
      </c>
      <c r="F2485" s="8">
        <v>173269793</v>
      </c>
      <c r="G2485" s="8" t="s">
        <v>24</v>
      </c>
      <c r="H2485" s="8" t="s">
        <v>25</v>
      </c>
      <c r="I2485" s="8" t="s">
        <v>23</v>
      </c>
      <c r="J2485" s="8" t="s">
        <v>3569</v>
      </c>
      <c r="K2485" s="8" t="s">
        <v>6403</v>
      </c>
      <c r="L2485" s="8" t="s">
        <v>19</v>
      </c>
      <c r="M2485" s="8">
        <v>1242</v>
      </c>
      <c r="N2485" s="8" t="s">
        <v>1399</v>
      </c>
      <c r="O2485" s="8">
        <v>169</v>
      </c>
      <c r="P2485" s="8" t="s">
        <v>11259</v>
      </c>
      <c r="Q2485" s="8" t="s">
        <v>4262</v>
      </c>
      <c r="R2485" s="8">
        <v>0.184</v>
      </c>
      <c r="S2485" s="8">
        <v>173269793</v>
      </c>
      <c r="T2485" s="8" t="s">
        <v>24</v>
      </c>
      <c r="U2485" s="8" t="s">
        <v>25</v>
      </c>
    </row>
    <row r="2486" spans="1:21">
      <c r="A2486" s="8" t="s">
        <v>10349</v>
      </c>
      <c r="B2486" s="8" t="s">
        <v>1958</v>
      </c>
      <c r="C2486" s="8">
        <v>3954</v>
      </c>
      <c r="D2486" s="8" t="s">
        <v>220</v>
      </c>
      <c r="E2486" s="8">
        <v>1824821</v>
      </c>
      <c r="F2486" s="8">
        <v>1824821</v>
      </c>
      <c r="G2486" s="8" t="s">
        <v>46</v>
      </c>
      <c r="H2486" s="8" t="s">
        <v>41</v>
      </c>
      <c r="I2486" s="8" t="s">
        <v>23</v>
      </c>
      <c r="J2486" s="8" t="s">
        <v>2699</v>
      </c>
      <c r="K2486" s="8" t="s">
        <v>11261</v>
      </c>
      <c r="L2486" s="8" t="s">
        <v>19</v>
      </c>
      <c r="M2486" s="8">
        <v>1667</v>
      </c>
      <c r="N2486" s="8" t="s">
        <v>205</v>
      </c>
      <c r="O2486" s="8">
        <v>457</v>
      </c>
      <c r="P2486" s="8" t="s">
        <v>11260</v>
      </c>
      <c r="Q2486" s="8" t="s">
        <v>4262</v>
      </c>
      <c r="R2486" s="8">
        <v>0.28599999999999998</v>
      </c>
      <c r="S2486" s="8">
        <v>1824821</v>
      </c>
      <c r="T2486" s="8" t="s">
        <v>46</v>
      </c>
      <c r="U2486" s="8" t="s">
        <v>41</v>
      </c>
    </row>
    <row r="2487" spans="1:21">
      <c r="A2487" s="8" t="s">
        <v>10349</v>
      </c>
      <c r="B2487" s="8" t="s">
        <v>2700</v>
      </c>
      <c r="C2487" s="8">
        <v>8470</v>
      </c>
      <c r="D2487" s="8" t="s">
        <v>220</v>
      </c>
      <c r="E2487" s="8">
        <v>186544139</v>
      </c>
      <c r="F2487" s="8">
        <v>186544139</v>
      </c>
      <c r="G2487" s="8" t="s">
        <v>46</v>
      </c>
      <c r="H2487" s="8" t="s">
        <v>41</v>
      </c>
      <c r="I2487" s="8" t="s">
        <v>23</v>
      </c>
      <c r="J2487" s="8" t="s">
        <v>5535</v>
      </c>
      <c r="K2487" s="8" t="s">
        <v>5537</v>
      </c>
      <c r="L2487" s="8" t="s">
        <v>19</v>
      </c>
      <c r="M2487" s="8">
        <v>3290</v>
      </c>
      <c r="N2487" s="8" t="s">
        <v>2664</v>
      </c>
      <c r="O2487" s="8">
        <v>811</v>
      </c>
      <c r="P2487" s="8" t="s">
        <v>11262</v>
      </c>
      <c r="Q2487" s="8" t="s">
        <v>4262</v>
      </c>
      <c r="R2487" s="8">
        <v>0.26500000000000001</v>
      </c>
      <c r="S2487" s="8">
        <v>186544139</v>
      </c>
      <c r="T2487" s="8" t="s">
        <v>46</v>
      </c>
      <c r="U2487" s="8" t="s">
        <v>41</v>
      </c>
    </row>
    <row r="2488" spans="1:21">
      <c r="A2488" s="8" t="s">
        <v>10349</v>
      </c>
      <c r="B2488" s="8" t="s">
        <v>2701</v>
      </c>
      <c r="C2488" s="8">
        <v>205860</v>
      </c>
      <c r="D2488" s="8" t="s">
        <v>220</v>
      </c>
      <c r="E2488" s="8">
        <v>189018496</v>
      </c>
      <c r="F2488" s="8">
        <v>189018496</v>
      </c>
      <c r="G2488" s="8" t="s">
        <v>24</v>
      </c>
      <c r="H2488" s="8" t="s">
        <v>25</v>
      </c>
      <c r="I2488" s="8" t="s">
        <v>23</v>
      </c>
      <c r="J2488" s="8" t="s">
        <v>2702</v>
      </c>
      <c r="K2488" s="8" t="s">
        <v>11264</v>
      </c>
      <c r="L2488" s="8" t="s">
        <v>19</v>
      </c>
      <c r="M2488" s="8">
        <v>512</v>
      </c>
      <c r="N2488" s="8" t="s">
        <v>417</v>
      </c>
      <c r="O2488" s="8">
        <v>159</v>
      </c>
      <c r="P2488" s="8" t="s">
        <v>11263</v>
      </c>
      <c r="Q2488" s="8" t="s">
        <v>4262</v>
      </c>
      <c r="R2488" s="8">
        <v>0.30299999999999999</v>
      </c>
      <c r="S2488" s="8">
        <v>189018496</v>
      </c>
      <c r="T2488" s="8" t="s">
        <v>24</v>
      </c>
      <c r="U2488" s="8" t="s">
        <v>25</v>
      </c>
    </row>
    <row r="2489" spans="1:21">
      <c r="A2489" s="8" t="s">
        <v>10349</v>
      </c>
      <c r="B2489" s="8" t="s">
        <v>2703</v>
      </c>
      <c r="C2489" s="8">
        <v>8603</v>
      </c>
      <c r="D2489" s="8" t="s">
        <v>220</v>
      </c>
      <c r="E2489" s="8">
        <v>2641587</v>
      </c>
      <c r="F2489" s="8">
        <v>2641587</v>
      </c>
      <c r="G2489" s="8" t="s">
        <v>24</v>
      </c>
      <c r="H2489" s="8" t="s">
        <v>25</v>
      </c>
      <c r="I2489" s="8" t="s">
        <v>23</v>
      </c>
      <c r="J2489" s="8" t="s">
        <v>11265</v>
      </c>
      <c r="K2489" s="8" t="s">
        <v>11266</v>
      </c>
      <c r="L2489" s="8" t="s">
        <v>68</v>
      </c>
      <c r="M2489" s="8">
        <v>0</v>
      </c>
      <c r="N2489" s="8" t="s">
        <v>35</v>
      </c>
      <c r="O2489" s="8">
        <v>0</v>
      </c>
      <c r="P2489" s="8" t="s">
        <v>35</v>
      </c>
      <c r="Q2489" s="8" t="s">
        <v>4262</v>
      </c>
      <c r="R2489" s="8">
        <v>0.45500000000000002</v>
      </c>
      <c r="S2489" s="8">
        <v>2641587</v>
      </c>
      <c r="T2489" s="8" t="s">
        <v>24</v>
      </c>
      <c r="U2489" s="8" t="s">
        <v>25</v>
      </c>
    </row>
    <row r="2490" spans="1:21">
      <c r="A2490" s="8" t="s">
        <v>10349</v>
      </c>
      <c r="B2490" s="8" t="s">
        <v>11267</v>
      </c>
      <c r="C2490" s="8">
        <v>7700</v>
      </c>
      <c r="D2490" s="8" t="s">
        <v>220</v>
      </c>
      <c r="E2490" s="8">
        <v>367397</v>
      </c>
      <c r="F2490" s="8">
        <v>367397</v>
      </c>
      <c r="G2490" s="8" t="s">
        <v>24</v>
      </c>
      <c r="H2490" s="8" t="s">
        <v>25</v>
      </c>
      <c r="I2490" s="8" t="s">
        <v>23</v>
      </c>
      <c r="J2490" s="8" t="s">
        <v>11268</v>
      </c>
      <c r="K2490" s="8" t="s">
        <v>11270</v>
      </c>
      <c r="L2490" s="8" t="s">
        <v>19</v>
      </c>
      <c r="M2490" s="8">
        <v>1348</v>
      </c>
      <c r="N2490" s="8" t="s">
        <v>1364</v>
      </c>
      <c r="O2490" s="8">
        <v>391</v>
      </c>
      <c r="P2490" s="8" t="s">
        <v>11269</v>
      </c>
      <c r="Q2490" s="8" t="s">
        <v>4262</v>
      </c>
      <c r="R2490" s="8">
        <v>7.4999999999999997E-2</v>
      </c>
      <c r="S2490" s="8">
        <v>367397</v>
      </c>
      <c r="T2490" s="8" t="s">
        <v>24</v>
      </c>
      <c r="U2490" s="8" t="s">
        <v>25</v>
      </c>
    </row>
    <row r="2491" spans="1:21">
      <c r="A2491" s="8" t="s">
        <v>10349</v>
      </c>
      <c r="B2491" s="8" t="s">
        <v>11271</v>
      </c>
      <c r="C2491" s="8">
        <v>152</v>
      </c>
      <c r="D2491" s="8" t="s">
        <v>220</v>
      </c>
      <c r="E2491" s="8">
        <v>3769564</v>
      </c>
      <c r="F2491" s="8">
        <v>3769564</v>
      </c>
      <c r="G2491" s="8" t="s">
        <v>24</v>
      </c>
      <c r="H2491" s="8" t="s">
        <v>25</v>
      </c>
      <c r="I2491" s="8" t="s">
        <v>23</v>
      </c>
      <c r="J2491" s="8" t="s">
        <v>11272</v>
      </c>
      <c r="K2491" s="8" t="s">
        <v>11274</v>
      </c>
      <c r="L2491" s="8" t="s">
        <v>19</v>
      </c>
      <c r="M2491" s="8">
        <v>1269</v>
      </c>
      <c r="N2491" s="8" t="s">
        <v>155</v>
      </c>
      <c r="O2491" s="8">
        <v>411</v>
      </c>
      <c r="P2491" s="8" t="s">
        <v>11273</v>
      </c>
      <c r="Q2491" s="8" t="s">
        <v>4262</v>
      </c>
      <c r="R2491" s="8">
        <v>0.23499999999999999</v>
      </c>
      <c r="S2491" s="8">
        <v>3769564</v>
      </c>
      <c r="T2491" s="8" t="s">
        <v>24</v>
      </c>
      <c r="U2491" s="8" t="s">
        <v>25</v>
      </c>
    </row>
    <row r="2492" spans="1:21">
      <c r="A2492" s="8" t="s">
        <v>10349</v>
      </c>
      <c r="B2492" s="8" t="s">
        <v>11275</v>
      </c>
      <c r="C2492" s="8">
        <v>55276</v>
      </c>
      <c r="D2492" s="8" t="s">
        <v>220</v>
      </c>
      <c r="E2492" s="8">
        <v>37848598</v>
      </c>
      <c r="F2492" s="8">
        <v>37848598</v>
      </c>
      <c r="G2492" s="8" t="s">
        <v>24</v>
      </c>
      <c r="H2492" s="8" t="s">
        <v>25</v>
      </c>
      <c r="I2492" s="8" t="s">
        <v>23</v>
      </c>
      <c r="J2492" s="8" t="s">
        <v>11276</v>
      </c>
      <c r="K2492" s="8" t="s">
        <v>11278</v>
      </c>
      <c r="L2492" s="8" t="s">
        <v>19</v>
      </c>
      <c r="M2492" s="8">
        <v>1127</v>
      </c>
      <c r="N2492" s="8" t="s">
        <v>536</v>
      </c>
      <c r="O2492" s="8">
        <v>352</v>
      </c>
      <c r="P2492" s="8" t="s">
        <v>11277</v>
      </c>
      <c r="Q2492" s="8" t="s">
        <v>4262</v>
      </c>
      <c r="R2492" s="8">
        <v>0.128</v>
      </c>
      <c r="S2492" s="8">
        <v>37848598</v>
      </c>
      <c r="T2492" s="8" t="s">
        <v>24</v>
      </c>
      <c r="U2492" s="8" t="s">
        <v>25</v>
      </c>
    </row>
    <row r="2493" spans="1:21">
      <c r="A2493" s="8" t="s">
        <v>10349</v>
      </c>
      <c r="B2493" s="8" t="s">
        <v>2191</v>
      </c>
      <c r="C2493" s="8">
        <v>7358</v>
      </c>
      <c r="D2493" s="8" t="s">
        <v>220</v>
      </c>
      <c r="E2493" s="8">
        <v>39506877</v>
      </c>
      <c r="F2493" s="8">
        <v>39506877</v>
      </c>
      <c r="G2493" s="8" t="s">
        <v>46</v>
      </c>
      <c r="H2493" s="8" t="s">
        <v>41</v>
      </c>
      <c r="I2493" s="8" t="s">
        <v>23</v>
      </c>
      <c r="J2493" s="8" t="s">
        <v>11279</v>
      </c>
      <c r="K2493" s="8" t="s">
        <v>11281</v>
      </c>
      <c r="L2493" s="8" t="s">
        <v>19</v>
      </c>
      <c r="M2493" s="8">
        <v>1474</v>
      </c>
      <c r="N2493" s="8" t="s">
        <v>796</v>
      </c>
      <c r="O2493" s="8">
        <v>384</v>
      </c>
      <c r="P2493" s="8" t="s">
        <v>11280</v>
      </c>
      <c r="Q2493" s="8" t="s">
        <v>4262</v>
      </c>
      <c r="R2493" s="8">
        <v>0.26900000000000002</v>
      </c>
      <c r="S2493" s="8">
        <v>39506877</v>
      </c>
      <c r="T2493" s="8" t="s">
        <v>46</v>
      </c>
      <c r="U2493" s="8" t="s">
        <v>41</v>
      </c>
    </row>
    <row r="2494" spans="1:21">
      <c r="A2494" s="8" t="s">
        <v>10349</v>
      </c>
      <c r="B2494" s="8" t="s">
        <v>3952</v>
      </c>
      <c r="C2494" s="8">
        <v>23244</v>
      </c>
      <c r="D2494" s="8" t="s">
        <v>220</v>
      </c>
      <c r="E2494" s="8">
        <v>39865003</v>
      </c>
      <c r="F2494" s="8">
        <v>39865003</v>
      </c>
      <c r="G2494" s="8" t="s">
        <v>46</v>
      </c>
      <c r="H2494" s="8" t="s">
        <v>41</v>
      </c>
      <c r="I2494" s="8" t="s">
        <v>23</v>
      </c>
      <c r="J2494" s="8" t="s">
        <v>11282</v>
      </c>
      <c r="K2494" s="8" t="s">
        <v>11284</v>
      </c>
      <c r="L2494" s="8" t="s">
        <v>19</v>
      </c>
      <c r="M2494" s="8">
        <v>3259</v>
      </c>
      <c r="N2494" s="8" t="s">
        <v>758</v>
      </c>
      <c r="O2494" s="8">
        <v>907</v>
      </c>
      <c r="P2494" s="8" t="s">
        <v>11283</v>
      </c>
      <c r="Q2494" s="8" t="s">
        <v>4262</v>
      </c>
      <c r="R2494" s="8">
        <v>0.23300000000000001</v>
      </c>
      <c r="S2494" s="8">
        <v>39865003</v>
      </c>
      <c r="T2494" s="8" t="s">
        <v>46</v>
      </c>
      <c r="U2494" s="8" t="s">
        <v>41</v>
      </c>
    </row>
    <row r="2495" spans="1:21">
      <c r="A2495" s="8" t="s">
        <v>10349</v>
      </c>
      <c r="B2495" s="8" t="s">
        <v>8791</v>
      </c>
      <c r="C2495" s="8">
        <v>389206</v>
      </c>
      <c r="D2495" s="8" t="s">
        <v>220</v>
      </c>
      <c r="E2495" s="8">
        <v>42122158</v>
      </c>
      <c r="F2495" s="8">
        <v>42122158</v>
      </c>
      <c r="G2495" s="8" t="s">
        <v>24</v>
      </c>
      <c r="H2495" s="8" t="s">
        <v>25</v>
      </c>
      <c r="I2495" s="8" t="s">
        <v>23</v>
      </c>
      <c r="J2495" s="8" t="s">
        <v>8792</v>
      </c>
      <c r="K2495" s="8" t="s">
        <v>8794</v>
      </c>
      <c r="L2495" s="8" t="s">
        <v>19</v>
      </c>
      <c r="M2495" s="8">
        <v>1880</v>
      </c>
      <c r="N2495" s="8" t="s">
        <v>1118</v>
      </c>
      <c r="O2495" s="8">
        <v>434</v>
      </c>
      <c r="P2495" s="8" t="s">
        <v>11285</v>
      </c>
      <c r="Q2495" s="8" t="s">
        <v>4262</v>
      </c>
      <c r="R2495" s="8">
        <v>0.308</v>
      </c>
      <c r="S2495" s="8">
        <v>42122158</v>
      </c>
      <c r="T2495" s="8" t="s">
        <v>24</v>
      </c>
      <c r="U2495" s="8" t="s">
        <v>25</v>
      </c>
    </row>
    <row r="2496" spans="1:21">
      <c r="A2496" s="8" t="s">
        <v>10349</v>
      </c>
      <c r="B2496" s="8" t="s">
        <v>2704</v>
      </c>
      <c r="C2496" s="8">
        <v>2560</v>
      </c>
      <c r="D2496" s="8" t="s">
        <v>220</v>
      </c>
      <c r="E2496" s="8">
        <v>47163376</v>
      </c>
      <c r="F2496" s="8">
        <v>47163376</v>
      </c>
      <c r="G2496" s="8" t="s">
        <v>24</v>
      </c>
      <c r="H2496" s="8" t="s">
        <v>25</v>
      </c>
      <c r="I2496" s="8" t="s">
        <v>23</v>
      </c>
      <c r="J2496" s="8" t="s">
        <v>2705</v>
      </c>
      <c r="K2496" s="8" t="s">
        <v>11287</v>
      </c>
      <c r="L2496" s="8" t="s">
        <v>76</v>
      </c>
      <c r="M2496" s="8">
        <v>725</v>
      </c>
      <c r="N2496" s="8" t="s">
        <v>716</v>
      </c>
      <c r="O2496" s="8">
        <v>117</v>
      </c>
      <c r="P2496" s="8" t="s">
        <v>11286</v>
      </c>
      <c r="Q2496" s="8" t="s">
        <v>4262</v>
      </c>
      <c r="R2496" s="8">
        <v>0.2</v>
      </c>
      <c r="S2496" s="8">
        <v>47163376</v>
      </c>
      <c r="T2496" s="8" t="s">
        <v>24</v>
      </c>
      <c r="U2496" s="8" t="s">
        <v>25</v>
      </c>
    </row>
    <row r="2497" spans="1:21">
      <c r="A2497" s="8" t="s">
        <v>10349</v>
      </c>
      <c r="B2497" s="8" t="s">
        <v>2704</v>
      </c>
      <c r="C2497" s="8">
        <v>2560</v>
      </c>
      <c r="D2497" s="8" t="s">
        <v>220</v>
      </c>
      <c r="E2497" s="8">
        <v>47408765</v>
      </c>
      <c r="F2497" s="8">
        <v>47408765</v>
      </c>
      <c r="G2497" s="8" t="s">
        <v>46</v>
      </c>
      <c r="H2497" s="8" t="s">
        <v>41</v>
      </c>
      <c r="I2497" s="8" t="s">
        <v>23</v>
      </c>
      <c r="J2497" s="8" t="s">
        <v>2705</v>
      </c>
      <c r="K2497" s="8" t="s">
        <v>11287</v>
      </c>
      <c r="L2497" s="8" t="s">
        <v>19</v>
      </c>
      <c r="M2497" s="8">
        <v>1276</v>
      </c>
      <c r="N2497" s="8" t="s">
        <v>1140</v>
      </c>
      <c r="O2497" s="8">
        <v>301</v>
      </c>
      <c r="P2497" s="8" t="s">
        <v>11288</v>
      </c>
      <c r="Q2497" s="8" t="s">
        <v>4262</v>
      </c>
      <c r="R2497" s="8">
        <v>0.21199999999999999</v>
      </c>
      <c r="S2497" s="8">
        <v>47408765</v>
      </c>
      <c r="T2497" s="8" t="s">
        <v>46</v>
      </c>
      <c r="U2497" s="8" t="s">
        <v>41</v>
      </c>
    </row>
    <row r="2498" spans="1:21">
      <c r="A2498" s="8" t="s">
        <v>10349</v>
      </c>
      <c r="B2498" s="8" t="s">
        <v>1711</v>
      </c>
      <c r="C2498" s="8">
        <v>80157</v>
      </c>
      <c r="D2498" s="8" t="s">
        <v>220</v>
      </c>
      <c r="E2498" s="8">
        <v>49052829</v>
      </c>
      <c r="F2498" s="8">
        <v>49052829</v>
      </c>
      <c r="G2498" s="8" t="s">
        <v>46</v>
      </c>
      <c r="H2498" s="8" t="s">
        <v>41</v>
      </c>
      <c r="I2498" s="8" t="s">
        <v>23</v>
      </c>
      <c r="J2498" s="8" t="s">
        <v>2706</v>
      </c>
      <c r="K2498" s="8" t="s">
        <v>11290</v>
      </c>
      <c r="L2498" s="8" t="s">
        <v>19</v>
      </c>
      <c r="M2498" s="8">
        <v>2166</v>
      </c>
      <c r="N2498" s="8" t="s">
        <v>504</v>
      </c>
      <c r="O2498" s="8">
        <v>662</v>
      </c>
      <c r="P2498" s="8" t="s">
        <v>11289</v>
      </c>
      <c r="Q2498" s="8" t="s">
        <v>4262</v>
      </c>
      <c r="R2498" s="8">
        <v>0.19</v>
      </c>
      <c r="S2498" s="8">
        <v>49052829</v>
      </c>
      <c r="T2498" s="8" t="s">
        <v>46</v>
      </c>
      <c r="U2498" s="8" t="s">
        <v>41</v>
      </c>
    </row>
    <row r="2499" spans="1:21">
      <c r="A2499" s="8" t="s">
        <v>10349</v>
      </c>
      <c r="B2499" s="8" t="s">
        <v>8799</v>
      </c>
      <c r="C2499" s="8">
        <v>11082</v>
      </c>
      <c r="D2499" s="8" t="s">
        <v>226</v>
      </c>
      <c r="E2499" s="8">
        <v>54275175</v>
      </c>
      <c r="F2499" s="8">
        <v>54275175</v>
      </c>
      <c r="G2499" s="8" t="s">
        <v>46</v>
      </c>
      <c r="H2499" s="8" t="s">
        <v>41</v>
      </c>
      <c r="I2499" s="8" t="s">
        <v>23</v>
      </c>
      <c r="J2499" s="8" t="s">
        <v>8800</v>
      </c>
      <c r="K2499" s="8" t="s">
        <v>8802</v>
      </c>
      <c r="L2499" s="8" t="s">
        <v>76</v>
      </c>
      <c r="M2499" s="8">
        <v>609</v>
      </c>
      <c r="N2499" s="8" t="s">
        <v>716</v>
      </c>
      <c r="O2499" s="8">
        <v>180</v>
      </c>
      <c r="P2499" s="8" t="s">
        <v>11291</v>
      </c>
      <c r="Q2499" s="8" t="s">
        <v>4262</v>
      </c>
      <c r="R2499" s="8">
        <v>0.182</v>
      </c>
      <c r="S2499" s="8">
        <v>54275175</v>
      </c>
      <c r="T2499" s="8" t="s">
        <v>46</v>
      </c>
      <c r="U2499" s="8" t="s">
        <v>41</v>
      </c>
    </row>
    <row r="2500" spans="1:21">
      <c r="A2500" s="8" t="s">
        <v>10349</v>
      </c>
      <c r="B2500" s="8" t="s">
        <v>3117</v>
      </c>
      <c r="C2500" s="8">
        <v>23517</v>
      </c>
      <c r="D2500" s="8" t="s">
        <v>226</v>
      </c>
      <c r="E2500" s="8">
        <v>54646795</v>
      </c>
      <c r="F2500" s="8">
        <v>54646795</v>
      </c>
      <c r="G2500" s="8" t="s">
        <v>24</v>
      </c>
      <c r="H2500" s="8" t="s">
        <v>25</v>
      </c>
      <c r="I2500" s="8" t="s">
        <v>23</v>
      </c>
      <c r="J2500" s="8" t="s">
        <v>3118</v>
      </c>
      <c r="K2500" s="8" t="s">
        <v>7998</v>
      </c>
      <c r="L2500" s="8" t="s">
        <v>19</v>
      </c>
      <c r="M2500" s="8">
        <v>1635</v>
      </c>
      <c r="N2500" s="8" t="s">
        <v>878</v>
      </c>
      <c r="O2500" s="8">
        <v>457</v>
      </c>
      <c r="P2500" s="8" t="s">
        <v>11292</v>
      </c>
      <c r="Q2500" s="8" t="s">
        <v>4262</v>
      </c>
      <c r="R2500" s="8">
        <v>0.16200000000000001</v>
      </c>
      <c r="S2500" s="8">
        <v>54646795</v>
      </c>
      <c r="T2500" s="8" t="s">
        <v>24</v>
      </c>
      <c r="U2500" s="8" t="s">
        <v>25</v>
      </c>
    </row>
    <row r="2501" spans="1:21">
      <c r="A2501" s="8" t="s">
        <v>10349</v>
      </c>
      <c r="B2501" s="8" t="s">
        <v>11293</v>
      </c>
      <c r="C2501" s="8">
        <v>4214</v>
      </c>
      <c r="D2501" s="8" t="s">
        <v>226</v>
      </c>
      <c r="E2501" s="8">
        <v>56160571</v>
      </c>
      <c r="F2501" s="8">
        <v>56160571</v>
      </c>
      <c r="G2501" s="8" t="s">
        <v>24</v>
      </c>
      <c r="H2501" s="8" t="s">
        <v>25</v>
      </c>
      <c r="I2501" s="8" t="s">
        <v>23</v>
      </c>
      <c r="J2501" s="8" t="s">
        <v>11294</v>
      </c>
      <c r="K2501" s="8" t="s">
        <v>11296</v>
      </c>
      <c r="L2501" s="8" t="s">
        <v>19</v>
      </c>
      <c r="M2501" s="8">
        <v>1346</v>
      </c>
      <c r="N2501" s="8" t="s">
        <v>205</v>
      </c>
      <c r="O2501" s="8">
        <v>282</v>
      </c>
      <c r="P2501" s="8" t="s">
        <v>11295</v>
      </c>
      <c r="Q2501" s="8" t="s">
        <v>4262</v>
      </c>
      <c r="R2501" s="8">
        <v>0.152</v>
      </c>
      <c r="S2501" s="8">
        <v>56160571</v>
      </c>
      <c r="T2501" s="8" t="s">
        <v>24</v>
      </c>
      <c r="U2501" s="8" t="s">
        <v>25</v>
      </c>
    </row>
    <row r="2502" spans="1:21">
      <c r="A2502" s="8" t="s">
        <v>10349</v>
      </c>
      <c r="B2502" s="8" t="s">
        <v>11293</v>
      </c>
      <c r="C2502" s="8">
        <v>4214</v>
      </c>
      <c r="D2502" s="8" t="s">
        <v>226</v>
      </c>
      <c r="E2502" s="8">
        <v>56171057</v>
      </c>
      <c r="F2502" s="8">
        <v>56171057</v>
      </c>
      <c r="G2502" s="8" t="s">
        <v>24</v>
      </c>
      <c r="H2502" s="8" t="s">
        <v>25</v>
      </c>
      <c r="I2502" s="8" t="s">
        <v>23</v>
      </c>
      <c r="J2502" s="8" t="s">
        <v>11294</v>
      </c>
      <c r="K2502" s="8" t="s">
        <v>11296</v>
      </c>
      <c r="L2502" s="8" t="s">
        <v>19</v>
      </c>
      <c r="M2502" s="8">
        <v>2386</v>
      </c>
      <c r="N2502" s="8" t="s">
        <v>1364</v>
      </c>
      <c r="O2502" s="8">
        <v>629</v>
      </c>
      <c r="P2502" s="8" t="s">
        <v>11297</v>
      </c>
      <c r="Q2502" s="8" t="s">
        <v>4262</v>
      </c>
      <c r="R2502" s="8">
        <v>0.24</v>
      </c>
      <c r="S2502" s="8">
        <v>56171057</v>
      </c>
      <c r="T2502" s="8" t="s">
        <v>24</v>
      </c>
      <c r="U2502" s="8" t="s">
        <v>25</v>
      </c>
    </row>
    <row r="2503" spans="1:21">
      <c r="A2503" s="8" t="s">
        <v>10349</v>
      </c>
      <c r="B2503" s="8" t="s">
        <v>11298</v>
      </c>
      <c r="C2503" s="8">
        <v>115827</v>
      </c>
      <c r="D2503" s="8" t="s">
        <v>226</v>
      </c>
      <c r="E2503" s="8">
        <v>57913570</v>
      </c>
      <c r="F2503" s="8">
        <v>57913570</v>
      </c>
      <c r="G2503" s="8" t="s">
        <v>24</v>
      </c>
      <c r="H2503" s="8" t="s">
        <v>25</v>
      </c>
      <c r="I2503" s="8" t="s">
        <v>23</v>
      </c>
      <c r="J2503" s="8" t="s">
        <v>11299</v>
      </c>
      <c r="K2503" s="8" t="s">
        <v>11301</v>
      </c>
      <c r="L2503" s="8" t="s">
        <v>19</v>
      </c>
      <c r="M2503" s="8">
        <v>222</v>
      </c>
      <c r="N2503" s="8" t="s">
        <v>1399</v>
      </c>
      <c r="O2503" s="8">
        <v>42</v>
      </c>
      <c r="P2503" s="8" t="s">
        <v>11300</v>
      </c>
      <c r="Q2503" s="8" t="s">
        <v>4262</v>
      </c>
      <c r="R2503" s="8">
        <v>0.14599999999999999</v>
      </c>
      <c r="S2503" s="8">
        <v>57913570</v>
      </c>
      <c r="T2503" s="8" t="s">
        <v>24</v>
      </c>
      <c r="U2503" s="8" t="s">
        <v>25</v>
      </c>
    </row>
    <row r="2504" spans="1:21">
      <c r="A2504" s="8" t="s">
        <v>10349</v>
      </c>
      <c r="B2504" s="8" t="s">
        <v>2730</v>
      </c>
      <c r="C2504" s="8">
        <v>11174</v>
      </c>
      <c r="D2504" s="8" t="s">
        <v>226</v>
      </c>
      <c r="E2504" s="8">
        <v>64522041</v>
      </c>
      <c r="F2504" s="8">
        <v>64522041</v>
      </c>
      <c r="G2504" s="8" t="s">
        <v>46</v>
      </c>
      <c r="H2504" s="8" t="s">
        <v>41</v>
      </c>
      <c r="I2504" s="8" t="s">
        <v>23</v>
      </c>
      <c r="J2504" s="8" t="s">
        <v>2731</v>
      </c>
      <c r="K2504" s="8" t="s">
        <v>11303</v>
      </c>
      <c r="L2504" s="8" t="s">
        <v>19</v>
      </c>
      <c r="M2504" s="8">
        <v>2753</v>
      </c>
      <c r="N2504" s="8" t="s">
        <v>322</v>
      </c>
      <c r="O2504" s="8">
        <v>647</v>
      </c>
      <c r="P2504" s="8" t="s">
        <v>11302</v>
      </c>
      <c r="Q2504" s="8" t="s">
        <v>4262</v>
      </c>
      <c r="R2504" s="8">
        <v>0.219</v>
      </c>
      <c r="S2504" s="8">
        <v>64522041</v>
      </c>
      <c r="T2504" s="8" t="s">
        <v>46</v>
      </c>
      <c r="U2504" s="8" t="s">
        <v>41</v>
      </c>
    </row>
    <row r="2505" spans="1:21">
      <c r="A2505" s="8" t="s">
        <v>10349</v>
      </c>
      <c r="B2505" s="8" t="s">
        <v>11304</v>
      </c>
      <c r="C2505" s="8">
        <v>140890</v>
      </c>
      <c r="D2505" s="8" t="s">
        <v>226</v>
      </c>
      <c r="E2505" s="8">
        <v>65466525</v>
      </c>
      <c r="F2505" s="8">
        <v>65466525</v>
      </c>
      <c r="G2505" s="8" t="s">
        <v>24</v>
      </c>
      <c r="H2505" s="8" t="s">
        <v>25</v>
      </c>
      <c r="I2505" s="8" t="s">
        <v>23</v>
      </c>
      <c r="J2505" s="8" t="s">
        <v>11305</v>
      </c>
      <c r="K2505" s="8" t="s">
        <v>11307</v>
      </c>
      <c r="L2505" s="8" t="s">
        <v>19</v>
      </c>
      <c r="M2505" s="8">
        <v>1354</v>
      </c>
      <c r="N2505" s="8" t="s">
        <v>878</v>
      </c>
      <c r="O2505" s="8">
        <v>412</v>
      </c>
      <c r="P2505" s="8" t="s">
        <v>11306</v>
      </c>
      <c r="Q2505" s="8" t="s">
        <v>4262</v>
      </c>
      <c r="R2505" s="8">
        <v>0.20599999999999999</v>
      </c>
      <c r="S2505" s="8">
        <v>65466525</v>
      </c>
      <c r="T2505" s="8" t="s">
        <v>24</v>
      </c>
      <c r="U2505" s="8" t="s">
        <v>25</v>
      </c>
    </row>
    <row r="2506" spans="1:21">
      <c r="A2506" s="8" t="s">
        <v>10349</v>
      </c>
      <c r="B2506" s="8" t="s">
        <v>11308</v>
      </c>
      <c r="C2506" s="8">
        <v>1022</v>
      </c>
      <c r="D2506" s="8" t="s">
        <v>226</v>
      </c>
      <c r="E2506" s="8">
        <v>68572404</v>
      </c>
      <c r="F2506" s="8">
        <v>68572404</v>
      </c>
      <c r="G2506" s="8" t="s">
        <v>24</v>
      </c>
      <c r="H2506" s="8" t="s">
        <v>25</v>
      </c>
      <c r="I2506" s="8" t="s">
        <v>23</v>
      </c>
      <c r="J2506" s="8" t="s">
        <v>11309</v>
      </c>
      <c r="K2506" s="8" t="s">
        <v>11311</v>
      </c>
      <c r="L2506" s="8" t="s">
        <v>19</v>
      </c>
      <c r="M2506" s="8">
        <v>1080</v>
      </c>
      <c r="N2506" s="8" t="s">
        <v>1399</v>
      </c>
      <c r="O2506" s="8">
        <v>300</v>
      </c>
      <c r="P2506" s="8" t="s">
        <v>11310</v>
      </c>
      <c r="Q2506" s="8" t="s">
        <v>4262</v>
      </c>
      <c r="R2506" s="8">
        <v>0.31</v>
      </c>
      <c r="S2506" s="8">
        <v>68572404</v>
      </c>
      <c r="T2506" s="8" t="s">
        <v>24</v>
      </c>
      <c r="U2506" s="8" t="s">
        <v>25</v>
      </c>
    </row>
    <row r="2507" spans="1:21">
      <c r="A2507" s="8" t="s">
        <v>10349</v>
      </c>
      <c r="B2507" s="8" t="s">
        <v>11312</v>
      </c>
      <c r="C2507" s="8">
        <v>202243</v>
      </c>
      <c r="D2507" s="8" t="s">
        <v>226</v>
      </c>
      <c r="E2507" s="8">
        <v>68616172</v>
      </c>
      <c r="F2507" s="8">
        <v>68616172</v>
      </c>
      <c r="G2507" s="8" t="s">
        <v>46</v>
      </c>
      <c r="H2507" s="8" t="s">
        <v>41</v>
      </c>
      <c r="I2507" s="8" t="s">
        <v>23</v>
      </c>
      <c r="J2507" s="8" t="s">
        <v>11313</v>
      </c>
      <c r="K2507" s="8" t="s">
        <v>11315</v>
      </c>
      <c r="L2507" s="8" t="s">
        <v>19</v>
      </c>
      <c r="M2507" s="8">
        <v>239</v>
      </c>
      <c r="N2507" s="8" t="s">
        <v>1364</v>
      </c>
      <c r="O2507" s="8">
        <v>66</v>
      </c>
      <c r="P2507" s="8" t="s">
        <v>11314</v>
      </c>
      <c r="Q2507" s="8" t="s">
        <v>4262</v>
      </c>
      <c r="R2507" s="8">
        <v>0.318</v>
      </c>
      <c r="S2507" s="8">
        <v>68616172</v>
      </c>
      <c r="T2507" s="8" t="s">
        <v>46</v>
      </c>
      <c r="U2507" s="8" t="s">
        <v>41</v>
      </c>
    </row>
    <row r="2508" spans="1:21">
      <c r="A2508" s="8" t="s">
        <v>10349</v>
      </c>
      <c r="B2508" s="8" t="s">
        <v>2732</v>
      </c>
      <c r="C2508" s="8">
        <v>4131</v>
      </c>
      <c r="D2508" s="8" t="s">
        <v>226</v>
      </c>
      <c r="E2508" s="8">
        <v>71490765</v>
      </c>
      <c r="F2508" s="8">
        <v>71490765</v>
      </c>
      <c r="G2508" s="8" t="s">
        <v>46</v>
      </c>
      <c r="H2508" s="8" t="s">
        <v>41</v>
      </c>
      <c r="I2508" s="8" t="s">
        <v>23</v>
      </c>
      <c r="J2508" s="8" t="s">
        <v>2733</v>
      </c>
      <c r="K2508" s="8" t="s">
        <v>11317</v>
      </c>
      <c r="L2508" s="8" t="s">
        <v>19</v>
      </c>
      <c r="M2508" s="8">
        <v>1824</v>
      </c>
      <c r="N2508" s="8" t="s">
        <v>1140</v>
      </c>
      <c r="O2508" s="8">
        <v>528</v>
      </c>
      <c r="P2508" s="8" t="s">
        <v>11316</v>
      </c>
      <c r="Q2508" s="8" t="s">
        <v>4262</v>
      </c>
      <c r="R2508" s="8">
        <v>0.25800000000000001</v>
      </c>
      <c r="S2508" s="8">
        <v>71490765</v>
      </c>
      <c r="T2508" s="8" t="s">
        <v>46</v>
      </c>
      <c r="U2508" s="8" t="s">
        <v>41</v>
      </c>
    </row>
    <row r="2509" spans="1:21">
      <c r="A2509" s="8" t="s">
        <v>10349</v>
      </c>
      <c r="B2509" s="8" t="s">
        <v>11318</v>
      </c>
      <c r="C2509" s="8">
        <v>26049</v>
      </c>
      <c r="D2509" s="8" t="s">
        <v>226</v>
      </c>
      <c r="E2509" s="8">
        <v>74109814</v>
      </c>
      <c r="F2509" s="8">
        <v>74109814</v>
      </c>
      <c r="G2509" s="8" t="s">
        <v>46</v>
      </c>
      <c r="H2509" s="8" t="s">
        <v>41</v>
      </c>
      <c r="I2509" s="8" t="s">
        <v>23</v>
      </c>
      <c r="J2509" s="8" t="s">
        <v>11319</v>
      </c>
      <c r="K2509" s="8" t="s">
        <v>11320</v>
      </c>
      <c r="L2509" s="8" t="s">
        <v>19</v>
      </c>
      <c r="M2509" s="8">
        <v>564</v>
      </c>
      <c r="N2509" s="8" t="s">
        <v>2664</v>
      </c>
      <c r="O2509" s="8">
        <v>174</v>
      </c>
      <c r="P2509" s="8" t="s">
        <v>11071</v>
      </c>
      <c r="Q2509" s="8" t="s">
        <v>4262</v>
      </c>
      <c r="R2509" s="8">
        <v>0.20300000000000001</v>
      </c>
      <c r="S2509" s="8">
        <v>74109814</v>
      </c>
      <c r="T2509" s="8" t="s">
        <v>46</v>
      </c>
      <c r="U2509" s="8" t="s">
        <v>41</v>
      </c>
    </row>
    <row r="2510" spans="1:21">
      <c r="A2510" s="8" t="s">
        <v>10349</v>
      </c>
      <c r="B2510" s="8" t="s">
        <v>11321</v>
      </c>
      <c r="C2510" s="8">
        <v>79072</v>
      </c>
      <c r="D2510" s="8" t="s">
        <v>226</v>
      </c>
      <c r="E2510" s="8">
        <v>7867400</v>
      </c>
      <c r="F2510" s="8">
        <v>7867400</v>
      </c>
      <c r="G2510" s="8" t="s">
        <v>46</v>
      </c>
      <c r="H2510" s="8" t="s">
        <v>41</v>
      </c>
      <c r="I2510" s="8" t="s">
        <v>23</v>
      </c>
      <c r="J2510" s="8" t="s">
        <v>11322</v>
      </c>
      <c r="K2510" s="8" t="s">
        <v>11324</v>
      </c>
      <c r="L2510" s="8" t="s">
        <v>19</v>
      </c>
      <c r="M2510" s="8">
        <v>969</v>
      </c>
      <c r="N2510" s="8" t="s">
        <v>618</v>
      </c>
      <c r="O2510" s="8">
        <v>266</v>
      </c>
      <c r="P2510" s="8" t="s">
        <v>11323</v>
      </c>
      <c r="Q2510" s="8" t="s">
        <v>4262</v>
      </c>
      <c r="R2510" s="8">
        <v>0.22900000000000001</v>
      </c>
      <c r="S2510" s="8">
        <v>7867400</v>
      </c>
      <c r="T2510" s="8" t="s">
        <v>46</v>
      </c>
      <c r="U2510" s="8" t="s">
        <v>41</v>
      </c>
    </row>
    <row r="2511" spans="1:21">
      <c r="A2511" s="8" t="s">
        <v>10349</v>
      </c>
      <c r="B2511" s="8" t="s">
        <v>2734</v>
      </c>
      <c r="C2511" s="8">
        <v>1462</v>
      </c>
      <c r="D2511" s="8" t="s">
        <v>226</v>
      </c>
      <c r="E2511" s="8">
        <v>82817847</v>
      </c>
      <c r="F2511" s="8">
        <v>82817847</v>
      </c>
      <c r="G2511" s="8" t="s">
        <v>24</v>
      </c>
      <c r="H2511" s="8" t="s">
        <v>25</v>
      </c>
      <c r="I2511" s="8" t="s">
        <v>23</v>
      </c>
      <c r="J2511" s="8" t="s">
        <v>11325</v>
      </c>
      <c r="K2511" s="8" t="s">
        <v>11327</v>
      </c>
      <c r="L2511" s="8" t="s">
        <v>19</v>
      </c>
      <c r="M2511" s="8">
        <v>4078</v>
      </c>
      <c r="N2511" s="8" t="s">
        <v>796</v>
      </c>
      <c r="O2511" s="8">
        <v>1241</v>
      </c>
      <c r="P2511" s="8" t="s">
        <v>11326</v>
      </c>
      <c r="Q2511" s="8" t="s">
        <v>4262</v>
      </c>
      <c r="R2511" s="8">
        <v>0.108</v>
      </c>
      <c r="S2511" s="8">
        <v>82817847</v>
      </c>
      <c r="T2511" s="8" t="s">
        <v>24</v>
      </c>
      <c r="U2511" s="8" t="s">
        <v>25</v>
      </c>
    </row>
    <row r="2512" spans="1:21">
      <c r="A2512" s="8" t="s">
        <v>10349</v>
      </c>
      <c r="B2512" s="8" t="s">
        <v>2734</v>
      </c>
      <c r="C2512" s="8">
        <v>1462</v>
      </c>
      <c r="D2512" s="8" t="s">
        <v>226</v>
      </c>
      <c r="E2512" s="8">
        <v>82836192</v>
      </c>
      <c r="F2512" s="8">
        <v>82836192</v>
      </c>
      <c r="G2512" s="8" t="s">
        <v>46</v>
      </c>
      <c r="H2512" s="8" t="s">
        <v>25</v>
      </c>
      <c r="I2512" s="8" t="s">
        <v>23</v>
      </c>
      <c r="J2512" s="8" t="s">
        <v>11325</v>
      </c>
      <c r="K2512" s="8" t="s">
        <v>11327</v>
      </c>
      <c r="L2512" s="8" t="s">
        <v>19</v>
      </c>
      <c r="M2512" s="8">
        <v>7726</v>
      </c>
      <c r="N2512" s="8" t="s">
        <v>65</v>
      </c>
      <c r="O2512" s="8">
        <v>2457</v>
      </c>
      <c r="P2512" s="8" t="s">
        <v>11328</v>
      </c>
      <c r="Q2512" s="8" t="s">
        <v>4262</v>
      </c>
      <c r="R2512" s="8">
        <v>0.32600000000000001</v>
      </c>
      <c r="S2512" s="8">
        <v>82836192</v>
      </c>
      <c r="T2512" s="8" t="s">
        <v>46</v>
      </c>
      <c r="U2512" s="8" t="s">
        <v>25</v>
      </c>
    </row>
    <row r="2513" spans="1:21">
      <c r="A2513" s="8" t="s">
        <v>10349</v>
      </c>
      <c r="B2513" s="8" t="s">
        <v>11329</v>
      </c>
      <c r="C2513" s="8">
        <v>65980</v>
      </c>
      <c r="D2513" s="8" t="s">
        <v>226</v>
      </c>
      <c r="E2513" s="8">
        <v>887517</v>
      </c>
      <c r="F2513" s="8">
        <v>887517</v>
      </c>
      <c r="G2513" s="8" t="s">
        <v>46</v>
      </c>
      <c r="H2513" s="8" t="s">
        <v>41</v>
      </c>
      <c r="I2513" s="8" t="s">
        <v>23</v>
      </c>
      <c r="J2513" s="8" t="s">
        <v>11330</v>
      </c>
      <c r="K2513" s="8" t="s">
        <v>11332</v>
      </c>
      <c r="L2513" s="8" t="s">
        <v>19</v>
      </c>
      <c r="M2513" s="8">
        <v>843</v>
      </c>
      <c r="N2513" s="8" t="s">
        <v>941</v>
      </c>
      <c r="O2513" s="8">
        <v>226</v>
      </c>
      <c r="P2513" s="8" t="s">
        <v>11331</v>
      </c>
      <c r="Q2513" s="8" t="s">
        <v>4262</v>
      </c>
      <c r="R2513" s="8">
        <v>0.105</v>
      </c>
      <c r="S2513" s="8">
        <v>887517</v>
      </c>
      <c r="T2513" s="8" t="s">
        <v>46</v>
      </c>
      <c r="U2513" s="8" t="s">
        <v>41</v>
      </c>
    </row>
    <row r="2514" spans="1:21">
      <c r="A2514" s="8" t="s">
        <v>10349</v>
      </c>
      <c r="B2514" s="8" t="s">
        <v>1163</v>
      </c>
      <c r="C2514" s="8">
        <v>84059</v>
      </c>
      <c r="D2514" s="8" t="s">
        <v>226</v>
      </c>
      <c r="E2514" s="8">
        <v>90103422</v>
      </c>
      <c r="F2514" s="8">
        <v>90103422</v>
      </c>
      <c r="G2514" s="8" t="s">
        <v>24</v>
      </c>
      <c r="H2514" s="8" t="s">
        <v>25</v>
      </c>
      <c r="I2514" s="8" t="s">
        <v>23</v>
      </c>
      <c r="J2514" s="8" t="s">
        <v>1164</v>
      </c>
      <c r="K2514" s="8" t="s">
        <v>11334</v>
      </c>
      <c r="L2514" s="8" t="s">
        <v>19</v>
      </c>
      <c r="M2514" s="8">
        <v>14936</v>
      </c>
      <c r="N2514" s="8" t="s">
        <v>708</v>
      </c>
      <c r="O2514" s="8">
        <v>4947</v>
      </c>
      <c r="P2514" s="8" t="s">
        <v>11333</v>
      </c>
      <c r="Q2514" s="8" t="s">
        <v>4262</v>
      </c>
      <c r="R2514" s="8">
        <v>0.214</v>
      </c>
      <c r="S2514" s="8">
        <v>90103422</v>
      </c>
      <c r="T2514" s="8" t="s">
        <v>24</v>
      </c>
      <c r="U2514" s="8" t="s">
        <v>25</v>
      </c>
    </row>
    <row r="2515" spans="1:21">
      <c r="A2515" s="8" t="s">
        <v>10349</v>
      </c>
      <c r="B2515" s="8" t="s">
        <v>2735</v>
      </c>
      <c r="C2515" s="8">
        <v>167410</v>
      </c>
      <c r="D2515" s="8" t="s">
        <v>226</v>
      </c>
      <c r="E2515" s="8">
        <v>96460280</v>
      </c>
      <c r="F2515" s="8">
        <v>96460280</v>
      </c>
      <c r="G2515" s="8" t="s">
        <v>46</v>
      </c>
      <c r="H2515" s="8" t="s">
        <v>41</v>
      </c>
      <c r="I2515" s="8" t="s">
        <v>23</v>
      </c>
      <c r="J2515" s="8" t="s">
        <v>2736</v>
      </c>
      <c r="K2515" s="8" t="s">
        <v>11336</v>
      </c>
      <c r="L2515" s="8" t="s">
        <v>19</v>
      </c>
      <c r="M2515" s="8">
        <v>376</v>
      </c>
      <c r="N2515" s="8" t="s">
        <v>768</v>
      </c>
      <c r="O2515" s="8">
        <v>46</v>
      </c>
      <c r="P2515" s="8" t="s">
        <v>11335</v>
      </c>
      <c r="Q2515" s="8" t="s">
        <v>4262</v>
      </c>
      <c r="R2515" s="8">
        <v>0.25900000000000001</v>
      </c>
      <c r="S2515" s="8">
        <v>96460280</v>
      </c>
      <c r="T2515" s="8" t="s">
        <v>46</v>
      </c>
      <c r="U2515" s="8" t="s">
        <v>41</v>
      </c>
    </row>
    <row r="2516" spans="1:21">
      <c r="A2516" s="8" t="s">
        <v>10349</v>
      </c>
      <c r="B2516" s="8" t="s">
        <v>2737</v>
      </c>
      <c r="C2516" s="8">
        <v>55781</v>
      </c>
      <c r="D2516" s="8" t="s">
        <v>226</v>
      </c>
      <c r="E2516" s="8">
        <v>96503577</v>
      </c>
      <c r="F2516" s="8">
        <v>96503577</v>
      </c>
      <c r="G2516" s="8" t="s">
        <v>46</v>
      </c>
      <c r="H2516" s="8" t="s">
        <v>41</v>
      </c>
      <c r="I2516" s="8" t="s">
        <v>23</v>
      </c>
      <c r="J2516" s="8" t="s">
        <v>11337</v>
      </c>
      <c r="K2516" s="8" t="s">
        <v>11339</v>
      </c>
      <c r="L2516" s="8" t="s">
        <v>19</v>
      </c>
      <c r="M2516" s="8">
        <v>1101</v>
      </c>
      <c r="N2516" s="8" t="s">
        <v>1364</v>
      </c>
      <c r="O2516" s="8">
        <v>331</v>
      </c>
      <c r="P2516" s="8" t="s">
        <v>11338</v>
      </c>
      <c r="Q2516" s="8" t="s">
        <v>4262</v>
      </c>
      <c r="R2516" s="8">
        <v>0.22</v>
      </c>
      <c r="S2516" s="8">
        <v>96503577</v>
      </c>
      <c r="T2516" s="8" t="s">
        <v>46</v>
      </c>
      <c r="U2516" s="8" t="s">
        <v>41</v>
      </c>
    </row>
    <row r="2517" spans="1:21">
      <c r="A2517" s="8" t="s">
        <v>10349</v>
      </c>
      <c r="B2517" s="8" t="s">
        <v>2714</v>
      </c>
      <c r="C2517" s="8">
        <v>1657</v>
      </c>
      <c r="D2517" s="8" t="s">
        <v>226</v>
      </c>
      <c r="E2517" s="8">
        <v>118506409</v>
      </c>
      <c r="F2517" s="8">
        <v>118506409</v>
      </c>
      <c r="G2517" s="8" t="s">
        <v>24</v>
      </c>
      <c r="H2517" s="8" t="s">
        <v>25</v>
      </c>
      <c r="I2517" s="8" t="s">
        <v>23</v>
      </c>
      <c r="J2517" s="8" t="s">
        <v>2715</v>
      </c>
      <c r="K2517" s="8" t="s">
        <v>8289</v>
      </c>
      <c r="L2517" s="8" t="s">
        <v>19</v>
      </c>
      <c r="M2517" s="8">
        <v>6104</v>
      </c>
      <c r="N2517" s="8" t="s">
        <v>758</v>
      </c>
      <c r="O2517" s="8">
        <v>1975</v>
      </c>
      <c r="P2517" s="8" t="s">
        <v>11340</v>
      </c>
      <c r="Q2517" s="8" t="s">
        <v>4262</v>
      </c>
      <c r="R2517" s="8">
        <v>0.61499999999999999</v>
      </c>
      <c r="S2517" s="8">
        <v>118506409</v>
      </c>
      <c r="T2517" s="8" t="s">
        <v>24</v>
      </c>
      <c r="U2517" s="8" t="s">
        <v>25</v>
      </c>
    </row>
    <row r="2518" spans="1:21">
      <c r="A2518" s="8" t="s">
        <v>10349</v>
      </c>
      <c r="B2518" s="8" t="s">
        <v>11341</v>
      </c>
      <c r="C2518" s="8">
        <v>4001</v>
      </c>
      <c r="D2518" s="8" t="s">
        <v>226</v>
      </c>
      <c r="E2518" s="8">
        <v>126146043</v>
      </c>
      <c r="F2518" s="8">
        <v>126146043</v>
      </c>
      <c r="G2518" s="8" t="s">
        <v>24</v>
      </c>
      <c r="H2518" s="8" t="s">
        <v>25</v>
      </c>
      <c r="I2518" s="8" t="s">
        <v>23</v>
      </c>
      <c r="J2518" s="8" t="s">
        <v>11342</v>
      </c>
      <c r="K2518" s="8" t="s">
        <v>11343</v>
      </c>
      <c r="L2518" s="8" t="s">
        <v>68</v>
      </c>
      <c r="M2518" s="8">
        <v>0</v>
      </c>
      <c r="N2518" s="8" t="s">
        <v>35</v>
      </c>
      <c r="O2518" s="8">
        <v>0</v>
      </c>
      <c r="P2518" s="8" t="s">
        <v>35</v>
      </c>
      <c r="Q2518" s="8" t="s">
        <v>4262</v>
      </c>
      <c r="R2518" s="8">
        <v>0.23100000000000001</v>
      </c>
      <c r="S2518" s="8">
        <v>126146043</v>
      </c>
      <c r="T2518" s="8" t="s">
        <v>24</v>
      </c>
      <c r="U2518" s="8" t="s">
        <v>25</v>
      </c>
    </row>
    <row r="2519" spans="1:21">
      <c r="A2519" s="8" t="s">
        <v>10349</v>
      </c>
      <c r="B2519" s="8" t="s">
        <v>2716</v>
      </c>
      <c r="C2519" s="8">
        <v>10111</v>
      </c>
      <c r="D2519" s="8" t="s">
        <v>226</v>
      </c>
      <c r="E2519" s="8">
        <v>131893063</v>
      </c>
      <c r="F2519" s="8">
        <v>131893063</v>
      </c>
      <c r="G2519" s="8" t="s">
        <v>24</v>
      </c>
      <c r="H2519" s="8" t="s">
        <v>25</v>
      </c>
      <c r="I2519" s="8" t="s">
        <v>23</v>
      </c>
      <c r="J2519" s="8" t="s">
        <v>2717</v>
      </c>
      <c r="K2519" s="8" t="s">
        <v>11345</v>
      </c>
      <c r="L2519" s="8" t="s">
        <v>19</v>
      </c>
      <c r="M2519" s="8">
        <v>448</v>
      </c>
      <c r="N2519" s="8" t="s">
        <v>494</v>
      </c>
      <c r="O2519" s="8">
        <v>16</v>
      </c>
      <c r="P2519" s="8" t="s">
        <v>11344</v>
      </c>
      <c r="Q2519" s="8" t="s">
        <v>4262</v>
      </c>
      <c r="R2519" s="8">
        <v>0.28999999999999998</v>
      </c>
      <c r="S2519" s="8">
        <v>131893063</v>
      </c>
      <c r="T2519" s="8" t="s">
        <v>24</v>
      </c>
      <c r="U2519" s="8" t="s">
        <v>25</v>
      </c>
    </row>
    <row r="2520" spans="1:21">
      <c r="A2520" s="8" t="s">
        <v>10349</v>
      </c>
      <c r="B2520" s="8" t="s">
        <v>11346</v>
      </c>
      <c r="C2520" s="8">
        <v>11127</v>
      </c>
      <c r="D2520" s="8" t="s">
        <v>226</v>
      </c>
      <c r="E2520" s="8">
        <v>132034912</v>
      </c>
      <c r="F2520" s="8">
        <v>132034912</v>
      </c>
      <c r="G2520" s="8" t="s">
        <v>46</v>
      </c>
      <c r="H2520" s="8" t="s">
        <v>41</v>
      </c>
      <c r="I2520" s="8" t="s">
        <v>23</v>
      </c>
      <c r="J2520" s="8" t="s">
        <v>11347</v>
      </c>
      <c r="K2520" s="8" t="s">
        <v>11349</v>
      </c>
      <c r="L2520" s="8" t="s">
        <v>19</v>
      </c>
      <c r="M2520" s="8">
        <v>2156</v>
      </c>
      <c r="N2520" s="8" t="s">
        <v>758</v>
      </c>
      <c r="O2520" s="8">
        <v>668</v>
      </c>
      <c r="P2520" s="8" t="s">
        <v>11348</v>
      </c>
      <c r="Q2520" s="8" t="s">
        <v>4262</v>
      </c>
      <c r="R2520" s="8">
        <v>0.14099999999999999</v>
      </c>
      <c r="S2520" s="8">
        <v>132034912</v>
      </c>
      <c r="T2520" s="8" t="s">
        <v>46</v>
      </c>
      <c r="U2520" s="8" t="s">
        <v>41</v>
      </c>
    </row>
    <row r="2521" spans="1:21">
      <c r="A2521" s="8" t="s">
        <v>10349</v>
      </c>
      <c r="B2521" s="8" t="s">
        <v>3511</v>
      </c>
      <c r="C2521" s="8">
        <v>51306</v>
      </c>
      <c r="D2521" s="8" t="s">
        <v>226</v>
      </c>
      <c r="E2521" s="8">
        <v>137278830</v>
      </c>
      <c r="F2521" s="8">
        <v>137278830</v>
      </c>
      <c r="G2521" s="8" t="s">
        <v>46</v>
      </c>
      <c r="H2521" s="8" t="s">
        <v>41</v>
      </c>
      <c r="I2521" s="8" t="s">
        <v>23</v>
      </c>
      <c r="J2521" s="8" t="s">
        <v>6011</v>
      </c>
      <c r="K2521" s="8" t="s">
        <v>6012</v>
      </c>
      <c r="L2521" s="8" t="s">
        <v>19</v>
      </c>
      <c r="M2521" s="8">
        <v>2884</v>
      </c>
      <c r="N2521" s="8" t="s">
        <v>758</v>
      </c>
      <c r="O2521" s="8">
        <v>784</v>
      </c>
      <c r="P2521" s="8" t="s">
        <v>11350</v>
      </c>
      <c r="Q2521" s="8" t="s">
        <v>4262</v>
      </c>
      <c r="R2521" s="8">
        <v>0.16</v>
      </c>
      <c r="S2521" s="8">
        <v>137278830</v>
      </c>
      <c r="T2521" s="8" t="s">
        <v>46</v>
      </c>
      <c r="U2521" s="8" t="s">
        <v>41</v>
      </c>
    </row>
    <row r="2522" spans="1:21">
      <c r="A2522" s="8" t="s">
        <v>10349</v>
      </c>
      <c r="B2522" s="8" t="s">
        <v>2718</v>
      </c>
      <c r="C2522" s="8">
        <v>1767</v>
      </c>
      <c r="D2522" s="8" t="s">
        <v>226</v>
      </c>
      <c r="E2522" s="8">
        <v>13771024</v>
      </c>
      <c r="F2522" s="8">
        <v>13771024</v>
      </c>
      <c r="G2522" s="8" t="s">
        <v>24</v>
      </c>
      <c r="H2522" s="8" t="s">
        <v>25</v>
      </c>
      <c r="I2522" s="8" t="s">
        <v>23</v>
      </c>
      <c r="J2522" s="8" t="s">
        <v>2719</v>
      </c>
      <c r="K2522" s="8" t="s">
        <v>11352</v>
      </c>
      <c r="L2522" s="8" t="s">
        <v>76</v>
      </c>
      <c r="M2522" s="8">
        <v>9481</v>
      </c>
      <c r="N2522" s="8" t="s">
        <v>2720</v>
      </c>
      <c r="O2522" s="8">
        <v>3147</v>
      </c>
      <c r="P2522" s="8" t="s">
        <v>11351</v>
      </c>
      <c r="Q2522" s="8" t="s">
        <v>4262</v>
      </c>
      <c r="R2522" s="8">
        <v>0.16</v>
      </c>
      <c r="S2522" s="8">
        <v>13771024</v>
      </c>
      <c r="T2522" s="8" t="s">
        <v>24</v>
      </c>
      <c r="U2522" s="8" t="s">
        <v>25</v>
      </c>
    </row>
    <row r="2523" spans="1:21">
      <c r="A2523" s="8" t="s">
        <v>10349</v>
      </c>
      <c r="B2523" s="8" t="s">
        <v>3571</v>
      </c>
      <c r="C2523" s="8">
        <v>51780</v>
      </c>
      <c r="D2523" s="8" t="s">
        <v>226</v>
      </c>
      <c r="E2523" s="8">
        <v>137763742</v>
      </c>
      <c r="F2523" s="8">
        <v>137763742</v>
      </c>
      <c r="G2523" s="8" t="s">
        <v>24</v>
      </c>
      <c r="H2523" s="8" t="s">
        <v>25</v>
      </c>
      <c r="I2523" s="8" t="s">
        <v>23</v>
      </c>
      <c r="J2523" s="8" t="s">
        <v>3572</v>
      </c>
      <c r="K2523" s="8" t="s">
        <v>6417</v>
      </c>
      <c r="L2523" s="8" t="s">
        <v>19</v>
      </c>
      <c r="M2523" s="8">
        <v>4920</v>
      </c>
      <c r="N2523" s="8" t="s">
        <v>28</v>
      </c>
      <c r="O2523" s="8">
        <v>1574</v>
      </c>
      <c r="P2523" s="8" t="s">
        <v>11353</v>
      </c>
      <c r="Q2523" s="8" t="s">
        <v>4262</v>
      </c>
      <c r="R2523" s="8">
        <v>0.245</v>
      </c>
      <c r="S2523" s="8">
        <v>137763742</v>
      </c>
      <c r="T2523" s="8" t="s">
        <v>24</v>
      </c>
      <c r="U2523" s="8" t="s">
        <v>25</v>
      </c>
    </row>
    <row r="2524" spans="1:21">
      <c r="A2524" s="8" t="s">
        <v>10349</v>
      </c>
      <c r="B2524" s="8" t="s">
        <v>11354</v>
      </c>
      <c r="C2524" s="8">
        <v>10307</v>
      </c>
      <c r="D2524" s="8" t="s">
        <v>226</v>
      </c>
      <c r="E2524" s="8">
        <v>139939980</v>
      </c>
      <c r="F2524" s="8">
        <v>139939980</v>
      </c>
      <c r="G2524" s="8" t="s">
        <v>46</v>
      </c>
      <c r="H2524" s="8" t="s">
        <v>41</v>
      </c>
      <c r="I2524" s="8" t="s">
        <v>23</v>
      </c>
      <c r="J2524" s="8" t="s">
        <v>11355</v>
      </c>
      <c r="K2524" s="8" t="s">
        <v>11357</v>
      </c>
      <c r="L2524" s="8" t="s">
        <v>19</v>
      </c>
      <c r="M2524" s="8">
        <v>1495</v>
      </c>
      <c r="N2524" s="8" t="s">
        <v>205</v>
      </c>
      <c r="O2524" s="8">
        <v>379</v>
      </c>
      <c r="P2524" s="8" t="s">
        <v>11356</v>
      </c>
      <c r="Q2524" s="8" t="s">
        <v>4262</v>
      </c>
      <c r="R2524" s="8">
        <v>0.26100000000000001</v>
      </c>
      <c r="S2524" s="8">
        <v>139939980</v>
      </c>
      <c r="T2524" s="8" t="s">
        <v>46</v>
      </c>
      <c r="U2524" s="8" t="s">
        <v>41</v>
      </c>
    </row>
    <row r="2525" spans="1:21">
      <c r="A2525" s="8" t="s">
        <v>10349</v>
      </c>
      <c r="B2525" s="8" t="s">
        <v>11358</v>
      </c>
      <c r="C2525" s="8">
        <v>56136</v>
      </c>
      <c r="D2525" s="8" t="s">
        <v>226</v>
      </c>
      <c r="E2525" s="8">
        <v>140262734</v>
      </c>
      <c r="F2525" s="8">
        <v>140262734</v>
      </c>
      <c r="G2525" s="8" t="s">
        <v>46</v>
      </c>
      <c r="H2525" s="8" t="s">
        <v>41</v>
      </c>
      <c r="I2525" s="8" t="s">
        <v>23</v>
      </c>
      <c r="J2525" s="8" t="s">
        <v>11359</v>
      </c>
      <c r="K2525" s="8" t="s">
        <v>11361</v>
      </c>
      <c r="L2525" s="8" t="s">
        <v>19</v>
      </c>
      <c r="M2525" s="8">
        <v>881</v>
      </c>
      <c r="N2525" s="8" t="s">
        <v>1325</v>
      </c>
      <c r="O2525" s="8">
        <v>294</v>
      </c>
      <c r="P2525" s="8" t="s">
        <v>11360</v>
      </c>
      <c r="Q2525" s="8" t="s">
        <v>4262</v>
      </c>
      <c r="R2525" s="8">
        <v>0.13200000000000001</v>
      </c>
      <c r="S2525" s="8">
        <v>140262734</v>
      </c>
      <c r="T2525" s="8" t="s">
        <v>46</v>
      </c>
      <c r="U2525" s="8" t="s">
        <v>41</v>
      </c>
    </row>
    <row r="2526" spans="1:21">
      <c r="A2526" s="8" t="s">
        <v>10349</v>
      </c>
      <c r="B2526" s="8" t="s">
        <v>11362</v>
      </c>
      <c r="C2526" s="8">
        <v>56132</v>
      </c>
      <c r="D2526" s="8" t="s">
        <v>226</v>
      </c>
      <c r="E2526" s="8">
        <v>140480894</v>
      </c>
      <c r="F2526" s="8">
        <v>140480894</v>
      </c>
      <c r="G2526" s="8" t="s">
        <v>46</v>
      </c>
      <c r="H2526" s="8" t="s">
        <v>41</v>
      </c>
      <c r="I2526" s="8" t="s">
        <v>23</v>
      </c>
      <c r="J2526" s="8" t="s">
        <v>11363</v>
      </c>
      <c r="K2526" s="8" t="s">
        <v>11365</v>
      </c>
      <c r="L2526" s="8" t="s">
        <v>19</v>
      </c>
      <c r="M2526" s="8">
        <v>661</v>
      </c>
      <c r="N2526" s="8" t="s">
        <v>415</v>
      </c>
      <c r="O2526" s="8">
        <v>221</v>
      </c>
      <c r="P2526" s="8" t="s">
        <v>11364</v>
      </c>
      <c r="Q2526" s="8" t="s">
        <v>4262</v>
      </c>
      <c r="R2526" s="8">
        <v>0.192</v>
      </c>
      <c r="S2526" s="8">
        <v>140480894</v>
      </c>
      <c r="T2526" s="8" t="s">
        <v>46</v>
      </c>
      <c r="U2526" s="8" t="s">
        <v>41</v>
      </c>
    </row>
    <row r="2527" spans="1:21">
      <c r="A2527" s="8" t="s">
        <v>10349</v>
      </c>
      <c r="B2527" s="8" t="s">
        <v>8816</v>
      </c>
      <c r="C2527" s="8">
        <v>56126</v>
      </c>
      <c r="D2527" s="8" t="s">
        <v>226</v>
      </c>
      <c r="E2527" s="8">
        <v>140573216</v>
      </c>
      <c r="F2527" s="8">
        <v>140573216</v>
      </c>
      <c r="G2527" s="8" t="s">
        <v>46</v>
      </c>
      <c r="H2527" s="8" t="s">
        <v>41</v>
      </c>
      <c r="I2527" s="8" t="s">
        <v>23</v>
      </c>
      <c r="J2527" s="8" t="s">
        <v>8817</v>
      </c>
      <c r="K2527" s="8" t="s">
        <v>8819</v>
      </c>
      <c r="L2527" s="8" t="s">
        <v>19</v>
      </c>
      <c r="M2527" s="8">
        <v>1265</v>
      </c>
      <c r="N2527" s="8" t="s">
        <v>365</v>
      </c>
      <c r="O2527" s="8">
        <v>364</v>
      </c>
      <c r="P2527" s="8" t="s">
        <v>11366</v>
      </c>
      <c r="Q2527" s="8" t="s">
        <v>4262</v>
      </c>
      <c r="R2527" s="8">
        <v>0.16700000000000001</v>
      </c>
      <c r="S2527" s="8">
        <v>140573216</v>
      </c>
      <c r="T2527" s="8" t="s">
        <v>46</v>
      </c>
      <c r="U2527" s="8" t="s">
        <v>41</v>
      </c>
    </row>
    <row r="2528" spans="1:21">
      <c r="A2528" s="8" t="s">
        <v>10349</v>
      </c>
      <c r="B2528" s="8" t="s">
        <v>11367</v>
      </c>
      <c r="C2528" s="8">
        <v>56114</v>
      </c>
      <c r="D2528" s="8" t="s">
        <v>226</v>
      </c>
      <c r="E2528" s="8">
        <v>140710334</v>
      </c>
      <c r="F2528" s="8">
        <v>140710334</v>
      </c>
      <c r="G2528" s="8" t="s">
        <v>46</v>
      </c>
      <c r="H2528" s="8" t="s">
        <v>41</v>
      </c>
      <c r="I2528" s="8" t="s">
        <v>23</v>
      </c>
      <c r="J2528" s="8" t="s">
        <v>11368</v>
      </c>
      <c r="K2528" s="8" t="s">
        <v>11370</v>
      </c>
      <c r="L2528" s="8" t="s">
        <v>19</v>
      </c>
      <c r="M2528" s="8">
        <v>83</v>
      </c>
      <c r="N2528" s="8" t="s">
        <v>389</v>
      </c>
      <c r="O2528" s="8">
        <v>28</v>
      </c>
      <c r="P2528" s="8" t="s">
        <v>11369</v>
      </c>
      <c r="Q2528" s="8" t="s">
        <v>4262</v>
      </c>
      <c r="R2528" s="8">
        <v>0.17199999999999999</v>
      </c>
      <c r="S2528" s="8">
        <v>140710334</v>
      </c>
      <c r="T2528" s="8" t="s">
        <v>46</v>
      </c>
      <c r="U2528" s="8" t="s">
        <v>41</v>
      </c>
    </row>
    <row r="2529" spans="1:21">
      <c r="A2529" s="8" t="s">
        <v>10349</v>
      </c>
      <c r="B2529" s="8" t="s">
        <v>11371</v>
      </c>
      <c r="C2529" s="8">
        <v>56113</v>
      </c>
      <c r="D2529" s="8" t="s">
        <v>226</v>
      </c>
      <c r="E2529" s="8">
        <v>140720738</v>
      </c>
      <c r="F2529" s="8">
        <v>140720738</v>
      </c>
      <c r="G2529" s="8" t="s">
        <v>24</v>
      </c>
      <c r="H2529" s="8" t="s">
        <v>25</v>
      </c>
      <c r="I2529" s="8" t="s">
        <v>23</v>
      </c>
      <c r="J2529" s="8" t="s">
        <v>11372</v>
      </c>
      <c r="K2529" s="8" t="s">
        <v>11374</v>
      </c>
      <c r="L2529" s="8" t="s">
        <v>19</v>
      </c>
      <c r="M2529" s="8">
        <v>2385</v>
      </c>
      <c r="N2529" s="8" t="s">
        <v>536</v>
      </c>
      <c r="O2529" s="8">
        <v>734</v>
      </c>
      <c r="P2529" s="8" t="s">
        <v>11373</v>
      </c>
      <c r="Q2529" s="8" t="s">
        <v>4262</v>
      </c>
      <c r="R2529" s="8">
        <v>0.19400000000000001</v>
      </c>
      <c r="S2529" s="8">
        <v>140720738</v>
      </c>
      <c r="T2529" s="8" t="s">
        <v>24</v>
      </c>
      <c r="U2529" s="8" t="s">
        <v>25</v>
      </c>
    </row>
    <row r="2530" spans="1:21">
      <c r="A2530" s="8" t="s">
        <v>10349</v>
      </c>
      <c r="B2530" s="8" t="s">
        <v>2722</v>
      </c>
      <c r="C2530" s="8">
        <v>56106</v>
      </c>
      <c r="D2530" s="8" t="s">
        <v>226</v>
      </c>
      <c r="E2530" s="8">
        <v>140792837</v>
      </c>
      <c r="F2530" s="8">
        <v>140792837</v>
      </c>
      <c r="G2530" s="8" t="s">
        <v>46</v>
      </c>
      <c r="H2530" s="8" t="s">
        <v>41</v>
      </c>
      <c r="I2530" s="8" t="s">
        <v>23</v>
      </c>
      <c r="J2530" s="8" t="s">
        <v>11375</v>
      </c>
      <c r="K2530" s="8" t="s">
        <v>11377</v>
      </c>
      <c r="L2530" s="8" t="s">
        <v>19</v>
      </c>
      <c r="M2530" s="8">
        <v>95</v>
      </c>
      <c r="N2530" s="8" t="s">
        <v>1421</v>
      </c>
      <c r="O2530" s="8">
        <v>32</v>
      </c>
      <c r="P2530" s="8" t="s">
        <v>11376</v>
      </c>
      <c r="Q2530" s="8" t="s">
        <v>4262</v>
      </c>
      <c r="R2530" s="8">
        <v>0.31</v>
      </c>
      <c r="S2530" s="8">
        <v>140792837</v>
      </c>
      <c r="T2530" s="8" t="s">
        <v>46</v>
      </c>
      <c r="U2530" s="8" t="s">
        <v>41</v>
      </c>
    </row>
    <row r="2531" spans="1:21">
      <c r="A2531" s="8" t="s">
        <v>10349</v>
      </c>
      <c r="B2531" s="8" t="s">
        <v>11378</v>
      </c>
      <c r="C2531" s="8">
        <v>153769</v>
      </c>
      <c r="D2531" s="8" t="s">
        <v>226</v>
      </c>
      <c r="E2531" s="8">
        <v>145393598</v>
      </c>
      <c r="F2531" s="8">
        <v>145393598</v>
      </c>
      <c r="G2531" s="8" t="s">
        <v>24</v>
      </c>
      <c r="H2531" s="8" t="s">
        <v>25</v>
      </c>
      <c r="I2531" s="8" t="s">
        <v>23</v>
      </c>
      <c r="J2531" s="8" t="s">
        <v>11379</v>
      </c>
      <c r="K2531" s="8" t="s">
        <v>11381</v>
      </c>
      <c r="L2531" s="8" t="s">
        <v>19</v>
      </c>
      <c r="M2531" s="8">
        <v>1271</v>
      </c>
      <c r="N2531" s="8" t="s">
        <v>485</v>
      </c>
      <c r="O2531" s="8">
        <v>345</v>
      </c>
      <c r="P2531" s="8" t="s">
        <v>11380</v>
      </c>
      <c r="Q2531" s="8" t="s">
        <v>4262</v>
      </c>
      <c r="R2531" s="8">
        <v>0.192</v>
      </c>
      <c r="S2531" s="8">
        <v>145393598</v>
      </c>
      <c r="T2531" s="8" t="s">
        <v>24</v>
      </c>
      <c r="U2531" s="8" t="s">
        <v>25</v>
      </c>
    </row>
    <row r="2532" spans="1:21">
      <c r="A2532" s="8" t="s">
        <v>10349</v>
      </c>
      <c r="B2532" s="8" t="s">
        <v>515</v>
      </c>
      <c r="C2532" s="8">
        <v>54491</v>
      </c>
      <c r="D2532" s="8" t="s">
        <v>226</v>
      </c>
      <c r="E2532" s="8">
        <v>14607497</v>
      </c>
      <c r="F2532" s="8">
        <v>14607497</v>
      </c>
      <c r="G2532" s="8" t="s">
        <v>24</v>
      </c>
      <c r="H2532" s="8" t="s">
        <v>25</v>
      </c>
      <c r="I2532" s="8" t="s">
        <v>23</v>
      </c>
      <c r="J2532" s="8" t="s">
        <v>516</v>
      </c>
      <c r="K2532" s="8" t="s">
        <v>11383</v>
      </c>
      <c r="L2532" s="8" t="s">
        <v>19</v>
      </c>
      <c r="M2532" s="8">
        <v>670</v>
      </c>
      <c r="N2532" s="8" t="s">
        <v>796</v>
      </c>
      <c r="O2532" s="8">
        <v>186</v>
      </c>
      <c r="P2532" s="8" t="s">
        <v>11382</v>
      </c>
      <c r="Q2532" s="8" t="s">
        <v>4262</v>
      </c>
      <c r="R2532" s="8">
        <v>0.152</v>
      </c>
      <c r="S2532" s="8">
        <v>14607497</v>
      </c>
      <c r="T2532" s="8" t="s">
        <v>24</v>
      </c>
      <c r="U2532" s="8" t="s">
        <v>25</v>
      </c>
    </row>
    <row r="2533" spans="1:21">
      <c r="A2533" s="8" t="s">
        <v>10349</v>
      </c>
      <c r="B2533" s="8" t="s">
        <v>11384</v>
      </c>
      <c r="C2533" s="8">
        <v>79628</v>
      </c>
      <c r="D2533" s="8" t="s">
        <v>226</v>
      </c>
      <c r="E2533" s="8">
        <v>148406480</v>
      </c>
      <c r="F2533" s="8">
        <v>148406480</v>
      </c>
      <c r="G2533" s="8" t="s">
        <v>46</v>
      </c>
      <c r="H2533" s="8" t="s">
        <v>41</v>
      </c>
      <c r="I2533" s="8" t="s">
        <v>23</v>
      </c>
      <c r="J2533" s="8" t="s">
        <v>11385</v>
      </c>
      <c r="K2533" s="8" t="s">
        <v>11387</v>
      </c>
      <c r="L2533" s="8" t="s">
        <v>19</v>
      </c>
      <c r="M2533" s="8">
        <v>2967</v>
      </c>
      <c r="N2533" s="8" t="s">
        <v>536</v>
      </c>
      <c r="O2533" s="8">
        <v>939</v>
      </c>
      <c r="P2533" s="8" t="s">
        <v>11386</v>
      </c>
      <c r="Q2533" s="8" t="s">
        <v>4262</v>
      </c>
      <c r="R2533" s="8">
        <v>0.20200000000000001</v>
      </c>
      <c r="S2533" s="8">
        <v>148406480</v>
      </c>
      <c r="T2533" s="8" t="s">
        <v>46</v>
      </c>
      <c r="U2533" s="8" t="s">
        <v>41</v>
      </c>
    </row>
    <row r="2534" spans="1:21">
      <c r="A2534" s="8" t="s">
        <v>10349</v>
      </c>
      <c r="B2534" s="8" t="s">
        <v>11384</v>
      </c>
      <c r="C2534" s="8">
        <v>79628</v>
      </c>
      <c r="D2534" s="8" t="s">
        <v>226</v>
      </c>
      <c r="E2534" s="8">
        <v>148407233</v>
      </c>
      <c r="F2534" s="8">
        <v>148407233</v>
      </c>
      <c r="G2534" s="8" t="s">
        <v>24</v>
      </c>
      <c r="H2534" s="8" t="s">
        <v>25</v>
      </c>
      <c r="I2534" s="8" t="s">
        <v>23</v>
      </c>
      <c r="J2534" s="8" t="s">
        <v>11385</v>
      </c>
      <c r="K2534" s="8" t="s">
        <v>11387</v>
      </c>
      <c r="L2534" s="8" t="s">
        <v>19</v>
      </c>
      <c r="M2534" s="8">
        <v>2214</v>
      </c>
      <c r="N2534" s="8" t="s">
        <v>1118</v>
      </c>
      <c r="O2534" s="8">
        <v>688</v>
      </c>
      <c r="P2534" s="8" t="s">
        <v>11388</v>
      </c>
      <c r="Q2534" s="8" t="s">
        <v>4262</v>
      </c>
      <c r="R2534" s="8">
        <v>0.20599999999999999</v>
      </c>
      <c r="S2534" s="8">
        <v>148407233</v>
      </c>
      <c r="T2534" s="8" t="s">
        <v>24</v>
      </c>
      <c r="U2534" s="8" t="s">
        <v>25</v>
      </c>
    </row>
    <row r="2535" spans="1:21">
      <c r="A2535" s="8" t="s">
        <v>10349</v>
      </c>
      <c r="B2535" s="8" t="s">
        <v>8826</v>
      </c>
      <c r="C2535" s="8">
        <v>6534</v>
      </c>
      <c r="D2535" s="8" t="s">
        <v>226</v>
      </c>
      <c r="E2535" s="8">
        <v>149581964</v>
      </c>
      <c r="F2535" s="8">
        <v>149581964</v>
      </c>
      <c r="G2535" s="8" t="s">
        <v>24</v>
      </c>
      <c r="H2535" s="8" t="s">
        <v>25</v>
      </c>
      <c r="I2535" s="8" t="s">
        <v>23</v>
      </c>
      <c r="J2535" s="8" t="s">
        <v>8827</v>
      </c>
      <c r="K2535" s="8" t="s">
        <v>8829</v>
      </c>
      <c r="L2535" s="8" t="s">
        <v>19</v>
      </c>
      <c r="M2535" s="8">
        <v>1284</v>
      </c>
      <c r="N2535" s="8" t="s">
        <v>28</v>
      </c>
      <c r="O2535" s="8">
        <v>305</v>
      </c>
      <c r="P2535" s="8" t="s">
        <v>11389</v>
      </c>
      <c r="Q2535" s="8" t="s">
        <v>4262</v>
      </c>
      <c r="R2535" s="8">
        <v>0.121</v>
      </c>
      <c r="S2535" s="8">
        <v>149581964</v>
      </c>
      <c r="T2535" s="8" t="s">
        <v>24</v>
      </c>
      <c r="U2535" s="8" t="s">
        <v>25</v>
      </c>
    </row>
    <row r="2536" spans="1:21">
      <c r="A2536" s="8" t="s">
        <v>10349</v>
      </c>
      <c r="B2536" s="8" t="s">
        <v>2103</v>
      </c>
      <c r="C2536" s="8">
        <v>11346</v>
      </c>
      <c r="D2536" s="8" t="s">
        <v>226</v>
      </c>
      <c r="E2536" s="8">
        <v>150028585</v>
      </c>
      <c r="F2536" s="8">
        <v>150028585</v>
      </c>
      <c r="G2536" s="8" t="s">
        <v>24</v>
      </c>
      <c r="H2536" s="8" t="s">
        <v>25</v>
      </c>
      <c r="I2536" s="8" t="s">
        <v>23</v>
      </c>
      <c r="J2536" s="8" t="s">
        <v>11390</v>
      </c>
      <c r="K2536" s="8" t="s">
        <v>11392</v>
      </c>
      <c r="L2536" s="8" t="s">
        <v>19</v>
      </c>
      <c r="M2536" s="8">
        <v>1854</v>
      </c>
      <c r="N2536" s="8" t="s">
        <v>536</v>
      </c>
      <c r="O2536" s="8">
        <v>494</v>
      </c>
      <c r="P2536" s="8" t="s">
        <v>11391</v>
      </c>
      <c r="Q2536" s="8" t="s">
        <v>4262</v>
      </c>
      <c r="R2536" s="8">
        <v>0.222</v>
      </c>
      <c r="S2536" s="8">
        <v>150028585</v>
      </c>
      <c r="T2536" s="8" t="s">
        <v>24</v>
      </c>
      <c r="U2536" s="8" t="s">
        <v>25</v>
      </c>
    </row>
    <row r="2537" spans="1:21">
      <c r="A2537" s="8" t="s">
        <v>10349</v>
      </c>
      <c r="B2537" s="8" t="s">
        <v>2725</v>
      </c>
      <c r="C2537" s="8">
        <v>6444</v>
      </c>
      <c r="D2537" s="8" t="s">
        <v>226</v>
      </c>
      <c r="E2537" s="8">
        <v>155771580</v>
      </c>
      <c r="F2537" s="8">
        <v>155771580</v>
      </c>
      <c r="G2537" s="8" t="s">
        <v>24</v>
      </c>
      <c r="H2537" s="8" t="s">
        <v>25</v>
      </c>
      <c r="I2537" s="8" t="s">
        <v>23</v>
      </c>
      <c r="J2537" s="8" t="s">
        <v>11393</v>
      </c>
      <c r="K2537" s="8" t="s">
        <v>11395</v>
      </c>
      <c r="L2537" s="8" t="s">
        <v>19</v>
      </c>
      <c r="M2537" s="8">
        <v>558</v>
      </c>
      <c r="N2537" s="8" t="s">
        <v>536</v>
      </c>
      <c r="O2537" s="8">
        <v>28</v>
      </c>
      <c r="P2537" s="8" t="s">
        <v>11394</v>
      </c>
      <c r="Q2537" s="8" t="s">
        <v>4262</v>
      </c>
      <c r="R2537" s="8">
        <v>0.29799999999999999</v>
      </c>
      <c r="S2537" s="8">
        <v>155771580</v>
      </c>
      <c r="T2537" s="8" t="s">
        <v>24</v>
      </c>
      <c r="U2537" s="8" t="s">
        <v>25</v>
      </c>
    </row>
    <row r="2538" spans="1:21">
      <c r="A2538" s="8" t="s">
        <v>10349</v>
      </c>
      <c r="B2538" s="8" t="s">
        <v>2096</v>
      </c>
      <c r="C2538" s="8">
        <v>23194</v>
      </c>
      <c r="D2538" s="8" t="s">
        <v>226</v>
      </c>
      <c r="E2538" s="8">
        <v>15937122</v>
      </c>
      <c r="F2538" s="8">
        <v>15937122</v>
      </c>
      <c r="G2538" s="8" t="s">
        <v>46</v>
      </c>
      <c r="H2538" s="8" t="s">
        <v>41</v>
      </c>
      <c r="I2538" s="8" t="s">
        <v>23</v>
      </c>
      <c r="J2538" s="8" t="s">
        <v>2726</v>
      </c>
      <c r="K2538" s="8" t="s">
        <v>11397</v>
      </c>
      <c r="L2538" s="8" t="s">
        <v>19</v>
      </c>
      <c r="M2538" s="8">
        <v>1784</v>
      </c>
      <c r="N2538" s="8" t="s">
        <v>58</v>
      </c>
      <c r="O2538" s="8">
        <v>435</v>
      </c>
      <c r="P2538" s="8" t="s">
        <v>11396</v>
      </c>
      <c r="Q2538" s="8" t="s">
        <v>4262</v>
      </c>
      <c r="R2538" s="8">
        <v>0.31</v>
      </c>
      <c r="S2538" s="8">
        <v>15937122</v>
      </c>
      <c r="T2538" s="8" t="s">
        <v>46</v>
      </c>
      <c r="U2538" s="8" t="s">
        <v>41</v>
      </c>
    </row>
    <row r="2539" spans="1:21">
      <c r="A2539" s="8" t="s">
        <v>10349</v>
      </c>
      <c r="B2539" s="8" t="s">
        <v>11398</v>
      </c>
      <c r="C2539" s="8">
        <v>2559</v>
      </c>
      <c r="D2539" s="8" t="s">
        <v>226</v>
      </c>
      <c r="E2539" s="8">
        <v>161128555</v>
      </c>
      <c r="F2539" s="8">
        <v>161128555</v>
      </c>
      <c r="G2539" s="8" t="s">
        <v>46</v>
      </c>
      <c r="H2539" s="8" t="s">
        <v>41</v>
      </c>
      <c r="I2539" s="8" t="s">
        <v>23</v>
      </c>
      <c r="J2539" s="8" t="s">
        <v>11399</v>
      </c>
      <c r="K2539" s="8" t="s">
        <v>11401</v>
      </c>
      <c r="L2539" s="8" t="s">
        <v>19</v>
      </c>
      <c r="M2539" s="8">
        <v>1476</v>
      </c>
      <c r="N2539" s="8" t="s">
        <v>423</v>
      </c>
      <c r="O2539" s="8">
        <v>380</v>
      </c>
      <c r="P2539" s="8" t="s">
        <v>11400</v>
      </c>
      <c r="Q2539" s="8" t="s">
        <v>4262</v>
      </c>
      <c r="R2539" s="8">
        <v>0.17</v>
      </c>
      <c r="S2539" s="8">
        <v>161128555</v>
      </c>
      <c r="T2539" s="8" t="s">
        <v>46</v>
      </c>
      <c r="U2539" s="8" t="s">
        <v>41</v>
      </c>
    </row>
    <row r="2540" spans="1:21">
      <c r="A2540" s="8" t="s">
        <v>10349</v>
      </c>
      <c r="B2540" s="8" t="s">
        <v>11398</v>
      </c>
      <c r="C2540" s="8">
        <v>2559</v>
      </c>
      <c r="D2540" s="8" t="s">
        <v>226</v>
      </c>
      <c r="E2540" s="8">
        <v>161128645</v>
      </c>
      <c r="F2540" s="8">
        <v>161128645</v>
      </c>
      <c r="G2540" s="8" t="s">
        <v>24</v>
      </c>
      <c r="H2540" s="8" t="s">
        <v>25</v>
      </c>
      <c r="I2540" s="8" t="s">
        <v>23</v>
      </c>
      <c r="J2540" s="8" t="s">
        <v>11399</v>
      </c>
      <c r="K2540" s="8" t="s">
        <v>11401</v>
      </c>
      <c r="L2540" s="8" t="s">
        <v>19</v>
      </c>
      <c r="M2540" s="8">
        <v>1566</v>
      </c>
      <c r="N2540" s="8" t="s">
        <v>155</v>
      </c>
      <c r="O2540" s="8">
        <v>410</v>
      </c>
      <c r="P2540" s="8" t="s">
        <v>11402</v>
      </c>
      <c r="Q2540" s="8" t="s">
        <v>4262</v>
      </c>
      <c r="R2540" s="8">
        <v>0.21199999999999999</v>
      </c>
      <c r="S2540" s="8">
        <v>161128645</v>
      </c>
      <c r="T2540" s="8" t="s">
        <v>24</v>
      </c>
      <c r="U2540" s="8" t="s">
        <v>25</v>
      </c>
    </row>
    <row r="2541" spans="1:21">
      <c r="A2541" s="8" t="s">
        <v>10349</v>
      </c>
      <c r="B2541" s="8" t="s">
        <v>11403</v>
      </c>
      <c r="C2541" s="8">
        <v>6586</v>
      </c>
      <c r="D2541" s="8" t="s">
        <v>226</v>
      </c>
      <c r="E2541" s="8">
        <v>168189658</v>
      </c>
      <c r="F2541" s="8">
        <v>168189658</v>
      </c>
      <c r="G2541" s="8" t="s">
        <v>46</v>
      </c>
      <c r="H2541" s="8" t="s">
        <v>41</v>
      </c>
      <c r="I2541" s="8" t="s">
        <v>23</v>
      </c>
      <c r="J2541" s="8" t="s">
        <v>11404</v>
      </c>
      <c r="K2541" s="8" t="s">
        <v>11406</v>
      </c>
      <c r="L2541" s="8" t="s">
        <v>19</v>
      </c>
      <c r="M2541" s="8">
        <v>1916</v>
      </c>
      <c r="N2541" s="8" t="s">
        <v>732</v>
      </c>
      <c r="O2541" s="8">
        <v>499</v>
      </c>
      <c r="P2541" s="8" t="s">
        <v>11405</v>
      </c>
      <c r="Q2541" s="8" t="s">
        <v>4262</v>
      </c>
      <c r="R2541" s="8">
        <v>0.152</v>
      </c>
      <c r="S2541" s="8">
        <v>168189658</v>
      </c>
      <c r="T2541" s="8" t="s">
        <v>46</v>
      </c>
      <c r="U2541" s="8" t="s">
        <v>41</v>
      </c>
    </row>
    <row r="2542" spans="1:21">
      <c r="A2542" s="8" t="s">
        <v>10349</v>
      </c>
      <c r="B2542" s="8" t="s">
        <v>1155</v>
      </c>
      <c r="C2542" s="8">
        <v>1794</v>
      </c>
      <c r="D2542" s="8" t="s">
        <v>226</v>
      </c>
      <c r="E2542" s="8">
        <v>169144416</v>
      </c>
      <c r="F2542" s="8">
        <v>169144416</v>
      </c>
      <c r="G2542" s="8" t="s">
        <v>24</v>
      </c>
      <c r="H2542" s="8" t="s">
        <v>25</v>
      </c>
      <c r="I2542" s="8" t="s">
        <v>23</v>
      </c>
      <c r="J2542" s="8" t="s">
        <v>1156</v>
      </c>
      <c r="K2542" s="8" t="s">
        <v>8831</v>
      </c>
      <c r="L2542" s="8" t="s">
        <v>19</v>
      </c>
      <c r="M2542" s="8">
        <v>2140</v>
      </c>
      <c r="N2542" s="8" t="s">
        <v>61</v>
      </c>
      <c r="O2542" s="8">
        <v>687</v>
      </c>
      <c r="P2542" s="8" t="s">
        <v>11407</v>
      </c>
      <c r="Q2542" s="8" t="s">
        <v>4262</v>
      </c>
      <c r="R2542" s="8">
        <v>0.159</v>
      </c>
      <c r="S2542" s="8">
        <v>169144416</v>
      </c>
      <c r="T2542" s="8" t="s">
        <v>24</v>
      </c>
      <c r="U2542" s="8" t="s">
        <v>25</v>
      </c>
    </row>
    <row r="2543" spans="1:21">
      <c r="A2543" s="8" t="s">
        <v>10349</v>
      </c>
      <c r="B2543" s="8" t="s">
        <v>11408</v>
      </c>
      <c r="C2543" s="8">
        <v>3274</v>
      </c>
      <c r="D2543" s="8" t="s">
        <v>226</v>
      </c>
      <c r="E2543" s="8">
        <v>175110994</v>
      </c>
      <c r="F2543" s="8">
        <v>175110994</v>
      </c>
      <c r="G2543" s="8" t="s">
        <v>46</v>
      </c>
      <c r="H2543" s="8" t="s">
        <v>41</v>
      </c>
      <c r="I2543" s="8" t="s">
        <v>23</v>
      </c>
      <c r="J2543" s="8" t="s">
        <v>11409</v>
      </c>
      <c r="K2543" s="8" t="s">
        <v>11411</v>
      </c>
      <c r="L2543" s="8" t="s">
        <v>19</v>
      </c>
      <c r="M2543" s="8">
        <v>1402</v>
      </c>
      <c r="N2543" s="8" t="s">
        <v>230</v>
      </c>
      <c r="O2543" s="8">
        <v>253</v>
      </c>
      <c r="P2543" s="8" t="s">
        <v>11410</v>
      </c>
      <c r="Q2543" s="8" t="s">
        <v>4262</v>
      </c>
      <c r="R2543" s="8">
        <v>0.17399999999999999</v>
      </c>
      <c r="S2543" s="8">
        <v>175110994</v>
      </c>
      <c r="T2543" s="8" t="s">
        <v>46</v>
      </c>
      <c r="U2543" s="8" t="s">
        <v>41</v>
      </c>
    </row>
    <row r="2544" spans="1:21">
      <c r="A2544" s="8" t="s">
        <v>10349</v>
      </c>
      <c r="B2544" s="8" t="s">
        <v>2728</v>
      </c>
      <c r="C2544" s="8">
        <v>3101</v>
      </c>
      <c r="D2544" s="8" t="s">
        <v>226</v>
      </c>
      <c r="E2544" s="8">
        <v>176316690</v>
      </c>
      <c r="F2544" s="8">
        <v>176316690</v>
      </c>
      <c r="G2544" s="8" t="s">
        <v>46</v>
      </c>
      <c r="H2544" s="8" t="s">
        <v>41</v>
      </c>
      <c r="I2544" s="8" t="s">
        <v>23</v>
      </c>
      <c r="J2544" s="8" t="s">
        <v>2729</v>
      </c>
      <c r="K2544" s="8" t="s">
        <v>11413</v>
      </c>
      <c r="L2544" s="8" t="s">
        <v>19</v>
      </c>
      <c r="M2544" s="8">
        <v>778</v>
      </c>
      <c r="N2544" s="8" t="s">
        <v>205</v>
      </c>
      <c r="O2544" s="8">
        <v>229</v>
      </c>
      <c r="P2544" s="8" t="s">
        <v>11412</v>
      </c>
      <c r="Q2544" s="8" t="s">
        <v>4262</v>
      </c>
      <c r="R2544" s="8">
        <v>0.222</v>
      </c>
      <c r="S2544" s="8">
        <v>176316690</v>
      </c>
      <c r="T2544" s="8" t="s">
        <v>46</v>
      </c>
      <c r="U2544" s="8" t="s">
        <v>41</v>
      </c>
    </row>
    <row r="2545" spans="1:21">
      <c r="A2545" s="8" t="s">
        <v>10349</v>
      </c>
      <c r="B2545" s="8" t="s">
        <v>1274</v>
      </c>
      <c r="C2545" s="8">
        <v>64324</v>
      </c>
      <c r="D2545" s="8" t="s">
        <v>226</v>
      </c>
      <c r="E2545" s="8">
        <v>176687049</v>
      </c>
      <c r="F2545" s="8">
        <v>176687049</v>
      </c>
      <c r="G2545" s="8" t="s">
        <v>24</v>
      </c>
      <c r="H2545" s="8" t="s">
        <v>25</v>
      </c>
      <c r="I2545" s="8" t="s">
        <v>23</v>
      </c>
      <c r="J2545" s="8" t="s">
        <v>11414</v>
      </c>
      <c r="K2545" s="8" t="s">
        <v>11416</v>
      </c>
      <c r="L2545" s="8" t="s">
        <v>19</v>
      </c>
      <c r="M2545" s="8">
        <v>5164</v>
      </c>
      <c r="N2545" s="8" t="s">
        <v>768</v>
      </c>
      <c r="O2545" s="8">
        <v>1676</v>
      </c>
      <c r="P2545" s="8" t="s">
        <v>11415</v>
      </c>
      <c r="Q2545" s="8" t="s">
        <v>4262</v>
      </c>
      <c r="R2545" s="8">
        <v>0.19400000000000001</v>
      </c>
      <c r="S2545" s="8">
        <v>176687049</v>
      </c>
      <c r="T2545" s="8" t="s">
        <v>24</v>
      </c>
      <c r="U2545" s="8" t="s">
        <v>25</v>
      </c>
    </row>
    <row r="2546" spans="1:21">
      <c r="A2546" s="8" t="s">
        <v>10349</v>
      </c>
      <c r="B2546" s="8" t="s">
        <v>3676</v>
      </c>
      <c r="C2546" s="8">
        <v>23061</v>
      </c>
      <c r="D2546" s="8" t="s">
        <v>226</v>
      </c>
      <c r="E2546" s="8">
        <v>179299930</v>
      </c>
      <c r="F2546" s="8">
        <v>179299930</v>
      </c>
      <c r="G2546" s="8" t="s">
        <v>46</v>
      </c>
      <c r="H2546" s="8" t="s">
        <v>41</v>
      </c>
      <c r="I2546" s="8" t="s">
        <v>23</v>
      </c>
      <c r="J2546" s="8" t="s">
        <v>5563</v>
      </c>
      <c r="K2546" s="8" t="s">
        <v>5565</v>
      </c>
      <c r="L2546" s="8" t="s">
        <v>19</v>
      </c>
      <c r="M2546" s="8">
        <v>2412</v>
      </c>
      <c r="N2546" s="8" t="s">
        <v>171</v>
      </c>
      <c r="O2546" s="8">
        <v>793</v>
      </c>
      <c r="P2546" s="8" t="s">
        <v>11417</v>
      </c>
      <c r="Q2546" s="8" t="s">
        <v>4262</v>
      </c>
      <c r="R2546" s="8">
        <v>0.25</v>
      </c>
      <c r="S2546" s="8">
        <v>179299930</v>
      </c>
      <c r="T2546" s="8" t="s">
        <v>46</v>
      </c>
      <c r="U2546" s="8" t="s">
        <v>41</v>
      </c>
    </row>
    <row r="2547" spans="1:21">
      <c r="A2547" s="8" t="s">
        <v>10349</v>
      </c>
      <c r="B2547" s="8" t="s">
        <v>11418</v>
      </c>
      <c r="C2547" s="8">
        <v>643836</v>
      </c>
      <c r="D2547" s="8" t="s">
        <v>226</v>
      </c>
      <c r="E2547" s="8">
        <v>180276489</v>
      </c>
      <c r="F2547" s="8">
        <v>180276489</v>
      </c>
      <c r="G2547" s="8" t="s">
        <v>46</v>
      </c>
      <c r="H2547" s="8" t="s">
        <v>41</v>
      </c>
      <c r="I2547" s="8" t="s">
        <v>23</v>
      </c>
      <c r="J2547" s="8" t="s">
        <v>11419</v>
      </c>
      <c r="K2547" s="8" t="s">
        <v>11421</v>
      </c>
      <c r="L2547" s="8" t="s">
        <v>19</v>
      </c>
      <c r="M2547" s="8">
        <v>2073</v>
      </c>
      <c r="N2547" s="8" t="s">
        <v>1399</v>
      </c>
      <c r="O2547" s="8">
        <v>669</v>
      </c>
      <c r="P2547" s="8" t="s">
        <v>11420</v>
      </c>
      <c r="Q2547" s="8" t="s">
        <v>4262</v>
      </c>
      <c r="R2547" s="8">
        <v>0.14000000000000001</v>
      </c>
      <c r="S2547" s="8">
        <v>180276489</v>
      </c>
      <c r="T2547" s="8" t="s">
        <v>46</v>
      </c>
      <c r="U2547" s="8" t="s">
        <v>41</v>
      </c>
    </row>
    <row r="2548" spans="1:21">
      <c r="A2548" s="8" t="s">
        <v>10349</v>
      </c>
      <c r="B2548" s="8" t="s">
        <v>11422</v>
      </c>
      <c r="C2548" s="8">
        <v>1016</v>
      </c>
      <c r="D2548" s="8" t="s">
        <v>226</v>
      </c>
      <c r="E2548" s="8">
        <v>19747050</v>
      </c>
      <c r="F2548" s="8">
        <v>19747050</v>
      </c>
      <c r="G2548" s="8" t="s">
        <v>46</v>
      </c>
      <c r="H2548" s="8" t="s">
        <v>41</v>
      </c>
      <c r="I2548" s="8" t="s">
        <v>23</v>
      </c>
      <c r="J2548" s="8" t="s">
        <v>11423</v>
      </c>
      <c r="K2548" s="8" t="s">
        <v>11424</v>
      </c>
      <c r="L2548" s="8" t="s">
        <v>68</v>
      </c>
      <c r="M2548" s="8">
        <v>0</v>
      </c>
      <c r="N2548" s="8" t="s">
        <v>35</v>
      </c>
      <c r="O2548" s="8">
        <v>0</v>
      </c>
      <c r="P2548" s="8" t="s">
        <v>35</v>
      </c>
      <c r="Q2548" s="8" t="s">
        <v>4262</v>
      </c>
      <c r="R2548" s="8">
        <v>0.2</v>
      </c>
      <c r="S2548" s="8">
        <v>19747050</v>
      </c>
      <c r="T2548" s="8" t="s">
        <v>46</v>
      </c>
      <c r="U2548" s="8" t="s">
        <v>41</v>
      </c>
    </row>
    <row r="2549" spans="1:21">
      <c r="A2549" s="8" t="s">
        <v>10349</v>
      </c>
      <c r="B2549" s="8" t="s">
        <v>3814</v>
      </c>
      <c r="C2549" s="8">
        <v>153572</v>
      </c>
      <c r="D2549" s="8" t="s">
        <v>226</v>
      </c>
      <c r="E2549" s="8">
        <v>2749640</v>
      </c>
      <c r="F2549" s="8">
        <v>2749640</v>
      </c>
      <c r="G2549" s="8" t="s">
        <v>24</v>
      </c>
      <c r="H2549" s="8" t="s">
        <v>25</v>
      </c>
      <c r="I2549" s="8" t="s">
        <v>23</v>
      </c>
      <c r="J2549" s="8" t="s">
        <v>5162</v>
      </c>
      <c r="K2549" s="8" t="s">
        <v>5164</v>
      </c>
      <c r="L2549" s="8" t="s">
        <v>19</v>
      </c>
      <c r="M2549" s="8">
        <v>753</v>
      </c>
      <c r="N2549" s="8" t="s">
        <v>560</v>
      </c>
      <c r="O2549" s="8">
        <v>171</v>
      </c>
      <c r="P2549" s="8" t="s">
        <v>11425</v>
      </c>
      <c r="Q2549" s="8" t="s">
        <v>4262</v>
      </c>
      <c r="R2549" s="8">
        <v>0.185</v>
      </c>
      <c r="S2549" s="8">
        <v>2749640</v>
      </c>
      <c r="T2549" s="8" t="s">
        <v>24</v>
      </c>
      <c r="U2549" s="8" t="s">
        <v>25</v>
      </c>
    </row>
    <row r="2550" spans="1:21">
      <c r="A2550" s="8" t="s">
        <v>10349</v>
      </c>
      <c r="B2550" s="8" t="s">
        <v>11426</v>
      </c>
      <c r="C2550" s="8">
        <v>29102</v>
      </c>
      <c r="D2550" s="8" t="s">
        <v>226</v>
      </c>
      <c r="E2550" s="8">
        <v>31435931</v>
      </c>
      <c r="F2550" s="8">
        <v>31435931</v>
      </c>
      <c r="G2550" s="8" t="s">
        <v>46</v>
      </c>
      <c r="H2550" s="8" t="s">
        <v>41</v>
      </c>
      <c r="I2550" s="8" t="s">
        <v>23</v>
      </c>
      <c r="J2550" s="8" t="s">
        <v>11427</v>
      </c>
      <c r="K2550" s="8" t="s">
        <v>11429</v>
      </c>
      <c r="L2550" s="8" t="s">
        <v>19</v>
      </c>
      <c r="M2550" s="8">
        <v>3342</v>
      </c>
      <c r="N2550" s="8" t="s">
        <v>1364</v>
      </c>
      <c r="O2550" s="8">
        <v>995</v>
      </c>
      <c r="P2550" s="8" t="s">
        <v>11428</v>
      </c>
      <c r="Q2550" s="8" t="s">
        <v>4262</v>
      </c>
      <c r="R2550" s="8">
        <v>0.156</v>
      </c>
      <c r="S2550" s="8">
        <v>31435931</v>
      </c>
      <c r="T2550" s="8" t="s">
        <v>46</v>
      </c>
      <c r="U2550" s="8" t="s">
        <v>41</v>
      </c>
    </row>
    <row r="2551" spans="1:21">
      <c r="A2551" s="8" t="s">
        <v>10349</v>
      </c>
      <c r="B2551" s="8" t="s">
        <v>11430</v>
      </c>
      <c r="C2551" s="8">
        <v>23037</v>
      </c>
      <c r="D2551" s="8" t="s">
        <v>226</v>
      </c>
      <c r="E2551" s="8">
        <v>32089168</v>
      </c>
      <c r="F2551" s="8">
        <v>32089168</v>
      </c>
      <c r="G2551" s="8" t="s">
        <v>46</v>
      </c>
      <c r="H2551" s="8" t="s">
        <v>41</v>
      </c>
      <c r="I2551" s="8" t="s">
        <v>23</v>
      </c>
      <c r="J2551" s="8" t="s">
        <v>11431</v>
      </c>
      <c r="K2551" s="8" t="s">
        <v>11433</v>
      </c>
      <c r="L2551" s="8" t="s">
        <v>19</v>
      </c>
      <c r="M2551" s="8">
        <v>5939</v>
      </c>
      <c r="N2551" s="8" t="s">
        <v>1118</v>
      </c>
      <c r="O2551" s="8">
        <v>1872</v>
      </c>
      <c r="P2551" s="8" t="s">
        <v>11432</v>
      </c>
      <c r="Q2551" s="8" t="s">
        <v>4262</v>
      </c>
      <c r="R2551" s="8">
        <v>0.14299999999999999</v>
      </c>
      <c r="S2551" s="8">
        <v>32089168</v>
      </c>
      <c r="T2551" s="8" t="s">
        <v>46</v>
      </c>
      <c r="U2551" s="8" t="s">
        <v>41</v>
      </c>
    </row>
    <row r="2552" spans="1:21">
      <c r="A2552" s="8" t="s">
        <v>10349</v>
      </c>
      <c r="B2552" s="8" t="s">
        <v>2294</v>
      </c>
      <c r="C2552" s="8">
        <v>81792</v>
      </c>
      <c r="D2552" s="8" t="s">
        <v>226</v>
      </c>
      <c r="E2552" s="8">
        <v>33891892</v>
      </c>
      <c r="F2552" s="8">
        <v>33891892</v>
      </c>
      <c r="G2552" s="8" t="s">
        <v>24</v>
      </c>
      <c r="H2552" s="8" t="s">
        <v>25</v>
      </c>
      <c r="I2552" s="8" t="s">
        <v>23</v>
      </c>
      <c r="J2552" s="8" t="s">
        <v>3030</v>
      </c>
      <c r="K2552" s="8" t="s">
        <v>9676</v>
      </c>
      <c r="L2552" s="8" t="s">
        <v>19</v>
      </c>
      <c r="M2552" s="8">
        <v>233</v>
      </c>
      <c r="N2552" s="8" t="s">
        <v>1118</v>
      </c>
      <c r="O2552" s="8">
        <v>24</v>
      </c>
      <c r="P2552" s="8" t="s">
        <v>11434</v>
      </c>
      <c r="Q2552" s="8" t="s">
        <v>4262</v>
      </c>
      <c r="R2552" s="8">
        <v>8.8999999999999996E-2</v>
      </c>
      <c r="S2552" s="8">
        <v>33891892</v>
      </c>
      <c r="T2552" s="8" t="s">
        <v>24</v>
      </c>
      <c r="U2552" s="8" t="s">
        <v>25</v>
      </c>
    </row>
    <row r="2553" spans="1:21">
      <c r="A2553" s="8" t="s">
        <v>10349</v>
      </c>
      <c r="B2553" s="8" t="s">
        <v>11435</v>
      </c>
      <c r="C2553" s="8">
        <v>6507</v>
      </c>
      <c r="D2553" s="8" t="s">
        <v>226</v>
      </c>
      <c r="E2553" s="8">
        <v>36629620</v>
      </c>
      <c r="F2553" s="8">
        <v>36629620</v>
      </c>
      <c r="G2553" s="8" t="s">
        <v>46</v>
      </c>
      <c r="H2553" s="8" t="s">
        <v>41</v>
      </c>
      <c r="I2553" s="8" t="s">
        <v>23</v>
      </c>
      <c r="J2553" s="8" t="s">
        <v>11436</v>
      </c>
      <c r="K2553" s="8" t="s">
        <v>11438</v>
      </c>
      <c r="L2553" s="8" t="s">
        <v>19</v>
      </c>
      <c r="M2553" s="8">
        <v>726</v>
      </c>
      <c r="N2553" s="8" t="s">
        <v>415</v>
      </c>
      <c r="O2553" s="8">
        <v>84</v>
      </c>
      <c r="P2553" s="8" t="s">
        <v>11437</v>
      </c>
      <c r="Q2553" s="8" t="s">
        <v>4262</v>
      </c>
      <c r="R2553" s="8">
        <v>0.186</v>
      </c>
      <c r="S2553" s="8">
        <v>36629620</v>
      </c>
      <c r="T2553" s="8" t="s">
        <v>46</v>
      </c>
      <c r="U2553" s="8" t="s">
        <v>41</v>
      </c>
    </row>
    <row r="2554" spans="1:21">
      <c r="A2554" s="8" t="s">
        <v>10349</v>
      </c>
      <c r="B2554" s="8" t="s">
        <v>3680</v>
      </c>
      <c r="C2554" s="8">
        <v>65250</v>
      </c>
      <c r="D2554" s="8" t="s">
        <v>226</v>
      </c>
      <c r="E2554" s="8">
        <v>37138821</v>
      </c>
      <c r="F2554" s="8">
        <v>37138821</v>
      </c>
      <c r="G2554" s="8" t="s">
        <v>46</v>
      </c>
      <c r="H2554" s="8" t="s">
        <v>41</v>
      </c>
      <c r="I2554" s="8" t="s">
        <v>23</v>
      </c>
      <c r="J2554" s="8" t="s">
        <v>3681</v>
      </c>
      <c r="K2554" s="8" t="s">
        <v>5572</v>
      </c>
      <c r="L2554" s="8" t="s">
        <v>68</v>
      </c>
      <c r="M2554" s="8">
        <v>0</v>
      </c>
      <c r="N2554" s="8" t="s">
        <v>35</v>
      </c>
      <c r="O2554" s="8">
        <v>0</v>
      </c>
      <c r="P2554" s="8" t="s">
        <v>35</v>
      </c>
      <c r="Q2554" s="8" t="s">
        <v>4262</v>
      </c>
      <c r="R2554" s="8">
        <v>0.214</v>
      </c>
      <c r="S2554" s="8">
        <v>37138821</v>
      </c>
      <c r="T2554" s="8" t="s">
        <v>46</v>
      </c>
      <c r="U2554" s="8" t="s">
        <v>41</v>
      </c>
    </row>
    <row r="2555" spans="1:21">
      <c r="A2555" s="8" t="s">
        <v>10349</v>
      </c>
      <c r="B2555" s="8" t="s">
        <v>3680</v>
      </c>
      <c r="C2555" s="8">
        <v>65250</v>
      </c>
      <c r="D2555" s="8" t="s">
        <v>226</v>
      </c>
      <c r="E2555" s="8">
        <v>37157838</v>
      </c>
      <c r="F2555" s="8">
        <v>37157838</v>
      </c>
      <c r="G2555" s="8" t="s">
        <v>46</v>
      </c>
      <c r="H2555" s="8" t="s">
        <v>41</v>
      </c>
      <c r="I2555" s="8" t="s">
        <v>23</v>
      </c>
      <c r="J2555" s="8" t="s">
        <v>3681</v>
      </c>
      <c r="K2555" s="8" t="s">
        <v>5572</v>
      </c>
      <c r="L2555" s="8" t="s">
        <v>19</v>
      </c>
      <c r="M2555" s="8">
        <v>8122</v>
      </c>
      <c r="N2555" s="8" t="s">
        <v>1070</v>
      </c>
      <c r="O2555" s="8">
        <v>2631</v>
      </c>
      <c r="P2555" s="8" t="s">
        <v>11439</v>
      </c>
      <c r="Q2555" s="8" t="s">
        <v>4262</v>
      </c>
      <c r="R2555" s="8">
        <v>0.26300000000000001</v>
      </c>
      <c r="S2555" s="8">
        <v>37157838</v>
      </c>
      <c r="T2555" s="8" t="s">
        <v>46</v>
      </c>
      <c r="U2555" s="8" t="s">
        <v>41</v>
      </c>
    </row>
    <row r="2556" spans="1:21">
      <c r="A2556" s="8" t="s">
        <v>10349</v>
      </c>
      <c r="B2556" s="8" t="s">
        <v>11440</v>
      </c>
      <c r="C2556" s="8">
        <v>114327</v>
      </c>
      <c r="D2556" s="8" t="s">
        <v>237</v>
      </c>
      <c r="E2556" s="8">
        <v>52317636</v>
      </c>
      <c r="F2556" s="8">
        <v>52317636</v>
      </c>
      <c r="G2556" s="8" t="s">
        <v>24</v>
      </c>
      <c r="H2556" s="8" t="s">
        <v>25</v>
      </c>
      <c r="I2556" s="8" t="s">
        <v>23</v>
      </c>
      <c r="J2556" s="8" t="s">
        <v>11441</v>
      </c>
      <c r="K2556" s="8" t="s">
        <v>11442</v>
      </c>
      <c r="L2556" s="8" t="s">
        <v>68</v>
      </c>
      <c r="M2556" s="8">
        <v>0</v>
      </c>
      <c r="N2556" s="8" t="s">
        <v>35</v>
      </c>
      <c r="O2556" s="8">
        <v>0</v>
      </c>
      <c r="P2556" s="8" t="s">
        <v>35</v>
      </c>
      <c r="Q2556" s="8" t="s">
        <v>4262</v>
      </c>
      <c r="R2556" s="8">
        <v>0.105</v>
      </c>
      <c r="S2556" s="8">
        <v>52317636</v>
      </c>
      <c r="T2556" s="8" t="s">
        <v>24</v>
      </c>
      <c r="U2556" s="8" t="s">
        <v>25</v>
      </c>
    </row>
    <row r="2557" spans="1:21">
      <c r="A2557" s="8" t="s">
        <v>10349</v>
      </c>
      <c r="B2557" s="8" t="s">
        <v>11443</v>
      </c>
      <c r="C2557" s="8">
        <v>8521</v>
      </c>
      <c r="D2557" s="8" t="s">
        <v>237</v>
      </c>
      <c r="E2557" s="8">
        <v>52993582</v>
      </c>
      <c r="F2557" s="8">
        <v>52993582</v>
      </c>
      <c r="G2557" s="8" t="s">
        <v>46</v>
      </c>
      <c r="H2557" s="8" t="s">
        <v>41</v>
      </c>
      <c r="I2557" s="8" t="s">
        <v>23</v>
      </c>
      <c r="J2557" s="8" t="s">
        <v>11444</v>
      </c>
      <c r="K2557" s="8" t="s">
        <v>11446</v>
      </c>
      <c r="L2557" s="8" t="s">
        <v>19</v>
      </c>
      <c r="M2557" s="8">
        <v>942</v>
      </c>
      <c r="N2557" s="8" t="s">
        <v>1364</v>
      </c>
      <c r="O2557" s="8">
        <v>245</v>
      </c>
      <c r="P2557" s="8" t="s">
        <v>11445</v>
      </c>
      <c r="Q2557" s="8" t="s">
        <v>4262</v>
      </c>
      <c r="R2557" s="8">
        <v>0.222</v>
      </c>
      <c r="S2557" s="8">
        <v>52993582</v>
      </c>
      <c r="T2557" s="8" t="s">
        <v>46</v>
      </c>
      <c r="U2557" s="8" t="s">
        <v>41</v>
      </c>
    </row>
    <row r="2558" spans="1:21">
      <c r="A2558" s="8" t="s">
        <v>10349</v>
      </c>
      <c r="B2558" s="8" t="s">
        <v>11447</v>
      </c>
      <c r="C2558" s="8">
        <v>401265</v>
      </c>
      <c r="D2558" s="8" t="s">
        <v>237</v>
      </c>
      <c r="E2558" s="8">
        <v>53519199</v>
      </c>
      <c r="F2558" s="8">
        <v>53519199</v>
      </c>
      <c r="G2558" s="8" t="s">
        <v>24</v>
      </c>
      <c r="H2558" s="8" t="s">
        <v>25</v>
      </c>
      <c r="I2558" s="8" t="s">
        <v>23</v>
      </c>
      <c r="J2558" s="8" t="s">
        <v>11448</v>
      </c>
      <c r="K2558" s="8" t="s">
        <v>11450</v>
      </c>
      <c r="L2558" s="8" t="s">
        <v>19</v>
      </c>
      <c r="M2558" s="8">
        <v>1013</v>
      </c>
      <c r="N2558" s="8" t="s">
        <v>389</v>
      </c>
      <c r="O2558" s="8">
        <v>291</v>
      </c>
      <c r="P2558" s="8" t="s">
        <v>11449</v>
      </c>
      <c r="Q2558" s="8" t="s">
        <v>4262</v>
      </c>
      <c r="R2558" s="8">
        <v>0.156</v>
      </c>
      <c r="S2558" s="8">
        <v>53519199</v>
      </c>
      <c r="T2558" s="8" t="s">
        <v>24</v>
      </c>
      <c r="U2558" s="8" t="s">
        <v>25</v>
      </c>
    </row>
    <row r="2559" spans="1:21">
      <c r="A2559" s="8" t="s">
        <v>10349</v>
      </c>
      <c r="B2559" s="8" t="s">
        <v>2752</v>
      </c>
      <c r="C2559" s="8">
        <v>10667</v>
      </c>
      <c r="D2559" s="8" t="s">
        <v>237</v>
      </c>
      <c r="E2559" s="8">
        <v>5404908</v>
      </c>
      <c r="F2559" s="8">
        <v>5404908</v>
      </c>
      <c r="G2559" s="8" t="s">
        <v>24</v>
      </c>
      <c r="H2559" s="8" t="s">
        <v>25</v>
      </c>
      <c r="I2559" s="8" t="s">
        <v>23</v>
      </c>
      <c r="J2559" s="8" t="s">
        <v>2753</v>
      </c>
      <c r="K2559" s="8" t="s">
        <v>11452</v>
      </c>
      <c r="L2559" s="8" t="s">
        <v>19</v>
      </c>
      <c r="M2559" s="8">
        <v>1077</v>
      </c>
      <c r="N2559" s="8" t="s">
        <v>2483</v>
      </c>
      <c r="O2559" s="8">
        <v>249</v>
      </c>
      <c r="P2559" s="8" t="s">
        <v>11451</v>
      </c>
      <c r="Q2559" s="8" t="s">
        <v>4262</v>
      </c>
      <c r="R2559" s="8">
        <v>0.318</v>
      </c>
      <c r="S2559" s="8">
        <v>5404908</v>
      </c>
      <c r="T2559" s="8" t="s">
        <v>24</v>
      </c>
      <c r="U2559" s="8" t="s">
        <v>25</v>
      </c>
    </row>
    <row r="2560" spans="1:21">
      <c r="A2560" s="8" t="s">
        <v>10349</v>
      </c>
      <c r="B2560" s="8" t="s">
        <v>11453</v>
      </c>
      <c r="C2560" s="8">
        <v>27283</v>
      </c>
      <c r="D2560" s="8" t="s">
        <v>237</v>
      </c>
      <c r="E2560" s="8">
        <v>54173428</v>
      </c>
      <c r="F2560" s="8">
        <v>54173428</v>
      </c>
      <c r="G2560" s="8" t="s">
        <v>24</v>
      </c>
      <c r="H2560" s="8" t="s">
        <v>25</v>
      </c>
      <c r="I2560" s="8" t="s">
        <v>23</v>
      </c>
      <c r="J2560" s="8" t="s">
        <v>11454</v>
      </c>
      <c r="K2560" s="8" t="s">
        <v>11456</v>
      </c>
      <c r="L2560" s="8" t="s">
        <v>19</v>
      </c>
      <c r="M2560" s="8">
        <v>226</v>
      </c>
      <c r="N2560" s="8" t="s">
        <v>736</v>
      </c>
      <c r="O2560" s="8">
        <v>27</v>
      </c>
      <c r="P2560" s="8" t="s">
        <v>11455</v>
      </c>
      <c r="Q2560" s="8" t="s">
        <v>4262</v>
      </c>
      <c r="R2560" s="8">
        <v>0.16</v>
      </c>
      <c r="S2560" s="8">
        <v>54173428</v>
      </c>
      <c r="T2560" s="8" t="s">
        <v>24</v>
      </c>
      <c r="U2560" s="8" t="s">
        <v>25</v>
      </c>
    </row>
    <row r="2561" spans="1:21">
      <c r="A2561" s="8" t="s">
        <v>10349</v>
      </c>
      <c r="B2561" s="8" t="s">
        <v>11457</v>
      </c>
      <c r="C2561" s="8">
        <v>653</v>
      </c>
      <c r="D2561" s="8" t="s">
        <v>237</v>
      </c>
      <c r="E2561" s="8">
        <v>55739506</v>
      </c>
      <c r="F2561" s="8">
        <v>55739506</v>
      </c>
      <c r="G2561" s="8" t="s">
        <v>46</v>
      </c>
      <c r="H2561" s="8" t="s">
        <v>41</v>
      </c>
      <c r="I2561" s="8" t="s">
        <v>23</v>
      </c>
      <c r="J2561" s="8" t="s">
        <v>11458</v>
      </c>
      <c r="K2561" s="8" t="s">
        <v>11460</v>
      </c>
      <c r="L2561" s="8" t="s">
        <v>19</v>
      </c>
      <c r="M2561" s="8">
        <v>870</v>
      </c>
      <c r="N2561" s="8" t="s">
        <v>2483</v>
      </c>
      <c r="O2561" s="8">
        <v>53</v>
      </c>
      <c r="P2561" s="8" t="s">
        <v>11459</v>
      </c>
      <c r="Q2561" s="8" t="s">
        <v>4262</v>
      </c>
      <c r="R2561" s="8">
        <v>0.186</v>
      </c>
      <c r="S2561" s="8">
        <v>55739506</v>
      </c>
      <c r="T2561" s="8" t="s">
        <v>46</v>
      </c>
      <c r="U2561" s="8" t="s">
        <v>41</v>
      </c>
    </row>
    <row r="2562" spans="1:21">
      <c r="A2562" s="8" t="s">
        <v>10349</v>
      </c>
      <c r="B2562" s="8" t="s">
        <v>252</v>
      </c>
      <c r="C2562" s="8">
        <v>2162</v>
      </c>
      <c r="D2562" s="8" t="s">
        <v>237</v>
      </c>
      <c r="E2562" s="8">
        <v>6145928</v>
      </c>
      <c r="F2562" s="8">
        <v>6145928</v>
      </c>
      <c r="G2562" s="8" t="s">
        <v>24</v>
      </c>
      <c r="H2562" s="8" t="s">
        <v>25</v>
      </c>
      <c r="I2562" s="8" t="s">
        <v>23</v>
      </c>
      <c r="J2562" s="8" t="s">
        <v>253</v>
      </c>
      <c r="K2562" s="8" t="s">
        <v>11462</v>
      </c>
      <c r="L2562" s="8" t="s">
        <v>19</v>
      </c>
      <c r="M2562" s="8">
        <v>2246</v>
      </c>
      <c r="N2562" s="8" t="s">
        <v>1421</v>
      </c>
      <c r="O2562" s="8">
        <v>708</v>
      </c>
      <c r="P2562" s="8" t="s">
        <v>11461</v>
      </c>
      <c r="Q2562" s="8" t="s">
        <v>4262</v>
      </c>
      <c r="R2562" s="8">
        <v>0.3</v>
      </c>
      <c r="S2562" s="8">
        <v>6145928</v>
      </c>
      <c r="T2562" s="8" t="s">
        <v>24</v>
      </c>
      <c r="U2562" s="8" t="s">
        <v>25</v>
      </c>
    </row>
    <row r="2563" spans="1:21">
      <c r="A2563" s="8" t="s">
        <v>10349</v>
      </c>
      <c r="B2563" s="8" t="s">
        <v>799</v>
      </c>
      <c r="C2563" s="8">
        <v>346007</v>
      </c>
      <c r="D2563" s="8" t="s">
        <v>237</v>
      </c>
      <c r="E2563" s="8">
        <v>66112476</v>
      </c>
      <c r="F2563" s="8">
        <v>66112476</v>
      </c>
      <c r="G2563" s="8" t="s">
        <v>24</v>
      </c>
      <c r="H2563" s="8" t="s">
        <v>25</v>
      </c>
      <c r="I2563" s="8" t="s">
        <v>23</v>
      </c>
      <c r="J2563" s="8" t="s">
        <v>4667</v>
      </c>
      <c r="K2563" s="8" t="s">
        <v>4669</v>
      </c>
      <c r="L2563" s="8" t="s">
        <v>19</v>
      </c>
      <c r="M2563" s="8">
        <v>1617</v>
      </c>
      <c r="N2563" s="8" t="s">
        <v>522</v>
      </c>
      <c r="O2563" s="8">
        <v>360</v>
      </c>
      <c r="P2563" s="8" t="s">
        <v>11463</v>
      </c>
      <c r="Q2563" s="8" t="s">
        <v>4262</v>
      </c>
      <c r="R2563" s="8">
        <v>0.17100000000000001</v>
      </c>
      <c r="S2563" s="8">
        <v>66112476</v>
      </c>
      <c r="T2563" s="8" t="s">
        <v>24</v>
      </c>
      <c r="U2563" s="8" t="s">
        <v>25</v>
      </c>
    </row>
    <row r="2564" spans="1:21">
      <c r="A2564" s="8" t="s">
        <v>10349</v>
      </c>
      <c r="B2564" s="8" t="s">
        <v>526</v>
      </c>
      <c r="C2564" s="8">
        <v>577</v>
      </c>
      <c r="D2564" s="8" t="s">
        <v>237</v>
      </c>
      <c r="E2564" s="8">
        <v>69943196</v>
      </c>
      <c r="F2564" s="8">
        <v>69943196</v>
      </c>
      <c r="G2564" s="8" t="s">
        <v>24</v>
      </c>
      <c r="H2564" s="8" t="s">
        <v>25</v>
      </c>
      <c r="I2564" s="8" t="s">
        <v>23</v>
      </c>
      <c r="J2564" s="8" t="s">
        <v>527</v>
      </c>
      <c r="K2564" s="8" t="s">
        <v>11465</v>
      </c>
      <c r="L2564" s="8" t="s">
        <v>19</v>
      </c>
      <c r="M2564" s="8">
        <v>2943</v>
      </c>
      <c r="N2564" s="8" t="s">
        <v>494</v>
      </c>
      <c r="O2564" s="8">
        <v>832</v>
      </c>
      <c r="P2564" s="8" t="s">
        <v>11464</v>
      </c>
      <c r="Q2564" s="8" t="s">
        <v>4262</v>
      </c>
      <c r="R2564" s="8">
        <v>0.13600000000000001</v>
      </c>
      <c r="S2564" s="8">
        <v>69943196</v>
      </c>
      <c r="T2564" s="8" t="s">
        <v>24</v>
      </c>
      <c r="U2564" s="8" t="s">
        <v>25</v>
      </c>
    </row>
    <row r="2565" spans="1:21">
      <c r="A2565" s="8" t="s">
        <v>10349</v>
      </c>
      <c r="B2565" s="8" t="s">
        <v>3122</v>
      </c>
      <c r="C2565" s="8">
        <v>1310</v>
      </c>
      <c r="D2565" s="8" t="s">
        <v>237</v>
      </c>
      <c r="E2565" s="8">
        <v>70608861</v>
      </c>
      <c r="F2565" s="8">
        <v>70608861</v>
      </c>
      <c r="G2565" s="8" t="s">
        <v>24</v>
      </c>
      <c r="H2565" s="8" t="s">
        <v>25</v>
      </c>
      <c r="I2565" s="8" t="s">
        <v>23</v>
      </c>
      <c r="J2565" s="8" t="s">
        <v>3123</v>
      </c>
      <c r="K2565" s="8" t="s">
        <v>8013</v>
      </c>
      <c r="L2565" s="8" t="s">
        <v>19</v>
      </c>
      <c r="M2565" s="8">
        <v>230</v>
      </c>
      <c r="N2565" s="8" t="s">
        <v>736</v>
      </c>
      <c r="O2565" s="8">
        <v>38</v>
      </c>
      <c r="P2565" s="8" t="s">
        <v>11466</v>
      </c>
      <c r="Q2565" s="8" t="s">
        <v>4262</v>
      </c>
      <c r="R2565" s="8">
        <v>0.23499999999999999</v>
      </c>
      <c r="S2565" s="8">
        <v>70608861</v>
      </c>
      <c r="T2565" s="8" t="s">
        <v>24</v>
      </c>
      <c r="U2565" s="8" t="s">
        <v>25</v>
      </c>
    </row>
    <row r="2566" spans="1:21">
      <c r="A2566" s="8" t="s">
        <v>10349</v>
      </c>
      <c r="B2566" s="8" t="s">
        <v>3122</v>
      </c>
      <c r="C2566" s="8">
        <v>1310</v>
      </c>
      <c r="D2566" s="8" t="s">
        <v>237</v>
      </c>
      <c r="E2566" s="8">
        <v>70646693</v>
      </c>
      <c r="F2566" s="8">
        <v>70646693</v>
      </c>
      <c r="G2566" s="8" t="s">
        <v>24</v>
      </c>
      <c r="H2566" s="8" t="s">
        <v>25</v>
      </c>
      <c r="I2566" s="8" t="s">
        <v>23</v>
      </c>
      <c r="J2566" s="8" t="s">
        <v>3123</v>
      </c>
      <c r="K2566" s="8" t="s">
        <v>8013</v>
      </c>
      <c r="L2566" s="8" t="s">
        <v>19</v>
      </c>
      <c r="M2566" s="8">
        <v>881</v>
      </c>
      <c r="N2566" s="8" t="s">
        <v>205</v>
      </c>
      <c r="O2566" s="8">
        <v>255</v>
      </c>
      <c r="P2566" s="8" t="s">
        <v>11467</v>
      </c>
      <c r="Q2566" s="8" t="s">
        <v>4262</v>
      </c>
      <c r="R2566" s="8">
        <v>0.186</v>
      </c>
      <c r="S2566" s="8">
        <v>70646693</v>
      </c>
      <c r="T2566" s="8" t="s">
        <v>24</v>
      </c>
      <c r="U2566" s="8" t="s">
        <v>25</v>
      </c>
    </row>
    <row r="2567" spans="1:21">
      <c r="A2567" s="8" t="s">
        <v>10349</v>
      </c>
      <c r="B2567" s="8" t="s">
        <v>1538</v>
      </c>
      <c r="C2567" s="8">
        <v>57579</v>
      </c>
      <c r="D2567" s="8" t="s">
        <v>237</v>
      </c>
      <c r="E2567" s="8">
        <v>71234104</v>
      </c>
      <c r="F2567" s="8">
        <v>71234104</v>
      </c>
      <c r="G2567" s="8" t="s">
        <v>24</v>
      </c>
      <c r="H2567" s="8" t="s">
        <v>25</v>
      </c>
      <c r="I2567" s="8" t="s">
        <v>23</v>
      </c>
      <c r="J2567" s="8" t="s">
        <v>11468</v>
      </c>
      <c r="K2567" s="8" t="s">
        <v>11470</v>
      </c>
      <c r="L2567" s="8" t="s">
        <v>19</v>
      </c>
      <c r="M2567" s="8">
        <v>1450</v>
      </c>
      <c r="N2567" s="8" t="s">
        <v>2439</v>
      </c>
      <c r="O2567" s="8">
        <v>439</v>
      </c>
      <c r="P2567" s="8" t="s">
        <v>11469</v>
      </c>
      <c r="Q2567" s="8" t="s">
        <v>4262</v>
      </c>
      <c r="R2567" s="8">
        <v>0.29399999999999998</v>
      </c>
      <c r="S2567" s="8">
        <v>71234104</v>
      </c>
      <c r="T2567" s="8" t="s">
        <v>24</v>
      </c>
      <c r="U2567" s="8" t="s">
        <v>25</v>
      </c>
    </row>
    <row r="2568" spans="1:21">
      <c r="A2568" s="8" t="s">
        <v>10349</v>
      </c>
      <c r="B2568" s="8" t="s">
        <v>11471</v>
      </c>
      <c r="C2568" s="8">
        <v>56479</v>
      </c>
      <c r="D2568" s="8" t="s">
        <v>237</v>
      </c>
      <c r="E2568" s="8">
        <v>73904397</v>
      </c>
      <c r="F2568" s="8">
        <v>73904397</v>
      </c>
      <c r="G2568" s="8" t="s">
        <v>24</v>
      </c>
      <c r="H2568" s="8" t="s">
        <v>25</v>
      </c>
      <c r="I2568" s="8" t="s">
        <v>23</v>
      </c>
      <c r="J2568" s="8" t="s">
        <v>11472</v>
      </c>
      <c r="K2568" s="8" t="s">
        <v>11474</v>
      </c>
      <c r="L2568" s="8" t="s">
        <v>19</v>
      </c>
      <c r="M2568" s="8">
        <v>2463</v>
      </c>
      <c r="N2568" s="8" t="s">
        <v>536</v>
      </c>
      <c r="O2568" s="8">
        <v>706</v>
      </c>
      <c r="P2568" s="8" t="s">
        <v>11473</v>
      </c>
      <c r="Q2568" s="8" t="s">
        <v>4262</v>
      </c>
      <c r="R2568" s="8">
        <v>0.153</v>
      </c>
      <c r="S2568" s="8">
        <v>73904397</v>
      </c>
      <c r="T2568" s="8" t="s">
        <v>24</v>
      </c>
      <c r="U2568" s="8" t="s">
        <v>25</v>
      </c>
    </row>
    <row r="2569" spans="1:21">
      <c r="A2569" s="8" t="s">
        <v>10349</v>
      </c>
      <c r="B2569" s="8" t="s">
        <v>11475</v>
      </c>
      <c r="C2569" s="8">
        <v>1832</v>
      </c>
      <c r="D2569" s="8" t="s">
        <v>237</v>
      </c>
      <c r="E2569" s="8">
        <v>7583313</v>
      </c>
      <c r="F2569" s="8">
        <v>7583313</v>
      </c>
      <c r="G2569" s="8" t="s">
        <v>24</v>
      </c>
      <c r="H2569" s="8" t="s">
        <v>25</v>
      </c>
      <c r="I2569" s="8" t="s">
        <v>23</v>
      </c>
      <c r="J2569" s="8" t="s">
        <v>11476</v>
      </c>
      <c r="K2569" s="8" t="s">
        <v>11478</v>
      </c>
      <c r="L2569" s="8" t="s">
        <v>19</v>
      </c>
      <c r="M2569" s="8">
        <v>6097</v>
      </c>
      <c r="N2569" s="8" t="s">
        <v>557</v>
      </c>
      <c r="O2569" s="8">
        <v>1940</v>
      </c>
      <c r="P2569" s="8" t="s">
        <v>11477</v>
      </c>
      <c r="Q2569" s="8" t="s">
        <v>4262</v>
      </c>
      <c r="R2569" s="8">
        <v>0.216</v>
      </c>
      <c r="S2569" s="8">
        <v>7583313</v>
      </c>
      <c r="T2569" s="8" t="s">
        <v>24</v>
      </c>
      <c r="U2569" s="8" t="s">
        <v>25</v>
      </c>
    </row>
    <row r="2570" spans="1:21">
      <c r="A2570" s="8" t="s">
        <v>10349</v>
      </c>
      <c r="B2570" s="8" t="s">
        <v>11475</v>
      </c>
      <c r="C2570" s="8">
        <v>1832</v>
      </c>
      <c r="D2570" s="8" t="s">
        <v>237</v>
      </c>
      <c r="E2570" s="8">
        <v>7584459</v>
      </c>
      <c r="F2570" s="8">
        <v>7584459</v>
      </c>
      <c r="G2570" s="8" t="s">
        <v>24</v>
      </c>
      <c r="H2570" s="8" t="s">
        <v>25</v>
      </c>
      <c r="I2570" s="8" t="s">
        <v>23</v>
      </c>
      <c r="J2570" s="8" t="s">
        <v>11476</v>
      </c>
      <c r="K2570" s="8" t="s">
        <v>11478</v>
      </c>
      <c r="L2570" s="8" t="s">
        <v>19</v>
      </c>
      <c r="M2570" s="8">
        <v>7243</v>
      </c>
      <c r="N2570" s="8" t="s">
        <v>536</v>
      </c>
      <c r="O2570" s="8">
        <v>2322</v>
      </c>
      <c r="P2570" s="8" t="s">
        <v>11479</v>
      </c>
      <c r="Q2570" s="8" t="s">
        <v>4262</v>
      </c>
      <c r="R2570" s="8">
        <v>0.154</v>
      </c>
      <c r="S2570" s="8">
        <v>7584459</v>
      </c>
      <c r="T2570" s="8" t="s">
        <v>24</v>
      </c>
      <c r="U2570" s="8" t="s">
        <v>25</v>
      </c>
    </row>
    <row r="2571" spans="1:21">
      <c r="A2571" s="8" t="s">
        <v>10349</v>
      </c>
      <c r="B2571" s="8" t="s">
        <v>398</v>
      </c>
      <c r="C2571" s="8">
        <v>1303</v>
      </c>
      <c r="D2571" s="8" t="s">
        <v>237</v>
      </c>
      <c r="E2571" s="8">
        <v>75848557</v>
      </c>
      <c r="F2571" s="8">
        <v>75848557</v>
      </c>
      <c r="G2571" s="8" t="s">
        <v>46</v>
      </c>
      <c r="H2571" s="8" t="s">
        <v>41</v>
      </c>
      <c r="I2571" s="8" t="s">
        <v>23</v>
      </c>
      <c r="J2571" s="8" t="s">
        <v>11480</v>
      </c>
      <c r="K2571" s="8" t="s">
        <v>11482</v>
      </c>
      <c r="L2571" s="8" t="s">
        <v>19</v>
      </c>
      <c r="M2571" s="8">
        <v>5244</v>
      </c>
      <c r="N2571" s="8" t="s">
        <v>494</v>
      </c>
      <c r="O2571" s="8">
        <v>1693</v>
      </c>
      <c r="P2571" s="8" t="s">
        <v>11481</v>
      </c>
      <c r="Q2571" s="8" t="s">
        <v>4262</v>
      </c>
      <c r="R2571" s="8">
        <v>0.156</v>
      </c>
      <c r="S2571" s="8">
        <v>75848557</v>
      </c>
      <c r="T2571" s="8" t="s">
        <v>46</v>
      </c>
      <c r="U2571" s="8" t="s">
        <v>41</v>
      </c>
    </row>
    <row r="2572" spans="1:21">
      <c r="A2572" s="8" t="s">
        <v>10349</v>
      </c>
      <c r="B2572" s="8" t="s">
        <v>7903</v>
      </c>
      <c r="C2572" s="8">
        <v>27145</v>
      </c>
      <c r="D2572" s="8" t="s">
        <v>237</v>
      </c>
      <c r="E2572" s="8">
        <v>76023696</v>
      </c>
      <c r="F2572" s="8">
        <v>76023696</v>
      </c>
      <c r="G2572" s="8" t="s">
        <v>46</v>
      </c>
      <c r="H2572" s="8" t="s">
        <v>41</v>
      </c>
      <c r="I2572" s="8" t="s">
        <v>23</v>
      </c>
      <c r="J2572" s="8" t="s">
        <v>7904</v>
      </c>
      <c r="K2572" s="8" t="s">
        <v>7906</v>
      </c>
      <c r="L2572" s="8" t="s">
        <v>19</v>
      </c>
      <c r="M2572" s="8">
        <v>2225</v>
      </c>
      <c r="N2572" s="8" t="s">
        <v>28</v>
      </c>
      <c r="O2572" s="8">
        <v>618</v>
      </c>
      <c r="P2572" s="8" t="s">
        <v>11483</v>
      </c>
      <c r="Q2572" s="8" t="s">
        <v>4262</v>
      </c>
      <c r="R2572" s="8">
        <v>0.19</v>
      </c>
      <c r="S2572" s="8">
        <v>76023696</v>
      </c>
      <c r="T2572" s="8" t="s">
        <v>46</v>
      </c>
      <c r="U2572" s="8" t="s">
        <v>41</v>
      </c>
    </row>
    <row r="2573" spans="1:21">
      <c r="A2573" s="8" t="s">
        <v>10349</v>
      </c>
      <c r="B2573" s="8" t="s">
        <v>2754</v>
      </c>
      <c r="C2573" s="8">
        <v>1268</v>
      </c>
      <c r="D2573" s="8" t="s">
        <v>237</v>
      </c>
      <c r="E2573" s="8">
        <v>88853663</v>
      </c>
      <c r="F2573" s="8">
        <v>88853663</v>
      </c>
      <c r="G2573" s="8" t="s">
        <v>46</v>
      </c>
      <c r="H2573" s="8" t="s">
        <v>41</v>
      </c>
      <c r="I2573" s="8" t="s">
        <v>23</v>
      </c>
      <c r="J2573" s="8" t="s">
        <v>11484</v>
      </c>
      <c r="K2573" s="8" t="s">
        <v>11486</v>
      </c>
      <c r="L2573" s="8" t="s">
        <v>19</v>
      </c>
      <c r="M2573" s="8">
        <v>1640</v>
      </c>
      <c r="N2573" s="8" t="s">
        <v>2483</v>
      </c>
      <c r="O2573" s="8">
        <v>444</v>
      </c>
      <c r="P2573" s="8" t="s">
        <v>11485</v>
      </c>
      <c r="Q2573" s="8" t="s">
        <v>4262</v>
      </c>
      <c r="R2573" s="8">
        <v>0.188</v>
      </c>
      <c r="S2573" s="8">
        <v>88853663</v>
      </c>
      <c r="T2573" s="8" t="s">
        <v>46</v>
      </c>
      <c r="U2573" s="8" t="s">
        <v>41</v>
      </c>
    </row>
    <row r="2574" spans="1:21">
      <c r="A2574" s="8" t="s">
        <v>10349</v>
      </c>
      <c r="B2574" s="8" t="s">
        <v>3054</v>
      </c>
      <c r="C2574" s="8">
        <v>6492</v>
      </c>
      <c r="D2574" s="8" t="s">
        <v>237</v>
      </c>
      <c r="E2574" s="8">
        <v>100838748</v>
      </c>
      <c r="F2574" s="8">
        <v>100838748</v>
      </c>
      <c r="G2574" s="8" t="s">
        <v>46</v>
      </c>
      <c r="H2574" s="8" t="s">
        <v>41</v>
      </c>
      <c r="I2574" s="8" t="s">
        <v>23</v>
      </c>
      <c r="J2574" s="8" t="s">
        <v>3055</v>
      </c>
      <c r="K2574" s="8" t="s">
        <v>6890</v>
      </c>
      <c r="L2574" s="8" t="s">
        <v>19</v>
      </c>
      <c r="M2574" s="8">
        <v>1997</v>
      </c>
      <c r="N2574" s="8" t="s">
        <v>1399</v>
      </c>
      <c r="O2574" s="8">
        <v>597</v>
      </c>
      <c r="P2574" s="8" t="s">
        <v>11487</v>
      </c>
      <c r="Q2574" s="8" t="s">
        <v>4262</v>
      </c>
      <c r="R2574" s="8">
        <v>0.25800000000000001</v>
      </c>
      <c r="S2574" s="8">
        <v>100838748</v>
      </c>
      <c r="T2574" s="8" t="s">
        <v>46</v>
      </c>
      <c r="U2574" s="8" t="s">
        <v>41</v>
      </c>
    </row>
    <row r="2575" spans="1:21">
      <c r="A2575" s="8" t="s">
        <v>10349</v>
      </c>
      <c r="B2575" s="8" t="s">
        <v>2738</v>
      </c>
      <c r="C2575" s="8">
        <v>10973</v>
      </c>
      <c r="D2575" s="8" t="s">
        <v>237</v>
      </c>
      <c r="E2575" s="8">
        <v>101090525</v>
      </c>
      <c r="F2575" s="8">
        <v>101090525</v>
      </c>
      <c r="G2575" s="8" t="s">
        <v>46</v>
      </c>
      <c r="H2575" s="8" t="s">
        <v>41</v>
      </c>
      <c r="I2575" s="8" t="s">
        <v>23</v>
      </c>
      <c r="J2575" s="8" t="s">
        <v>2739</v>
      </c>
      <c r="K2575" s="8" t="s">
        <v>11489</v>
      </c>
      <c r="L2575" s="8" t="s">
        <v>19</v>
      </c>
      <c r="M2575" s="8">
        <v>4162</v>
      </c>
      <c r="N2575" s="8" t="s">
        <v>796</v>
      </c>
      <c r="O2575" s="8">
        <v>1278</v>
      </c>
      <c r="P2575" s="8" t="s">
        <v>11488</v>
      </c>
      <c r="Q2575" s="8" t="s">
        <v>4262</v>
      </c>
      <c r="R2575" s="8">
        <v>0.20599999999999999</v>
      </c>
      <c r="S2575" s="8">
        <v>101090525</v>
      </c>
      <c r="T2575" s="8" t="s">
        <v>46</v>
      </c>
      <c r="U2575" s="8" t="s">
        <v>41</v>
      </c>
    </row>
    <row r="2576" spans="1:21">
      <c r="A2576" s="8" t="s">
        <v>10349</v>
      </c>
      <c r="B2576" s="8" t="s">
        <v>1165</v>
      </c>
      <c r="C2576" s="8">
        <v>2898</v>
      </c>
      <c r="D2576" s="8" t="s">
        <v>237</v>
      </c>
      <c r="E2576" s="8">
        <v>102503255</v>
      </c>
      <c r="F2576" s="8">
        <v>102503255</v>
      </c>
      <c r="G2576" s="8" t="s">
        <v>24</v>
      </c>
      <c r="H2576" s="8" t="s">
        <v>25</v>
      </c>
      <c r="I2576" s="8" t="s">
        <v>23</v>
      </c>
      <c r="J2576" s="8" t="s">
        <v>11490</v>
      </c>
      <c r="K2576" s="8" t="s">
        <v>11492</v>
      </c>
      <c r="L2576" s="8" t="s">
        <v>19</v>
      </c>
      <c r="M2576" s="8">
        <v>2655</v>
      </c>
      <c r="N2576" s="8" t="s">
        <v>758</v>
      </c>
      <c r="O2576" s="8">
        <v>788</v>
      </c>
      <c r="P2576" s="8" t="s">
        <v>11491</v>
      </c>
      <c r="Q2576" s="8" t="s">
        <v>4262</v>
      </c>
      <c r="R2576" s="8">
        <v>0.13500000000000001</v>
      </c>
      <c r="S2576" s="8">
        <v>102503255</v>
      </c>
      <c r="T2576" s="8" t="s">
        <v>24</v>
      </c>
      <c r="U2576" s="8" t="s">
        <v>25</v>
      </c>
    </row>
    <row r="2577" spans="1:21">
      <c r="A2577" s="8" t="s">
        <v>10349</v>
      </c>
      <c r="B2577" s="8" t="s">
        <v>11493</v>
      </c>
      <c r="C2577" s="8">
        <v>57531</v>
      </c>
      <c r="D2577" s="8" t="s">
        <v>237</v>
      </c>
      <c r="E2577" s="8">
        <v>105225132</v>
      </c>
      <c r="F2577" s="8">
        <v>105225132</v>
      </c>
      <c r="G2577" s="8" t="s">
        <v>46</v>
      </c>
      <c r="H2577" s="8" t="s">
        <v>41</v>
      </c>
      <c r="I2577" s="8" t="s">
        <v>23</v>
      </c>
      <c r="J2577" s="8" t="s">
        <v>11494</v>
      </c>
      <c r="K2577" s="8" t="s">
        <v>11496</v>
      </c>
      <c r="L2577" s="8" t="s">
        <v>19</v>
      </c>
      <c r="M2577" s="8">
        <v>1904</v>
      </c>
      <c r="N2577" s="8" t="s">
        <v>557</v>
      </c>
      <c r="O2577" s="8">
        <v>543</v>
      </c>
      <c r="P2577" s="8" t="s">
        <v>11495</v>
      </c>
      <c r="Q2577" s="8" t="s">
        <v>4262</v>
      </c>
      <c r="R2577" s="8">
        <v>0.182</v>
      </c>
      <c r="S2577" s="8">
        <v>105225132</v>
      </c>
      <c r="T2577" s="8" t="s">
        <v>46</v>
      </c>
      <c r="U2577" s="8" t="s">
        <v>41</v>
      </c>
    </row>
    <row r="2578" spans="1:21">
      <c r="A2578" s="8" t="s">
        <v>10349</v>
      </c>
      <c r="B2578" s="8" t="s">
        <v>11497</v>
      </c>
      <c r="C2578" s="8">
        <v>84816</v>
      </c>
      <c r="D2578" s="8" t="s">
        <v>237</v>
      </c>
      <c r="E2578" s="8">
        <v>107070827</v>
      </c>
      <c r="F2578" s="8">
        <v>107070827</v>
      </c>
      <c r="G2578" s="8" t="s">
        <v>46</v>
      </c>
      <c r="H2578" s="8" t="s">
        <v>41</v>
      </c>
      <c r="I2578" s="8" t="s">
        <v>23</v>
      </c>
      <c r="J2578" s="8" t="s">
        <v>11498</v>
      </c>
      <c r="K2578" s="8" t="s">
        <v>11500</v>
      </c>
      <c r="L2578" s="8" t="s">
        <v>19</v>
      </c>
      <c r="M2578" s="8">
        <v>769</v>
      </c>
      <c r="N2578" s="8" t="s">
        <v>768</v>
      </c>
      <c r="O2578" s="8">
        <v>98</v>
      </c>
      <c r="P2578" s="8" t="s">
        <v>11499</v>
      </c>
      <c r="Q2578" s="8" t="s">
        <v>4262</v>
      </c>
      <c r="R2578" s="8">
        <v>0.23300000000000001</v>
      </c>
      <c r="S2578" s="8">
        <v>107070827</v>
      </c>
      <c r="T2578" s="8" t="s">
        <v>46</v>
      </c>
      <c r="U2578" s="8" t="s">
        <v>41</v>
      </c>
    </row>
    <row r="2579" spans="1:21">
      <c r="A2579" s="8" t="s">
        <v>10349</v>
      </c>
      <c r="B2579" s="8" t="s">
        <v>11501</v>
      </c>
      <c r="C2579" s="8">
        <v>7101</v>
      </c>
      <c r="D2579" s="8" t="s">
        <v>237</v>
      </c>
      <c r="E2579" s="8">
        <v>108502119</v>
      </c>
      <c r="F2579" s="8">
        <v>108502119</v>
      </c>
      <c r="G2579" s="8" t="s">
        <v>46</v>
      </c>
      <c r="H2579" s="8" t="s">
        <v>41</v>
      </c>
      <c r="I2579" s="8" t="s">
        <v>23</v>
      </c>
      <c r="J2579" s="8" t="s">
        <v>11502</v>
      </c>
      <c r="K2579" s="8" t="s">
        <v>11504</v>
      </c>
      <c r="L2579" s="8" t="s">
        <v>19</v>
      </c>
      <c r="M2579" s="8">
        <v>1603</v>
      </c>
      <c r="N2579" s="8" t="s">
        <v>96</v>
      </c>
      <c r="O2579" s="8">
        <v>283</v>
      </c>
      <c r="P2579" s="8" t="s">
        <v>11503</v>
      </c>
      <c r="Q2579" s="8" t="s">
        <v>4262</v>
      </c>
      <c r="R2579" s="8">
        <v>0.13700000000000001</v>
      </c>
      <c r="S2579" s="8">
        <v>108502119</v>
      </c>
      <c r="T2579" s="8" t="s">
        <v>46</v>
      </c>
      <c r="U2579" s="8" t="s">
        <v>41</v>
      </c>
    </row>
    <row r="2580" spans="1:21">
      <c r="A2580" s="8" t="s">
        <v>10349</v>
      </c>
      <c r="B2580" s="8" t="s">
        <v>11505</v>
      </c>
      <c r="C2580" s="8">
        <v>9896</v>
      </c>
      <c r="D2580" s="8" t="s">
        <v>237</v>
      </c>
      <c r="E2580" s="8">
        <v>110056477</v>
      </c>
      <c r="F2580" s="8">
        <v>110056477</v>
      </c>
      <c r="G2580" s="8" t="s">
        <v>24</v>
      </c>
      <c r="H2580" s="8" t="s">
        <v>25</v>
      </c>
      <c r="I2580" s="8" t="s">
        <v>23</v>
      </c>
      <c r="J2580" s="8" t="s">
        <v>11506</v>
      </c>
      <c r="K2580" s="8" t="s">
        <v>11508</v>
      </c>
      <c r="L2580" s="8" t="s">
        <v>19</v>
      </c>
      <c r="M2580" s="8">
        <v>837</v>
      </c>
      <c r="N2580" s="8" t="s">
        <v>1364</v>
      </c>
      <c r="O2580" s="8">
        <v>208</v>
      </c>
      <c r="P2580" s="8" t="s">
        <v>11507</v>
      </c>
      <c r="Q2580" s="8" t="s">
        <v>4262</v>
      </c>
      <c r="R2580" s="8">
        <v>8.6999999999999994E-2</v>
      </c>
      <c r="S2580" s="8">
        <v>110056477</v>
      </c>
      <c r="T2580" s="8" t="s">
        <v>24</v>
      </c>
      <c r="U2580" s="8" t="s">
        <v>25</v>
      </c>
    </row>
    <row r="2581" spans="1:21">
      <c r="A2581" s="8" t="s">
        <v>10349</v>
      </c>
      <c r="B2581" s="8" t="s">
        <v>2740</v>
      </c>
      <c r="C2581" s="8">
        <v>85413</v>
      </c>
      <c r="D2581" s="8" t="s">
        <v>237</v>
      </c>
      <c r="E2581" s="8">
        <v>110759945</v>
      </c>
      <c r="F2581" s="8">
        <v>110759945</v>
      </c>
      <c r="G2581" s="8" t="s">
        <v>46</v>
      </c>
      <c r="H2581" s="8" t="s">
        <v>41</v>
      </c>
      <c r="I2581" s="8" t="s">
        <v>23</v>
      </c>
      <c r="J2581" s="8" t="s">
        <v>2741</v>
      </c>
      <c r="K2581" s="8" t="s">
        <v>11510</v>
      </c>
      <c r="L2581" s="8" t="s">
        <v>19</v>
      </c>
      <c r="M2581" s="8">
        <v>1356</v>
      </c>
      <c r="N2581" s="8" t="s">
        <v>796</v>
      </c>
      <c r="O2581" s="8">
        <v>430</v>
      </c>
      <c r="P2581" s="8" t="s">
        <v>11509</v>
      </c>
      <c r="Q2581" s="8" t="s">
        <v>4262</v>
      </c>
      <c r="R2581" s="8">
        <v>0.222</v>
      </c>
      <c r="S2581" s="8">
        <v>110759945</v>
      </c>
      <c r="T2581" s="8" t="s">
        <v>46</v>
      </c>
      <c r="U2581" s="8" t="s">
        <v>41</v>
      </c>
    </row>
    <row r="2582" spans="1:21">
      <c r="A2582" s="8" t="s">
        <v>10349</v>
      </c>
      <c r="B2582" s="8" t="s">
        <v>948</v>
      </c>
      <c r="C2582" s="8">
        <v>3910</v>
      </c>
      <c r="D2582" s="8" t="s">
        <v>237</v>
      </c>
      <c r="E2582" s="8">
        <v>112462047</v>
      </c>
      <c r="F2582" s="8">
        <v>112462047</v>
      </c>
      <c r="G2582" s="8" t="s">
        <v>46</v>
      </c>
      <c r="H2582" s="8" t="s">
        <v>41</v>
      </c>
      <c r="I2582" s="8" t="s">
        <v>23</v>
      </c>
      <c r="J2582" s="8" t="s">
        <v>5579</v>
      </c>
      <c r="K2582" s="8" t="s">
        <v>5581</v>
      </c>
      <c r="L2582" s="8" t="s">
        <v>19</v>
      </c>
      <c r="M2582" s="8">
        <v>3200</v>
      </c>
      <c r="N2582" s="8" t="s">
        <v>1399</v>
      </c>
      <c r="O2582" s="8">
        <v>964</v>
      </c>
      <c r="P2582" s="8" t="s">
        <v>11511</v>
      </c>
      <c r="Q2582" s="8" t="s">
        <v>4262</v>
      </c>
      <c r="R2582" s="8">
        <v>0.14899999999999999</v>
      </c>
      <c r="S2582" s="8">
        <v>112462047</v>
      </c>
      <c r="T2582" s="8" t="s">
        <v>46</v>
      </c>
      <c r="U2582" s="8" t="s">
        <v>41</v>
      </c>
    </row>
    <row r="2583" spans="1:21">
      <c r="A2583" s="8" t="s">
        <v>10349</v>
      </c>
      <c r="B2583" s="8" t="s">
        <v>11512</v>
      </c>
      <c r="C2583" s="8">
        <v>254228</v>
      </c>
      <c r="D2583" s="8" t="s">
        <v>237</v>
      </c>
      <c r="E2583" s="8">
        <v>116832983</v>
      </c>
      <c r="F2583" s="8">
        <v>116832983</v>
      </c>
      <c r="G2583" s="8" t="s">
        <v>46</v>
      </c>
      <c r="H2583" s="8" t="s">
        <v>41</v>
      </c>
      <c r="I2583" s="8" t="s">
        <v>23</v>
      </c>
      <c r="J2583" s="8" t="s">
        <v>11513</v>
      </c>
      <c r="K2583" s="8" t="s">
        <v>11515</v>
      </c>
      <c r="L2583" s="8" t="s">
        <v>19</v>
      </c>
      <c r="M2583" s="8">
        <v>176</v>
      </c>
      <c r="N2583" s="8" t="s">
        <v>2400</v>
      </c>
      <c r="O2583" s="8">
        <v>42</v>
      </c>
      <c r="P2583" s="8" t="s">
        <v>11514</v>
      </c>
      <c r="Q2583" s="8" t="s">
        <v>4262</v>
      </c>
      <c r="R2583" s="8">
        <v>0.14299999999999999</v>
      </c>
      <c r="S2583" s="8">
        <v>116832983</v>
      </c>
      <c r="T2583" s="8" t="s">
        <v>46</v>
      </c>
      <c r="U2583" s="8" t="s">
        <v>41</v>
      </c>
    </row>
    <row r="2584" spans="1:21">
      <c r="A2584" s="8" t="s">
        <v>10349</v>
      </c>
      <c r="B2584" s="8" t="s">
        <v>1530</v>
      </c>
      <c r="C2584" s="8">
        <v>5796</v>
      </c>
      <c r="D2584" s="8" t="s">
        <v>237</v>
      </c>
      <c r="E2584" s="8">
        <v>128561214</v>
      </c>
      <c r="F2584" s="8">
        <v>128561214</v>
      </c>
      <c r="G2584" s="8" t="s">
        <v>46</v>
      </c>
      <c r="H2584" s="8" t="s">
        <v>41</v>
      </c>
      <c r="I2584" s="8" t="s">
        <v>23</v>
      </c>
      <c r="J2584" s="8" t="s">
        <v>11516</v>
      </c>
      <c r="K2584" s="8" t="s">
        <v>11518</v>
      </c>
      <c r="L2584" s="8" t="s">
        <v>19</v>
      </c>
      <c r="M2584" s="8">
        <v>1026</v>
      </c>
      <c r="N2584" s="8" t="s">
        <v>1399</v>
      </c>
      <c r="O2584" s="8">
        <v>220</v>
      </c>
      <c r="P2584" s="8" t="s">
        <v>11517</v>
      </c>
      <c r="Q2584" s="8" t="s">
        <v>4262</v>
      </c>
      <c r="R2584" s="8">
        <v>0.108</v>
      </c>
      <c r="S2584" s="8">
        <v>128561214</v>
      </c>
      <c r="T2584" s="8" t="s">
        <v>46</v>
      </c>
      <c r="U2584" s="8" t="s">
        <v>41</v>
      </c>
    </row>
    <row r="2585" spans="1:21">
      <c r="A2585" s="8" t="s">
        <v>10349</v>
      </c>
      <c r="B2585" s="8" t="s">
        <v>388</v>
      </c>
      <c r="C2585" s="8">
        <v>3908</v>
      </c>
      <c r="D2585" s="8" t="s">
        <v>237</v>
      </c>
      <c r="E2585" s="8">
        <v>129663606</v>
      </c>
      <c r="F2585" s="8">
        <v>129663606</v>
      </c>
      <c r="G2585" s="8" t="s">
        <v>24</v>
      </c>
      <c r="H2585" s="8" t="s">
        <v>25</v>
      </c>
      <c r="I2585" s="8" t="s">
        <v>23</v>
      </c>
      <c r="J2585" s="8" t="s">
        <v>8863</v>
      </c>
      <c r="K2585" s="8" t="s">
        <v>8865</v>
      </c>
      <c r="L2585" s="8" t="s">
        <v>19</v>
      </c>
      <c r="M2585" s="8">
        <v>4535</v>
      </c>
      <c r="N2585" s="8" t="s">
        <v>2664</v>
      </c>
      <c r="O2585" s="8">
        <v>1477</v>
      </c>
      <c r="P2585" s="8" t="s">
        <v>11519</v>
      </c>
      <c r="Q2585" s="8" t="s">
        <v>4262</v>
      </c>
      <c r="R2585" s="8">
        <v>0.08</v>
      </c>
      <c r="S2585" s="8">
        <v>129663606</v>
      </c>
      <c r="T2585" s="8" t="s">
        <v>24</v>
      </c>
      <c r="U2585" s="8" t="s">
        <v>25</v>
      </c>
    </row>
    <row r="2586" spans="1:21">
      <c r="A2586" s="8" t="s">
        <v>10349</v>
      </c>
      <c r="B2586" s="8" t="s">
        <v>2742</v>
      </c>
      <c r="C2586" s="8">
        <v>3097</v>
      </c>
      <c r="D2586" s="8" t="s">
        <v>237</v>
      </c>
      <c r="E2586" s="8">
        <v>143094696</v>
      </c>
      <c r="F2586" s="8">
        <v>143094696</v>
      </c>
      <c r="G2586" s="8" t="s">
        <v>46</v>
      </c>
      <c r="H2586" s="8" t="s">
        <v>41</v>
      </c>
      <c r="I2586" s="8" t="s">
        <v>23</v>
      </c>
      <c r="J2586" s="8" t="s">
        <v>2743</v>
      </c>
      <c r="K2586" s="8" t="s">
        <v>11521</v>
      </c>
      <c r="L2586" s="8" t="s">
        <v>19</v>
      </c>
      <c r="M2586" s="8">
        <v>1923</v>
      </c>
      <c r="N2586" s="8" t="s">
        <v>1364</v>
      </c>
      <c r="O2586" s="8">
        <v>394</v>
      </c>
      <c r="P2586" s="8" t="s">
        <v>11520</v>
      </c>
      <c r="Q2586" s="8" t="s">
        <v>4262</v>
      </c>
      <c r="R2586" s="8">
        <v>0.13100000000000001</v>
      </c>
      <c r="S2586" s="8">
        <v>143094696</v>
      </c>
      <c r="T2586" s="8" t="s">
        <v>46</v>
      </c>
      <c r="U2586" s="8" t="s">
        <v>41</v>
      </c>
    </row>
    <row r="2587" spans="1:21">
      <c r="A2587" s="8" t="s">
        <v>10349</v>
      </c>
      <c r="B2587" s="8" t="s">
        <v>11522</v>
      </c>
      <c r="C2587" s="8">
        <v>8676</v>
      </c>
      <c r="D2587" s="8" t="s">
        <v>237</v>
      </c>
      <c r="E2587" s="8">
        <v>144507775</v>
      </c>
      <c r="F2587" s="8">
        <v>144507775</v>
      </c>
      <c r="G2587" s="8" t="s">
        <v>24</v>
      </c>
      <c r="H2587" s="8" t="s">
        <v>25</v>
      </c>
      <c r="I2587" s="8" t="s">
        <v>23</v>
      </c>
      <c r="J2587" s="8" t="s">
        <v>11523</v>
      </c>
      <c r="K2587" s="8" t="s">
        <v>11525</v>
      </c>
      <c r="L2587" s="8" t="s">
        <v>19</v>
      </c>
      <c r="M2587" s="8">
        <v>203</v>
      </c>
      <c r="N2587" s="8" t="s">
        <v>61</v>
      </c>
      <c r="O2587" s="8">
        <v>4</v>
      </c>
      <c r="P2587" s="8" t="s">
        <v>11524</v>
      </c>
      <c r="Q2587" s="8" t="s">
        <v>4262</v>
      </c>
      <c r="R2587" s="8">
        <v>0.214</v>
      </c>
      <c r="S2587" s="8">
        <v>144507775</v>
      </c>
      <c r="T2587" s="8" t="s">
        <v>24</v>
      </c>
      <c r="U2587" s="8" t="s">
        <v>25</v>
      </c>
    </row>
    <row r="2588" spans="1:21">
      <c r="A2588" s="8" t="s">
        <v>10349</v>
      </c>
      <c r="B2588" s="8" t="s">
        <v>11526</v>
      </c>
      <c r="C2588" s="8">
        <v>80129</v>
      </c>
      <c r="D2588" s="8" t="s">
        <v>237</v>
      </c>
      <c r="E2588" s="8">
        <v>151859330</v>
      </c>
      <c r="F2588" s="8">
        <v>151859330</v>
      </c>
      <c r="G2588" s="8" t="s">
        <v>24</v>
      </c>
      <c r="H2588" s="8" t="s">
        <v>25</v>
      </c>
      <c r="I2588" s="8" t="s">
        <v>23</v>
      </c>
      <c r="J2588" s="8" t="s">
        <v>11527</v>
      </c>
      <c r="K2588" s="8" t="s">
        <v>11529</v>
      </c>
      <c r="L2588" s="8" t="s">
        <v>19</v>
      </c>
      <c r="M2588" s="8">
        <v>426</v>
      </c>
      <c r="N2588" s="8" t="s">
        <v>1070</v>
      </c>
      <c r="O2588" s="8">
        <v>113</v>
      </c>
      <c r="P2588" s="8" t="s">
        <v>11528</v>
      </c>
      <c r="Q2588" s="8" t="s">
        <v>4262</v>
      </c>
      <c r="R2588" s="8">
        <v>0.20599999999999999</v>
      </c>
      <c r="S2588" s="8">
        <v>151859330</v>
      </c>
      <c r="T2588" s="8" t="s">
        <v>24</v>
      </c>
      <c r="U2588" s="8" t="s">
        <v>25</v>
      </c>
    </row>
    <row r="2589" spans="1:21">
      <c r="A2589" s="8" t="s">
        <v>10349</v>
      </c>
      <c r="B2589" s="8" t="s">
        <v>1531</v>
      </c>
      <c r="C2589" s="8">
        <v>23345</v>
      </c>
      <c r="D2589" s="8" t="s">
        <v>237</v>
      </c>
      <c r="E2589" s="8">
        <v>152671827</v>
      </c>
      <c r="F2589" s="8">
        <v>152671827</v>
      </c>
      <c r="G2589" s="8" t="s">
        <v>46</v>
      </c>
      <c r="H2589" s="8" t="s">
        <v>41</v>
      </c>
      <c r="I2589" s="8" t="s">
        <v>23</v>
      </c>
      <c r="J2589" s="8" t="s">
        <v>4324</v>
      </c>
      <c r="K2589" s="8" t="s">
        <v>4326</v>
      </c>
      <c r="L2589" s="8" t="s">
        <v>19</v>
      </c>
      <c r="M2589" s="8">
        <v>12261</v>
      </c>
      <c r="N2589" s="8" t="s">
        <v>171</v>
      </c>
      <c r="O2589" s="8">
        <v>3887</v>
      </c>
      <c r="P2589" s="8" t="s">
        <v>11530</v>
      </c>
      <c r="Q2589" s="8" t="s">
        <v>4262</v>
      </c>
      <c r="R2589" s="8">
        <v>0.155</v>
      </c>
      <c r="S2589" s="8">
        <v>152671827</v>
      </c>
      <c r="T2589" s="8" t="s">
        <v>46</v>
      </c>
      <c r="U2589" s="8" t="s">
        <v>41</v>
      </c>
    </row>
    <row r="2590" spans="1:21">
      <c r="A2590" s="8" t="s">
        <v>10349</v>
      </c>
      <c r="B2590" s="8" t="s">
        <v>1531</v>
      </c>
      <c r="C2590" s="8">
        <v>23345</v>
      </c>
      <c r="D2590" s="8" t="s">
        <v>237</v>
      </c>
      <c r="E2590" s="8">
        <v>152771795</v>
      </c>
      <c r="F2590" s="8">
        <v>152771795</v>
      </c>
      <c r="G2590" s="8" t="s">
        <v>46</v>
      </c>
      <c r="H2590" s="8" t="s">
        <v>41</v>
      </c>
      <c r="I2590" s="8" t="s">
        <v>23</v>
      </c>
      <c r="J2590" s="8" t="s">
        <v>4324</v>
      </c>
      <c r="K2590" s="8" t="s">
        <v>4326</v>
      </c>
      <c r="L2590" s="8" t="s">
        <v>19</v>
      </c>
      <c r="M2590" s="8">
        <v>3962</v>
      </c>
      <c r="N2590" s="8" t="s">
        <v>2439</v>
      </c>
      <c r="O2590" s="8">
        <v>1120</v>
      </c>
      <c r="P2590" s="8" t="s">
        <v>11531</v>
      </c>
      <c r="Q2590" s="8" t="s">
        <v>4262</v>
      </c>
      <c r="R2590" s="8">
        <v>0.13800000000000001</v>
      </c>
      <c r="S2590" s="8">
        <v>152771795</v>
      </c>
      <c r="T2590" s="8" t="s">
        <v>46</v>
      </c>
      <c r="U2590" s="8" t="s">
        <v>41</v>
      </c>
    </row>
    <row r="2591" spans="1:21">
      <c r="A2591" s="8" t="s">
        <v>10349</v>
      </c>
      <c r="B2591" s="8" t="s">
        <v>1531</v>
      </c>
      <c r="C2591" s="8">
        <v>23345</v>
      </c>
      <c r="D2591" s="8" t="s">
        <v>237</v>
      </c>
      <c r="E2591" s="8">
        <v>152771827</v>
      </c>
      <c r="F2591" s="8">
        <v>152771827</v>
      </c>
      <c r="G2591" s="8" t="s">
        <v>46</v>
      </c>
      <c r="H2591" s="8" t="s">
        <v>41</v>
      </c>
      <c r="I2591" s="8" t="s">
        <v>23</v>
      </c>
      <c r="J2591" s="8" t="s">
        <v>4324</v>
      </c>
      <c r="K2591" s="8" t="s">
        <v>4326</v>
      </c>
      <c r="L2591" s="8" t="s">
        <v>19</v>
      </c>
      <c r="M2591" s="8">
        <v>3930</v>
      </c>
      <c r="N2591" s="8" t="s">
        <v>768</v>
      </c>
      <c r="O2591" s="8">
        <v>1110</v>
      </c>
      <c r="P2591" s="8" t="s">
        <v>11532</v>
      </c>
      <c r="Q2591" s="8" t="s">
        <v>4262</v>
      </c>
      <c r="R2591" s="8">
        <v>0.21299999999999999</v>
      </c>
      <c r="S2591" s="8">
        <v>152771827</v>
      </c>
      <c r="T2591" s="8" t="s">
        <v>46</v>
      </c>
      <c r="U2591" s="8" t="s">
        <v>41</v>
      </c>
    </row>
    <row r="2592" spans="1:21">
      <c r="A2592" s="8" t="s">
        <v>10349</v>
      </c>
      <c r="B2592" s="8" t="s">
        <v>1531</v>
      </c>
      <c r="C2592" s="8">
        <v>23345</v>
      </c>
      <c r="D2592" s="8" t="s">
        <v>237</v>
      </c>
      <c r="E2592" s="8">
        <v>152861142</v>
      </c>
      <c r="F2592" s="8">
        <v>152861142</v>
      </c>
      <c r="G2592" s="8" t="s">
        <v>46</v>
      </c>
      <c r="H2592" s="8" t="s">
        <v>41</v>
      </c>
      <c r="I2592" s="8" t="s">
        <v>23</v>
      </c>
      <c r="J2592" s="8" t="s">
        <v>4324</v>
      </c>
      <c r="K2592" s="8" t="s">
        <v>4326</v>
      </c>
      <c r="L2592" s="8" t="s">
        <v>19</v>
      </c>
      <c r="M2592" s="8">
        <v>684</v>
      </c>
      <c r="N2592" s="8" t="s">
        <v>322</v>
      </c>
      <c r="O2592" s="8">
        <v>28</v>
      </c>
      <c r="P2592" s="8" t="s">
        <v>11533</v>
      </c>
      <c r="Q2592" s="8" t="s">
        <v>4262</v>
      </c>
      <c r="R2592" s="8">
        <v>0.25</v>
      </c>
      <c r="S2592" s="8">
        <v>152861142</v>
      </c>
      <c r="T2592" s="8" t="s">
        <v>46</v>
      </c>
      <c r="U2592" s="8" t="s">
        <v>41</v>
      </c>
    </row>
    <row r="2593" spans="1:21">
      <c r="A2593" s="8" t="s">
        <v>10349</v>
      </c>
      <c r="B2593" s="8" t="s">
        <v>8873</v>
      </c>
      <c r="C2593" s="8">
        <v>154197</v>
      </c>
      <c r="D2593" s="8" t="s">
        <v>237</v>
      </c>
      <c r="E2593" s="8">
        <v>160221809</v>
      </c>
      <c r="F2593" s="8">
        <v>160221809</v>
      </c>
      <c r="G2593" s="8" t="s">
        <v>24</v>
      </c>
      <c r="H2593" s="8" t="s">
        <v>25</v>
      </c>
      <c r="I2593" s="8" t="s">
        <v>23</v>
      </c>
      <c r="J2593" s="8" t="s">
        <v>8874</v>
      </c>
      <c r="K2593" s="8" t="s">
        <v>8876</v>
      </c>
      <c r="L2593" s="8" t="s">
        <v>19</v>
      </c>
      <c r="M2593" s="8">
        <v>220</v>
      </c>
      <c r="N2593" s="8" t="s">
        <v>485</v>
      </c>
      <c r="O2593" s="8">
        <v>17</v>
      </c>
      <c r="P2593" s="8" t="s">
        <v>11534</v>
      </c>
      <c r="Q2593" s="8" t="s">
        <v>4262</v>
      </c>
      <c r="R2593" s="8">
        <v>0.156</v>
      </c>
      <c r="S2593" s="8">
        <v>160221809</v>
      </c>
      <c r="T2593" s="8" t="s">
        <v>24</v>
      </c>
      <c r="U2593" s="8" t="s">
        <v>25</v>
      </c>
    </row>
    <row r="2594" spans="1:21">
      <c r="A2594" s="8" t="s">
        <v>10349</v>
      </c>
      <c r="B2594" s="8" t="s">
        <v>11535</v>
      </c>
      <c r="C2594" s="8">
        <v>6196</v>
      </c>
      <c r="D2594" s="8" t="s">
        <v>237</v>
      </c>
      <c r="E2594" s="8">
        <v>166944776</v>
      </c>
      <c r="F2594" s="8">
        <v>166944776</v>
      </c>
      <c r="G2594" s="8" t="s">
        <v>46</v>
      </c>
      <c r="H2594" s="8" t="s">
        <v>41</v>
      </c>
      <c r="I2594" s="8" t="s">
        <v>23</v>
      </c>
      <c r="J2594" s="8" t="s">
        <v>11536</v>
      </c>
      <c r="K2594" s="8" t="s">
        <v>11538</v>
      </c>
      <c r="L2594" s="8" t="s">
        <v>19</v>
      </c>
      <c r="M2594" s="8">
        <v>379</v>
      </c>
      <c r="N2594" s="8" t="s">
        <v>1399</v>
      </c>
      <c r="O2594" s="8">
        <v>89</v>
      </c>
      <c r="P2594" s="8" t="s">
        <v>11537</v>
      </c>
      <c r="Q2594" s="8" t="s">
        <v>4262</v>
      </c>
      <c r="R2594" s="8">
        <v>0.184</v>
      </c>
      <c r="S2594" s="8">
        <v>166944776</v>
      </c>
      <c r="T2594" s="8" t="s">
        <v>46</v>
      </c>
      <c r="U2594" s="8" t="s">
        <v>41</v>
      </c>
    </row>
    <row r="2595" spans="1:21">
      <c r="A2595" s="8" t="s">
        <v>10349</v>
      </c>
      <c r="B2595" s="8" t="s">
        <v>11539</v>
      </c>
      <c r="C2595" s="8">
        <v>9750</v>
      </c>
      <c r="D2595" s="8" t="s">
        <v>237</v>
      </c>
      <c r="E2595" s="8">
        <v>24843497</v>
      </c>
      <c r="F2595" s="8">
        <v>24843497</v>
      </c>
      <c r="G2595" s="8" t="s">
        <v>24</v>
      </c>
      <c r="H2595" s="8" t="s">
        <v>25</v>
      </c>
      <c r="I2595" s="8" t="s">
        <v>23</v>
      </c>
      <c r="J2595" s="8" t="s">
        <v>11540</v>
      </c>
      <c r="K2595" s="8" t="s">
        <v>11541</v>
      </c>
      <c r="L2595" s="8" t="s">
        <v>19</v>
      </c>
      <c r="M2595" s="8">
        <v>1689</v>
      </c>
      <c r="N2595" s="8" t="s">
        <v>423</v>
      </c>
      <c r="O2595" s="8">
        <v>505</v>
      </c>
      <c r="P2595" s="8" t="s">
        <v>4695</v>
      </c>
      <c r="Q2595" s="8" t="s">
        <v>4262</v>
      </c>
      <c r="R2595" s="8">
        <v>0.2</v>
      </c>
      <c r="S2595" s="8">
        <v>24843497</v>
      </c>
      <c r="T2595" s="8" t="s">
        <v>24</v>
      </c>
      <c r="U2595" s="8" t="s">
        <v>25</v>
      </c>
    </row>
    <row r="2596" spans="1:21">
      <c r="A2596" s="8" t="s">
        <v>10349</v>
      </c>
      <c r="B2596" s="8" t="s">
        <v>11542</v>
      </c>
      <c r="C2596" s="8">
        <v>9753</v>
      </c>
      <c r="D2596" s="8" t="s">
        <v>237</v>
      </c>
      <c r="E2596" s="8">
        <v>28359330</v>
      </c>
      <c r="F2596" s="8">
        <v>28359330</v>
      </c>
      <c r="G2596" s="8" t="s">
        <v>24</v>
      </c>
      <c r="H2596" s="8" t="s">
        <v>25</v>
      </c>
      <c r="I2596" s="8" t="s">
        <v>23</v>
      </c>
      <c r="J2596" s="8" t="s">
        <v>11543</v>
      </c>
      <c r="K2596" s="8" t="s">
        <v>11544</v>
      </c>
      <c r="L2596" s="8" t="s">
        <v>19</v>
      </c>
      <c r="M2596" s="8">
        <v>916</v>
      </c>
      <c r="N2596" s="8" t="s">
        <v>1140</v>
      </c>
      <c r="O2596" s="8">
        <v>246</v>
      </c>
      <c r="P2596" s="8" t="s">
        <v>4534</v>
      </c>
      <c r="Q2596" s="8" t="s">
        <v>4262</v>
      </c>
      <c r="R2596" s="8">
        <v>0.154</v>
      </c>
      <c r="S2596" s="8">
        <v>28359330</v>
      </c>
      <c r="T2596" s="8" t="s">
        <v>24</v>
      </c>
      <c r="U2596" s="8" t="s">
        <v>25</v>
      </c>
    </row>
    <row r="2597" spans="1:21">
      <c r="A2597" s="8" t="s">
        <v>10349</v>
      </c>
      <c r="B2597" s="8" t="s">
        <v>11545</v>
      </c>
      <c r="C2597" s="8">
        <v>81797</v>
      </c>
      <c r="D2597" s="8" t="s">
        <v>237</v>
      </c>
      <c r="E2597" s="8">
        <v>29342230</v>
      </c>
      <c r="F2597" s="8">
        <v>29342230</v>
      </c>
      <c r="G2597" s="8" t="s">
        <v>46</v>
      </c>
      <c r="H2597" s="8" t="s">
        <v>41</v>
      </c>
      <c r="I2597" s="8" t="s">
        <v>23</v>
      </c>
      <c r="J2597" s="8" t="s">
        <v>11546</v>
      </c>
      <c r="K2597" s="8" t="s">
        <v>11548</v>
      </c>
      <c r="L2597" s="8" t="s">
        <v>19</v>
      </c>
      <c r="M2597" s="8">
        <v>839</v>
      </c>
      <c r="N2597" s="8" t="s">
        <v>155</v>
      </c>
      <c r="O2597" s="8">
        <v>279</v>
      </c>
      <c r="P2597" s="8" t="s">
        <v>11547</v>
      </c>
      <c r="Q2597" s="8" t="s">
        <v>4262</v>
      </c>
      <c r="R2597" s="8">
        <v>0.308</v>
      </c>
      <c r="S2597" s="8">
        <v>29342230</v>
      </c>
      <c r="T2597" s="8" t="s">
        <v>46</v>
      </c>
      <c r="U2597" s="8" t="s">
        <v>41</v>
      </c>
    </row>
    <row r="2598" spans="1:21">
      <c r="A2598" s="8" t="s">
        <v>10349</v>
      </c>
      <c r="B2598" s="8" t="s">
        <v>2746</v>
      </c>
      <c r="C2598" s="8">
        <v>442194</v>
      </c>
      <c r="D2598" s="8" t="s">
        <v>237</v>
      </c>
      <c r="E2598" s="8">
        <v>29407991</v>
      </c>
      <c r="F2598" s="8">
        <v>29407991</v>
      </c>
      <c r="G2598" s="8" t="s">
        <v>24</v>
      </c>
      <c r="H2598" s="8" t="s">
        <v>25</v>
      </c>
      <c r="I2598" s="8" t="s">
        <v>23</v>
      </c>
      <c r="J2598" s="8" t="s">
        <v>2747</v>
      </c>
      <c r="K2598" s="8" t="s">
        <v>11550</v>
      </c>
      <c r="L2598" s="8" t="s">
        <v>19</v>
      </c>
      <c r="M2598" s="8">
        <v>276</v>
      </c>
      <c r="N2598" s="8" t="s">
        <v>155</v>
      </c>
      <c r="O2598" s="8">
        <v>67</v>
      </c>
      <c r="P2598" s="8" t="s">
        <v>11549</v>
      </c>
      <c r="Q2598" s="8" t="s">
        <v>4262</v>
      </c>
      <c r="R2598" s="8">
        <v>0.185</v>
      </c>
      <c r="S2598" s="8">
        <v>29407991</v>
      </c>
      <c r="T2598" s="8" t="s">
        <v>24</v>
      </c>
      <c r="U2598" s="8" t="s">
        <v>25</v>
      </c>
    </row>
    <row r="2599" spans="1:21">
      <c r="A2599" s="8" t="s">
        <v>10349</v>
      </c>
      <c r="B2599" s="8" t="s">
        <v>2746</v>
      </c>
      <c r="C2599" s="8">
        <v>442194</v>
      </c>
      <c r="D2599" s="8" t="s">
        <v>237</v>
      </c>
      <c r="E2599" s="8">
        <v>29408499</v>
      </c>
      <c r="F2599" s="8">
        <v>29408499</v>
      </c>
      <c r="G2599" s="8" t="s">
        <v>46</v>
      </c>
      <c r="H2599" s="8" t="s">
        <v>41</v>
      </c>
      <c r="I2599" s="8" t="s">
        <v>23</v>
      </c>
      <c r="J2599" s="8" t="s">
        <v>2747</v>
      </c>
      <c r="K2599" s="8" t="s">
        <v>11550</v>
      </c>
      <c r="L2599" s="8" t="s">
        <v>19</v>
      </c>
      <c r="M2599" s="8">
        <v>784</v>
      </c>
      <c r="N2599" s="8" t="s">
        <v>1421</v>
      </c>
      <c r="O2599" s="8">
        <v>236</v>
      </c>
      <c r="P2599" s="8" t="s">
        <v>11551</v>
      </c>
      <c r="Q2599" s="8" t="s">
        <v>4262</v>
      </c>
      <c r="R2599" s="8">
        <v>0.156</v>
      </c>
      <c r="S2599" s="8">
        <v>29408499</v>
      </c>
      <c r="T2599" s="8" t="s">
        <v>46</v>
      </c>
      <c r="U2599" s="8" t="s">
        <v>41</v>
      </c>
    </row>
    <row r="2600" spans="1:21">
      <c r="A2600" s="8" t="s">
        <v>10349</v>
      </c>
      <c r="B2600" s="8" t="s">
        <v>11552</v>
      </c>
      <c r="C2600" s="8">
        <v>23</v>
      </c>
      <c r="D2600" s="8" t="s">
        <v>237</v>
      </c>
      <c r="E2600" s="8">
        <v>30552001</v>
      </c>
      <c r="F2600" s="8">
        <v>30552001</v>
      </c>
      <c r="G2600" s="8" t="s">
        <v>24</v>
      </c>
      <c r="H2600" s="8" t="s">
        <v>25</v>
      </c>
      <c r="I2600" s="8" t="s">
        <v>23</v>
      </c>
      <c r="J2600" s="8" t="s">
        <v>11553</v>
      </c>
      <c r="K2600" s="8" t="s">
        <v>11555</v>
      </c>
      <c r="L2600" s="8" t="s">
        <v>19</v>
      </c>
      <c r="M2600" s="8">
        <v>1230</v>
      </c>
      <c r="N2600" s="8" t="s">
        <v>768</v>
      </c>
      <c r="O2600" s="8">
        <v>379</v>
      </c>
      <c r="P2600" s="8" t="s">
        <v>11554</v>
      </c>
      <c r="Q2600" s="8" t="s">
        <v>4262</v>
      </c>
      <c r="R2600" s="8">
        <v>0.222</v>
      </c>
      <c r="S2600" s="8">
        <v>30552001</v>
      </c>
      <c r="T2600" s="8" t="s">
        <v>24</v>
      </c>
      <c r="U2600" s="8" t="s">
        <v>25</v>
      </c>
    </row>
    <row r="2601" spans="1:21">
      <c r="A2601" s="8" t="s">
        <v>10349</v>
      </c>
      <c r="B2601" s="8" t="s">
        <v>11556</v>
      </c>
      <c r="C2601" s="8">
        <v>3113</v>
      </c>
      <c r="D2601" s="8" t="s">
        <v>237</v>
      </c>
      <c r="E2601" s="8">
        <v>33036958</v>
      </c>
      <c r="F2601" s="8">
        <v>33036958</v>
      </c>
      <c r="G2601" s="8" t="s">
        <v>46</v>
      </c>
      <c r="H2601" s="8" t="s">
        <v>41</v>
      </c>
      <c r="I2601" s="8" t="s">
        <v>23</v>
      </c>
      <c r="J2601" s="8" t="s">
        <v>11557</v>
      </c>
      <c r="K2601" s="8" t="s">
        <v>11560</v>
      </c>
      <c r="L2601" s="8" t="s">
        <v>19</v>
      </c>
      <c r="M2601" s="8">
        <v>588</v>
      </c>
      <c r="N2601" s="8" t="s">
        <v>28</v>
      </c>
      <c r="O2601" s="8">
        <v>156</v>
      </c>
      <c r="P2601" s="8" t="s">
        <v>11558</v>
      </c>
      <c r="Q2601" s="8" t="s">
        <v>11559</v>
      </c>
      <c r="R2601" s="8">
        <v>0.17799999999999999</v>
      </c>
      <c r="S2601" s="8">
        <v>33036958</v>
      </c>
      <c r="T2601" s="8" t="s">
        <v>46</v>
      </c>
      <c r="U2601" s="8" t="s">
        <v>41</v>
      </c>
    </row>
    <row r="2602" spans="1:21">
      <c r="A2602" s="8" t="s">
        <v>10349</v>
      </c>
      <c r="B2602" s="8" t="s">
        <v>11561</v>
      </c>
      <c r="C2602" s="8">
        <v>1302</v>
      </c>
      <c r="D2602" s="8" t="s">
        <v>237</v>
      </c>
      <c r="E2602" s="8">
        <v>33146485</v>
      </c>
      <c r="F2602" s="8">
        <v>33146485</v>
      </c>
      <c r="G2602" s="8" t="s">
        <v>24</v>
      </c>
      <c r="H2602" s="8" t="s">
        <v>25</v>
      </c>
      <c r="I2602" s="8" t="s">
        <v>23</v>
      </c>
      <c r="J2602" s="8" t="s">
        <v>11562</v>
      </c>
      <c r="K2602" s="8" t="s">
        <v>11564</v>
      </c>
      <c r="L2602" s="8" t="s">
        <v>19</v>
      </c>
      <c r="M2602" s="8">
        <v>1918</v>
      </c>
      <c r="N2602" s="8" t="s">
        <v>423</v>
      </c>
      <c r="O2602" s="8">
        <v>564</v>
      </c>
      <c r="P2602" s="8" t="s">
        <v>11563</v>
      </c>
      <c r="Q2602" s="8" t="s">
        <v>4262</v>
      </c>
      <c r="R2602" s="8">
        <v>0.17899999999999999</v>
      </c>
      <c r="S2602" s="8">
        <v>33146485</v>
      </c>
      <c r="T2602" s="8" t="s">
        <v>24</v>
      </c>
      <c r="U2602" s="8" t="s">
        <v>25</v>
      </c>
    </row>
    <row r="2603" spans="1:21">
      <c r="A2603" s="8" t="s">
        <v>10349</v>
      </c>
      <c r="B2603" s="8" t="s">
        <v>11565</v>
      </c>
      <c r="C2603" s="8">
        <v>6257</v>
      </c>
      <c r="D2603" s="8" t="s">
        <v>237</v>
      </c>
      <c r="E2603" s="8">
        <v>33166165</v>
      </c>
      <c r="F2603" s="8">
        <v>33166165</v>
      </c>
      <c r="G2603" s="8" t="s">
        <v>46</v>
      </c>
      <c r="H2603" s="8" t="s">
        <v>41</v>
      </c>
      <c r="I2603" s="8" t="s">
        <v>23</v>
      </c>
      <c r="J2603" s="8" t="s">
        <v>11566</v>
      </c>
      <c r="K2603" s="8" t="s">
        <v>11568</v>
      </c>
      <c r="L2603" s="8" t="s">
        <v>19</v>
      </c>
      <c r="M2603" s="8">
        <v>739</v>
      </c>
      <c r="N2603" s="8" t="s">
        <v>61</v>
      </c>
      <c r="O2603" s="8">
        <v>187</v>
      </c>
      <c r="P2603" s="8" t="s">
        <v>11567</v>
      </c>
      <c r="Q2603" s="8" t="s">
        <v>4262</v>
      </c>
      <c r="R2603" s="8">
        <v>0.222</v>
      </c>
      <c r="S2603" s="8">
        <v>33166165</v>
      </c>
      <c r="T2603" s="8" t="s">
        <v>46</v>
      </c>
      <c r="U2603" s="8" t="s">
        <v>41</v>
      </c>
    </row>
    <row r="2604" spans="1:21">
      <c r="A2604" s="8" t="s">
        <v>10349</v>
      </c>
      <c r="B2604" s="8" t="s">
        <v>1534</v>
      </c>
      <c r="C2604" s="8">
        <v>1769</v>
      </c>
      <c r="D2604" s="8" t="s">
        <v>237</v>
      </c>
      <c r="E2604" s="8">
        <v>38840322</v>
      </c>
      <c r="F2604" s="8">
        <v>38840322</v>
      </c>
      <c r="G2604" s="8" t="s">
        <v>46</v>
      </c>
      <c r="H2604" s="8" t="s">
        <v>41</v>
      </c>
      <c r="I2604" s="8" t="s">
        <v>23</v>
      </c>
      <c r="J2604" s="8" t="s">
        <v>1535</v>
      </c>
      <c r="K2604" s="8" t="s">
        <v>4682</v>
      </c>
      <c r="L2604" s="8" t="s">
        <v>19</v>
      </c>
      <c r="M2604" s="8">
        <v>7110</v>
      </c>
      <c r="N2604" s="8" t="s">
        <v>741</v>
      </c>
      <c r="O2604" s="8">
        <v>2334</v>
      </c>
      <c r="P2604" s="8" t="s">
        <v>11569</v>
      </c>
      <c r="Q2604" s="8" t="s">
        <v>4262</v>
      </c>
      <c r="R2604" s="8">
        <v>0.30599999999999999</v>
      </c>
      <c r="S2604" s="8">
        <v>38840322</v>
      </c>
      <c r="T2604" s="8" t="s">
        <v>46</v>
      </c>
      <c r="U2604" s="8" t="s">
        <v>41</v>
      </c>
    </row>
    <row r="2605" spans="1:21">
      <c r="A2605" s="8" t="s">
        <v>10349</v>
      </c>
      <c r="B2605" s="8" t="s">
        <v>1534</v>
      </c>
      <c r="C2605" s="8">
        <v>1769</v>
      </c>
      <c r="D2605" s="8" t="s">
        <v>237</v>
      </c>
      <c r="E2605" s="8">
        <v>38840721</v>
      </c>
      <c r="F2605" s="8">
        <v>38840721</v>
      </c>
      <c r="G2605" s="8" t="s">
        <v>46</v>
      </c>
      <c r="H2605" s="8" t="s">
        <v>41</v>
      </c>
      <c r="I2605" s="8" t="s">
        <v>23</v>
      </c>
      <c r="J2605" s="8" t="s">
        <v>1535</v>
      </c>
      <c r="K2605" s="8" t="s">
        <v>4682</v>
      </c>
      <c r="L2605" s="8" t="s">
        <v>19</v>
      </c>
      <c r="M2605" s="8">
        <v>7386</v>
      </c>
      <c r="N2605" s="8" t="s">
        <v>1421</v>
      </c>
      <c r="O2605" s="8">
        <v>2426</v>
      </c>
      <c r="P2605" s="8" t="s">
        <v>11570</v>
      </c>
      <c r="Q2605" s="8" t="s">
        <v>4262</v>
      </c>
      <c r="R2605" s="8">
        <v>0.192</v>
      </c>
      <c r="S2605" s="8">
        <v>38840721</v>
      </c>
      <c r="T2605" s="8" t="s">
        <v>46</v>
      </c>
      <c r="U2605" s="8" t="s">
        <v>41</v>
      </c>
    </row>
    <row r="2606" spans="1:21">
      <c r="A2606" s="8" t="s">
        <v>10349</v>
      </c>
      <c r="B2606" s="8" t="s">
        <v>11571</v>
      </c>
      <c r="C2606" s="8">
        <v>2740</v>
      </c>
      <c r="D2606" s="8" t="s">
        <v>237</v>
      </c>
      <c r="E2606" s="8">
        <v>39041399</v>
      </c>
      <c r="F2606" s="8">
        <v>39041399</v>
      </c>
      <c r="G2606" s="8" t="s">
        <v>24</v>
      </c>
      <c r="H2606" s="8" t="s">
        <v>25</v>
      </c>
      <c r="I2606" s="8" t="s">
        <v>23</v>
      </c>
      <c r="J2606" s="8" t="s">
        <v>11572</v>
      </c>
      <c r="K2606" s="8" t="s">
        <v>11574</v>
      </c>
      <c r="L2606" s="8" t="s">
        <v>19</v>
      </c>
      <c r="M2606" s="8">
        <v>737</v>
      </c>
      <c r="N2606" s="8" t="s">
        <v>732</v>
      </c>
      <c r="O2606" s="8">
        <v>226</v>
      </c>
      <c r="P2606" s="8" t="s">
        <v>11573</v>
      </c>
      <c r="Q2606" s="8" t="s">
        <v>4262</v>
      </c>
      <c r="R2606" s="8">
        <v>0.24199999999999999</v>
      </c>
      <c r="S2606" s="8">
        <v>39041399</v>
      </c>
      <c r="T2606" s="8" t="s">
        <v>24</v>
      </c>
      <c r="U2606" s="8" t="s">
        <v>25</v>
      </c>
    </row>
    <row r="2607" spans="1:21">
      <c r="A2607" s="8" t="s">
        <v>10349</v>
      </c>
      <c r="B2607" s="8" t="s">
        <v>11575</v>
      </c>
      <c r="C2607" s="8">
        <v>5225</v>
      </c>
      <c r="D2607" s="8" t="s">
        <v>237</v>
      </c>
      <c r="E2607" s="8">
        <v>41712144</v>
      </c>
      <c r="F2607" s="8">
        <v>41712144</v>
      </c>
      <c r="G2607" s="8" t="s">
        <v>24</v>
      </c>
      <c r="H2607" s="8" t="s">
        <v>25</v>
      </c>
      <c r="I2607" s="8" t="s">
        <v>23</v>
      </c>
      <c r="J2607" s="8" t="s">
        <v>11576</v>
      </c>
      <c r="K2607" s="8" t="s">
        <v>11578</v>
      </c>
      <c r="L2607" s="8" t="s">
        <v>76</v>
      </c>
      <c r="M2607" s="8">
        <v>386</v>
      </c>
      <c r="N2607" s="8" t="s">
        <v>371</v>
      </c>
      <c r="O2607" s="8">
        <v>107</v>
      </c>
      <c r="P2607" s="8" t="s">
        <v>11577</v>
      </c>
      <c r="Q2607" s="8" t="s">
        <v>4262</v>
      </c>
      <c r="R2607" s="8">
        <v>0.26300000000000001</v>
      </c>
      <c r="S2607" s="8">
        <v>41712144</v>
      </c>
      <c r="T2607" s="8" t="s">
        <v>24</v>
      </c>
      <c r="U2607" s="8" t="s">
        <v>25</v>
      </c>
    </row>
    <row r="2608" spans="1:21">
      <c r="A2608" s="8" t="s">
        <v>10349</v>
      </c>
      <c r="B2608" s="8" t="s">
        <v>11579</v>
      </c>
      <c r="C2608" s="8">
        <v>23506</v>
      </c>
      <c r="D2608" s="8" t="s">
        <v>237</v>
      </c>
      <c r="E2608" s="8">
        <v>42833002</v>
      </c>
      <c r="F2608" s="8">
        <v>42833002</v>
      </c>
      <c r="G2608" s="8" t="s">
        <v>24</v>
      </c>
      <c r="H2608" s="8" t="s">
        <v>25</v>
      </c>
      <c r="I2608" s="8" t="s">
        <v>23</v>
      </c>
      <c r="J2608" s="8" t="s">
        <v>11580</v>
      </c>
      <c r="K2608" s="8" t="s">
        <v>11582</v>
      </c>
      <c r="L2608" s="8" t="s">
        <v>19</v>
      </c>
      <c r="M2608" s="8">
        <v>3221</v>
      </c>
      <c r="N2608" s="8" t="s">
        <v>941</v>
      </c>
      <c r="O2608" s="8">
        <v>1020</v>
      </c>
      <c r="P2608" s="8" t="s">
        <v>11581</v>
      </c>
      <c r="Q2608" s="8" t="s">
        <v>4262</v>
      </c>
      <c r="R2608" s="8">
        <v>0.36399999999999999</v>
      </c>
      <c r="S2608" s="8">
        <v>42833002</v>
      </c>
      <c r="T2608" s="8" t="s">
        <v>24</v>
      </c>
      <c r="U2608" s="8" t="s">
        <v>25</v>
      </c>
    </row>
    <row r="2609" spans="1:21">
      <c r="A2609" s="8" t="s">
        <v>10349</v>
      </c>
      <c r="B2609" s="8" t="s">
        <v>3821</v>
      </c>
      <c r="C2609" s="8">
        <v>89845</v>
      </c>
      <c r="D2609" s="8" t="s">
        <v>237</v>
      </c>
      <c r="E2609" s="8">
        <v>43415506</v>
      </c>
      <c r="F2609" s="8">
        <v>43415506</v>
      </c>
      <c r="G2609" s="8" t="s">
        <v>24</v>
      </c>
      <c r="H2609" s="8" t="s">
        <v>25</v>
      </c>
      <c r="I2609" s="8" t="s">
        <v>23</v>
      </c>
      <c r="J2609" s="8" t="s">
        <v>5174</v>
      </c>
      <c r="K2609" s="8" t="s">
        <v>5177</v>
      </c>
      <c r="L2609" s="8" t="s">
        <v>19</v>
      </c>
      <c r="M2609" s="8">
        <v>4005</v>
      </c>
      <c r="N2609" s="8" t="s">
        <v>557</v>
      </c>
      <c r="O2609" s="8">
        <v>1264</v>
      </c>
      <c r="P2609" s="8" t="s">
        <v>11583</v>
      </c>
      <c r="Q2609" s="8" t="s">
        <v>4262</v>
      </c>
      <c r="R2609" s="8">
        <v>0.2</v>
      </c>
      <c r="S2609" s="8">
        <v>43415506</v>
      </c>
      <c r="T2609" s="8" t="s">
        <v>24</v>
      </c>
      <c r="U2609" s="8" t="s">
        <v>25</v>
      </c>
    </row>
    <row r="2610" spans="1:21">
      <c r="A2610" s="8" t="s">
        <v>10349</v>
      </c>
      <c r="B2610" s="8" t="s">
        <v>11584</v>
      </c>
      <c r="C2610" s="8">
        <v>221400</v>
      </c>
      <c r="D2610" s="8" t="s">
        <v>237</v>
      </c>
      <c r="E2610" s="8">
        <v>46659127</v>
      </c>
      <c r="F2610" s="8">
        <v>46659127</v>
      </c>
      <c r="G2610" s="8" t="s">
        <v>24</v>
      </c>
      <c r="H2610" s="8" t="s">
        <v>41</v>
      </c>
      <c r="I2610" s="8" t="s">
        <v>23</v>
      </c>
      <c r="J2610" s="8" t="s">
        <v>11585</v>
      </c>
      <c r="K2610" s="8" t="s">
        <v>11587</v>
      </c>
      <c r="L2610" s="8" t="s">
        <v>19</v>
      </c>
      <c r="M2610" s="8">
        <v>3516</v>
      </c>
      <c r="N2610" s="8" t="s">
        <v>162</v>
      </c>
      <c r="O2610" s="8">
        <v>1088</v>
      </c>
      <c r="P2610" s="8" t="s">
        <v>11586</v>
      </c>
      <c r="Q2610" s="8" t="s">
        <v>4262</v>
      </c>
      <c r="R2610" s="8">
        <v>0.22</v>
      </c>
      <c r="S2610" s="8">
        <v>46659127</v>
      </c>
      <c r="T2610" s="8" t="s">
        <v>24</v>
      </c>
      <c r="U2610" s="8" t="s">
        <v>41</v>
      </c>
    </row>
    <row r="2611" spans="1:21">
      <c r="A2611" s="8" t="s">
        <v>10349</v>
      </c>
      <c r="B2611" s="8" t="s">
        <v>2750</v>
      </c>
      <c r="C2611" s="8">
        <v>221393</v>
      </c>
      <c r="D2611" s="8" t="s">
        <v>237</v>
      </c>
      <c r="E2611" s="8">
        <v>47675000</v>
      </c>
      <c r="F2611" s="8">
        <v>47675000</v>
      </c>
      <c r="G2611" s="8" t="s">
        <v>24</v>
      </c>
      <c r="H2611" s="8" t="s">
        <v>25</v>
      </c>
      <c r="I2611" s="8" t="s">
        <v>23</v>
      </c>
      <c r="J2611" s="8" t="s">
        <v>2751</v>
      </c>
      <c r="K2611" s="8" t="s">
        <v>11589</v>
      </c>
      <c r="L2611" s="8" t="s">
        <v>19</v>
      </c>
      <c r="M2611" s="8">
        <v>277</v>
      </c>
      <c r="N2611" s="8" t="s">
        <v>1070</v>
      </c>
      <c r="O2611" s="8">
        <v>7</v>
      </c>
      <c r="P2611" s="8" t="s">
        <v>11588</v>
      </c>
      <c r="Q2611" s="8" t="s">
        <v>4262</v>
      </c>
      <c r="R2611" s="8">
        <v>0.20599999999999999</v>
      </c>
      <c r="S2611" s="8">
        <v>47675000</v>
      </c>
      <c r="T2611" s="8" t="s">
        <v>24</v>
      </c>
      <c r="U2611" s="8" t="s">
        <v>25</v>
      </c>
    </row>
    <row r="2612" spans="1:21">
      <c r="A2612" s="8" t="s">
        <v>10349</v>
      </c>
      <c r="B2612" s="8" t="s">
        <v>2750</v>
      </c>
      <c r="C2612" s="8">
        <v>221393</v>
      </c>
      <c r="D2612" s="8" t="s">
        <v>237</v>
      </c>
      <c r="E2612" s="8">
        <v>47682540</v>
      </c>
      <c r="F2612" s="8">
        <v>47682540</v>
      </c>
      <c r="G2612" s="8" t="s">
        <v>46</v>
      </c>
      <c r="H2612" s="8" t="s">
        <v>41</v>
      </c>
      <c r="I2612" s="8" t="s">
        <v>23</v>
      </c>
      <c r="J2612" s="8" t="s">
        <v>2751</v>
      </c>
      <c r="K2612" s="8" t="s">
        <v>11589</v>
      </c>
      <c r="L2612" s="8" t="s">
        <v>19</v>
      </c>
      <c r="M2612" s="8">
        <v>1817</v>
      </c>
      <c r="N2612" s="8" t="s">
        <v>1421</v>
      </c>
      <c r="O2612" s="8">
        <v>520</v>
      </c>
      <c r="P2612" s="8" t="s">
        <v>11590</v>
      </c>
      <c r="Q2612" s="8" t="s">
        <v>4262</v>
      </c>
      <c r="R2612" s="8">
        <v>0.27300000000000002</v>
      </c>
      <c r="S2612" s="8">
        <v>47682540</v>
      </c>
      <c r="T2612" s="8" t="s">
        <v>46</v>
      </c>
      <c r="U2612" s="8" t="s">
        <v>41</v>
      </c>
    </row>
    <row r="2613" spans="1:21">
      <c r="A2613" s="8" t="s">
        <v>10349</v>
      </c>
      <c r="B2613" s="8" t="s">
        <v>2750</v>
      </c>
      <c r="C2613" s="8">
        <v>221393</v>
      </c>
      <c r="D2613" s="8" t="s">
        <v>237</v>
      </c>
      <c r="E2613" s="8">
        <v>47682854</v>
      </c>
      <c r="F2613" s="8">
        <v>47682854</v>
      </c>
      <c r="G2613" s="8" t="s">
        <v>46</v>
      </c>
      <c r="H2613" s="8" t="s">
        <v>41</v>
      </c>
      <c r="I2613" s="8" t="s">
        <v>23</v>
      </c>
      <c r="J2613" s="8" t="s">
        <v>2751</v>
      </c>
      <c r="K2613" s="8" t="s">
        <v>11589</v>
      </c>
      <c r="L2613" s="8" t="s">
        <v>19</v>
      </c>
      <c r="M2613" s="8">
        <v>2131</v>
      </c>
      <c r="N2613" s="8" t="s">
        <v>58</v>
      </c>
      <c r="O2613" s="8">
        <v>625</v>
      </c>
      <c r="P2613" s="8" t="s">
        <v>11591</v>
      </c>
      <c r="Q2613" s="8" t="s">
        <v>4262</v>
      </c>
      <c r="R2613" s="8">
        <v>0.13500000000000001</v>
      </c>
      <c r="S2613" s="8">
        <v>47682854</v>
      </c>
      <c r="T2613" s="8" t="s">
        <v>46</v>
      </c>
      <c r="U2613" s="8" t="s">
        <v>41</v>
      </c>
    </row>
    <row r="2614" spans="1:21">
      <c r="A2614" s="8" t="s">
        <v>10349</v>
      </c>
      <c r="B2614" s="8" t="s">
        <v>11592</v>
      </c>
      <c r="C2614" s="8">
        <v>9425</v>
      </c>
      <c r="D2614" s="8" t="s">
        <v>237</v>
      </c>
      <c r="E2614" s="8">
        <v>4935784</v>
      </c>
      <c r="F2614" s="8">
        <v>4935784</v>
      </c>
      <c r="G2614" s="8" t="s">
        <v>24</v>
      </c>
      <c r="H2614" s="8" t="s">
        <v>25</v>
      </c>
      <c r="I2614" s="8" t="s">
        <v>23</v>
      </c>
      <c r="J2614" s="8" t="s">
        <v>11593</v>
      </c>
      <c r="K2614" s="8" t="s">
        <v>11594</v>
      </c>
      <c r="L2614" s="8" t="s">
        <v>19</v>
      </c>
      <c r="M2614" s="8">
        <v>1065</v>
      </c>
      <c r="N2614" s="8" t="s">
        <v>28</v>
      </c>
      <c r="O2614" s="8">
        <v>243</v>
      </c>
      <c r="P2614" s="8" t="s">
        <v>9659</v>
      </c>
      <c r="Q2614" s="8" t="s">
        <v>4262</v>
      </c>
      <c r="R2614" s="8">
        <v>0.13500000000000001</v>
      </c>
      <c r="S2614" s="8">
        <v>4935784</v>
      </c>
      <c r="T2614" s="8" t="s">
        <v>24</v>
      </c>
      <c r="U2614" s="8" t="s">
        <v>25</v>
      </c>
    </row>
    <row r="2615" spans="1:21">
      <c r="A2615" s="8" t="s">
        <v>10349</v>
      </c>
      <c r="B2615" s="8" t="s">
        <v>7329</v>
      </c>
      <c r="C2615" s="8">
        <v>5232</v>
      </c>
      <c r="D2615" s="8" t="s">
        <v>237</v>
      </c>
      <c r="E2615" s="8">
        <v>49754395</v>
      </c>
      <c r="F2615" s="8">
        <v>49754395</v>
      </c>
      <c r="G2615" s="8" t="s">
        <v>24</v>
      </c>
      <c r="H2615" s="8" t="s">
        <v>25</v>
      </c>
      <c r="I2615" s="8" t="s">
        <v>23</v>
      </c>
      <c r="J2615" s="8" t="s">
        <v>7330</v>
      </c>
      <c r="K2615" s="8" t="s">
        <v>7332</v>
      </c>
      <c r="L2615" s="8" t="s">
        <v>19</v>
      </c>
      <c r="M2615" s="8">
        <v>659</v>
      </c>
      <c r="N2615" s="8" t="s">
        <v>417</v>
      </c>
      <c r="O2615" s="8">
        <v>169</v>
      </c>
      <c r="P2615" s="8" t="s">
        <v>11595</v>
      </c>
      <c r="Q2615" s="8" t="s">
        <v>4262</v>
      </c>
      <c r="R2615" s="8">
        <v>0.23699999999999999</v>
      </c>
      <c r="S2615" s="8">
        <v>49754395</v>
      </c>
      <c r="T2615" s="8" t="s">
        <v>24</v>
      </c>
      <c r="U2615" s="8" t="s">
        <v>25</v>
      </c>
    </row>
    <row r="2616" spans="1:21">
      <c r="A2616" s="8" t="s">
        <v>10349</v>
      </c>
      <c r="B2616" s="8" t="s">
        <v>11596</v>
      </c>
      <c r="C2616" s="8">
        <v>245928</v>
      </c>
      <c r="D2616" s="8" t="s">
        <v>237</v>
      </c>
      <c r="E2616" s="8">
        <v>49928057</v>
      </c>
      <c r="F2616" s="8">
        <v>49928057</v>
      </c>
      <c r="G2616" s="8" t="s">
        <v>24</v>
      </c>
      <c r="H2616" s="8" t="s">
        <v>25</v>
      </c>
      <c r="I2616" s="8" t="s">
        <v>23</v>
      </c>
      <c r="J2616" s="8" t="s">
        <v>11597</v>
      </c>
      <c r="K2616" s="8" t="s">
        <v>11598</v>
      </c>
      <c r="L2616" s="8" t="s">
        <v>19</v>
      </c>
      <c r="M2616" s="8">
        <v>158</v>
      </c>
      <c r="N2616" s="8" t="s">
        <v>522</v>
      </c>
      <c r="O2616" s="8">
        <v>53</v>
      </c>
      <c r="P2616" s="8" t="s">
        <v>8205</v>
      </c>
      <c r="Q2616" s="8" t="s">
        <v>4262</v>
      </c>
      <c r="R2616" s="8">
        <v>0.22900000000000001</v>
      </c>
      <c r="S2616" s="8">
        <v>49928057</v>
      </c>
      <c r="T2616" s="8" t="s">
        <v>24</v>
      </c>
      <c r="U2616" s="8" t="s">
        <v>25</v>
      </c>
    </row>
    <row r="2617" spans="1:21">
      <c r="A2617" s="8" t="s">
        <v>10349</v>
      </c>
      <c r="B2617" s="8" t="s">
        <v>2769</v>
      </c>
      <c r="C2617" s="8">
        <v>1644</v>
      </c>
      <c r="D2617" s="8" t="s">
        <v>257</v>
      </c>
      <c r="E2617" s="8">
        <v>50547536</v>
      </c>
      <c r="F2617" s="8">
        <v>50547536</v>
      </c>
      <c r="G2617" s="8" t="s">
        <v>46</v>
      </c>
      <c r="H2617" s="8" t="s">
        <v>41</v>
      </c>
      <c r="I2617" s="8" t="s">
        <v>23</v>
      </c>
      <c r="J2617" s="8" t="s">
        <v>11599</v>
      </c>
      <c r="K2617" s="8" t="s">
        <v>11600</v>
      </c>
      <c r="L2617" s="8" t="s">
        <v>19</v>
      </c>
      <c r="M2617" s="8">
        <v>1056</v>
      </c>
      <c r="N2617" s="8" t="s">
        <v>1364</v>
      </c>
      <c r="O2617" s="8">
        <v>324</v>
      </c>
      <c r="P2617" s="8" t="s">
        <v>10407</v>
      </c>
      <c r="Q2617" s="8" t="s">
        <v>4262</v>
      </c>
      <c r="R2617" s="8">
        <v>0.219</v>
      </c>
      <c r="S2617" s="8">
        <v>50547536</v>
      </c>
      <c r="T2617" s="8" t="s">
        <v>46</v>
      </c>
      <c r="U2617" s="8" t="s">
        <v>41</v>
      </c>
    </row>
    <row r="2618" spans="1:21">
      <c r="A2618" s="8" t="s">
        <v>10349</v>
      </c>
      <c r="B2618" s="8" t="s">
        <v>2128</v>
      </c>
      <c r="C2618" s="8">
        <v>435</v>
      </c>
      <c r="D2618" s="8" t="s">
        <v>257</v>
      </c>
      <c r="E2618" s="8">
        <v>65557788</v>
      </c>
      <c r="F2618" s="8">
        <v>65557788</v>
      </c>
      <c r="G2618" s="8" t="s">
        <v>24</v>
      </c>
      <c r="H2618" s="8" t="s">
        <v>25</v>
      </c>
      <c r="I2618" s="8" t="s">
        <v>23</v>
      </c>
      <c r="J2618" s="8" t="s">
        <v>11601</v>
      </c>
      <c r="K2618" s="8" t="s">
        <v>11603</v>
      </c>
      <c r="L2618" s="8" t="s">
        <v>76</v>
      </c>
      <c r="M2618" s="8">
        <v>1395</v>
      </c>
      <c r="N2618" s="8" t="s">
        <v>716</v>
      </c>
      <c r="O2618" s="8">
        <v>428</v>
      </c>
      <c r="P2618" s="8" t="s">
        <v>11602</v>
      </c>
      <c r="Q2618" s="8" t="s">
        <v>4262</v>
      </c>
      <c r="R2618" s="8">
        <v>0.17399999999999999</v>
      </c>
      <c r="S2618" s="8">
        <v>65557788</v>
      </c>
      <c r="T2618" s="8" t="s">
        <v>24</v>
      </c>
      <c r="U2618" s="8" t="s">
        <v>25</v>
      </c>
    </row>
    <row r="2619" spans="1:21">
      <c r="A2619" s="8" t="s">
        <v>10349</v>
      </c>
      <c r="B2619" s="8" t="s">
        <v>11604</v>
      </c>
      <c r="C2619" s="8">
        <v>55069</v>
      </c>
      <c r="D2619" s="8" t="s">
        <v>257</v>
      </c>
      <c r="E2619" s="8">
        <v>66407012</v>
      </c>
      <c r="F2619" s="8">
        <v>66407012</v>
      </c>
      <c r="G2619" s="8" t="s">
        <v>24</v>
      </c>
      <c r="H2619" s="8" t="s">
        <v>25</v>
      </c>
      <c r="I2619" s="8" t="s">
        <v>23</v>
      </c>
      <c r="J2619" s="8" t="s">
        <v>11605</v>
      </c>
      <c r="K2619" s="8" t="s">
        <v>11606</v>
      </c>
      <c r="L2619" s="8" t="s">
        <v>68</v>
      </c>
      <c r="M2619" s="8">
        <v>0</v>
      </c>
      <c r="N2619" s="8" t="s">
        <v>35</v>
      </c>
      <c r="O2619" s="8">
        <v>0</v>
      </c>
      <c r="P2619" s="8" t="s">
        <v>35</v>
      </c>
      <c r="Q2619" s="8" t="s">
        <v>4262</v>
      </c>
      <c r="R2619" s="8">
        <v>0.14699999999999999</v>
      </c>
      <c r="S2619" s="8">
        <v>66407012</v>
      </c>
      <c r="T2619" s="8" t="s">
        <v>24</v>
      </c>
      <c r="U2619" s="8" t="s">
        <v>25</v>
      </c>
    </row>
    <row r="2620" spans="1:21">
      <c r="A2620" s="8" t="s">
        <v>10349</v>
      </c>
      <c r="B2620" s="8" t="s">
        <v>11607</v>
      </c>
      <c r="C2620" s="8">
        <v>55253</v>
      </c>
      <c r="D2620" s="8" t="s">
        <v>257</v>
      </c>
      <c r="E2620" s="8">
        <v>66489988</v>
      </c>
      <c r="F2620" s="8">
        <v>66489988</v>
      </c>
      <c r="G2620" s="8" t="s">
        <v>24</v>
      </c>
      <c r="H2620" s="8" t="s">
        <v>25</v>
      </c>
      <c r="I2620" s="8" t="s">
        <v>23</v>
      </c>
      <c r="J2620" s="8" t="s">
        <v>11608</v>
      </c>
      <c r="K2620" s="8" t="s">
        <v>11610</v>
      </c>
      <c r="L2620" s="8" t="s">
        <v>19</v>
      </c>
      <c r="M2620" s="8">
        <v>1112</v>
      </c>
      <c r="N2620" s="8" t="s">
        <v>2439</v>
      </c>
      <c r="O2620" s="8">
        <v>321</v>
      </c>
      <c r="P2620" s="8" t="s">
        <v>11609</v>
      </c>
      <c r="Q2620" s="8" t="s">
        <v>4262</v>
      </c>
      <c r="R2620" s="8">
        <v>0.13600000000000001</v>
      </c>
      <c r="S2620" s="8">
        <v>66489988</v>
      </c>
      <c r="T2620" s="8" t="s">
        <v>24</v>
      </c>
      <c r="U2620" s="8" t="s">
        <v>25</v>
      </c>
    </row>
    <row r="2621" spans="1:21">
      <c r="A2621" s="8" t="s">
        <v>10349</v>
      </c>
      <c r="B2621" s="8" t="s">
        <v>11611</v>
      </c>
      <c r="C2621" s="8">
        <v>135886</v>
      </c>
      <c r="D2621" s="8" t="s">
        <v>257</v>
      </c>
      <c r="E2621" s="8">
        <v>73279923</v>
      </c>
      <c r="F2621" s="8">
        <v>73279923</v>
      </c>
      <c r="G2621" s="8" t="s">
        <v>24</v>
      </c>
      <c r="H2621" s="8" t="s">
        <v>25</v>
      </c>
      <c r="I2621" s="8" t="s">
        <v>23</v>
      </c>
      <c r="J2621" s="8" t="s">
        <v>11612</v>
      </c>
      <c r="K2621" s="8" t="s">
        <v>11614</v>
      </c>
      <c r="L2621" s="8" t="s">
        <v>19</v>
      </c>
      <c r="M2621" s="8">
        <v>554</v>
      </c>
      <c r="N2621" s="8" t="s">
        <v>732</v>
      </c>
      <c r="O2621" s="8">
        <v>173</v>
      </c>
      <c r="P2621" s="8" t="s">
        <v>11613</v>
      </c>
      <c r="Q2621" s="8" t="s">
        <v>4262</v>
      </c>
      <c r="R2621" s="8">
        <v>8.8999999999999996E-2</v>
      </c>
      <c r="S2621" s="8">
        <v>73279923</v>
      </c>
      <c r="T2621" s="8" t="s">
        <v>24</v>
      </c>
      <c r="U2621" s="8" t="s">
        <v>25</v>
      </c>
    </row>
    <row r="2622" spans="1:21">
      <c r="A2622" s="8" t="s">
        <v>10349</v>
      </c>
      <c r="B2622" s="8" t="s">
        <v>11615</v>
      </c>
      <c r="C2622" s="8">
        <v>3092</v>
      </c>
      <c r="D2622" s="8" t="s">
        <v>257</v>
      </c>
      <c r="E2622" s="8">
        <v>75221381</v>
      </c>
      <c r="F2622" s="8">
        <v>75221381</v>
      </c>
      <c r="G2622" s="8" t="s">
        <v>46</v>
      </c>
      <c r="H2622" s="8" t="s">
        <v>41</v>
      </c>
      <c r="I2622" s="8" t="s">
        <v>23</v>
      </c>
      <c r="J2622" s="8" t="s">
        <v>11616</v>
      </c>
      <c r="K2622" s="8" t="s">
        <v>11618</v>
      </c>
      <c r="L2622" s="8" t="s">
        <v>19</v>
      </c>
      <c r="M2622" s="8">
        <v>418</v>
      </c>
      <c r="N2622" s="8" t="s">
        <v>2483</v>
      </c>
      <c r="O2622" s="8">
        <v>126</v>
      </c>
      <c r="P2622" s="8" t="s">
        <v>11617</v>
      </c>
      <c r="Q2622" s="8" t="s">
        <v>4262</v>
      </c>
      <c r="R2622" s="8">
        <v>0.16700000000000001</v>
      </c>
      <c r="S2622" s="8">
        <v>75221381</v>
      </c>
      <c r="T2622" s="8" t="s">
        <v>46</v>
      </c>
      <c r="U2622" s="8" t="s">
        <v>41</v>
      </c>
    </row>
    <row r="2623" spans="1:21">
      <c r="A2623" s="8" t="s">
        <v>10349</v>
      </c>
      <c r="B2623" s="8" t="s">
        <v>2770</v>
      </c>
      <c r="C2623" s="8">
        <v>7532</v>
      </c>
      <c r="D2623" s="8" t="s">
        <v>257</v>
      </c>
      <c r="E2623" s="8">
        <v>75959181</v>
      </c>
      <c r="F2623" s="8">
        <v>75959181</v>
      </c>
      <c r="G2623" s="8" t="s">
        <v>46</v>
      </c>
      <c r="H2623" s="8" t="s">
        <v>41</v>
      </c>
      <c r="I2623" s="8" t="s">
        <v>23</v>
      </c>
      <c r="J2623" s="8" t="s">
        <v>2771</v>
      </c>
      <c r="K2623" s="8" t="s">
        <v>11620</v>
      </c>
      <c r="L2623" s="8" t="s">
        <v>19</v>
      </c>
      <c r="M2623" s="8">
        <v>674</v>
      </c>
      <c r="N2623" s="8" t="s">
        <v>155</v>
      </c>
      <c r="O2623" s="8">
        <v>153</v>
      </c>
      <c r="P2623" s="8" t="s">
        <v>11619</v>
      </c>
      <c r="Q2623" s="8" t="s">
        <v>4262</v>
      </c>
      <c r="R2623" s="8">
        <v>0.17</v>
      </c>
      <c r="S2623" s="8">
        <v>75959181</v>
      </c>
      <c r="T2623" s="8" t="s">
        <v>46</v>
      </c>
      <c r="U2623" s="8" t="s">
        <v>41</v>
      </c>
    </row>
    <row r="2624" spans="1:21">
      <c r="A2624" s="8" t="s">
        <v>10349</v>
      </c>
      <c r="B2624" s="8" t="s">
        <v>11621</v>
      </c>
      <c r="C2624" s="8">
        <v>54468</v>
      </c>
      <c r="D2624" s="8" t="s">
        <v>257</v>
      </c>
      <c r="E2624" s="8">
        <v>7622797</v>
      </c>
      <c r="F2624" s="8">
        <v>7622797</v>
      </c>
      <c r="G2624" s="8" t="s">
        <v>24</v>
      </c>
      <c r="H2624" s="8" t="s">
        <v>25</v>
      </c>
      <c r="I2624" s="8" t="s">
        <v>23</v>
      </c>
      <c r="J2624" s="8" t="s">
        <v>11622</v>
      </c>
      <c r="K2624" s="8" t="s">
        <v>11624</v>
      </c>
      <c r="L2624" s="8" t="s">
        <v>19</v>
      </c>
      <c r="M2624" s="8">
        <v>1750</v>
      </c>
      <c r="N2624" s="8" t="s">
        <v>2664</v>
      </c>
      <c r="O2624" s="8">
        <v>481</v>
      </c>
      <c r="P2624" s="8" t="s">
        <v>11623</v>
      </c>
      <c r="Q2624" s="8" t="s">
        <v>4262</v>
      </c>
      <c r="R2624" s="8">
        <v>0.25</v>
      </c>
      <c r="S2624" s="8">
        <v>7622797</v>
      </c>
      <c r="T2624" s="8" t="s">
        <v>24</v>
      </c>
      <c r="U2624" s="8" t="s">
        <v>25</v>
      </c>
    </row>
    <row r="2625" spans="1:21">
      <c r="A2625" s="8" t="s">
        <v>10349</v>
      </c>
      <c r="B2625" s="8" t="s">
        <v>273</v>
      </c>
      <c r="C2625" s="8">
        <v>27445</v>
      </c>
      <c r="D2625" s="8" t="s">
        <v>257</v>
      </c>
      <c r="E2625" s="8">
        <v>82545882</v>
      </c>
      <c r="F2625" s="8">
        <v>82545882</v>
      </c>
      <c r="G2625" s="8" t="s">
        <v>46</v>
      </c>
      <c r="H2625" s="8" t="s">
        <v>41</v>
      </c>
      <c r="I2625" s="8" t="s">
        <v>23</v>
      </c>
      <c r="J2625" s="8" t="s">
        <v>8932</v>
      </c>
      <c r="K2625" s="8" t="s">
        <v>8934</v>
      </c>
      <c r="L2625" s="8" t="s">
        <v>19</v>
      </c>
      <c r="M2625" s="8">
        <v>11709</v>
      </c>
      <c r="N2625" s="8" t="s">
        <v>2483</v>
      </c>
      <c r="O2625" s="8">
        <v>3807</v>
      </c>
      <c r="P2625" s="8" t="s">
        <v>11625</v>
      </c>
      <c r="Q2625" s="8" t="s">
        <v>4262</v>
      </c>
      <c r="R2625" s="8">
        <v>0.13100000000000001</v>
      </c>
      <c r="S2625" s="8">
        <v>82545882</v>
      </c>
      <c r="T2625" s="8" t="s">
        <v>46</v>
      </c>
      <c r="U2625" s="8" t="s">
        <v>41</v>
      </c>
    </row>
    <row r="2626" spans="1:21">
      <c r="A2626" s="8" t="s">
        <v>10349</v>
      </c>
      <c r="B2626" s="8" t="s">
        <v>273</v>
      </c>
      <c r="C2626" s="8">
        <v>27445</v>
      </c>
      <c r="D2626" s="8" t="s">
        <v>257</v>
      </c>
      <c r="E2626" s="8">
        <v>82763802</v>
      </c>
      <c r="F2626" s="8">
        <v>82763802</v>
      </c>
      <c r="G2626" s="8" t="s">
        <v>46</v>
      </c>
      <c r="H2626" s="8" t="s">
        <v>41</v>
      </c>
      <c r="I2626" s="8" t="s">
        <v>23</v>
      </c>
      <c r="J2626" s="8" t="s">
        <v>8932</v>
      </c>
      <c r="K2626" s="8" t="s">
        <v>8934</v>
      </c>
      <c r="L2626" s="8" t="s">
        <v>19</v>
      </c>
      <c r="M2626" s="8">
        <v>3353</v>
      </c>
      <c r="N2626" s="8" t="s">
        <v>758</v>
      </c>
      <c r="O2626" s="8">
        <v>1022</v>
      </c>
      <c r="P2626" s="8" t="s">
        <v>11626</v>
      </c>
      <c r="Q2626" s="8" t="s">
        <v>4262</v>
      </c>
      <c r="R2626" s="8">
        <v>0.216</v>
      </c>
      <c r="S2626" s="8">
        <v>82763802</v>
      </c>
      <c r="T2626" s="8" t="s">
        <v>46</v>
      </c>
      <c r="U2626" s="8" t="s">
        <v>41</v>
      </c>
    </row>
    <row r="2627" spans="1:21">
      <c r="A2627" s="8" t="s">
        <v>10349</v>
      </c>
      <c r="B2627" s="8" t="s">
        <v>11627</v>
      </c>
      <c r="C2627" s="8">
        <v>10371</v>
      </c>
      <c r="D2627" s="8" t="s">
        <v>257</v>
      </c>
      <c r="E2627" s="8">
        <v>83643553</v>
      </c>
      <c r="F2627" s="8">
        <v>83643553</v>
      </c>
      <c r="G2627" s="8" t="s">
        <v>24</v>
      </c>
      <c r="H2627" s="8" t="s">
        <v>25</v>
      </c>
      <c r="I2627" s="8" t="s">
        <v>23</v>
      </c>
      <c r="J2627" s="8" t="s">
        <v>11628</v>
      </c>
      <c r="K2627" s="8" t="s">
        <v>11630</v>
      </c>
      <c r="L2627" s="8" t="s">
        <v>19</v>
      </c>
      <c r="M2627" s="8">
        <v>1097</v>
      </c>
      <c r="N2627" s="8" t="s">
        <v>96</v>
      </c>
      <c r="O2627" s="8">
        <v>261</v>
      </c>
      <c r="P2627" s="8" t="s">
        <v>11629</v>
      </c>
      <c r="Q2627" s="8" t="s">
        <v>4262</v>
      </c>
      <c r="R2627" s="8">
        <v>0.11899999999999999</v>
      </c>
      <c r="S2627" s="8">
        <v>83643553</v>
      </c>
      <c r="T2627" s="8" t="s">
        <v>24</v>
      </c>
      <c r="U2627" s="8" t="s">
        <v>25</v>
      </c>
    </row>
    <row r="2628" spans="1:21">
      <c r="A2628" s="8" t="s">
        <v>10349</v>
      </c>
      <c r="B2628" s="8" t="s">
        <v>11631</v>
      </c>
      <c r="C2628" s="8">
        <v>5244</v>
      </c>
      <c r="D2628" s="8" t="s">
        <v>257</v>
      </c>
      <c r="E2628" s="8">
        <v>87053365</v>
      </c>
      <c r="F2628" s="8">
        <v>87053365</v>
      </c>
      <c r="G2628" s="8" t="s">
        <v>46</v>
      </c>
      <c r="H2628" s="8" t="s">
        <v>41</v>
      </c>
      <c r="I2628" s="8" t="s">
        <v>23</v>
      </c>
      <c r="J2628" s="8" t="s">
        <v>11632</v>
      </c>
      <c r="K2628" s="8" t="s">
        <v>11634</v>
      </c>
      <c r="L2628" s="8" t="s">
        <v>19</v>
      </c>
      <c r="M2628" s="8">
        <v>2144</v>
      </c>
      <c r="N2628" s="8" t="s">
        <v>1070</v>
      </c>
      <c r="O2628" s="8">
        <v>690</v>
      </c>
      <c r="P2628" s="8" t="s">
        <v>11633</v>
      </c>
      <c r="Q2628" s="8" t="s">
        <v>4262</v>
      </c>
      <c r="R2628" s="8">
        <v>0.19</v>
      </c>
      <c r="S2628" s="8">
        <v>87053365</v>
      </c>
      <c r="T2628" s="8" t="s">
        <v>46</v>
      </c>
      <c r="U2628" s="8" t="s">
        <v>41</v>
      </c>
    </row>
    <row r="2629" spans="1:21">
      <c r="A2629" s="8" t="s">
        <v>10349</v>
      </c>
      <c r="B2629" s="8" t="s">
        <v>2772</v>
      </c>
      <c r="C2629" s="8">
        <v>85865</v>
      </c>
      <c r="D2629" s="8" t="s">
        <v>257</v>
      </c>
      <c r="E2629" s="8">
        <v>90014343</v>
      </c>
      <c r="F2629" s="8">
        <v>90014343</v>
      </c>
      <c r="G2629" s="8" t="s">
        <v>24</v>
      </c>
      <c r="H2629" s="8" t="s">
        <v>25</v>
      </c>
      <c r="I2629" s="8" t="s">
        <v>23</v>
      </c>
      <c r="J2629" s="8" t="s">
        <v>8940</v>
      </c>
      <c r="K2629" s="8" t="s">
        <v>8942</v>
      </c>
      <c r="L2629" s="8" t="s">
        <v>19</v>
      </c>
      <c r="M2629" s="8">
        <v>1116</v>
      </c>
      <c r="N2629" s="8" t="s">
        <v>155</v>
      </c>
      <c r="O2629" s="8">
        <v>347</v>
      </c>
      <c r="P2629" s="8" t="s">
        <v>11635</v>
      </c>
      <c r="Q2629" s="8" t="s">
        <v>4262</v>
      </c>
      <c r="R2629" s="8">
        <v>0.23400000000000001</v>
      </c>
      <c r="S2629" s="8">
        <v>90014343</v>
      </c>
      <c r="T2629" s="8" t="s">
        <v>24</v>
      </c>
      <c r="U2629" s="8" t="s">
        <v>25</v>
      </c>
    </row>
    <row r="2630" spans="1:21">
      <c r="A2630" s="8" t="s">
        <v>10349</v>
      </c>
      <c r="B2630" s="8" t="s">
        <v>11636</v>
      </c>
      <c r="C2630" s="8">
        <v>54809</v>
      </c>
      <c r="D2630" s="8" t="s">
        <v>257</v>
      </c>
      <c r="E2630" s="8">
        <v>92733637</v>
      </c>
      <c r="F2630" s="8">
        <v>92733637</v>
      </c>
      <c r="G2630" s="8" t="s">
        <v>46</v>
      </c>
      <c r="H2630" s="8" t="s">
        <v>41</v>
      </c>
      <c r="I2630" s="8" t="s">
        <v>23</v>
      </c>
      <c r="J2630" s="8" t="s">
        <v>11637</v>
      </c>
      <c r="K2630" s="8" t="s">
        <v>11639</v>
      </c>
      <c r="L2630" s="8" t="s">
        <v>19</v>
      </c>
      <c r="M2630" s="8">
        <v>1943</v>
      </c>
      <c r="N2630" s="8" t="s">
        <v>1070</v>
      </c>
      <c r="O2630" s="8">
        <v>592</v>
      </c>
      <c r="P2630" s="8" t="s">
        <v>11638</v>
      </c>
      <c r="Q2630" s="8" t="s">
        <v>4262</v>
      </c>
      <c r="R2630" s="8">
        <v>0.17</v>
      </c>
      <c r="S2630" s="8">
        <v>92733637</v>
      </c>
      <c r="T2630" s="8" t="s">
        <v>46</v>
      </c>
      <c r="U2630" s="8" t="s">
        <v>41</v>
      </c>
    </row>
    <row r="2631" spans="1:21">
      <c r="A2631" s="8" t="s">
        <v>10349</v>
      </c>
      <c r="B2631" s="8" t="s">
        <v>11640</v>
      </c>
      <c r="C2631" s="8">
        <v>219285</v>
      </c>
      <c r="D2631" s="8" t="s">
        <v>257</v>
      </c>
      <c r="E2631" s="8">
        <v>92761983</v>
      </c>
      <c r="F2631" s="8">
        <v>92761983</v>
      </c>
      <c r="G2631" s="8" t="s">
        <v>24</v>
      </c>
      <c r="H2631" s="8" t="s">
        <v>25</v>
      </c>
      <c r="I2631" s="8" t="s">
        <v>23</v>
      </c>
      <c r="J2631" s="8" t="s">
        <v>11641</v>
      </c>
      <c r="K2631" s="8" t="s">
        <v>11643</v>
      </c>
      <c r="L2631" s="8" t="s">
        <v>19</v>
      </c>
      <c r="M2631" s="8">
        <v>4518</v>
      </c>
      <c r="N2631" s="8" t="s">
        <v>364</v>
      </c>
      <c r="O2631" s="8">
        <v>1101</v>
      </c>
      <c r="P2631" s="8" t="s">
        <v>11642</v>
      </c>
      <c r="Q2631" s="8" t="s">
        <v>4262</v>
      </c>
      <c r="R2631" s="8">
        <v>0.22</v>
      </c>
      <c r="S2631" s="8">
        <v>92761983</v>
      </c>
      <c r="T2631" s="8" t="s">
        <v>24</v>
      </c>
      <c r="U2631" s="8" t="s">
        <v>25</v>
      </c>
    </row>
    <row r="2632" spans="1:21">
      <c r="A2632" s="8" t="s">
        <v>10349</v>
      </c>
      <c r="B2632" s="8" t="s">
        <v>11644</v>
      </c>
      <c r="C2632" s="8">
        <v>799</v>
      </c>
      <c r="D2632" s="8" t="s">
        <v>257</v>
      </c>
      <c r="E2632" s="8">
        <v>93108672</v>
      </c>
      <c r="F2632" s="8">
        <v>93108672</v>
      </c>
      <c r="G2632" s="8" t="s">
        <v>46</v>
      </c>
      <c r="H2632" s="8" t="s">
        <v>41</v>
      </c>
      <c r="I2632" s="8" t="s">
        <v>23</v>
      </c>
      <c r="J2632" s="8" t="s">
        <v>11645</v>
      </c>
      <c r="K2632" s="8" t="s">
        <v>11647</v>
      </c>
      <c r="L2632" s="8" t="s">
        <v>19</v>
      </c>
      <c r="M2632" s="8">
        <v>482</v>
      </c>
      <c r="N2632" s="8" t="s">
        <v>1364</v>
      </c>
      <c r="O2632" s="8">
        <v>67</v>
      </c>
      <c r="P2632" s="8" t="s">
        <v>11646</v>
      </c>
      <c r="Q2632" s="8" t="s">
        <v>4262</v>
      </c>
      <c r="R2632" s="8">
        <v>0.26</v>
      </c>
      <c r="S2632" s="8">
        <v>93108672</v>
      </c>
      <c r="T2632" s="8" t="s">
        <v>46</v>
      </c>
      <c r="U2632" s="8" t="s">
        <v>41</v>
      </c>
    </row>
    <row r="2633" spans="1:21">
      <c r="A2633" s="8" t="s">
        <v>10349</v>
      </c>
      <c r="B2633" s="8" t="s">
        <v>7337</v>
      </c>
      <c r="C2633" s="8">
        <v>1278</v>
      </c>
      <c r="D2633" s="8" t="s">
        <v>257</v>
      </c>
      <c r="E2633" s="8">
        <v>94035605</v>
      </c>
      <c r="F2633" s="8">
        <v>94035605</v>
      </c>
      <c r="G2633" s="8" t="s">
        <v>46</v>
      </c>
      <c r="H2633" s="8" t="s">
        <v>41</v>
      </c>
      <c r="I2633" s="8" t="s">
        <v>23</v>
      </c>
      <c r="J2633" s="8" t="s">
        <v>7338</v>
      </c>
      <c r="K2633" s="8" t="s">
        <v>7340</v>
      </c>
      <c r="L2633" s="8" t="s">
        <v>19</v>
      </c>
      <c r="M2633" s="8">
        <v>1055</v>
      </c>
      <c r="N2633" s="8" t="s">
        <v>1140</v>
      </c>
      <c r="O2633" s="8">
        <v>195</v>
      </c>
      <c r="P2633" s="8" t="s">
        <v>11648</v>
      </c>
      <c r="Q2633" s="8" t="s">
        <v>4262</v>
      </c>
      <c r="R2633" s="8">
        <v>0.2</v>
      </c>
      <c r="S2633" s="8">
        <v>94035605</v>
      </c>
      <c r="T2633" s="8" t="s">
        <v>46</v>
      </c>
      <c r="U2633" s="8" t="s">
        <v>41</v>
      </c>
    </row>
    <row r="2634" spans="1:21">
      <c r="A2634" s="8" t="s">
        <v>10349</v>
      </c>
      <c r="B2634" s="8" t="s">
        <v>7337</v>
      </c>
      <c r="C2634" s="8">
        <v>1278</v>
      </c>
      <c r="D2634" s="8" t="s">
        <v>257</v>
      </c>
      <c r="E2634" s="8">
        <v>94052268</v>
      </c>
      <c r="F2634" s="8">
        <v>94052268</v>
      </c>
      <c r="G2634" s="8" t="s">
        <v>24</v>
      </c>
      <c r="H2634" s="8" t="s">
        <v>25</v>
      </c>
      <c r="I2634" s="8" t="s">
        <v>23</v>
      </c>
      <c r="J2634" s="8" t="s">
        <v>7338</v>
      </c>
      <c r="K2634" s="8" t="s">
        <v>7340</v>
      </c>
      <c r="L2634" s="8" t="s">
        <v>68</v>
      </c>
      <c r="M2634" s="8">
        <v>0</v>
      </c>
      <c r="N2634" s="8" t="s">
        <v>35</v>
      </c>
      <c r="O2634" s="8">
        <v>0</v>
      </c>
      <c r="P2634" s="8" t="s">
        <v>35</v>
      </c>
      <c r="Q2634" s="8" t="s">
        <v>4262</v>
      </c>
      <c r="R2634" s="8">
        <v>0.22900000000000001</v>
      </c>
      <c r="S2634" s="8">
        <v>94052268</v>
      </c>
      <c r="T2634" s="8" t="s">
        <v>24</v>
      </c>
      <c r="U2634" s="8" t="s">
        <v>25</v>
      </c>
    </row>
    <row r="2635" spans="1:21">
      <c r="A2635" s="8" t="s">
        <v>10349</v>
      </c>
      <c r="B2635" s="8" t="s">
        <v>4697</v>
      </c>
      <c r="C2635" s="8">
        <v>55607</v>
      </c>
      <c r="D2635" s="8" t="s">
        <v>257</v>
      </c>
      <c r="E2635" s="8">
        <v>94855328</v>
      </c>
      <c r="F2635" s="8">
        <v>94855328</v>
      </c>
      <c r="G2635" s="8" t="s">
        <v>24</v>
      </c>
      <c r="H2635" s="8" t="s">
        <v>25</v>
      </c>
      <c r="I2635" s="8" t="s">
        <v>23</v>
      </c>
      <c r="J2635" s="8" t="s">
        <v>4698</v>
      </c>
      <c r="K2635" s="8" t="s">
        <v>4700</v>
      </c>
      <c r="L2635" s="8" t="s">
        <v>19</v>
      </c>
      <c r="M2635" s="8">
        <v>2162</v>
      </c>
      <c r="N2635" s="8" t="s">
        <v>205</v>
      </c>
      <c r="O2635" s="8">
        <v>649</v>
      </c>
      <c r="P2635" s="8" t="s">
        <v>11649</v>
      </c>
      <c r="Q2635" s="8" t="s">
        <v>4262</v>
      </c>
      <c r="R2635" s="8">
        <v>0.158</v>
      </c>
      <c r="S2635" s="8">
        <v>94855328</v>
      </c>
      <c r="T2635" s="8" t="s">
        <v>24</v>
      </c>
      <c r="U2635" s="8" t="s">
        <v>25</v>
      </c>
    </row>
    <row r="2636" spans="1:21">
      <c r="A2636" s="8" t="s">
        <v>10349</v>
      </c>
      <c r="B2636" s="8" t="s">
        <v>11650</v>
      </c>
      <c r="C2636" s="8">
        <v>5446</v>
      </c>
      <c r="D2636" s="8" t="s">
        <v>257</v>
      </c>
      <c r="E2636" s="8">
        <v>94993241</v>
      </c>
      <c r="F2636" s="8">
        <v>94993241</v>
      </c>
      <c r="G2636" s="8" t="s">
        <v>46</v>
      </c>
      <c r="H2636" s="8" t="s">
        <v>41</v>
      </c>
      <c r="I2636" s="8" t="s">
        <v>23</v>
      </c>
      <c r="J2636" s="8" t="s">
        <v>11651</v>
      </c>
      <c r="K2636" s="8" t="s">
        <v>11653</v>
      </c>
      <c r="L2636" s="8" t="s">
        <v>19</v>
      </c>
      <c r="M2636" s="8">
        <v>654</v>
      </c>
      <c r="N2636" s="8" t="s">
        <v>2483</v>
      </c>
      <c r="O2636" s="8">
        <v>210</v>
      </c>
      <c r="P2636" s="8" t="s">
        <v>11652</v>
      </c>
      <c r="Q2636" s="8" t="s">
        <v>4262</v>
      </c>
      <c r="R2636" s="8">
        <v>0.182</v>
      </c>
      <c r="S2636" s="8">
        <v>94993241</v>
      </c>
      <c r="T2636" s="8" t="s">
        <v>46</v>
      </c>
      <c r="U2636" s="8" t="s">
        <v>41</v>
      </c>
    </row>
    <row r="2637" spans="1:21">
      <c r="A2637" s="8" t="s">
        <v>10349</v>
      </c>
      <c r="B2637" s="8" t="s">
        <v>1968</v>
      </c>
      <c r="C2637" s="8">
        <v>7586</v>
      </c>
      <c r="D2637" s="8" t="s">
        <v>257</v>
      </c>
      <c r="E2637" s="8">
        <v>99621205</v>
      </c>
      <c r="F2637" s="8">
        <v>99621205</v>
      </c>
      <c r="G2637" s="8" t="s">
        <v>24</v>
      </c>
      <c r="H2637" s="8" t="s">
        <v>25</v>
      </c>
      <c r="I2637" s="8" t="s">
        <v>23</v>
      </c>
      <c r="J2637" s="8" t="s">
        <v>2773</v>
      </c>
      <c r="K2637" s="8" t="s">
        <v>11655</v>
      </c>
      <c r="L2637" s="8" t="s">
        <v>19</v>
      </c>
      <c r="M2637" s="8">
        <v>295</v>
      </c>
      <c r="N2637" s="8" t="s">
        <v>171</v>
      </c>
      <c r="O2637" s="8">
        <v>26</v>
      </c>
      <c r="P2637" s="8" t="s">
        <v>11654</v>
      </c>
      <c r="Q2637" s="8" t="s">
        <v>4262</v>
      </c>
      <c r="R2637" s="8">
        <v>0.30399999999999999</v>
      </c>
      <c r="S2637" s="8">
        <v>99621205</v>
      </c>
      <c r="T2637" s="8" t="s">
        <v>24</v>
      </c>
      <c r="U2637" s="8" t="s">
        <v>25</v>
      </c>
    </row>
    <row r="2638" spans="1:21">
      <c r="A2638" s="8" t="s">
        <v>10349</v>
      </c>
      <c r="B2638" s="8" t="s">
        <v>11656</v>
      </c>
      <c r="C2638" s="8">
        <v>79690</v>
      </c>
      <c r="D2638" s="8" t="s">
        <v>257</v>
      </c>
      <c r="E2638" s="8">
        <v>99758012</v>
      </c>
      <c r="F2638" s="8">
        <v>99758012</v>
      </c>
      <c r="G2638" s="8" t="s">
        <v>46</v>
      </c>
      <c r="H2638" s="8" t="s">
        <v>41</v>
      </c>
      <c r="I2638" s="8" t="s">
        <v>23</v>
      </c>
      <c r="J2638" s="8" t="s">
        <v>11657</v>
      </c>
      <c r="K2638" s="8" t="s">
        <v>11659</v>
      </c>
      <c r="L2638" s="8" t="s">
        <v>19</v>
      </c>
      <c r="M2638" s="8">
        <v>1393</v>
      </c>
      <c r="N2638" s="8" t="s">
        <v>768</v>
      </c>
      <c r="O2638" s="8">
        <v>334</v>
      </c>
      <c r="P2638" s="8" t="s">
        <v>11658</v>
      </c>
      <c r="Q2638" s="8" t="s">
        <v>4262</v>
      </c>
      <c r="R2638" s="8">
        <v>0.14299999999999999</v>
      </c>
      <c r="S2638" s="8">
        <v>99758012</v>
      </c>
      <c r="T2638" s="8" t="s">
        <v>46</v>
      </c>
      <c r="U2638" s="8" t="s">
        <v>41</v>
      </c>
    </row>
    <row r="2639" spans="1:21">
      <c r="A2639" s="8" t="s">
        <v>10349</v>
      </c>
      <c r="B2639" s="8" t="s">
        <v>11660</v>
      </c>
      <c r="C2639" s="8">
        <v>7455</v>
      </c>
      <c r="D2639" s="8" t="s">
        <v>257</v>
      </c>
      <c r="E2639" s="8">
        <v>100349584</v>
      </c>
      <c r="F2639" s="8">
        <v>100349584</v>
      </c>
      <c r="G2639" s="8" t="s">
        <v>46</v>
      </c>
      <c r="H2639" s="8" t="s">
        <v>41</v>
      </c>
      <c r="I2639" s="8" t="s">
        <v>23</v>
      </c>
      <c r="J2639" s="8" t="s">
        <v>11661</v>
      </c>
      <c r="K2639" s="8" t="s">
        <v>11663</v>
      </c>
      <c r="L2639" s="8" t="s">
        <v>19</v>
      </c>
      <c r="M2639" s="8">
        <v>2021</v>
      </c>
      <c r="N2639" s="8" t="s">
        <v>333</v>
      </c>
      <c r="O2639" s="8">
        <v>619</v>
      </c>
      <c r="P2639" s="8" t="s">
        <v>11662</v>
      </c>
      <c r="Q2639" s="8" t="s">
        <v>4262</v>
      </c>
      <c r="R2639" s="8">
        <v>0.185</v>
      </c>
      <c r="S2639" s="8">
        <v>100349584</v>
      </c>
      <c r="T2639" s="8" t="s">
        <v>46</v>
      </c>
      <c r="U2639" s="8" t="s">
        <v>41</v>
      </c>
    </row>
    <row r="2640" spans="1:21">
      <c r="A2640" s="8" t="s">
        <v>10349</v>
      </c>
      <c r="B2640" s="8" t="s">
        <v>8385</v>
      </c>
      <c r="C2640" s="8">
        <v>10071</v>
      </c>
      <c r="D2640" s="8" t="s">
        <v>257</v>
      </c>
      <c r="E2640" s="8">
        <v>100634574</v>
      </c>
      <c r="F2640" s="8">
        <v>100634574</v>
      </c>
      <c r="G2640" s="8" t="s">
        <v>24</v>
      </c>
      <c r="H2640" s="8" t="s">
        <v>25</v>
      </c>
      <c r="I2640" s="8" t="s">
        <v>23</v>
      </c>
      <c r="J2640" s="8" t="s">
        <v>8386</v>
      </c>
      <c r="K2640" s="8" t="s">
        <v>8388</v>
      </c>
      <c r="L2640" s="8" t="s">
        <v>19</v>
      </c>
      <c r="M2640" s="8">
        <v>730</v>
      </c>
      <c r="N2640" s="8" t="s">
        <v>536</v>
      </c>
      <c r="O2640" s="8">
        <v>244</v>
      </c>
      <c r="P2640" s="8" t="s">
        <v>11664</v>
      </c>
      <c r="Q2640" s="8" t="s">
        <v>4262</v>
      </c>
      <c r="R2640" s="8">
        <v>0.14499999999999999</v>
      </c>
      <c r="S2640" s="8">
        <v>100634574</v>
      </c>
      <c r="T2640" s="8" t="s">
        <v>24</v>
      </c>
      <c r="U2640" s="8" t="s">
        <v>25</v>
      </c>
    </row>
    <row r="2641" spans="1:21">
      <c r="A2641" s="8" t="s">
        <v>10349</v>
      </c>
      <c r="B2641" s="8" t="s">
        <v>8385</v>
      </c>
      <c r="C2641" s="8">
        <v>10071</v>
      </c>
      <c r="D2641" s="8" t="s">
        <v>257</v>
      </c>
      <c r="E2641" s="8">
        <v>100643590</v>
      </c>
      <c r="F2641" s="8">
        <v>100643590</v>
      </c>
      <c r="G2641" s="8" t="s">
        <v>24</v>
      </c>
      <c r="H2641" s="8" t="s">
        <v>25</v>
      </c>
      <c r="I2641" s="8" t="s">
        <v>23</v>
      </c>
      <c r="J2641" s="8" t="s">
        <v>8386</v>
      </c>
      <c r="K2641" s="8" t="s">
        <v>8388</v>
      </c>
      <c r="L2641" s="8" t="s">
        <v>76</v>
      </c>
      <c r="M2641" s="8">
        <v>9746</v>
      </c>
      <c r="N2641" s="8" t="s">
        <v>471</v>
      </c>
      <c r="O2641" s="8">
        <v>3249</v>
      </c>
      <c r="P2641" s="8" t="s">
        <v>11665</v>
      </c>
      <c r="Q2641" s="8" t="s">
        <v>4262</v>
      </c>
      <c r="R2641" s="8">
        <v>3.6999999999999998E-2</v>
      </c>
      <c r="S2641" s="8">
        <v>100643590</v>
      </c>
      <c r="T2641" s="8" t="s">
        <v>24</v>
      </c>
      <c r="U2641" s="8" t="s">
        <v>25</v>
      </c>
    </row>
    <row r="2642" spans="1:21">
      <c r="A2642" s="8" t="s">
        <v>10349</v>
      </c>
      <c r="B2642" s="8" t="s">
        <v>5067</v>
      </c>
      <c r="C2642" s="8">
        <v>140453</v>
      </c>
      <c r="D2642" s="8" t="s">
        <v>257</v>
      </c>
      <c r="E2642" s="8">
        <v>100677519</v>
      </c>
      <c r="F2642" s="8">
        <v>100677519</v>
      </c>
      <c r="G2642" s="8" t="s">
        <v>46</v>
      </c>
      <c r="H2642" s="8" t="s">
        <v>41</v>
      </c>
      <c r="I2642" s="8" t="s">
        <v>23</v>
      </c>
      <c r="J2642" s="8" t="s">
        <v>5068</v>
      </c>
      <c r="K2642" s="8" t="s">
        <v>5070</v>
      </c>
      <c r="L2642" s="8" t="s">
        <v>19</v>
      </c>
      <c r="M2642" s="8">
        <v>2875</v>
      </c>
      <c r="N2642" s="8" t="s">
        <v>389</v>
      </c>
      <c r="O2642" s="8">
        <v>941</v>
      </c>
      <c r="P2642" s="8" t="s">
        <v>11666</v>
      </c>
      <c r="Q2642" s="8" t="s">
        <v>11667</v>
      </c>
      <c r="R2642" s="8">
        <v>0.20499999999999999</v>
      </c>
      <c r="S2642" s="8">
        <v>100677519</v>
      </c>
      <c r="T2642" s="8" t="s">
        <v>46</v>
      </c>
      <c r="U2642" s="8" t="s">
        <v>41</v>
      </c>
    </row>
    <row r="2643" spans="1:21">
      <c r="A2643" s="8" t="s">
        <v>10349</v>
      </c>
      <c r="B2643" s="8" t="s">
        <v>7341</v>
      </c>
      <c r="C2643" s="8">
        <v>1523</v>
      </c>
      <c r="D2643" s="8" t="s">
        <v>257</v>
      </c>
      <c r="E2643" s="8">
        <v>101877373</v>
      </c>
      <c r="F2643" s="8">
        <v>101877373</v>
      </c>
      <c r="G2643" s="8" t="s">
        <v>24</v>
      </c>
      <c r="H2643" s="8" t="s">
        <v>25</v>
      </c>
      <c r="I2643" s="8" t="s">
        <v>23</v>
      </c>
      <c r="J2643" s="8" t="s">
        <v>7342</v>
      </c>
      <c r="K2643" s="8" t="s">
        <v>7344</v>
      </c>
      <c r="L2643" s="8" t="s">
        <v>19</v>
      </c>
      <c r="M2643" s="8">
        <v>3513</v>
      </c>
      <c r="N2643" s="8" t="s">
        <v>536</v>
      </c>
      <c r="O2643" s="8">
        <v>1159</v>
      </c>
      <c r="P2643" s="8" t="s">
        <v>11668</v>
      </c>
      <c r="Q2643" s="8" t="s">
        <v>4262</v>
      </c>
      <c r="R2643" s="8">
        <v>0.318</v>
      </c>
      <c r="S2643" s="8">
        <v>101877373</v>
      </c>
      <c r="T2643" s="8" t="s">
        <v>24</v>
      </c>
      <c r="U2643" s="8" t="s">
        <v>25</v>
      </c>
    </row>
    <row r="2644" spans="1:21">
      <c r="A2644" s="8" t="s">
        <v>10349</v>
      </c>
      <c r="B2644" s="8" t="s">
        <v>5602</v>
      </c>
      <c r="C2644" s="8">
        <v>222255</v>
      </c>
      <c r="D2644" s="8" t="s">
        <v>257</v>
      </c>
      <c r="E2644" s="8">
        <v>105254380</v>
      </c>
      <c r="F2644" s="8">
        <v>105254380</v>
      </c>
      <c r="G2644" s="8" t="s">
        <v>46</v>
      </c>
      <c r="H2644" s="8" t="s">
        <v>41</v>
      </c>
      <c r="I2644" s="8" t="s">
        <v>23</v>
      </c>
      <c r="J2644" s="8" t="s">
        <v>5603</v>
      </c>
      <c r="K2644" s="8" t="s">
        <v>5605</v>
      </c>
      <c r="L2644" s="8" t="s">
        <v>19</v>
      </c>
      <c r="M2644" s="8">
        <v>2428</v>
      </c>
      <c r="N2644" s="8" t="s">
        <v>1440</v>
      </c>
      <c r="O2644" s="8">
        <v>801</v>
      </c>
      <c r="P2644" s="8" t="s">
        <v>11669</v>
      </c>
      <c r="Q2644" s="8" t="s">
        <v>4262</v>
      </c>
      <c r="R2644" s="8">
        <v>0.3</v>
      </c>
      <c r="S2644" s="8">
        <v>105254380</v>
      </c>
      <c r="T2644" s="8" t="s">
        <v>46</v>
      </c>
      <c r="U2644" s="8" t="s">
        <v>41</v>
      </c>
    </row>
    <row r="2645" spans="1:21">
      <c r="A2645" s="8" t="s">
        <v>10349</v>
      </c>
      <c r="B2645" s="8" t="s">
        <v>5602</v>
      </c>
      <c r="C2645" s="8">
        <v>222255</v>
      </c>
      <c r="D2645" s="8" t="s">
        <v>257</v>
      </c>
      <c r="E2645" s="8">
        <v>105279034</v>
      </c>
      <c r="F2645" s="8">
        <v>105279034</v>
      </c>
      <c r="G2645" s="8" t="s">
        <v>46</v>
      </c>
      <c r="H2645" s="8" t="s">
        <v>41</v>
      </c>
      <c r="I2645" s="8" t="s">
        <v>23</v>
      </c>
      <c r="J2645" s="8" t="s">
        <v>5603</v>
      </c>
      <c r="K2645" s="8" t="s">
        <v>5605</v>
      </c>
      <c r="L2645" s="8" t="s">
        <v>19</v>
      </c>
      <c r="M2645" s="8">
        <v>995</v>
      </c>
      <c r="N2645" s="8" t="s">
        <v>2483</v>
      </c>
      <c r="O2645" s="8">
        <v>323</v>
      </c>
      <c r="P2645" s="8" t="s">
        <v>11670</v>
      </c>
      <c r="Q2645" s="8" t="s">
        <v>4262</v>
      </c>
      <c r="R2645" s="8">
        <v>0.19400000000000001</v>
      </c>
      <c r="S2645" s="8">
        <v>105279034</v>
      </c>
      <c r="T2645" s="8" t="s">
        <v>46</v>
      </c>
      <c r="U2645" s="8" t="s">
        <v>41</v>
      </c>
    </row>
    <row r="2646" spans="1:21">
      <c r="A2646" s="8" t="s">
        <v>10349</v>
      </c>
      <c r="B2646" s="8" t="s">
        <v>2756</v>
      </c>
      <c r="C2646" s="8">
        <v>22798</v>
      </c>
      <c r="D2646" s="8" t="s">
        <v>257</v>
      </c>
      <c r="E2646" s="8">
        <v>107718724</v>
      </c>
      <c r="F2646" s="8">
        <v>107718724</v>
      </c>
      <c r="G2646" s="8" t="s">
        <v>24</v>
      </c>
      <c r="H2646" s="8" t="s">
        <v>25</v>
      </c>
      <c r="I2646" s="8" t="s">
        <v>23</v>
      </c>
      <c r="J2646" s="8" t="s">
        <v>2757</v>
      </c>
      <c r="K2646" s="8" t="s">
        <v>11672</v>
      </c>
      <c r="L2646" s="8" t="s">
        <v>19</v>
      </c>
      <c r="M2646" s="8">
        <v>2009</v>
      </c>
      <c r="N2646" s="8" t="s">
        <v>333</v>
      </c>
      <c r="O2646" s="8">
        <v>642</v>
      </c>
      <c r="P2646" s="8" t="s">
        <v>11671</v>
      </c>
      <c r="Q2646" s="8" t="s">
        <v>4262</v>
      </c>
      <c r="R2646" s="8">
        <v>0.25800000000000001</v>
      </c>
      <c r="S2646" s="8">
        <v>107718724</v>
      </c>
      <c r="T2646" s="8" t="s">
        <v>24</v>
      </c>
      <c r="U2646" s="8" t="s">
        <v>25</v>
      </c>
    </row>
    <row r="2647" spans="1:21">
      <c r="A2647" s="8" t="s">
        <v>10349</v>
      </c>
      <c r="B2647" s="8" t="s">
        <v>3822</v>
      </c>
      <c r="C2647" s="8">
        <v>50640</v>
      </c>
      <c r="D2647" s="8" t="s">
        <v>257</v>
      </c>
      <c r="E2647" s="8">
        <v>108128244</v>
      </c>
      <c r="F2647" s="8">
        <v>108128244</v>
      </c>
      <c r="G2647" s="8" t="s">
        <v>46</v>
      </c>
      <c r="H2647" s="8" t="s">
        <v>41</v>
      </c>
      <c r="I2647" s="8" t="s">
        <v>23</v>
      </c>
      <c r="J2647" s="8" t="s">
        <v>5178</v>
      </c>
      <c r="K2647" s="8" t="s">
        <v>5180</v>
      </c>
      <c r="L2647" s="8" t="s">
        <v>19</v>
      </c>
      <c r="M2647" s="8">
        <v>2244</v>
      </c>
      <c r="N2647" s="8" t="s">
        <v>536</v>
      </c>
      <c r="O2647" s="8">
        <v>613</v>
      </c>
      <c r="P2647" s="8" t="s">
        <v>11673</v>
      </c>
      <c r="Q2647" s="8" t="s">
        <v>4262</v>
      </c>
      <c r="R2647" s="8">
        <v>0.24099999999999999</v>
      </c>
      <c r="S2647" s="8">
        <v>108128244</v>
      </c>
      <c r="T2647" s="8" t="s">
        <v>46</v>
      </c>
      <c r="U2647" s="8" t="s">
        <v>41</v>
      </c>
    </row>
    <row r="2648" spans="1:21">
      <c r="A2648" s="8" t="s">
        <v>10349</v>
      </c>
      <c r="B2648" s="8" t="s">
        <v>11674</v>
      </c>
      <c r="C2648" s="8">
        <v>5506</v>
      </c>
      <c r="D2648" s="8" t="s">
        <v>257</v>
      </c>
      <c r="E2648" s="8">
        <v>113518664</v>
      </c>
      <c r="F2648" s="8">
        <v>113518664</v>
      </c>
      <c r="G2648" s="8" t="s">
        <v>24</v>
      </c>
      <c r="H2648" s="8" t="s">
        <v>25</v>
      </c>
      <c r="I2648" s="8" t="s">
        <v>23</v>
      </c>
      <c r="J2648" s="8" t="s">
        <v>11675</v>
      </c>
      <c r="K2648" s="8" t="s">
        <v>11677</v>
      </c>
      <c r="L2648" s="8" t="s">
        <v>19</v>
      </c>
      <c r="M2648" s="8">
        <v>2514</v>
      </c>
      <c r="N2648" s="8" t="s">
        <v>1140</v>
      </c>
      <c r="O2648" s="8">
        <v>828</v>
      </c>
      <c r="P2648" s="8" t="s">
        <v>11676</v>
      </c>
      <c r="Q2648" s="8" t="s">
        <v>4262</v>
      </c>
      <c r="R2648" s="8">
        <v>0.14599999999999999</v>
      </c>
      <c r="S2648" s="8">
        <v>113518664</v>
      </c>
      <c r="T2648" s="8" t="s">
        <v>24</v>
      </c>
      <c r="U2648" s="8" t="s">
        <v>25</v>
      </c>
    </row>
    <row r="2649" spans="1:21">
      <c r="A2649" s="8" t="s">
        <v>10349</v>
      </c>
      <c r="B2649" s="8" t="s">
        <v>11678</v>
      </c>
      <c r="C2649" s="8">
        <v>22797</v>
      </c>
      <c r="D2649" s="8" t="s">
        <v>257</v>
      </c>
      <c r="E2649" s="8">
        <v>115580970</v>
      </c>
      <c r="F2649" s="8">
        <v>115580970</v>
      </c>
      <c r="G2649" s="8" t="s">
        <v>46</v>
      </c>
      <c r="H2649" s="8" t="s">
        <v>41</v>
      </c>
      <c r="I2649" s="8" t="s">
        <v>23</v>
      </c>
      <c r="J2649" s="8" t="s">
        <v>11679</v>
      </c>
      <c r="K2649" s="8" t="s">
        <v>11682</v>
      </c>
      <c r="L2649" s="8" t="s">
        <v>19</v>
      </c>
      <c r="M2649" s="8">
        <v>863</v>
      </c>
      <c r="N2649" s="8" t="s">
        <v>768</v>
      </c>
      <c r="O2649" s="8">
        <v>227</v>
      </c>
      <c r="P2649" s="8" t="s">
        <v>11680</v>
      </c>
      <c r="Q2649" s="8" t="s">
        <v>11681</v>
      </c>
      <c r="R2649" s="8">
        <v>0.106</v>
      </c>
      <c r="S2649" s="8">
        <v>115580970</v>
      </c>
      <c r="T2649" s="8" t="s">
        <v>46</v>
      </c>
      <c r="U2649" s="8" t="s">
        <v>41</v>
      </c>
    </row>
    <row r="2650" spans="1:21">
      <c r="A2650" s="8" t="s">
        <v>10349</v>
      </c>
      <c r="B2650" s="8" t="s">
        <v>11683</v>
      </c>
      <c r="C2650" s="8">
        <v>26136</v>
      </c>
      <c r="D2650" s="8" t="s">
        <v>257</v>
      </c>
      <c r="E2650" s="8">
        <v>115892480</v>
      </c>
      <c r="F2650" s="8">
        <v>115892480</v>
      </c>
      <c r="G2650" s="8" t="s">
        <v>24</v>
      </c>
      <c r="H2650" s="8" t="s">
        <v>25</v>
      </c>
      <c r="I2650" s="8" t="s">
        <v>23</v>
      </c>
      <c r="J2650" s="8" t="s">
        <v>11684</v>
      </c>
      <c r="K2650" s="8" t="s">
        <v>11686</v>
      </c>
      <c r="L2650" s="8" t="s">
        <v>19</v>
      </c>
      <c r="M2650" s="8">
        <v>1242</v>
      </c>
      <c r="N2650" s="8" t="s">
        <v>21</v>
      </c>
      <c r="O2650" s="8">
        <v>343</v>
      </c>
      <c r="P2650" s="8" t="s">
        <v>11685</v>
      </c>
      <c r="Q2650" s="8" t="s">
        <v>4262</v>
      </c>
      <c r="R2650" s="8">
        <v>0.26700000000000002</v>
      </c>
      <c r="S2650" s="8">
        <v>115892480</v>
      </c>
      <c r="T2650" s="8" t="s">
        <v>24</v>
      </c>
      <c r="U2650" s="8" t="s">
        <v>25</v>
      </c>
    </row>
    <row r="2651" spans="1:21">
      <c r="A2651" s="8" t="s">
        <v>10349</v>
      </c>
      <c r="B2651" s="8" t="s">
        <v>2758</v>
      </c>
      <c r="C2651" s="8">
        <v>7982</v>
      </c>
      <c r="D2651" s="8" t="s">
        <v>257</v>
      </c>
      <c r="E2651" s="8">
        <v>116849983</v>
      </c>
      <c r="F2651" s="8">
        <v>116849983</v>
      </c>
      <c r="G2651" s="8" t="s">
        <v>24</v>
      </c>
      <c r="H2651" s="8" t="s">
        <v>25</v>
      </c>
      <c r="I2651" s="8" t="s">
        <v>23</v>
      </c>
      <c r="J2651" s="8" t="s">
        <v>11687</v>
      </c>
      <c r="K2651" s="8" t="s">
        <v>11689</v>
      </c>
      <c r="L2651" s="8" t="s">
        <v>76</v>
      </c>
      <c r="M2651" s="8">
        <v>1611</v>
      </c>
      <c r="N2651" s="8" t="s">
        <v>471</v>
      </c>
      <c r="O2651" s="8">
        <v>466</v>
      </c>
      <c r="P2651" s="8" t="s">
        <v>11688</v>
      </c>
      <c r="Q2651" s="8" t="s">
        <v>4262</v>
      </c>
      <c r="R2651" s="8">
        <v>0.23799999999999999</v>
      </c>
      <c r="S2651" s="8">
        <v>116849983</v>
      </c>
      <c r="T2651" s="8" t="s">
        <v>24</v>
      </c>
      <c r="U2651" s="8" t="s">
        <v>25</v>
      </c>
    </row>
    <row r="2652" spans="1:21">
      <c r="A2652" s="8" t="s">
        <v>10349</v>
      </c>
      <c r="B2652" s="8" t="s">
        <v>399</v>
      </c>
      <c r="C2652" s="8">
        <v>1080</v>
      </c>
      <c r="D2652" s="8" t="s">
        <v>257</v>
      </c>
      <c r="E2652" s="8">
        <v>117307025</v>
      </c>
      <c r="F2652" s="8">
        <v>117307025</v>
      </c>
      <c r="G2652" s="8" t="s">
        <v>46</v>
      </c>
      <c r="H2652" s="8" t="s">
        <v>41</v>
      </c>
      <c r="I2652" s="8" t="s">
        <v>23</v>
      </c>
      <c r="J2652" s="8" t="s">
        <v>400</v>
      </c>
      <c r="K2652" s="8" t="s">
        <v>11691</v>
      </c>
      <c r="L2652" s="8" t="s">
        <v>19</v>
      </c>
      <c r="M2652" s="8">
        <v>4438</v>
      </c>
      <c r="N2652" s="8" t="s">
        <v>58</v>
      </c>
      <c r="O2652" s="8">
        <v>1436</v>
      </c>
      <c r="P2652" s="8" t="s">
        <v>11690</v>
      </c>
      <c r="Q2652" s="8" t="s">
        <v>4262</v>
      </c>
      <c r="R2652" s="8">
        <v>0.2</v>
      </c>
      <c r="S2652" s="8">
        <v>117307025</v>
      </c>
      <c r="T2652" s="8" t="s">
        <v>46</v>
      </c>
      <c r="U2652" s="8" t="s">
        <v>41</v>
      </c>
    </row>
    <row r="2653" spans="1:21">
      <c r="A2653" s="8" t="s">
        <v>10349</v>
      </c>
      <c r="B2653" s="8" t="s">
        <v>11692</v>
      </c>
      <c r="C2653" s="8">
        <v>54556</v>
      </c>
      <c r="D2653" s="8" t="s">
        <v>257</v>
      </c>
      <c r="E2653" s="8">
        <v>120609137</v>
      </c>
      <c r="F2653" s="8">
        <v>120609137</v>
      </c>
      <c r="G2653" s="8" t="s">
        <v>24</v>
      </c>
      <c r="H2653" s="8" t="s">
        <v>25</v>
      </c>
      <c r="I2653" s="8" t="s">
        <v>23</v>
      </c>
      <c r="J2653" s="8" t="s">
        <v>11693</v>
      </c>
      <c r="K2653" s="8" t="s">
        <v>11695</v>
      </c>
      <c r="L2653" s="8" t="s">
        <v>19</v>
      </c>
      <c r="M2653" s="8">
        <v>921</v>
      </c>
      <c r="N2653" s="8" t="s">
        <v>1364</v>
      </c>
      <c r="O2653" s="8">
        <v>263</v>
      </c>
      <c r="P2653" s="8" t="s">
        <v>11694</v>
      </c>
      <c r="Q2653" s="8" t="s">
        <v>4262</v>
      </c>
      <c r="R2653" s="8">
        <v>0.22500000000000001</v>
      </c>
      <c r="S2653" s="8">
        <v>120609137</v>
      </c>
      <c r="T2653" s="8" t="s">
        <v>24</v>
      </c>
      <c r="U2653" s="8" t="s">
        <v>25</v>
      </c>
    </row>
    <row r="2654" spans="1:21">
      <c r="A2654" s="8" t="s">
        <v>10349</v>
      </c>
      <c r="B2654" s="8" t="s">
        <v>8961</v>
      </c>
      <c r="C2654" s="8">
        <v>5803</v>
      </c>
      <c r="D2654" s="8" t="s">
        <v>257</v>
      </c>
      <c r="E2654" s="8">
        <v>121691572</v>
      </c>
      <c r="F2654" s="8">
        <v>121691572</v>
      </c>
      <c r="G2654" s="8" t="s">
        <v>46</v>
      </c>
      <c r="H2654" s="8" t="s">
        <v>41</v>
      </c>
      <c r="I2654" s="8" t="s">
        <v>23</v>
      </c>
      <c r="J2654" s="8" t="s">
        <v>8962</v>
      </c>
      <c r="K2654" s="8" t="s">
        <v>8964</v>
      </c>
      <c r="L2654" s="8" t="s">
        <v>19</v>
      </c>
      <c r="M2654" s="8">
        <v>6570</v>
      </c>
      <c r="N2654" s="8" t="s">
        <v>415</v>
      </c>
      <c r="O2654" s="8">
        <v>2059</v>
      </c>
      <c r="P2654" s="8" t="s">
        <v>11696</v>
      </c>
      <c r="Q2654" s="8" t="s">
        <v>4262</v>
      </c>
      <c r="R2654" s="8">
        <v>0.17299999999999999</v>
      </c>
      <c r="S2654" s="8">
        <v>121691572</v>
      </c>
      <c r="T2654" s="8" t="s">
        <v>46</v>
      </c>
      <c r="U2654" s="8" t="s">
        <v>41</v>
      </c>
    </row>
    <row r="2655" spans="1:21">
      <c r="A2655" s="8" t="s">
        <v>10349</v>
      </c>
      <c r="B2655" s="8" t="s">
        <v>11697</v>
      </c>
      <c r="C2655" s="8">
        <v>442721</v>
      </c>
      <c r="D2655" s="8" t="s">
        <v>257</v>
      </c>
      <c r="E2655" s="8">
        <v>123303202</v>
      </c>
      <c r="F2655" s="8">
        <v>123303202</v>
      </c>
      <c r="G2655" s="8" t="s">
        <v>46</v>
      </c>
      <c r="H2655" s="8" t="s">
        <v>41</v>
      </c>
      <c r="I2655" s="8" t="s">
        <v>23</v>
      </c>
      <c r="J2655" s="8" t="s">
        <v>11698</v>
      </c>
      <c r="K2655" s="8" t="s">
        <v>11700</v>
      </c>
      <c r="L2655" s="8" t="s">
        <v>19</v>
      </c>
      <c r="M2655" s="8">
        <v>1719</v>
      </c>
      <c r="N2655" s="8" t="s">
        <v>389</v>
      </c>
      <c r="O2655" s="8">
        <v>521</v>
      </c>
      <c r="P2655" s="8" t="s">
        <v>11699</v>
      </c>
      <c r="Q2655" s="8" t="s">
        <v>4262</v>
      </c>
      <c r="R2655" s="8">
        <v>0.20300000000000001</v>
      </c>
      <c r="S2655" s="8">
        <v>123303202</v>
      </c>
      <c r="T2655" s="8" t="s">
        <v>46</v>
      </c>
      <c r="U2655" s="8" t="s">
        <v>41</v>
      </c>
    </row>
    <row r="2656" spans="1:21">
      <c r="A2656" s="8" t="s">
        <v>10349</v>
      </c>
      <c r="B2656" s="8" t="s">
        <v>254</v>
      </c>
      <c r="C2656" s="8">
        <v>2861</v>
      </c>
      <c r="D2656" s="8" t="s">
        <v>257</v>
      </c>
      <c r="E2656" s="8">
        <v>124387196</v>
      </c>
      <c r="F2656" s="8">
        <v>124387196</v>
      </c>
      <c r="G2656" s="8" t="s">
        <v>46</v>
      </c>
      <c r="H2656" s="8" t="s">
        <v>41</v>
      </c>
      <c r="I2656" s="8" t="s">
        <v>23</v>
      </c>
      <c r="J2656" s="8" t="s">
        <v>255</v>
      </c>
      <c r="K2656" s="8" t="s">
        <v>11702</v>
      </c>
      <c r="L2656" s="8" t="s">
        <v>19</v>
      </c>
      <c r="M2656" s="8">
        <v>1876</v>
      </c>
      <c r="N2656" s="8" t="s">
        <v>28</v>
      </c>
      <c r="O2656" s="8">
        <v>409</v>
      </c>
      <c r="P2656" s="8" t="s">
        <v>11701</v>
      </c>
      <c r="Q2656" s="8" t="s">
        <v>4262</v>
      </c>
      <c r="R2656" s="8">
        <v>0.23799999999999999</v>
      </c>
      <c r="S2656" s="8">
        <v>124387196</v>
      </c>
      <c r="T2656" s="8" t="s">
        <v>46</v>
      </c>
      <c r="U2656" s="8" t="s">
        <v>41</v>
      </c>
    </row>
    <row r="2657" spans="1:21">
      <c r="A2657" s="8" t="s">
        <v>10349</v>
      </c>
      <c r="B2657" s="8" t="s">
        <v>809</v>
      </c>
      <c r="C2657" s="8">
        <v>2918</v>
      </c>
      <c r="D2657" s="8" t="s">
        <v>257</v>
      </c>
      <c r="E2657" s="8">
        <v>126544181</v>
      </c>
      <c r="F2657" s="8">
        <v>126544181</v>
      </c>
      <c r="G2657" s="8" t="s">
        <v>46</v>
      </c>
      <c r="H2657" s="8" t="s">
        <v>41</v>
      </c>
      <c r="I2657" s="8" t="s">
        <v>23</v>
      </c>
      <c r="J2657" s="8" t="s">
        <v>11703</v>
      </c>
      <c r="K2657" s="8" t="s">
        <v>11704</v>
      </c>
      <c r="L2657" s="8" t="s">
        <v>68</v>
      </c>
      <c r="M2657" s="8">
        <v>0</v>
      </c>
      <c r="N2657" s="8" t="s">
        <v>35</v>
      </c>
      <c r="O2657" s="8">
        <v>0</v>
      </c>
      <c r="P2657" s="8" t="s">
        <v>35</v>
      </c>
      <c r="Q2657" s="8" t="s">
        <v>4262</v>
      </c>
      <c r="R2657" s="8">
        <v>0.30599999999999999</v>
      </c>
      <c r="S2657" s="8">
        <v>126544181</v>
      </c>
      <c r="T2657" s="8" t="s">
        <v>46</v>
      </c>
      <c r="U2657" s="8" t="s">
        <v>41</v>
      </c>
    </row>
    <row r="2658" spans="1:21">
      <c r="A2658" s="8" t="s">
        <v>10349</v>
      </c>
      <c r="B2658" s="8" t="s">
        <v>11705</v>
      </c>
      <c r="C2658" s="8">
        <v>51530</v>
      </c>
      <c r="D2658" s="8" t="s">
        <v>257</v>
      </c>
      <c r="E2658" s="8">
        <v>129680930</v>
      </c>
      <c r="F2658" s="8">
        <v>129680930</v>
      </c>
      <c r="G2658" s="8" t="s">
        <v>46</v>
      </c>
      <c r="H2658" s="8" t="s">
        <v>41</v>
      </c>
      <c r="I2658" s="8" t="s">
        <v>23</v>
      </c>
      <c r="J2658" s="8" t="s">
        <v>11706</v>
      </c>
      <c r="K2658" s="8" t="s">
        <v>11708</v>
      </c>
      <c r="L2658" s="8" t="s">
        <v>76</v>
      </c>
      <c r="M2658" s="8">
        <v>297</v>
      </c>
      <c r="N2658" s="8" t="s">
        <v>716</v>
      </c>
      <c r="O2658" s="8">
        <v>90</v>
      </c>
      <c r="P2658" s="8" t="s">
        <v>11707</v>
      </c>
      <c r="Q2658" s="8" t="s">
        <v>4262</v>
      </c>
      <c r="R2658" s="8">
        <v>0.26900000000000002</v>
      </c>
      <c r="S2658" s="8">
        <v>129680930</v>
      </c>
      <c r="T2658" s="8" t="s">
        <v>46</v>
      </c>
      <c r="U2658" s="8" t="s">
        <v>41</v>
      </c>
    </row>
    <row r="2659" spans="1:21">
      <c r="A2659" s="8" t="s">
        <v>10349</v>
      </c>
      <c r="B2659" s="8" t="s">
        <v>2759</v>
      </c>
      <c r="C2659" s="8">
        <v>5420</v>
      </c>
      <c r="D2659" s="8" t="s">
        <v>257</v>
      </c>
      <c r="E2659" s="8">
        <v>131195752</v>
      </c>
      <c r="F2659" s="8">
        <v>131195752</v>
      </c>
      <c r="G2659" s="8" t="s">
        <v>24</v>
      </c>
      <c r="H2659" s="8" t="s">
        <v>25</v>
      </c>
      <c r="I2659" s="8" t="s">
        <v>23</v>
      </c>
      <c r="J2659" s="8" t="s">
        <v>11709</v>
      </c>
      <c r="K2659" s="8" t="s">
        <v>11711</v>
      </c>
      <c r="L2659" s="8" t="s">
        <v>19</v>
      </c>
      <c r="M2659" s="8">
        <v>799</v>
      </c>
      <c r="N2659" s="8" t="s">
        <v>415</v>
      </c>
      <c r="O2659" s="8">
        <v>181</v>
      </c>
      <c r="P2659" s="8" t="s">
        <v>11710</v>
      </c>
      <c r="Q2659" s="8" t="s">
        <v>4262</v>
      </c>
      <c r="R2659" s="8">
        <v>0.216</v>
      </c>
      <c r="S2659" s="8">
        <v>131195752</v>
      </c>
      <c r="T2659" s="8" t="s">
        <v>24</v>
      </c>
      <c r="U2659" s="8" t="s">
        <v>25</v>
      </c>
    </row>
    <row r="2660" spans="1:21">
      <c r="A2660" s="8" t="s">
        <v>10349</v>
      </c>
      <c r="B2660" s="8" t="s">
        <v>11712</v>
      </c>
      <c r="C2660" s="8">
        <v>4850</v>
      </c>
      <c r="D2660" s="8" t="s">
        <v>257</v>
      </c>
      <c r="E2660" s="8">
        <v>135106964</v>
      </c>
      <c r="F2660" s="8">
        <v>135106964</v>
      </c>
      <c r="G2660" s="8" t="s">
        <v>46</v>
      </c>
      <c r="H2660" s="8" t="s">
        <v>41</v>
      </c>
      <c r="I2660" s="8" t="s">
        <v>23</v>
      </c>
      <c r="J2660" s="8" t="s">
        <v>11713</v>
      </c>
      <c r="K2660" s="8" t="s">
        <v>11715</v>
      </c>
      <c r="L2660" s="8" t="s">
        <v>19</v>
      </c>
      <c r="M2660" s="8">
        <v>644</v>
      </c>
      <c r="N2660" s="8" t="s">
        <v>21</v>
      </c>
      <c r="O2660" s="8">
        <v>105</v>
      </c>
      <c r="P2660" s="8" t="s">
        <v>11714</v>
      </c>
      <c r="Q2660" s="8" t="s">
        <v>4262</v>
      </c>
      <c r="R2660" s="8">
        <v>0.22</v>
      </c>
      <c r="S2660" s="8">
        <v>135106964</v>
      </c>
      <c r="T2660" s="8" t="s">
        <v>46</v>
      </c>
      <c r="U2660" s="8" t="s">
        <v>41</v>
      </c>
    </row>
    <row r="2661" spans="1:21">
      <c r="A2661" s="8" t="s">
        <v>10349</v>
      </c>
      <c r="B2661" s="8" t="s">
        <v>11716</v>
      </c>
      <c r="C2661" s="8">
        <v>6718</v>
      </c>
      <c r="D2661" s="8" t="s">
        <v>257</v>
      </c>
      <c r="E2661" s="8">
        <v>137761350</v>
      </c>
      <c r="F2661" s="8">
        <v>137761350</v>
      </c>
      <c r="G2661" s="8" t="s">
        <v>46</v>
      </c>
      <c r="H2661" s="8" t="s">
        <v>41</v>
      </c>
      <c r="I2661" s="8" t="s">
        <v>23</v>
      </c>
      <c r="J2661" s="8" t="s">
        <v>11717</v>
      </c>
      <c r="K2661" s="8" t="s">
        <v>11719</v>
      </c>
      <c r="L2661" s="8" t="s">
        <v>19</v>
      </c>
      <c r="M2661" s="8">
        <v>173</v>
      </c>
      <c r="N2661" s="8" t="s">
        <v>1140</v>
      </c>
      <c r="O2661" s="8">
        <v>29</v>
      </c>
      <c r="P2661" s="8" t="s">
        <v>11718</v>
      </c>
      <c r="Q2661" s="8" t="s">
        <v>4262</v>
      </c>
      <c r="R2661" s="8">
        <v>0.3</v>
      </c>
      <c r="S2661" s="8">
        <v>137761350</v>
      </c>
      <c r="T2661" s="8" t="s">
        <v>46</v>
      </c>
      <c r="U2661" s="8" t="s">
        <v>41</v>
      </c>
    </row>
    <row r="2662" spans="1:21">
      <c r="A2662" s="8" t="s">
        <v>10349</v>
      </c>
      <c r="B2662" s="8" t="s">
        <v>2247</v>
      </c>
      <c r="C2662" s="8">
        <v>28996</v>
      </c>
      <c r="D2662" s="8" t="s">
        <v>257</v>
      </c>
      <c r="E2662" s="8">
        <v>139415867</v>
      </c>
      <c r="F2662" s="8">
        <v>139415867</v>
      </c>
      <c r="G2662" s="8" t="s">
        <v>46</v>
      </c>
      <c r="H2662" s="8" t="s">
        <v>41</v>
      </c>
      <c r="I2662" s="8" t="s">
        <v>23</v>
      </c>
      <c r="J2662" s="8" t="s">
        <v>11720</v>
      </c>
      <c r="K2662" s="8" t="s">
        <v>11722</v>
      </c>
      <c r="L2662" s="8" t="s">
        <v>19</v>
      </c>
      <c r="M2662" s="8">
        <v>1238</v>
      </c>
      <c r="N2662" s="8" t="s">
        <v>768</v>
      </c>
      <c r="O2662" s="8">
        <v>323</v>
      </c>
      <c r="P2662" s="8" t="s">
        <v>11721</v>
      </c>
      <c r="Q2662" s="8" t="s">
        <v>4262</v>
      </c>
      <c r="R2662" s="8">
        <v>0.12</v>
      </c>
      <c r="S2662" s="8">
        <v>139415867</v>
      </c>
      <c r="T2662" s="8" t="s">
        <v>46</v>
      </c>
      <c r="U2662" s="8" t="s">
        <v>41</v>
      </c>
    </row>
    <row r="2663" spans="1:21">
      <c r="A2663" s="8" t="s">
        <v>10349</v>
      </c>
      <c r="B2663" s="8" t="s">
        <v>2760</v>
      </c>
      <c r="C2663" s="8">
        <v>80853</v>
      </c>
      <c r="D2663" s="8" t="s">
        <v>257</v>
      </c>
      <c r="E2663" s="8">
        <v>139799748</v>
      </c>
      <c r="F2663" s="8">
        <v>139799748</v>
      </c>
      <c r="G2663" s="8" t="s">
        <v>46</v>
      </c>
      <c r="H2663" s="8" t="s">
        <v>41</v>
      </c>
      <c r="I2663" s="8" t="s">
        <v>23</v>
      </c>
      <c r="J2663" s="8" t="s">
        <v>2761</v>
      </c>
      <c r="K2663" s="8" t="s">
        <v>11724</v>
      </c>
      <c r="L2663" s="8" t="s">
        <v>19</v>
      </c>
      <c r="M2663" s="8">
        <v>1718</v>
      </c>
      <c r="N2663" s="8" t="s">
        <v>941</v>
      </c>
      <c r="O2663" s="8">
        <v>572</v>
      </c>
      <c r="P2663" s="8" t="s">
        <v>11723</v>
      </c>
      <c r="Q2663" s="8" t="s">
        <v>4262</v>
      </c>
      <c r="R2663" s="8">
        <v>0.186</v>
      </c>
      <c r="S2663" s="8">
        <v>139799748</v>
      </c>
      <c r="T2663" s="8" t="s">
        <v>46</v>
      </c>
      <c r="U2663" s="8" t="s">
        <v>41</v>
      </c>
    </row>
    <row r="2664" spans="1:21">
      <c r="A2664" s="8" t="s">
        <v>10349</v>
      </c>
      <c r="B2664" s="8" t="s">
        <v>11725</v>
      </c>
      <c r="C2664" s="8">
        <v>5644</v>
      </c>
      <c r="D2664" s="8" t="s">
        <v>257</v>
      </c>
      <c r="E2664" s="8">
        <v>142460804</v>
      </c>
      <c r="F2664" s="8">
        <v>142460804</v>
      </c>
      <c r="G2664" s="8" t="s">
        <v>46</v>
      </c>
      <c r="H2664" s="8" t="s">
        <v>41</v>
      </c>
      <c r="I2664" s="8" t="s">
        <v>23</v>
      </c>
      <c r="J2664" s="8" t="s">
        <v>11726</v>
      </c>
      <c r="K2664" s="8" t="s">
        <v>11728</v>
      </c>
      <c r="L2664" s="8" t="s">
        <v>19</v>
      </c>
      <c r="M2664" s="8">
        <v>694</v>
      </c>
      <c r="N2664" s="8" t="s">
        <v>1140</v>
      </c>
      <c r="O2664" s="8">
        <v>226</v>
      </c>
      <c r="P2664" s="8" t="s">
        <v>11727</v>
      </c>
      <c r="Q2664" s="8" t="s">
        <v>4262</v>
      </c>
      <c r="R2664" s="8">
        <v>0.20799999999999999</v>
      </c>
      <c r="S2664" s="8">
        <v>142460804</v>
      </c>
      <c r="T2664" s="8" t="s">
        <v>46</v>
      </c>
      <c r="U2664" s="8" t="s">
        <v>41</v>
      </c>
    </row>
    <row r="2665" spans="1:21">
      <c r="A2665" s="8" t="s">
        <v>10349</v>
      </c>
      <c r="B2665" s="8" t="s">
        <v>11729</v>
      </c>
      <c r="C2665" s="8">
        <v>835</v>
      </c>
      <c r="D2665" s="8" t="s">
        <v>257</v>
      </c>
      <c r="E2665" s="8">
        <v>142989480</v>
      </c>
      <c r="F2665" s="8">
        <v>142989480</v>
      </c>
      <c r="G2665" s="8" t="s">
        <v>24</v>
      </c>
      <c r="H2665" s="8" t="s">
        <v>25</v>
      </c>
      <c r="I2665" s="8" t="s">
        <v>23</v>
      </c>
      <c r="J2665" s="8" t="s">
        <v>11730</v>
      </c>
      <c r="K2665" s="8" t="s">
        <v>11732</v>
      </c>
      <c r="L2665" s="8" t="s">
        <v>19</v>
      </c>
      <c r="M2665" s="8">
        <v>554</v>
      </c>
      <c r="N2665" s="8" t="s">
        <v>1070</v>
      </c>
      <c r="O2665" s="8">
        <v>105</v>
      </c>
      <c r="P2665" s="8" t="s">
        <v>11731</v>
      </c>
      <c r="Q2665" s="8" t="s">
        <v>4262</v>
      </c>
      <c r="R2665" s="8">
        <v>0.24099999999999999</v>
      </c>
      <c r="S2665" s="8">
        <v>142989480</v>
      </c>
      <c r="T2665" s="8" t="s">
        <v>24</v>
      </c>
      <c r="U2665" s="8" t="s">
        <v>25</v>
      </c>
    </row>
    <row r="2666" spans="1:21">
      <c r="A2666" s="8" t="s">
        <v>10349</v>
      </c>
      <c r="B2666" s="8" t="s">
        <v>11733</v>
      </c>
      <c r="C2666" s="8">
        <v>84626</v>
      </c>
      <c r="D2666" s="8" t="s">
        <v>257</v>
      </c>
      <c r="E2666" s="8">
        <v>149425695</v>
      </c>
      <c r="F2666" s="8">
        <v>149425695</v>
      </c>
      <c r="G2666" s="8" t="s">
        <v>24</v>
      </c>
      <c r="H2666" s="8" t="s">
        <v>25</v>
      </c>
      <c r="I2666" s="8" t="s">
        <v>23</v>
      </c>
      <c r="J2666" s="8" t="s">
        <v>11734</v>
      </c>
      <c r="K2666" s="8" t="s">
        <v>11736</v>
      </c>
      <c r="L2666" s="8" t="s">
        <v>76</v>
      </c>
      <c r="M2666" s="8">
        <v>1955</v>
      </c>
      <c r="N2666" s="8" t="s">
        <v>471</v>
      </c>
      <c r="O2666" s="8">
        <v>519</v>
      </c>
      <c r="P2666" s="8" t="s">
        <v>11735</v>
      </c>
      <c r="Q2666" s="8" t="s">
        <v>4262</v>
      </c>
      <c r="R2666" s="8">
        <v>0.2</v>
      </c>
      <c r="S2666" s="8">
        <v>149425695</v>
      </c>
      <c r="T2666" s="8" t="s">
        <v>24</v>
      </c>
      <c r="U2666" s="8" t="s">
        <v>25</v>
      </c>
    </row>
    <row r="2667" spans="1:21">
      <c r="A2667" s="8" t="s">
        <v>10349</v>
      </c>
      <c r="B2667" s="8" t="s">
        <v>2762</v>
      </c>
      <c r="C2667" s="8">
        <v>116988</v>
      </c>
      <c r="D2667" s="8" t="s">
        <v>257</v>
      </c>
      <c r="E2667" s="8">
        <v>150840971</v>
      </c>
      <c r="F2667" s="8">
        <v>150840971</v>
      </c>
      <c r="G2667" s="8" t="s">
        <v>24</v>
      </c>
      <c r="H2667" s="8" t="s">
        <v>25</v>
      </c>
      <c r="I2667" s="8" t="s">
        <v>23</v>
      </c>
      <c r="J2667" s="8" t="s">
        <v>2763</v>
      </c>
      <c r="K2667" s="8" t="s">
        <v>7356</v>
      </c>
      <c r="L2667" s="8" t="s">
        <v>19</v>
      </c>
      <c r="M2667" s="8">
        <v>2680</v>
      </c>
      <c r="N2667" s="8" t="s">
        <v>166</v>
      </c>
      <c r="O2667" s="8">
        <v>893</v>
      </c>
      <c r="P2667" s="8" t="s">
        <v>11737</v>
      </c>
      <c r="Q2667" s="8" t="s">
        <v>4262</v>
      </c>
      <c r="R2667" s="8">
        <v>0.375</v>
      </c>
      <c r="S2667" s="8">
        <v>150840971</v>
      </c>
      <c r="T2667" s="8" t="s">
        <v>24</v>
      </c>
      <c r="U2667" s="8" t="s">
        <v>25</v>
      </c>
    </row>
    <row r="2668" spans="1:21">
      <c r="A2668" s="8" t="s">
        <v>10349</v>
      </c>
      <c r="B2668" s="8" t="s">
        <v>11738</v>
      </c>
      <c r="C2668" s="8">
        <v>729920</v>
      </c>
      <c r="D2668" s="8" t="s">
        <v>257</v>
      </c>
      <c r="E2668" s="8">
        <v>16415857</v>
      </c>
      <c r="F2668" s="8">
        <v>16415857</v>
      </c>
      <c r="G2668" s="8" t="s">
        <v>46</v>
      </c>
      <c r="H2668" s="8" t="s">
        <v>41</v>
      </c>
      <c r="I2668" s="8" t="s">
        <v>23</v>
      </c>
      <c r="J2668" s="8" t="s">
        <v>11739</v>
      </c>
      <c r="K2668" s="8" t="s">
        <v>11740</v>
      </c>
      <c r="L2668" s="8" t="s">
        <v>19</v>
      </c>
      <c r="M2668" s="8">
        <v>544</v>
      </c>
      <c r="N2668" s="8" t="s">
        <v>155</v>
      </c>
      <c r="O2668" s="8">
        <v>182</v>
      </c>
      <c r="P2668" s="8" t="s">
        <v>10425</v>
      </c>
      <c r="Q2668" s="8" t="s">
        <v>4262</v>
      </c>
      <c r="R2668" s="8">
        <v>0.159</v>
      </c>
      <c r="S2668" s="8">
        <v>16415857</v>
      </c>
      <c r="T2668" s="8" t="s">
        <v>46</v>
      </c>
      <c r="U2668" s="8" t="s">
        <v>41</v>
      </c>
    </row>
    <row r="2669" spans="1:21">
      <c r="A2669" s="8" t="s">
        <v>10349</v>
      </c>
      <c r="B2669" s="8" t="s">
        <v>2123</v>
      </c>
      <c r="C2669" s="8">
        <v>8662</v>
      </c>
      <c r="D2669" s="8" t="s">
        <v>257</v>
      </c>
      <c r="E2669" s="8">
        <v>2414202</v>
      </c>
      <c r="F2669" s="8">
        <v>2414202</v>
      </c>
      <c r="G2669" s="8" t="s">
        <v>24</v>
      </c>
      <c r="H2669" s="8" t="s">
        <v>25</v>
      </c>
      <c r="I2669" s="8" t="s">
        <v>23</v>
      </c>
      <c r="J2669" s="8" t="s">
        <v>11741</v>
      </c>
      <c r="K2669" s="8" t="s">
        <v>11743</v>
      </c>
      <c r="L2669" s="8" t="s">
        <v>19</v>
      </c>
      <c r="M2669" s="8">
        <v>1933</v>
      </c>
      <c r="N2669" s="8" t="s">
        <v>708</v>
      </c>
      <c r="O2669" s="8">
        <v>617</v>
      </c>
      <c r="P2669" s="8" t="s">
        <v>11742</v>
      </c>
      <c r="Q2669" s="8" t="s">
        <v>4262</v>
      </c>
      <c r="R2669" s="8">
        <v>0.19500000000000001</v>
      </c>
      <c r="S2669" s="8">
        <v>2414202</v>
      </c>
      <c r="T2669" s="8" t="s">
        <v>24</v>
      </c>
      <c r="U2669" s="8" t="s">
        <v>25</v>
      </c>
    </row>
    <row r="2670" spans="1:21">
      <c r="A2670" s="8" t="s">
        <v>10349</v>
      </c>
      <c r="B2670" s="8" t="s">
        <v>402</v>
      </c>
      <c r="C2670" s="8">
        <v>168667</v>
      </c>
      <c r="D2670" s="8" t="s">
        <v>257</v>
      </c>
      <c r="E2670" s="8">
        <v>34014329</v>
      </c>
      <c r="F2670" s="8">
        <v>34014329</v>
      </c>
      <c r="G2670" s="8" t="s">
        <v>24</v>
      </c>
      <c r="H2670" s="8" t="s">
        <v>25</v>
      </c>
      <c r="I2670" s="8" t="s">
        <v>23</v>
      </c>
      <c r="J2670" s="8" t="s">
        <v>403</v>
      </c>
      <c r="K2670" s="8" t="s">
        <v>8993</v>
      </c>
      <c r="L2670" s="8" t="s">
        <v>19</v>
      </c>
      <c r="M2670" s="8">
        <v>623</v>
      </c>
      <c r="N2670" s="8" t="s">
        <v>796</v>
      </c>
      <c r="O2670" s="8">
        <v>170</v>
      </c>
      <c r="P2670" s="8" t="s">
        <v>11744</v>
      </c>
      <c r="Q2670" s="8" t="s">
        <v>4262</v>
      </c>
      <c r="R2670" s="8">
        <v>0.125</v>
      </c>
      <c r="S2670" s="8">
        <v>34014329</v>
      </c>
      <c r="T2670" s="8" t="s">
        <v>24</v>
      </c>
      <c r="U2670" s="8" t="s">
        <v>25</v>
      </c>
    </row>
    <row r="2671" spans="1:21">
      <c r="A2671" s="8" t="s">
        <v>10349</v>
      </c>
      <c r="B2671" s="8" t="s">
        <v>862</v>
      </c>
      <c r="C2671" s="8">
        <v>221935</v>
      </c>
      <c r="D2671" s="8" t="s">
        <v>257</v>
      </c>
      <c r="E2671" s="8">
        <v>4050643</v>
      </c>
      <c r="F2671" s="8">
        <v>4050643</v>
      </c>
      <c r="G2671" s="8" t="s">
        <v>46</v>
      </c>
      <c r="H2671" s="8" t="s">
        <v>25</v>
      </c>
      <c r="I2671" s="8" t="s">
        <v>23</v>
      </c>
      <c r="J2671" s="8" t="s">
        <v>863</v>
      </c>
      <c r="K2671" s="8" t="s">
        <v>11746</v>
      </c>
      <c r="L2671" s="8" t="s">
        <v>19</v>
      </c>
      <c r="M2671" s="8">
        <v>2316</v>
      </c>
      <c r="N2671" s="8" t="s">
        <v>219</v>
      </c>
      <c r="O2671" s="8">
        <v>726</v>
      </c>
      <c r="P2671" s="8" t="s">
        <v>11745</v>
      </c>
      <c r="Q2671" s="8" t="s">
        <v>4262</v>
      </c>
      <c r="R2671" s="8">
        <v>0.35299999999999998</v>
      </c>
      <c r="S2671" s="8">
        <v>4050643</v>
      </c>
      <c r="T2671" s="8" t="s">
        <v>46</v>
      </c>
      <c r="U2671" s="8" t="s">
        <v>25</v>
      </c>
    </row>
    <row r="2672" spans="1:21">
      <c r="A2672" s="8" t="s">
        <v>10349</v>
      </c>
      <c r="B2672" s="8" t="s">
        <v>2765</v>
      </c>
      <c r="C2672" s="8">
        <v>2737</v>
      </c>
      <c r="D2672" s="8" t="s">
        <v>257</v>
      </c>
      <c r="E2672" s="8">
        <v>42005445</v>
      </c>
      <c r="F2672" s="8">
        <v>42005445</v>
      </c>
      <c r="G2672" s="8" t="s">
        <v>46</v>
      </c>
      <c r="H2672" s="8" t="s">
        <v>41</v>
      </c>
      <c r="I2672" s="8" t="s">
        <v>23</v>
      </c>
      <c r="J2672" s="8" t="s">
        <v>2766</v>
      </c>
      <c r="K2672" s="8" t="s">
        <v>6907</v>
      </c>
      <c r="L2672" s="8" t="s">
        <v>19</v>
      </c>
      <c r="M2672" s="8">
        <v>3317</v>
      </c>
      <c r="N2672" s="8" t="s">
        <v>166</v>
      </c>
      <c r="O2672" s="8">
        <v>1076</v>
      </c>
      <c r="P2672" s="8" t="s">
        <v>11747</v>
      </c>
      <c r="Q2672" s="8" t="s">
        <v>4262</v>
      </c>
      <c r="R2672" s="8">
        <v>0.35699999999999998</v>
      </c>
      <c r="S2672" s="8">
        <v>42005445</v>
      </c>
      <c r="T2672" s="8" t="s">
        <v>46</v>
      </c>
      <c r="U2672" s="8" t="s">
        <v>41</v>
      </c>
    </row>
    <row r="2673" spans="1:21">
      <c r="A2673" s="8" t="s">
        <v>10349</v>
      </c>
      <c r="B2673" s="8" t="s">
        <v>2765</v>
      </c>
      <c r="C2673" s="8">
        <v>2737</v>
      </c>
      <c r="D2673" s="8" t="s">
        <v>257</v>
      </c>
      <c r="E2673" s="8">
        <v>42262749</v>
      </c>
      <c r="F2673" s="8">
        <v>42262749</v>
      </c>
      <c r="G2673" s="8" t="s">
        <v>24</v>
      </c>
      <c r="H2673" s="8" t="s">
        <v>25</v>
      </c>
      <c r="I2673" s="8" t="s">
        <v>23</v>
      </c>
      <c r="J2673" s="8" t="s">
        <v>2766</v>
      </c>
      <c r="K2673" s="8" t="s">
        <v>6907</v>
      </c>
      <c r="L2673" s="8" t="s">
        <v>19</v>
      </c>
      <c r="M2673" s="8">
        <v>195</v>
      </c>
      <c r="N2673" s="8" t="s">
        <v>1421</v>
      </c>
      <c r="O2673" s="8">
        <v>35</v>
      </c>
      <c r="P2673" s="8" t="s">
        <v>11748</v>
      </c>
      <c r="Q2673" s="8" t="s">
        <v>4262</v>
      </c>
      <c r="R2673" s="8">
        <v>0.113</v>
      </c>
      <c r="S2673" s="8">
        <v>42262749</v>
      </c>
      <c r="T2673" s="8" t="s">
        <v>24</v>
      </c>
      <c r="U2673" s="8" t="s">
        <v>25</v>
      </c>
    </row>
    <row r="2674" spans="1:21">
      <c r="A2674" s="8" t="s">
        <v>10349</v>
      </c>
      <c r="B2674" s="8" t="s">
        <v>2386</v>
      </c>
      <c r="C2674" s="8">
        <v>29881</v>
      </c>
      <c r="D2674" s="8" t="s">
        <v>257</v>
      </c>
      <c r="E2674" s="8">
        <v>44575991</v>
      </c>
      <c r="F2674" s="8">
        <v>44575991</v>
      </c>
      <c r="G2674" s="8" t="s">
        <v>24</v>
      </c>
      <c r="H2674" s="8" t="s">
        <v>25</v>
      </c>
      <c r="I2674" s="8" t="s">
        <v>23</v>
      </c>
      <c r="J2674" s="8" t="s">
        <v>10061</v>
      </c>
      <c r="K2674" s="8" t="s">
        <v>10063</v>
      </c>
      <c r="L2674" s="8" t="s">
        <v>19</v>
      </c>
      <c r="M2674" s="8">
        <v>1774</v>
      </c>
      <c r="N2674" s="8" t="s">
        <v>741</v>
      </c>
      <c r="O2674" s="8">
        <v>573</v>
      </c>
      <c r="P2674" s="8" t="s">
        <v>11749</v>
      </c>
      <c r="Q2674" s="8" t="s">
        <v>4262</v>
      </c>
      <c r="R2674" s="8">
        <v>0.222</v>
      </c>
      <c r="S2674" s="8">
        <v>44575991</v>
      </c>
      <c r="T2674" s="8" t="s">
        <v>24</v>
      </c>
      <c r="U2674" s="8" t="s">
        <v>25</v>
      </c>
    </row>
    <row r="2675" spans="1:21">
      <c r="A2675" s="8" t="s">
        <v>10349</v>
      </c>
      <c r="B2675" s="8" t="s">
        <v>2767</v>
      </c>
      <c r="C2675" s="8">
        <v>154664</v>
      </c>
      <c r="D2675" s="8" t="s">
        <v>257</v>
      </c>
      <c r="E2675" s="8">
        <v>48336833</v>
      </c>
      <c r="F2675" s="8">
        <v>48336833</v>
      </c>
      <c r="G2675" s="8" t="s">
        <v>24</v>
      </c>
      <c r="H2675" s="8" t="s">
        <v>25</v>
      </c>
      <c r="I2675" s="8" t="s">
        <v>23</v>
      </c>
      <c r="J2675" s="8" t="s">
        <v>2768</v>
      </c>
      <c r="K2675" s="8" t="s">
        <v>4731</v>
      </c>
      <c r="L2675" s="8" t="s">
        <v>19</v>
      </c>
      <c r="M2675" s="8">
        <v>9148</v>
      </c>
      <c r="N2675" s="8" t="s">
        <v>155</v>
      </c>
      <c r="O2675" s="8">
        <v>3042</v>
      </c>
      <c r="P2675" s="8" t="s">
        <v>11750</v>
      </c>
      <c r="Q2675" s="8" t="s">
        <v>4262</v>
      </c>
      <c r="R2675" s="8">
        <v>0.30599999999999999</v>
      </c>
      <c r="S2675" s="8">
        <v>48336833</v>
      </c>
      <c r="T2675" s="8" t="s">
        <v>24</v>
      </c>
      <c r="U2675" s="8" t="s">
        <v>25</v>
      </c>
    </row>
    <row r="2676" spans="1:21">
      <c r="A2676" s="8" t="s">
        <v>10349</v>
      </c>
      <c r="B2676" s="8" t="s">
        <v>2767</v>
      </c>
      <c r="C2676" s="8">
        <v>154664</v>
      </c>
      <c r="D2676" s="8" t="s">
        <v>257</v>
      </c>
      <c r="E2676" s="8">
        <v>48563905</v>
      </c>
      <c r="F2676" s="8">
        <v>48563905</v>
      </c>
      <c r="G2676" s="8" t="s">
        <v>24</v>
      </c>
      <c r="H2676" s="8" t="s">
        <v>25</v>
      </c>
      <c r="I2676" s="8" t="s">
        <v>23</v>
      </c>
      <c r="J2676" s="8" t="s">
        <v>2768</v>
      </c>
      <c r="K2676" s="8" t="s">
        <v>4731</v>
      </c>
      <c r="L2676" s="8" t="s">
        <v>19</v>
      </c>
      <c r="M2676" s="8">
        <v>14137</v>
      </c>
      <c r="N2676" s="8" t="s">
        <v>758</v>
      </c>
      <c r="O2676" s="8">
        <v>4705</v>
      </c>
      <c r="P2676" s="8" t="s">
        <v>11751</v>
      </c>
      <c r="Q2676" s="8" t="s">
        <v>4262</v>
      </c>
      <c r="R2676" s="8">
        <v>0.16700000000000001</v>
      </c>
      <c r="S2676" s="8">
        <v>48563905</v>
      </c>
      <c r="T2676" s="8" t="s">
        <v>24</v>
      </c>
      <c r="U2676" s="8" t="s">
        <v>25</v>
      </c>
    </row>
    <row r="2677" spans="1:21">
      <c r="A2677" s="8" t="s">
        <v>10349</v>
      </c>
      <c r="B2677" s="8" t="s">
        <v>2198</v>
      </c>
      <c r="C2677" s="8">
        <v>9821</v>
      </c>
      <c r="D2677" s="8" t="s">
        <v>279</v>
      </c>
      <c r="E2677" s="8">
        <v>53574120</v>
      </c>
      <c r="F2677" s="8">
        <v>53574120</v>
      </c>
      <c r="G2677" s="8" t="s">
        <v>46</v>
      </c>
      <c r="H2677" s="8" t="s">
        <v>41</v>
      </c>
      <c r="I2677" s="8" t="s">
        <v>23</v>
      </c>
      <c r="J2677" s="8" t="s">
        <v>9000</v>
      </c>
      <c r="K2677" s="8" t="s">
        <v>9002</v>
      </c>
      <c r="L2677" s="8" t="s">
        <v>19</v>
      </c>
      <c r="M2677" s="8">
        <v>1891</v>
      </c>
      <c r="N2677" s="8" t="s">
        <v>1070</v>
      </c>
      <c r="O2677" s="8">
        <v>445</v>
      </c>
      <c r="P2677" s="8" t="s">
        <v>11752</v>
      </c>
      <c r="Q2677" s="8" t="s">
        <v>4262</v>
      </c>
      <c r="R2677" s="8">
        <v>0.39700000000000002</v>
      </c>
      <c r="S2677" s="8">
        <v>53574120</v>
      </c>
      <c r="T2677" s="8" t="s">
        <v>46</v>
      </c>
      <c r="U2677" s="8" t="s">
        <v>41</v>
      </c>
    </row>
    <row r="2678" spans="1:21">
      <c r="A2678" s="8" t="s">
        <v>10349</v>
      </c>
      <c r="B2678" s="8" t="s">
        <v>2795</v>
      </c>
      <c r="C2678" s="8">
        <v>55636</v>
      </c>
      <c r="D2678" s="8" t="s">
        <v>279</v>
      </c>
      <c r="E2678" s="8">
        <v>61763165</v>
      </c>
      <c r="F2678" s="8">
        <v>61763165</v>
      </c>
      <c r="G2678" s="8" t="s">
        <v>24</v>
      </c>
      <c r="H2678" s="8" t="s">
        <v>25</v>
      </c>
      <c r="I2678" s="8" t="s">
        <v>23</v>
      </c>
      <c r="J2678" s="8" t="s">
        <v>2796</v>
      </c>
      <c r="K2678" s="8" t="s">
        <v>11754</v>
      </c>
      <c r="L2678" s="8" t="s">
        <v>19</v>
      </c>
      <c r="M2678" s="8">
        <v>6010</v>
      </c>
      <c r="N2678" s="8" t="s">
        <v>1070</v>
      </c>
      <c r="O2678" s="8">
        <v>1840</v>
      </c>
      <c r="P2678" s="8" t="s">
        <v>11753</v>
      </c>
      <c r="Q2678" s="8" t="s">
        <v>4262</v>
      </c>
      <c r="R2678" s="8">
        <v>0.46700000000000003</v>
      </c>
      <c r="S2678" s="8">
        <v>61763165</v>
      </c>
      <c r="T2678" s="8" t="s">
        <v>24</v>
      </c>
      <c r="U2678" s="8" t="s">
        <v>25</v>
      </c>
    </row>
    <row r="2679" spans="1:21">
      <c r="A2679" s="8" t="s">
        <v>10349</v>
      </c>
      <c r="B2679" s="8" t="s">
        <v>11755</v>
      </c>
      <c r="C2679" s="8">
        <v>9420</v>
      </c>
      <c r="D2679" s="8" t="s">
        <v>279</v>
      </c>
      <c r="E2679" s="8">
        <v>65509392</v>
      </c>
      <c r="F2679" s="8">
        <v>65509392</v>
      </c>
      <c r="G2679" s="8" t="s">
        <v>46</v>
      </c>
      <c r="H2679" s="8" t="s">
        <v>41</v>
      </c>
      <c r="I2679" s="8" t="s">
        <v>23</v>
      </c>
      <c r="J2679" s="8" t="s">
        <v>11756</v>
      </c>
      <c r="K2679" s="8" t="s">
        <v>11758</v>
      </c>
      <c r="L2679" s="8" t="s">
        <v>19</v>
      </c>
      <c r="M2679" s="8">
        <v>1532</v>
      </c>
      <c r="N2679" s="8" t="s">
        <v>494</v>
      </c>
      <c r="O2679" s="8">
        <v>443</v>
      </c>
      <c r="P2679" s="8" t="s">
        <v>11757</v>
      </c>
      <c r="Q2679" s="8" t="s">
        <v>4262</v>
      </c>
      <c r="R2679" s="8">
        <v>0.16300000000000001</v>
      </c>
      <c r="S2679" s="8">
        <v>65509392</v>
      </c>
      <c r="T2679" s="8" t="s">
        <v>46</v>
      </c>
      <c r="U2679" s="8" t="s">
        <v>41</v>
      </c>
    </row>
    <row r="2680" spans="1:21">
      <c r="A2680" s="8" t="s">
        <v>10349</v>
      </c>
      <c r="B2680" s="8" t="s">
        <v>2797</v>
      </c>
      <c r="C2680" s="8">
        <v>85479</v>
      </c>
      <c r="D2680" s="8" t="s">
        <v>279</v>
      </c>
      <c r="E2680" s="8">
        <v>66989103</v>
      </c>
      <c r="F2680" s="8">
        <v>66989103</v>
      </c>
      <c r="G2680" s="8" t="s">
        <v>24</v>
      </c>
      <c r="H2680" s="8" t="s">
        <v>25</v>
      </c>
      <c r="I2680" s="8" t="s">
        <v>23</v>
      </c>
      <c r="J2680" s="8" t="s">
        <v>2798</v>
      </c>
      <c r="K2680" s="8" t="s">
        <v>11760</v>
      </c>
      <c r="L2680" s="8" t="s">
        <v>19</v>
      </c>
      <c r="M2680" s="8">
        <v>619</v>
      </c>
      <c r="N2680" s="8" t="s">
        <v>1070</v>
      </c>
      <c r="O2680" s="8">
        <v>110</v>
      </c>
      <c r="P2680" s="8" t="s">
        <v>11759</v>
      </c>
      <c r="Q2680" s="8" t="s">
        <v>4262</v>
      </c>
      <c r="R2680" s="8">
        <v>0.49099999999999999</v>
      </c>
      <c r="S2680" s="8">
        <v>66989103</v>
      </c>
      <c r="T2680" s="8" t="s">
        <v>24</v>
      </c>
      <c r="U2680" s="8" t="s">
        <v>25</v>
      </c>
    </row>
    <row r="2681" spans="1:21">
      <c r="A2681" s="8" t="s">
        <v>10349</v>
      </c>
      <c r="B2681" s="8" t="s">
        <v>11761</v>
      </c>
      <c r="C2681" s="8">
        <v>2138</v>
      </c>
      <c r="D2681" s="8" t="s">
        <v>279</v>
      </c>
      <c r="E2681" s="8">
        <v>72246337</v>
      </c>
      <c r="F2681" s="8">
        <v>72246337</v>
      </c>
      <c r="G2681" s="8" t="s">
        <v>46</v>
      </c>
      <c r="H2681" s="8" t="s">
        <v>41</v>
      </c>
      <c r="I2681" s="8" t="s">
        <v>23</v>
      </c>
      <c r="J2681" s="8" t="s">
        <v>11762</v>
      </c>
      <c r="K2681" s="8" t="s">
        <v>11765</v>
      </c>
      <c r="L2681" s="8" t="s">
        <v>19</v>
      </c>
      <c r="M2681" s="8">
        <v>484</v>
      </c>
      <c r="N2681" s="8" t="s">
        <v>796</v>
      </c>
      <c r="O2681" s="8">
        <v>66</v>
      </c>
      <c r="P2681" s="8" t="s">
        <v>11763</v>
      </c>
      <c r="Q2681" s="8" t="s">
        <v>11764</v>
      </c>
      <c r="R2681" s="8">
        <v>0.128</v>
      </c>
      <c r="S2681" s="8">
        <v>72246337</v>
      </c>
      <c r="T2681" s="8" t="s">
        <v>46</v>
      </c>
      <c r="U2681" s="8" t="s">
        <v>41</v>
      </c>
    </row>
    <row r="2682" spans="1:21">
      <c r="A2682" s="8" t="s">
        <v>10349</v>
      </c>
      <c r="B2682" s="8" t="s">
        <v>5617</v>
      </c>
      <c r="C2682" s="8">
        <v>8989</v>
      </c>
      <c r="D2682" s="8" t="s">
        <v>279</v>
      </c>
      <c r="E2682" s="8">
        <v>72981284</v>
      </c>
      <c r="F2682" s="8">
        <v>72981284</v>
      </c>
      <c r="G2682" s="8" t="s">
        <v>24</v>
      </c>
      <c r="H2682" s="8" t="s">
        <v>25</v>
      </c>
      <c r="I2682" s="8" t="s">
        <v>23</v>
      </c>
      <c r="J2682" s="8" t="s">
        <v>5618</v>
      </c>
      <c r="K2682" s="8" t="s">
        <v>5620</v>
      </c>
      <c r="L2682" s="8" t="s">
        <v>76</v>
      </c>
      <c r="M2682" s="8">
        <v>593</v>
      </c>
      <c r="N2682" s="8" t="s">
        <v>371</v>
      </c>
      <c r="O2682" s="8">
        <v>140</v>
      </c>
      <c r="P2682" s="8" t="s">
        <v>11766</v>
      </c>
      <c r="Q2682" s="8" t="s">
        <v>4262</v>
      </c>
      <c r="R2682" s="8">
        <v>0.13500000000000001</v>
      </c>
      <c r="S2682" s="8">
        <v>72981284</v>
      </c>
      <c r="T2682" s="8" t="s">
        <v>24</v>
      </c>
      <c r="U2682" s="8" t="s">
        <v>25</v>
      </c>
    </row>
    <row r="2683" spans="1:21">
      <c r="A2683" s="8" t="s">
        <v>10349</v>
      </c>
      <c r="B2683" s="8" t="s">
        <v>11767</v>
      </c>
      <c r="C2683" s="8">
        <v>11059</v>
      </c>
      <c r="D2683" s="8" t="s">
        <v>279</v>
      </c>
      <c r="E2683" s="8">
        <v>87410657</v>
      </c>
      <c r="F2683" s="8">
        <v>87410657</v>
      </c>
      <c r="G2683" s="8" t="s">
        <v>24</v>
      </c>
      <c r="H2683" s="8" t="s">
        <v>25</v>
      </c>
      <c r="I2683" s="8" t="s">
        <v>23</v>
      </c>
      <c r="J2683" s="8" t="s">
        <v>11768</v>
      </c>
      <c r="K2683" s="8" t="s">
        <v>11770</v>
      </c>
      <c r="L2683" s="8" t="s">
        <v>19</v>
      </c>
      <c r="M2683" s="8">
        <v>701</v>
      </c>
      <c r="N2683" s="8" t="s">
        <v>1364</v>
      </c>
      <c r="O2683" s="8">
        <v>141</v>
      </c>
      <c r="P2683" s="8" t="s">
        <v>11769</v>
      </c>
      <c r="Q2683" s="8" t="s">
        <v>4262</v>
      </c>
      <c r="R2683" s="8">
        <v>0.19</v>
      </c>
      <c r="S2683" s="8">
        <v>87410657</v>
      </c>
      <c r="T2683" s="8" t="s">
        <v>24</v>
      </c>
      <c r="U2683" s="8" t="s">
        <v>25</v>
      </c>
    </row>
    <row r="2684" spans="1:21">
      <c r="A2684" s="8" t="s">
        <v>10349</v>
      </c>
      <c r="B2684" s="8" t="s">
        <v>2800</v>
      </c>
      <c r="C2684" s="8">
        <v>862</v>
      </c>
      <c r="D2684" s="8" t="s">
        <v>279</v>
      </c>
      <c r="E2684" s="8">
        <v>93017408</v>
      </c>
      <c r="F2684" s="8">
        <v>93017408</v>
      </c>
      <c r="G2684" s="8" t="s">
        <v>24</v>
      </c>
      <c r="H2684" s="8" t="s">
        <v>25</v>
      </c>
      <c r="I2684" s="8" t="s">
        <v>23</v>
      </c>
      <c r="J2684" s="8" t="s">
        <v>11771</v>
      </c>
      <c r="K2684" s="8" t="s">
        <v>11773</v>
      </c>
      <c r="L2684" s="8" t="s">
        <v>19</v>
      </c>
      <c r="M2684" s="8">
        <v>1040</v>
      </c>
      <c r="N2684" s="8" t="s">
        <v>415</v>
      </c>
      <c r="O2684" s="8">
        <v>285</v>
      </c>
      <c r="P2684" s="8" t="s">
        <v>11772</v>
      </c>
      <c r="Q2684" s="8" t="s">
        <v>4262</v>
      </c>
      <c r="R2684" s="8">
        <v>0.13600000000000001</v>
      </c>
      <c r="S2684" s="8">
        <v>93017408</v>
      </c>
      <c r="T2684" s="8" t="s">
        <v>24</v>
      </c>
      <c r="U2684" s="8" t="s">
        <v>25</v>
      </c>
    </row>
    <row r="2685" spans="1:21">
      <c r="A2685" s="8" t="s">
        <v>10349</v>
      </c>
      <c r="B2685" s="8" t="s">
        <v>2800</v>
      </c>
      <c r="C2685" s="8">
        <v>862</v>
      </c>
      <c r="D2685" s="8" t="s">
        <v>279</v>
      </c>
      <c r="E2685" s="8">
        <v>93017416</v>
      </c>
      <c r="F2685" s="8">
        <v>93017416</v>
      </c>
      <c r="G2685" s="8" t="s">
        <v>24</v>
      </c>
      <c r="H2685" s="8" t="s">
        <v>25</v>
      </c>
      <c r="I2685" s="8" t="s">
        <v>23</v>
      </c>
      <c r="J2685" s="8" t="s">
        <v>11771</v>
      </c>
      <c r="K2685" s="8" t="s">
        <v>11773</v>
      </c>
      <c r="L2685" s="8" t="s">
        <v>19</v>
      </c>
      <c r="M2685" s="8">
        <v>1032</v>
      </c>
      <c r="N2685" s="8" t="s">
        <v>1325</v>
      </c>
      <c r="O2685" s="8">
        <v>282</v>
      </c>
      <c r="P2685" s="8" t="s">
        <v>11774</v>
      </c>
      <c r="Q2685" s="8" t="s">
        <v>4262</v>
      </c>
      <c r="R2685" s="8">
        <v>0.46300000000000002</v>
      </c>
      <c r="S2685" s="8">
        <v>93017416</v>
      </c>
      <c r="T2685" s="8" t="s">
        <v>24</v>
      </c>
      <c r="U2685" s="8" t="s">
        <v>25</v>
      </c>
    </row>
    <row r="2686" spans="1:21">
      <c r="A2686" s="8" t="s">
        <v>10349</v>
      </c>
      <c r="B2686" s="8" t="s">
        <v>11775</v>
      </c>
      <c r="C2686" s="8">
        <v>54704</v>
      </c>
      <c r="D2686" s="8" t="s">
        <v>279</v>
      </c>
      <c r="E2686" s="8">
        <v>94935402</v>
      </c>
      <c r="F2686" s="8">
        <v>94935402</v>
      </c>
      <c r="G2686" s="8" t="s">
        <v>24</v>
      </c>
      <c r="H2686" s="8" t="s">
        <v>25</v>
      </c>
      <c r="I2686" s="8" t="s">
        <v>23</v>
      </c>
      <c r="J2686" s="8" t="s">
        <v>11776</v>
      </c>
      <c r="K2686" s="8" t="s">
        <v>11777</v>
      </c>
      <c r="L2686" s="8" t="s">
        <v>19</v>
      </c>
      <c r="M2686" s="8">
        <v>1341</v>
      </c>
      <c r="N2686" s="8" t="s">
        <v>205</v>
      </c>
      <c r="O2686" s="8">
        <v>431</v>
      </c>
      <c r="P2686" s="8" t="s">
        <v>10363</v>
      </c>
      <c r="Q2686" s="8" t="s">
        <v>4262</v>
      </c>
      <c r="R2686" s="8">
        <v>0.11899999999999999</v>
      </c>
      <c r="S2686" s="8">
        <v>94935402</v>
      </c>
      <c r="T2686" s="8" t="s">
        <v>24</v>
      </c>
      <c r="U2686" s="8" t="s">
        <v>25</v>
      </c>
    </row>
    <row r="2687" spans="1:21">
      <c r="A2687" s="8" t="s">
        <v>10349</v>
      </c>
      <c r="B2687" s="8" t="s">
        <v>2801</v>
      </c>
      <c r="C2687" s="8">
        <v>54845</v>
      </c>
      <c r="D2687" s="8" t="s">
        <v>279</v>
      </c>
      <c r="E2687" s="8">
        <v>95683724</v>
      </c>
      <c r="F2687" s="8">
        <v>95683724</v>
      </c>
      <c r="G2687" s="8" t="s">
        <v>46</v>
      </c>
      <c r="H2687" s="8" t="s">
        <v>41</v>
      </c>
      <c r="I2687" s="8" t="s">
        <v>23</v>
      </c>
      <c r="J2687" s="8" t="s">
        <v>11778</v>
      </c>
      <c r="K2687" s="8" t="s">
        <v>11779</v>
      </c>
      <c r="L2687" s="8" t="s">
        <v>19</v>
      </c>
      <c r="M2687" s="8">
        <v>1460</v>
      </c>
      <c r="N2687" s="8" t="s">
        <v>1325</v>
      </c>
      <c r="O2687" s="8">
        <v>426</v>
      </c>
      <c r="P2687" s="8" t="s">
        <v>10727</v>
      </c>
      <c r="Q2687" s="8" t="s">
        <v>4262</v>
      </c>
      <c r="R2687" s="8">
        <v>0.14399999999999999</v>
      </c>
      <c r="S2687" s="8">
        <v>95683724</v>
      </c>
      <c r="T2687" s="8" t="s">
        <v>46</v>
      </c>
      <c r="U2687" s="8" t="s">
        <v>41</v>
      </c>
    </row>
    <row r="2688" spans="1:21">
      <c r="A2688" s="8" t="s">
        <v>10349</v>
      </c>
      <c r="B2688" s="8" t="s">
        <v>2801</v>
      </c>
      <c r="C2688" s="8">
        <v>54845</v>
      </c>
      <c r="D2688" s="8" t="s">
        <v>279</v>
      </c>
      <c r="E2688" s="8">
        <v>95683805</v>
      </c>
      <c r="F2688" s="8">
        <v>95683805</v>
      </c>
      <c r="G2688" s="8" t="s">
        <v>46</v>
      </c>
      <c r="H2688" s="8" t="s">
        <v>41</v>
      </c>
      <c r="I2688" s="8" t="s">
        <v>23</v>
      </c>
      <c r="J2688" s="8" t="s">
        <v>11778</v>
      </c>
      <c r="K2688" s="8" t="s">
        <v>11779</v>
      </c>
      <c r="L2688" s="8" t="s">
        <v>19</v>
      </c>
      <c r="M2688" s="8">
        <v>1541</v>
      </c>
      <c r="N2688" s="8" t="s">
        <v>333</v>
      </c>
      <c r="O2688" s="8">
        <v>453</v>
      </c>
      <c r="P2688" s="8" t="s">
        <v>11780</v>
      </c>
      <c r="Q2688" s="8" t="s">
        <v>4262</v>
      </c>
      <c r="R2688" s="8">
        <v>0.39200000000000002</v>
      </c>
      <c r="S2688" s="8">
        <v>95683805</v>
      </c>
      <c r="T2688" s="8" t="s">
        <v>46</v>
      </c>
      <c r="U2688" s="8" t="s">
        <v>41</v>
      </c>
    </row>
    <row r="2689" spans="1:21">
      <c r="A2689" s="8" t="s">
        <v>10349</v>
      </c>
      <c r="B2689" s="8" t="s">
        <v>11781</v>
      </c>
      <c r="C2689" s="8">
        <v>79666</v>
      </c>
      <c r="D2689" s="8" t="s">
        <v>279</v>
      </c>
      <c r="E2689" s="8">
        <v>96166741</v>
      </c>
      <c r="F2689" s="8">
        <v>96166741</v>
      </c>
      <c r="G2689" s="8" t="s">
        <v>24</v>
      </c>
      <c r="H2689" s="8" t="s">
        <v>25</v>
      </c>
      <c r="I2689" s="8" t="s">
        <v>23</v>
      </c>
      <c r="J2689" s="8" t="s">
        <v>11782</v>
      </c>
      <c r="K2689" s="8" t="s">
        <v>11784</v>
      </c>
      <c r="L2689" s="8" t="s">
        <v>19</v>
      </c>
      <c r="M2689" s="8">
        <v>793</v>
      </c>
      <c r="N2689" s="8" t="s">
        <v>322</v>
      </c>
      <c r="O2689" s="8">
        <v>157</v>
      </c>
      <c r="P2689" s="8" t="s">
        <v>11783</v>
      </c>
      <c r="Q2689" s="8" t="s">
        <v>4262</v>
      </c>
      <c r="R2689" s="8">
        <v>0.16200000000000001</v>
      </c>
      <c r="S2689" s="8">
        <v>96166741</v>
      </c>
      <c r="T2689" s="8" t="s">
        <v>24</v>
      </c>
      <c r="U2689" s="8" t="s">
        <v>25</v>
      </c>
    </row>
    <row r="2690" spans="1:21">
      <c r="A2690" s="8" t="s">
        <v>10349</v>
      </c>
      <c r="B2690" s="8" t="s">
        <v>2802</v>
      </c>
      <c r="C2690" s="8">
        <v>4147</v>
      </c>
      <c r="D2690" s="8" t="s">
        <v>279</v>
      </c>
      <c r="E2690" s="8">
        <v>98943229</v>
      </c>
      <c r="F2690" s="8">
        <v>98943229</v>
      </c>
      <c r="G2690" s="8" t="s">
        <v>24</v>
      </c>
      <c r="H2690" s="8" t="s">
        <v>25</v>
      </c>
      <c r="I2690" s="8" t="s">
        <v>23</v>
      </c>
      <c r="J2690" s="8" t="s">
        <v>11785</v>
      </c>
      <c r="K2690" s="8" t="s">
        <v>11787</v>
      </c>
      <c r="L2690" s="8" t="s">
        <v>19</v>
      </c>
      <c r="M2690" s="8">
        <v>422</v>
      </c>
      <c r="N2690" s="8" t="s">
        <v>708</v>
      </c>
      <c r="O2690" s="8">
        <v>64</v>
      </c>
      <c r="P2690" s="8" t="s">
        <v>11786</v>
      </c>
      <c r="Q2690" s="8" t="s">
        <v>4262</v>
      </c>
      <c r="R2690" s="8">
        <v>0.43099999999999999</v>
      </c>
      <c r="S2690" s="8">
        <v>98943229</v>
      </c>
      <c r="T2690" s="8" t="s">
        <v>24</v>
      </c>
      <c r="U2690" s="8" t="s">
        <v>25</v>
      </c>
    </row>
    <row r="2691" spans="1:21">
      <c r="A2691" s="8" t="s">
        <v>10349</v>
      </c>
      <c r="B2691" s="8" t="s">
        <v>2803</v>
      </c>
      <c r="C2691" s="8">
        <v>10940</v>
      </c>
      <c r="D2691" s="8" t="s">
        <v>279</v>
      </c>
      <c r="E2691" s="8">
        <v>99146744</v>
      </c>
      <c r="F2691" s="8">
        <v>99146744</v>
      </c>
      <c r="G2691" s="8" t="s">
        <v>24</v>
      </c>
      <c r="H2691" s="8" t="s">
        <v>25</v>
      </c>
      <c r="I2691" s="8" t="s">
        <v>23</v>
      </c>
      <c r="J2691" s="8" t="s">
        <v>11788</v>
      </c>
      <c r="K2691" s="8" t="s">
        <v>11790</v>
      </c>
      <c r="L2691" s="8" t="s">
        <v>19</v>
      </c>
      <c r="M2691" s="8">
        <v>908</v>
      </c>
      <c r="N2691" s="8" t="s">
        <v>28</v>
      </c>
      <c r="O2691" s="8">
        <v>290</v>
      </c>
      <c r="P2691" s="8" t="s">
        <v>11789</v>
      </c>
      <c r="Q2691" s="8" t="s">
        <v>4262</v>
      </c>
      <c r="R2691" s="8">
        <v>0.45200000000000001</v>
      </c>
      <c r="S2691" s="8">
        <v>99146744</v>
      </c>
      <c r="T2691" s="8" t="s">
        <v>24</v>
      </c>
      <c r="U2691" s="8" t="s">
        <v>25</v>
      </c>
    </row>
    <row r="2692" spans="1:21">
      <c r="A2692" s="8" t="s">
        <v>10349</v>
      </c>
      <c r="B2692" s="8" t="s">
        <v>2803</v>
      </c>
      <c r="C2692" s="8">
        <v>10940</v>
      </c>
      <c r="D2692" s="8" t="s">
        <v>279</v>
      </c>
      <c r="E2692" s="8">
        <v>99146831</v>
      </c>
      <c r="F2692" s="8">
        <v>99146831</v>
      </c>
      <c r="G2692" s="8" t="s">
        <v>24</v>
      </c>
      <c r="H2692" s="8" t="s">
        <v>25</v>
      </c>
      <c r="I2692" s="8" t="s">
        <v>23</v>
      </c>
      <c r="J2692" s="8" t="s">
        <v>11788</v>
      </c>
      <c r="K2692" s="8" t="s">
        <v>11790</v>
      </c>
      <c r="L2692" s="8" t="s">
        <v>19</v>
      </c>
      <c r="M2692" s="8">
        <v>995</v>
      </c>
      <c r="N2692" s="8" t="s">
        <v>878</v>
      </c>
      <c r="O2692" s="8">
        <v>319</v>
      </c>
      <c r="P2692" s="8" t="s">
        <v>11791</v>
      </c>
      <c r="Q2692" s="8" t="s">
        <v>4262</v>
      </c>
      <c r="R2692" s="8">
        <v>0.114</v>
      </c>
      <c r="S2692" s="8">
        <v>99146831</v>
      </c>
      <c r="T2692" s="8" t="s">
        <v>24</v>
      </c>
      <c r="U2692" s="8" t="s">
        <v>25</v>
      </c>
    </row>
    <row r="2693" spans="1:21">
      <c r="A2693" s="8" t="s">
        <v>10349</v>
      </c>
      <c r="B2693" s="8" t="s">
        <v>11792</v>
      </c>
      <c r="C2693" s="8">
        <v>79977</v>
      </c>
      <c r="D2693" s="8" t="s">
        <v>279</v>
      </c>
      <c r="E2693" s="8">
        <v>102678917</v>
      </c>
      <c r="F2693" s="8">
        <v>102678917</v>
      </c>
      <c r="G2693" s="8" t="s">
        <v>46</v>
      </c>
      <c r="H2693" s="8" t="s">
        <v>41</v>
      </c>
      <c r="I2693" s="8" t="s">
        <v>23</v>
      </c>
      <c r="J2693" s="8" t="s">
        <v>11793</v>
      </c>
      <c r="K2693" s="8" t="s">
        <v>11795</v>
      </c>
      <c r="L2693" s="8" t="s">
        <v>19</v>
      </c>
      <c r="M2693" s="8">
        <v>2194</v>
      </c>
      <c r="N2693" s="8" t="s">
        <v>58</v>
      </c>
      <c r="O2693" s="8">
        <v>622</v>
      </c>
      <c r="P2693" s="8" t="s">
        <v>11794</v>
      </c>
      <c r="Q2693" s="8" t="s">
        <v>4262</v>
      </c>
      <c r="R2693" s="8">
        <v>0.15</v>
      </c>
      <c r="S2693" s="8">
        <v>102678917</v>
      </c>
      <c r="T2693" s="8" t="s">
        <v>46</v>
      </c>
      <c r="U2693" s="8" t="s">
        <v>41</v>
      </c>
    </row>
    <row r="2694" spans="1:21">
      <c r="A2694" s="8" t="s">
        <v>10349</v>
      </c>
      <c r="B2694" s="8" t="s">
        <v>2774</v>
      </c>
      <c r="C2694" s="8">
        <v>50484</v>
      </c>
      <c r="D2694" s="8" t="s">
        <v>279</v>
      </c>
      <c r="E2694" s="8">
        <v>103238187</v>
      </c>
      <c r="F2694" s="8">
        <v>103238187</v>
      </c>
      <c r="G2694" s="8" t="s">
        <v>46</v>
      </c>
      <c r="H2694" s="8" t="s">
        <v>41</v>
      </c>
      <c r="I2694" s="8" t="s">
        <v>23</v>
      </c>
      <c r="J2694" s="8" t="s">
        <v>11796</v>
      </c>
      <c r="K2694" s="8" t="s">
        <v>11798</v>
      </c>
      <c r="L2694" s="8" t="s">
        <v>19</v>
      </c>
      <c r="M2694" s="8">
        <v>505</v>
      </c>
      <c r="N2694" s="8" t="s">
        <v>155</v>
      </c>
      <c r="O2694" s="8">
        <v>166</v>
      </c>
      <c r="P2694" s="8" t="s">
        <v>11797</v>
      </c>
      <c r="Q2694" s="8" t="s">
        <v>4262</v>
      </c>
      <c r="R2694" s="8">
        <v>0.33300000000000002</v>
      </c>
      <c r="S2694" s="8">
        <v>103238187</v>
      </c>
      <c r="T2694" s="8" t="s">
        <v>46</v>
      </c>
      <c r="U2694" s="8" t="s">
        <v>41</v>
      </c>
    </row>
    <row r="2695" spans="1:21">
      <c r="A2695" s="8" t="s">
        <v>10349</v>
      </c>
      <c r="B2695" s="8" t="s">
        <v>2775</v>
      </c>
      <c r="C2695" s="8">
        <v>8323</v>
      </c>
      <c r="D2695" s="8" t="s">
        <v>279</v>
      </c>
      <c r="E2695" s="8">
        <v>104342125</v>
      </c>
      <c r="F2695" s="8">
        <v>104342125</v>
      </c>
      <c r="G2695" s="8" t="s">
        <v>46</v>
      </c>
      <c r="H2695" s="8" t="s">
        <v>41</v>
      </c>
      <c r="I2695" s="8" t="s">
        <v>23</v>
      </c>
      <c r="J2695" s="8" t="s">
        <v>11799</v>
      </c>
      <c r="K2695" s="8" t="s">
        <v>11801</v>
      </c>
      <c r="L2695" s="8" t="s">
        <v>19</v>
      </c>
      <c r="M2695" s="8">
        <v>2074</v>
      </c>
      <c r="N2695" s="8" t="s">
        <v>364</v>
      </c>
      <c r="O2695" s="8">
        <v>595</v>
      </c>
      <c r="P2695" s="8" t="s">
        <v>11800</v>
      </c>
      <c r="Q2695" s="8" t="s">
        <v>4262</v>
      </c>
      <c r="R2695" s="8">
        <v>0.54300000000000004</v>
      </c>
      <c r="S2695" s="8">
        <v>104342125</v>
      </c>
      <c r="T2695" s="8" t="s">
        <v>46</v>
      </c>
      <c r="U2695" s="8" t="s">
        <v>41</v>
      </c>
    </row>
    <row r="2696" spans="1:21">
      <c r="A2696" s="8" t="s">
        <v>10349</v>
      </c>
      <c r="B2696" s="8" t="s">
        <v>9713</v>
      </c>
      <c r="C2696" s="8">
        <v>94137</v>
      </c>
      <c r="D2696" s="8" t="s">
        <v>279</v>
      </c>
      <c r="E2696" s="8">
        <v>10467397</v>
      </c>
      <c r="F2696" s="8">
        <v>10467397</v>
      </c>
      <c r="G2696" s="8" t="s">
        <v>46</v>
      </c>
      <c r="H2696" s="8" t="s">
        <v>41</v>
      </c>
      <c r="I2696" s="8" t="s">
        <v>23</v>
      </c>
      <c r="J2696" s="8" t="s">
        <v>9714</v>
      </c>
      <c r="K2696" s="8" t="s">
        <v>9716</v>
      </c>
      <c r="L2696" s="8" t="s">
        <v>19</v>
      </c>
      <c r="M2696" s="8">
        <v>4440</v>
      </c>
      <c r="N2696" s="8" t="s">
        <v>708</v>
      </c>
      <c r="O2696" s="8">
        <v>1404</v>
      </c>
      <c r="P2696" s="8" t="s">
        <v>11802</v>
      </c>
      <c r="Q2696" s="8" t="s">
        <v>4262</v>
      </c>
      <c r="R2696" s="8">
        <v>0.193</v>
      </c>
      <c r="S2696" s="8">
        <v>10467397</v>
      </c>
      <c r="T2696" s="8" t="s">
        <v>46</v>
      </c>
      <c r="U2696" s="8" t="s">
        <v>41</v>
      </c>
    </row>
    <row r="2697" spans="1:21">
      <c r="A2697" s="8" t="s">
        <v>10349</v>
      </c>
      <c r="B2697" s="8" t="s">
        <v>2776</v>
      </c>
      <c r="C2697" s="8">
        <v>81501</v>
      </c>
      <c r="D2697" s="8" t="s">
        <v>279</v>
      </c>
      <c r="E2697" s="8">
        <v>105368407</v>
      </c>
      <c r="F2697" s="8">
        <v>105368407</v>
      </c>
      <c r="G2697" s="8" t="s">
        <v>46</v>
      </c>
      <c r="H2697" s="8" t="s">
        <v>41</v>
      </c>
      <c r="I2697" s="8" t="s">
        <v>23</v>
      </c>
      <c r="J2697" s="8" t="s">
        <v>2777</v>
      </c>
      <c r="K2697" s="8" t="s">
        <v>5626</v>
      </c>
      <c r="L2697" s="8" t="s">
        <v>19</v>
      </c>
      <c r="M2697" s="8">
        <v>1443</v>
      </c>
      <c r="N2697" s="8" t="s">
        <v>417</v>
      </c>
      <c r="O2697" s="8">
        <v>465</v>
      </c>
      <c r="P2697" s="8" t="s">
        <v>11803</v>
      </c>
      <c r="Q2697" s="8" t="s">
        <v>4262</v>
      </c>
      <c r="R2697" s="8">
        <v>0.38100000000000001</v>
      </c>
      <c r="S2697" s="8">
        <v>105368407</v>
      </c>
      <c r="T2697" s="8" t="s">
        <v>46</v>
      </c>
      <c r="U2697" s="8" t="s">
        <v>41</v>
      </c>
    </row>
    <row r="2698" spans="1:21">
      <c r="A2698" s="8" t="s">
        <v>10349</v>
      </c>
      <c r="B2698" s="8" t="s">
        <v>1401</v>
      </c>
      <c r="C2698" s="8">
        <v>23414</v>
      </c>
      <c r="D2698" s="8" t="s">
        <v>279</v>
      </c>
      <c r="E2698" s="8">
        <v>106815033</v>
      </c>
      <c r="F2698" s="8">
        <v>106815033</v>
      </c>
      <c r="G2698" s="8" t="s">
        <v>24</v>
      </c>
      <c r="H2698" s="8" t="s">
        <v>25</v>
      </c>
      <c r="I2698" s="8" t="s">
        <v>23</v>
      </c>
      <c r="J2698" s="8" t="s">
        <v>1402</v>
      </c>
      <c r="K2698" s="8" t="s">
        <v>6065</v>
      </c>
      <c r="L2698" s="8" t="s">
        <v>19</v>
      </c>
      <c r="M2698" s="8">
        <v>2746</v>
      </c>
      <c r="N2698" s="8" t="s">
        <v>708</v>
      </c>
      <c r="O2698" s="8">
        <v>908</v>
      </c>
      <c r="P2698" s="8" t="s">
        <v>11804</v>
      </c>
      <c r="Q2698" s="8" t="s">
        <v>4262</v>
      </c>
      <c r="R2698" s="8">
        <v>0.39600000000000002</v>
      </c>
      <c r="S2698" s="8">
        <v>106815033</v>
      </c>
      <c r="T2698" s="8" t="s">
        <v>24</v>
      </c>
      <c r="U2698" s="8" t="s">
        <v>25</v>
      </c>
    </row>
    <row r="2699" spans="1:21">
      <c r="A2699" s="8" t="s">
        <v>10349</v>
      </c>
      <c r="B2699" s="8" t="s">
        <v>1403</v>
      </c>
      <c r="C2699" s="8">
        <v>55074</v>
      </c>
      <c r="D2699" s="8" t="s">
        <v>279</v>
      </c>
      <c r="E2699" s="8">
        <v>107719007</v>
      </c>
      <c r="F2699" s="8">
        <v>107719007</v>
      </c>
      <c r="G2699" s="8" t="s">
        <v>24</v>
      </c>
      <c r="H2699" s="8" t="s">
        <v>25</v>
      </c>
      <c r="I2699" s="8" t="s">
        <v>23</v>
      </c>
      <c r="J2699" s="8" t="s">
        <v>8392</v>
      </c>
      <c r="K2699" s="8" t="s">
        <v>8394</v>
      </c>
      <c r="L2699" s="8" t="s">
        <v>19</v>
      </c>
      <c r="M2699" s="8">
        <v>1360</v>
      </c>
      <c r="N2699" s="8" t="s">
        <v>155</v>
      </c>
      <c r="O2699" s="8">
        <v>421</v>
      </c>
      <c r="P2699" s="8" t="s">
        <v>11805</v>
      </c>
      <c r="Q2699" s="8" t="s">
        <v>4262</v>
      </c>
      <c r="R2699" s="8">
        <v>0.42299999999999999</v>
      </c>
      <c r="S2699" s="8">
        <v>107719007</v>
      </c>
      <c r="T2699" s="8" t="s">
        <v>24</v>
      </c>
      <c r="U2699" s="8" t="s">
        <v>25</v>
      </c>
    </row>
    <row r="2700" spans="1:21">
      <c r="A2700" s="8" t="s">
        <v>10349</v>
      </c>
      <c r="B2700" s="8" t="s">
        <v>1403</v>
      </c>
      <c r="C2700" s="8">
        <v>55074</v>
      </c>
      <c r="D2700" s="8" t="s">
        <v>279</v>
      </c>
      <c r="E2700" s="8">
        <v>107763075</v>
      </c>
      <c r="F2700" s="8">
        <v>107763075</v>
      </c>
      <c r="G2700" s="8" t="s">
        <v>24</v>
      </c>
      <c r="H2700" s="8" t="s">
        <v>25</v>
      </c>
      <c r="I2700" s="8" t="s">
        <v>23</v>
      </c>
      <c r="J2700" s="8" t="s">
        <v>8392</v>
      </c>
      <c r="K2700" s="8" t="s">
        <v>8394</v>
      </c>
      <c r="L2700" s="8" t="s">
        <v>19</v>
      </c>
      <c r="M2700" s="8">
        <v>2630</v>
      </c>
      <c r="N2700" s="8" t="s">
        <v>494</v>
      </c>
      <c r="O2700" s="8">
        <v>844</v>
      </c>
      <c r="P2700" s="8" t="s">
        <v>11806</v>
      </c>
      <c r="Q2700" s="8" t="s">
        <v>4262</v>
      </c>
      <c r="R2700" s="8">
        <v>0.13200000000000001</v>
      </c>
      <c r="S2700" s="8">
        <v>107763075</v>
      </c>
      <c r="T2700" s="8" t="s">
        <v>24</v>
      </c>
      <c r="U2700" s="8" t="s">
        <v>25</v>
      </c>
    </row>
    <row r="2701" spans="1:21">
      <c r="A2701" s="8" t="s">
        <v>10349</v>
      </c>
      <c r="B2701" s="8" t="s">
        <v>2778</v>
      </c>
      <c r="C2701" s="8">
        <v>93035</v>
      </c>
      <c r="D2701" s="8" t="s">
        <v>279</v>
      </c>
      <c r="E2701" s="8">
        <v>110456028</v>
      </c>
      <c r="F2701" s="8">
        <v>110456028</v>
      </c>
      <c r="G2701" s="8" t="s">
        <v>24</v>
      </c>
      <c r="H2701" s="8" t="s">
        <v>25</v>
      </c>
      <c r="I2701" s="8" t="s">
        <v>23</v>
      </c>
      <c r="J2701" s="8" t="s">
        <v>2779</v>
      </c>
      <c r="K2701" s="8" t="s">
        <v>11808</v>
      </c>
      <c r="L2701" s="8" t="s">
        <v>19</v>
      </c>
      <c r="M2701" s="8">
        <v>4792</v>
      </c>
      <c r="N2701" s="8" t="s">
        <v>618</v>
      </c>
      <c r="O2701" s="8">
        <v>1563</v>
      </c>
      <c r="P2701" s="8" t="s">
        <v>11807</v>
      </c>
      <c r="Q2701" s="8" t="s">
        <v>4262</v>
      </c>
      <c r="R2701" s="8">
        <v>9.9000000000000005E-2</v>
      </c>
      <c r="S2701" s="8">
        <v>110456028</v>
      </c>
      <c r="T2701" s="8" t="s">
        <v>24</v>
      </c>
      <c r="U2701" s="8" t="s">
        <v>25</v>
      </c>
    </row>
    <row r="2702" spans="1:21">
      <c r="A2702" s="8" t="s">
        <v>10349</v>
      </c>
      <c r="B2702" s="8" t="s">
        <v>2778</v>
      </c>
      <c r="C2702" s="8">
        <v>93035</v>
      </c>
      <c r="D2702" s="8" t="s">
        <v>279</v>
      </c>
      <c r="E2702" s="8">
        <v>110502201</v>
      </c>
      <c r="F2702" s="8">
        <v>110502201</v>
      </c>
      <c r="G2702" s="8" t="s">
        <v>24</v>
      </c>
      <c r="H2702" s="8" t="s">
        <v>25</v>
      </c>
      <c r="I2702" s="8" t="s">
        <v>23</v>
      </c>
      <c r="J2702" s="8" t="s">
        <v>2779</v>
      </c>
      <c r="K2702" s="8" t="s">
        <v>11808</v>
      </c>
      <c r="L2702" s="8" t="s">
        <v>19</v>
      </c>
      <c r="M2702" s="8">
        <v>10005</v>
      </c>
      <c r="N2702" s="8" t="s">
        <v>171</v>
      </c>
      <c r="O2702" s="8">
        <v>3301</v>
      </c>
      <c r="P2702" s="8" t="s">
        <v>11809</v>
      </c>
      <c r="Q2702" s="8" t="s">
        <v>4262</v>
      </c>
      <c r="R2702" s="8">
        <v>0.40600000000000003</v>
      </c>
      <c r="S2702" s="8">
        <v>110502201</v>
      </c>
      <c r="T2702" s="8" t="s">
        <v>24</v>
      </c>
      <c r="U2702" s="8" t="s">
        <v>25</v>
      </c>
    </row>
    <row r="2703" spans="1:21">
      <c r="A2703" s="8" t="s">
        <v>10349</v>
      </c>
      <c r="B2703" s="8" t="s">
        <v>532</v>
      </c>
      <c r="C2703" s="8">
        <v>114788</v>
      </c>
      <c r="D2703" s="8" t="s">
        <v>279</v>
      </c>
      <c r="E2703" s="8">
        <v>113246685</v>
      </c>
      <c r="F2703" s="8">
        <v>113246685</v>
      </c>
      <c r="G2703" s="8" t="s">
        <v>24</v>
      </c>
      <c r="H2703" s="8" t="s">
        <v>25</v>
      </c>
      <c r="I2703" s="8" t="s">
        <v>23</v>
      </c>
      <c r="J2703" s="8" t="s">
        <v>5627</v>
      </c>
      <c r="K2703" s="8" t="s">
        <v>5629</v>
      </c>
      <c r="L2703" s="8" t="s">
        <v>19</v>
      </c>
      <c r="M2703" s="8">
        <v>10808</v>
      </c>
      <c r="N2703" s="8" t="s">
        <v>389</v>
      </c>
      <c r="O2703" s="8">
        <v>3550</v>
      </c>
      <c r="P2703" s="8" t="s">
        <v>11810</v>
      </c>
      <c r="Q2703" s="8" t="s">
        <v>4262</v>
      </c>
      <c r="R2703" s="8">
        <v>0.122</v>
      </c>
      <c r="S2703" s="8">
        <v>113246685</v>
      </c>
      <c r="T2703" s="8" t="s">
        <v>24</v>
      </c>
      <c r="U2703" s="8" t="s">
        <v>25</v>
      </c>
    </row>
    <row r="2704" spans="1:21">
      <c r="A2704" s="8" t="s">
        <v>10349</v>
      </c>
      <c r="B2704" s="8" t="s">
        <v>532</v>
      </c>
      <c r="C2704" s="8">
        <v>114788</v>
      </c>
      <c r="D2704" s="8" t="s">
        <v>279</v>
      </c>
      <c r="E2704" s="8">
        <v>113304868</v>
      </c>
      <c r="F2704" s="8">
        <v>113304868</v>
      </c>
      <c r="G2704" s="8" t="s">
        <v>46</v>
      </c>
      <c r="H2704" s="8" t="s">
        <v>41</v>
      </c>
      <c r="I2704" s="8" t="s">
        <v>23</v>
      </c>
      <c r="J2704" s="8" t="s">
        <v>5627</v>
      </c>
      <c r="K2704" s="8" t="s">
        <v>5629</v>
      </c>
      <c r="L2704" s="8" t="s">
        <v>19</v>
      </c>
      <c r="M2704" s="8">
        <v>8845</v>
      </c>
      <c r="N2704" s="8" t="s">
        <v>171</v>
      </c>
      <c r="O2704" s="8">
        <v>2896</v>
      </c>
      <c r="P2704" s="8" t="s">
        <v>11811</v>
      </c>
      <c r="Q2704" s="8" t="s">
        <v>4262</v>
      </c>
      <c r="R2704" s="8">
        <v>0.19600000000000001</v>
      </c>
      <c r="S2704" s="8">
        <v>113304868</v>
      </c>
      <c r="T2704" s="8" t="s">
        <v>46</v>
      </c>
      <c r="U2704" s="8" t="s">
        <v>41</v>
      </c>
    </row>
    <row r="2705" spans="1:21">
      <c r="A2705" s="8" t="s">
        <v>10349</v>
      </c>
      <c r="B2705" s="8" t="s">
        <v>532</v>
      </c>
      <c r="C2705" s="8">
        <v>114788</v>
      </c>
      <c r="D2705" s="8" t="s">
        <v>279</v>
      </c>
      <c r="E2705" s="8">
        <v>113326793</v>
      </c>
      <c r="F2705" s="8">
        <v>113326793</v>
      </c>
      <c r="G2705" s="8" t="s">
        <v>24</v>
      </c>
      <c r="H2705" s="8" t="s">
        <v>25</v>
      </c>
      <c r="I2705" s="8" t="s">
        <v>23</v>
      </c>
      <c r="J2705" s="8" t="s">
        <v>5627</v>
      </c>
      <c r="K2705" s="8" t="s">
        <v>5629</v>
      </c>
      <c r="L2705" s="8" t="s">
        <v>19</v>
      </c>
      <c r="M2705" s="8">
        <v>7573</v>
      </c>
      <c r="N2705" s="8" t="s">
        <v>415</v>
      </c>
      <c r="O2705" s="8">
        <v>2472</v>
      </c>
      <c r="P2705" s="8" t="s">
        <v>11812</v>
      </c>
      <c r="Q2705" s="8" t="s">
        <v>4262</v>
      </c>
      <c r="R2705" s="8">
        <v>0.26300000000000001</v>
      </c>
      <c r="S2705" s="8">
        <v>113326793</v>
      </c>
      <c r="T2705" s="8" t="s">
        <v>24</v>
      </c>
      <c r="U2705" s="8" t="s">
        <v>25</v>
      </c>
    </row>
    <row r="2706" spans="1:21">
      <c r="A2706" s="8" t="s">
        <v>10349</v>
      </c>
      <c r="B2706" s="8" t="s">
        <v>532</v>
      </c>
      <c r="C2706" s="8">
        <v>114788</v>
      </c>
      <c r="D2706" s="8" t="s">
        <v>279</v>
      </c>
      <c r="E2706" s="8">
        <v>113395831</v>
      </c>
      <c r="F2706" s="8">
        <v>113395831</v>
      </c>
      <c r="G2706" s="8" t="s">
        <v>46</v>
      </c>
      <c r="H2706" s="8" t="s">
        <v>24</v>
      </c>
      <c r="I2706" s="8" t="s">
        <v>23</v>
      </c>
      <c r="J2706" s="8" t="s">
        <v>5627</v>
      </c>
      <c r="K2706" s="8" t="s">
        <v>5629</v>
      </c>
      <c r="L2706" s="8" t="s">
        <v>19</v>
      </c>
      <c r="M2706" s="8">
        <v>6155</v>
      </c>
      <c r="N2706" s="8" t="s">
        <v>426</v>
      </c>
      <c r="O2706" s="8">
        <v>1999</v>
      </c>
      <c r="P2706" s="8" t="s">
        <v>11813</v>
      </c>
      <c r="Q2706" s="8" t="s">
        <v>4262</v>
      </c>
      <c r="R2706" s="8">
        <v>0.4</v>
      </c>
      <c r="S2706" s="8">
        <v>113395831</v>
      </c>
      <c r="T2706" s="8" t="s">
        <v>46</v>
      </c>
      <c r="U2706" s="8" t="s">
        <v>24</v>
      </c>
    </row>
    <row r="2707" spans="1:21">
      <c r="A2707" s="8" t="s">
        <v>10349</v>
      </c>
      <c r="B2707" s="8" t="s">
        <v>532</v>
      </c>
      <c r="C2707" s="8">
        <v>114788</v>
      </c>
      <c r="D2707" s="8" t="s">
        <v>279</v>
      </c>
      <c r="E2707" s="8">
        <v>113569108</v>
      </c>
      <c r="F2707" s="8">
        <v>113569108</v>
      </c>
      <c r="G2707" s="8" t="s">
        <v>24</v>
      </c>
      <c r="H2707" s="8" t="s">
        <v>25</v>
      </c>
      <c r="I2707" s="8" t="s">
        <v>23</v>
      </c>
      <c r="J2707" s="8" t="s">
        <v>5627</v>
      </c>
      <c r="K2707" s="8" t="s">
        <v>5629</v>
      </c>
      <c r="L2707" s="8" t="s">
        <v>19</v>
      </c>
      <c r="M2707" s="8">
        <v>4277</v>
      </c>
      <c r="N2707" s="8" t="s">
        <v>389</v>
      </c>
      <c r="O2707" s="8">
        <v>1373</v>
      </c>
      <c r="P2707" s="8" t="s">
        <v>11814</v>
      </c>
      <c r="Q2707" s="8" t="s">
        <v>4262</v>
      </c>
      <c r="R2707" s="8">
        <v>0.16700000000000001</v>
      </c>
      <c r="S2707" s="8">
        <v>113569108</v>
      </c>
      <c r="T2707" s="8" t="s">
        <v>24</v>
      </c>
      <c r="U2707" s="8" t="s">
        <v>25</v>
      </c>
    </row>
    <row r="2708" spans="1:21">
      <c r="A2708" s="8" t="s">
        <v>10349</v>
      </c>
      <c r="B2708" s="8" t="s">
        <v>1871</v>
      </c>
      <c r="C2708" s="8">
        <v>114569</v>
      </c>
      <c r="D2708" s="8" t="s">
        <v>279</v>
      </c>
      <c r="E2708" s="8">
        <v>120233917</v>
      </c>
      <c r="F2708" s="8">
        <v>120233917</v>
      </c>
      <c r="G2708" s="8" t="s">
        <v>24</v>
      </c>
      <c r="H2708" s="8" t="s">
        <v>25</v>
      </c>
      <c r="I2708" s="8" t="s">
        <v>23</v>
      </c>
      <c r="J2708" s="8" t="s">
        <v>11815</v>
      </c>
      <c r="K2708" s="8" t="s">
        <v>11817</v>
      </c>
      <c r="L2708" s="8" t="s">
        <v>19</v>
      </c>
      <c r="M2708" s="8">
        <v>325</v>
      </c>
      <c r="N2708" s="8" t="s">
        <v>941</v>
      </c>
      <c r="O2708" s="8">
        <v>75</v>
      </c>
      <c r="P2708" s="8" t="s">
        <v>11816</v>
      </c>
      <c r="Q2708" s="8" t="s">
        <v>4262</v>
      </c>
      <c r="R2708" s="8">
        <v>0.126</v>
      </c>
      <c r="S2708" s="8">
        <v>120233917</v>
      </c>
      <c r="T2708" s="8" t="s">
        <v>24</v>
      </c>
      <c r="U2708" s="8" t="s">
        <v>25</v>
      </c>
    </row>
    <row r="2709" spans="1:21">
      <c r="A2709" s="8" t="s">
        <v>10349</v>
      </c>
      <c r="B2709" s="8" t="s">
        <v>11818</v>
      </c>
      <c r="C2709" s="8">
        <v>5168</v>
      </c>
      <c r="D2709" s="8" t="s">
        <v>279</v>
      </c>
      <c r="E2709" s="8">
        <v>120581487</v>
      </c>
      <c r="F2709" s="8">
        <v>120581487</v>
      </c>
      <c r="G2709" s="8" t="s">
        <v>24</v>
      </c>
      <c r="H2709" s="8" t="s">
        <v>25</v>
      </c>
      <c r="I2709" s="8" t="s">
        <v>23</v>
      </c>
      <c r="J2709" s="8" t="s">
        <v>11819</v>
      </c>
      <c r="K2709" s="8" t="s">
        <v>11821</v>
      </c>
      <c r="L2709" s="8" t="s">
        <v>19</v>
      </c>
      <c r="M2709" s="8">
        <v>2283</v>
      </c>
      <c r="N2709" s="8" t="s">
        <v>58</v>
      </c>
      <c r="O2709" s="8">
        <v>733</v>
      </c>
      <c r="P2709" s="8" t="s">
        <v>11820</v>
      </c>
      <c r="Q2709" s="8" t="s">
        <v>4262</v>
      </c>
      <c r="R2709" s="8">
        <v>9.4E-2</v>
      </c>
      <c r="S2709" s="8">
        <v>120581487</v>
      </c>
      <c r="T2709" s="8" t="s">
        <v>24</v>
      </c>
      <c r="U2709" s="8" t="s">
        <v>25</v>
      </c>
    </row>
    <row r="2710" spans="1:21">
      <c r="A2710" s="8" t="s">
        <v>10349</v>
      </c>
      <c r="B2710" s="8" t="s">
        <v>11822</v>
      </c>
      <c r="C2710" s="8">
        <v>84985</v>
      </c>
      <c r="D2710" s="8" t="s">
        <v>279</v>
      </c>
      <c r="E2710" s="8">
        <v>124195557</v>
      </c>
      <c r="F2710" s="8">
        <v>124195557</v>
      </c>
      <c r="G2710" s="8" t="s">
        <v>24</v>
      </c>
      <c r="H2710" s="8" t="s">
        <v>25</v>
      </c>
      <c r="I2710" s="8" t="s">
        <v>23</v>
      </c>
      <c r="J2710" s="8" t="s">
        <v>11823</v>
      </c>
      <c r="K2710" s="8" t="s">
        <v>11825</v>
      </c>
      <c r="L2710" s="8" t="s">
        <v>19</v>
      </c>
      <c r="M2710" s="8">
        <v>806</v>
      </c>
      <c r="N2710" s="8" t="s">
        <v>732</v>
      </c>
      <c r="O2710" s="8">
        <v>154</v>
      </c>
      <c r="P2710" s="8" t="s">
        <v>11824</v>
      </c>
      <c r="Q2710" s="8" t="s">
        <v>4262</v>
      </c>
      <c r="R2710" s="8">
        <v>0.154</v>
      </c>
      <c r="S2710" s="8">
        <v>124195557</v>
      </c>
      <c r="T2710" s="8" t="s">
        <v>24</v>
      </c>
      <c r="U2710" s="8" t="s">
        <v>25</v>
      </c>
    </row>
    <row r="2711" spans="1:21">
      <c r="A2711" s="8" t="s">
        <v>10349</v>
      </c>
      <c r="B2711" s="8" t="s">
        <v>2227</v>
      </c>
      <c r="C2711" s="8">
        <v>50807</v>
      </c>
      <c r="D2711" s="8" t="s">
        <v>279</v>
      </c>
      <c r="E2711" s="8">
        <v>131104249</v>
      </c>
      <c r="F2711" s="8">
        <v>131104249</v>
      </c>
      <c r="G2711" s="8" t="s">
        <v>46</v>
      </c>
      <c r="H2711" s="8" t="s">
        <v>41</v>
      </c>
      <c r="I2711" s="8" t="s">
        <v>23</v>
      </c>
      <c r="J2711" s="8" t="s">
        <v>11826</v>
      </c>
      <c r="K2711" s="8" t="s">
        <v>11828</v>
      </c>
      <c r="L2711" s="8" t="s">
        <v>19</v>
      </c>
      <c r="M2711" s="8">
        <v>2570</v>
      </c>
      <c r="N2711" s="8" t="s">
        <v>28</v>
      </c>
      <c r="O2711" s="8">
        <v>848</v>
      </c>
      <c r="P2711" s="8" t="s">
        <v>11827</v>
      </c>
      <c r="Q2711" s="8" t="s">
        <v>4262</v>
      </c>
      <c r="R2711" s="8">
        <v>0.40400000000000003</v>
      </c>
      <c r="S2711" s="8">
        <v>131104249</v>
      </c>
      <c r="T2711" s="8" t="s">
        <v>46</v>
      </c>
      <c r="U2711" s="8" t="s">
        <v>41</v>
      </c>
    </row>
    <row r="2712" spans="1:21">
      <c r="A2712" s="8" t="s">
        <v>10349</v>
      </c>
      <c r="B2712" s="8" t="s">
        <v>2782</v>
      </c>
      <c r="C2712" s="8">
        <v>51059</v>
      </c>
      <c r="D2712" s="8" t="s">
        <v>279</v>
      </c>
      <c r="E2712" s="8">
        <v>139163590</v>
      </c>
      <c r="F2712" s="8">
        <v>139163590</v>
      </c>
      <c r="G2712" s="8" t="s">
        <v>24</v>
      </c>
      <c r="H2712" s="8" t="s">
        <v>25</v>
      </c>
      <c r="I2712" s="8" t="s">
        <v>23</v>
      </c>
      <c r="J2712" s="8" t="s">
        <v>2783</v>
      </c>
      <c r="K2712" s="8" t="s">
        <v>7392</v>
      </c>
      <c r="L2712" s="8" t="s">
        <v>19</v>
      </c>
      <c r="M2712" s="8">
        <v>3299</v>
      </c>
      <c r="N2712" s="8" t="s">
        <v>1140</v>
      </c>
      <c r="O2712" s="8">
        <v>1043</v>
      </c>
      <c r="P2712" s="8" t="s">
        <v>11829</v>
      </c>
      <c r="Q2712" s="8" t="s">
        <v>4262</v>
      </c>
      <c r="R2712" s="8">
        <v>0.33300000000000002</v>
      </c>
      <c r="S2712" s="8">
        <v>139163590</v>
      </c>
      <c r="T2712" s="8" t="s">
        <v>24</v>
      </c>
      <c r="U2712" s="8" t="s">
        <v>25</v>
      </c>
    </row>
    <row r="2713" spans="1:21">
      <c r="A2713" s="8" t="s">
        <v>10349</v>
      </c>
      <c r="B2713" s="8" t="s">
        <v>11830</v>
      </c>
      <c r="C2713" s="8">
        <v>22898</v>
      </c>
      <c r="D2713" s="8" t="s">
        <v>279</v>
      </c>
      <c r="E2713" s="8">
        <v>142151348</v>
      </c>
      <c r="F2713" s="8">
        <v>142151348</v>
      </c>
      <c r="G2713" s="8" t="s">
        <v>24</v>
      </c>
      <c r="H2713" s="8" t="s">
        <v>25</v>
      </c>
      <c r="I2713" s="8" t="s">
        <v>23</v>
      </c>
      <c r="J2713" s="8" t="s">
        <v>11831</v>
      </c>
      <c r="K2713" s="8" t="s">
        <v>11833</v>
      </c>
      <c r="L2713" s="8" t="s">
        <v>19</v>
      </c>
      <c r="M2713" s="8">
        <v>586</v>
      </c>
      <c r="N2713" s="8" t="s">
        <v>205</v>
      </c>
      <c r="O2713" s="8">
        <v>103</v>
      </c>
      <c r="P2713" s="8" t="s">
        <v>11832</v>
      </c>
      <c r="Q2713" s="8" t="s">
        <v>4262</v>
      </c>
      <c r="R2713" s="8">
        <v>0.23499999999999999</v>
      </c>
      <c r="S2713" s="8">
        <v>142151348</v>
      </c>
      <c r="T2713" s="8" t="s">
        <v>24</v>
      </c>
      <c r="U2713" s="8" t="s">
        <v>25</v>
      </c>
    </row>
    <row r="2714" spans="1:21">
      <c r="A2714" s="8" t="s">
        <v>10349</v>
      </c>
      <c r="B2714" s="8" t="s">
        <v>2786</v>
      </c>
      <c r="C2714" s="8">
        <v>9831</v>
      </c>
      <c r="D2714" s="8" t="s">
        <v>279</v>
      </c>
      <c r="E2714" s="8">
        <v>144732685</v>
      </c>
      <c r="F2714" s="8">
        <v>144732685</v>
      </c>
      <c r="G2714" s="8" t="s">
        <v>24</v>
      </c>
      <c r="H2714" s="8" t="s">
        <v>25</v>
      </c>
      <c r="I2714" s="8" t="s">
        <v>23</v>
      </c>
      <c r="J2714" s="8" t="s">
        <v>11834</v>
      </c>
      <c r="K2714" s="8" t="s">
        <v>11836</v>
      </c>
      <c r="L2714" s="8" t="s">
        <v>19</v>
      </c>
      <c r="M2714" s="8">
        <v>732</v>
      </c>
      <c r="N2714" s="8" t="s">
        <v>941</v>
      </c>
      <c r="O2714" s="8">
        <v>215</v>
      </c>
      <c r="P2714" s="8" t="s">
        <v>11835</v>
      </c>
      <c r="Q2714" s="8" t="s">
        <v>4262</v>
      </c>
      <c r="R2714" s="8">
        <v>0.53500000000000003</v>
      </c>
      <c r="S2714" s="8">
        <v>144732685</v>
      </c>
      <c r="T2714" s="8" t="s">
        <v>24</v>
      </c>
      <c r="U2714" s="8" t="s">
        <v>25</v>
      </c>
    </row>
    <row r="2715" spans="1:21">
      <c r="A2715" s="8" t="s">
        <v>10349</v>
      </c>
      <c r="B2715" s="8" t="s">
        <v>11837</v>
      </c>
      <c r="C2715" s="8">
        <v>23362</v>
      </c>
      <c r="D2715" s="8" t="s">
        <v>279</v>
      </c>
      <c r="E2715" s="8">
        <v>18730087</v>
      </c>
      <c r="F2715" s="8">
        <v>18730087</v>
      </c>
      <c r="G2715" s="8" t="s">
        <v>24</v>
      </c>
      <c r="H2715" s="8" t="s">
        <v>25</v>
      </c>
      <c r="I2715" s="8" t="s">
        <v>23</v>
      </c>
      <c r="J2715" s="8" t="s">
        <v>11838</v>
      </c>
      <c r="K2715" s="8" t="s">
        <v>11840</v>
      </c>
      <c r="L2715" s="8" t="s">
        <v>19</v>
      </c>
      <c r="M2715" s="8">
        <v>390</v>
      </c>
      <c r="N2715" s="8" t="s">
        <v>1140</v>
      </c>
      <c r="O2715" s="8">
        <v>96</v>
      </c>
      <c r="P2715" s="8" t="s">
        <v>11839</v>
      </c>
      <c r="Q2715" s="8" t="s">
        <v>4262</v>
      </c>
      <c r="R2715" s="8">
        <v>0.217</v>
      </c>
      <c r="S2715" s="8">
        <v>18730087</v>
      </c>
      <c r="T2715" s="8" t="s">
        <v>24</v>
      </c>
      <c r="U2715" s="8" t="s">
        <v>25</v>
      </c>
    </row>
    <row r="2716" spans="1:21">
      <c r="A2716" s="8" t="s">
        <v>10349</v>
      </c>
      <c r="B2716" s="8" t="s">
        <v>2788</v>
      </c>
      <c r="C2716" s="8">
        <v>55174</v>
      </c>
      <c r="D2716" s="8" t="s">
        <v>279</v>
      </c>
      <c r="E2716" s="8">
        <v>19709180</v>
      </c>
      <c r="F2716" s="8">
        <v>19709180</v>
      </c>
      <c r="G2716" s="8" t="s">
        <v>24</v>
      </c>
      <c r="H2716" s="8" t="s">
        <v>25</v>
      </c>
      <c r="I2716" s="8" t="s">
        <v>23</v>
      </c>
      <c r="J2716" s="8" t="s">
        <v>2789</v>
      </c>
      <c r="K2716" s="8" t="s">
        <v>11842</v>
      </c>
      <c r="L2716" s="8" t="s">
        <v>19</v>
      </c>
      <c r="M2716" s="8">
        <v>2128</v>
      </c>
      <c r="N2716" s="8" t="s">
        <v>205</v>
      </c>
      <c r="O2716" s="8">
        <v>666</v>
      </c>
      <c r="P2716" s="8" t="s">
        <v>11841</v>
      </c>
      <c r="Q2716" s="8" t="s">
        <v>4262</v>
      </c>
      <c r="R2716" s="8">
        <v>0.36799999999999999</v>
      </c>
      <c r="S2716" s="8">
        <v>19709180</v>
      </c>
      <c r="T2716" s="8" t="s">
        <v>24</v>
      </c>
      <c r="U2716" s="8" t="s">
        <v>25</v>
      </c>
    </row>
    <row r="2717" spans="1:21">
      <c r="A2717" s="8" t="s">
        <v>10349</v>
      </c>
      <c r="B2717" s="8" t="s">
        <v>11843</v>
      </c>
      <c r="C2717" s="8">
        <v>9172</v>
      </c>
      <c r="D2717" s="8" t="s">
        <v>279</v>
      </c>
      <c r="E2717" s="8">
        <v>2071197</v>
      </c>
      <c r="F2717" s="8">
        <v>2071197</v>
      </c>
      <c r="G2717" s="8" t="s">
        <v>46</v>
      </c>
      <c r="H2717" s="8" t="s">
        <v>41</v>
      </c>
      <c r="I2717" s="8" t="s">
        <v>23</v>
      </c>
      <c r="J2717" s="8" t="s">
        <v>11844</v>
      </c>
      <c r="K2717" s="8" t="s">
        <v>11846</v>
      </c>
      <c r="L2717" s="8" t="s">
        <v>19</v>
      </c>
      <c r="M2717" s="8">
        <v>3664</v>
      </c>
      <c r="N2717" s="8" t="s">
        <v>415</v>
      </c>
      <c r="O2717" s="8">
        <v>1176</v>
      </c>
      <c r="P2717" s="8" t="s">
        <v>11845</v>
      </c>
      <c r="Q2717" s="8" t="s">
        <v>4262</v>
      </c>
      <c r="R2717" s="8">
        <v>0.192</v>
      </c>
      <c r="S2717" s="8">
        <v>2071197</v>
      </c>
      <c r="T2717" s="8" t="s">
        <v>46</v>
      </c>
      <c r="U2717" s="8" t="s">
        <v>41</v>
      </c>
    </row>
    <row r="2718" spans="1:21">
      <c r="A2718" s="8" t="s">
        <v>10349</v>
      </c>
      <c r="B2718" s="8" t="s">
        <v>11847</v>
      </c>
      <c r="C2718" s="8">
        <v>661</v>
      </c>
      <c r="D2718" s="8" t="s">
        <v>279</v>
      </c>
      <c r="E2718" s="8">
        <v>22105435</v>
      </c>
      <c r="F2718" s="8">
        <v>22105435</v>
      </c>
      <c r="G2718" s="8" t="s">
        <v>24</v>
      </c>
      <c r="H2718" s="8" t="s">
        <v>25</v>
      </c>
      <c r="I2718" s="8" t="s">
        <v>23</v>
      </c>
      <c r="J2718" s="8" t="s">
        <v>11848</v>
      </c>
      <c r="K2718" s="8" t="s">
        <v>11850</v>
      </c>
      <c r="L2718" s="8" t="s">
        <v>19</v>
      </c>
      <c r="M2718" s="8">
        <v>358</v>
      </c>
      <c r="N2718" s="8" t="s">
        <v>1399</v>
      </c>
      <c r="O2718" s="8">
        <v>92</v>
      </c>
      <c r="P2718" s="8" t="s">
        <v>11849</v>
      </c>
      <c r="Q2718" s="8" t="s">
        <v>4262</v>
      </c>
      <c r="R2718" s="8">
        <v>0.17</v>
      </c>
      <c r="S2718" s="8">
        <v>22105435</v>
      </c>
      <c r="T2718" s="8" t="s">
        <v>24</v>
      </c>
      <c r="U2718" s="8" t="s">
        <v>25</v>
      </c>
    </row>
    <row r="2719" spans="1:21">
      <c r="A2719" s="8" t="s">
        <v>10349</v>
      </c>
      <c r="B2719" s="8" t="s">
        <v>11851</v>
      </c>
      <c r="C2719" s="8">
        <v>8795</v>
      </c>
      <c r="D2719" s="8" t="s">
        <v>279</v>
      </c>
      <c r="E2719" s="8">
        <v>22880326</v>
      </c>
      <c r="F2719" s="8">
        <v>22880326</v>
      </c>
      <c r="G2719" s="8" t="s">
        <v>46</v>
      </c>
      <c r="H2719" s="8" t="s">
        <v>41</v>
      </c>
      <c r="I2719" s="8" t="s">
        <v>23</v>
      </c>
      <c r="J2719" s="8" t="s">
        <v>11852</v>
      </c>
      <c r="K2719" s="8" t="s">
        <v>11854</v>
      </c>
      <c r="L2719" s="8" t="s">
        <v>19</v>
      </c>
      <c r="M2719" s="8">
        <v>1474</v>
      </c>
      <c r="N2719" s="8" t="s">
        <v>1399</v>
      </c>
      <c r="O2719" s="8">
        <v>394</v>
      </c>
      <c r="P2719" s="8" t="s">
        <v>11853</v>
      </c>
      <c r="Q2719" s="8" t="s">
        <v>4262</v>
      </c>
      <c r="R2719" s="8">
        <v>0.222</v>
      </c>
      <c r="S2719" s="8">
        <v>22880326</v>
      </c>
      <c r="T2719" s="8" t="s">
        <v>46</v>
      </c>
      <c r="U2719" s="8" t="s">
        <v>41</v>
      </c>
    </row>
    <row r="2720" spans="1:21">
      <c r="A2720" s="8" t="s">
        <v>10349</v>
      </c>
      <c r="B2720" s="8" t="s">
        <v>2791</v>
      </c>
      <c r="C2720" s="8">
        <v>4017</v>
      </c>
      <c r="D2720" s="8" t="s">
        <v>279</v>
      </c>
      <c r="E2720" s="8">
        <v>23179656</v>
      </c>
      <c r="F2720" s="8">
        <v>23179656</v>
      </c>
      <c r="G2720" s="8" t="s">
        <v>46</v>
      </c>
      <c r="H2720" s="8" t="s">
        <v>41</v>
      </c>
      <c r="I2720" s="8" t="s">
        <v>23</v>
      </c>
      <c r="J2720" s="8" t="s">
        <v>2792</v>
      </c>
      <c r="K2720" s="8" t="s">
        <v>11855</v>
      </c>
      <c r="L2720" s="8" t="s">
        <v>19</v>
      </c>
      <c r="M2720" s="8">
        <v>1628</v>
      </c>
      <c r="N2720" s="8" t="s">
        <v>205</v>
      </c>
      <c r="O2720" s="8">
        <v>430</v>
      </c>
      <c r="P2720" s="8" t="s">
        <v>11509</v>
      </c>
      <c r="Q2720" s="8" t="s">
        <v>4262</v>
      </c>
      <c r="R2720" s="8">
        <v>0.26200000000000001</v>
      </c>
      <c r="S2720" s="8">
        <v>23179656</v>
      </c>
      <c r="T2720" s="8" t="s">
        <v>46</v>
      </c>
      <c r="U2720" s="8" t="s">
        <v>41</v>
      </c>
    </row>
    <row r="2721" spans="1:21">
      <c r="A2721" s="8" t="s">
        <v>10349</v>
      </c>
      <c r="B2721" s="8" t="s">
        <v>11856</v>
      </c>
      <c r="C2721" s="8">
        <v>4741</v>
      </c>
      <c r="D2721" s="8" t="s">
        <v>279</v>
      </c>
      <c r="E2721" s="8">
        <v>24773152</v>
      </c>
      <c r="F2721" s="8">
        <v>24773152</v>
      </c>
      <c r="G2721" s="8" t="s">
        <v>24</v>
      </c>
      <c r="H2721" s="8" t="s">
        <v>25</v>
      </c>
      <c r="I2721" s="8" t="s">
        <v>23</v>
      </c>
      <c r="J2721" s="8" t="s">
        <v>11857</v>
      </c>
      <c r="K2721" s="8" t="s">
        <v>11859</v>
      </c>
      <c r="L2721" s="8" t="s">
        <v>19</v>
      </c>
      <c r="M2721" s="8">
        <v>1148</v>
      </c>
      <c r="N2721" s="8" t="s">
        <v>205</v>
      </c>
      <c r="O2721" s="8">
        <v>372</v>
      </c>
      <c r="P2721" s="8" t="s">
        <v>11858</v>
      </c>
      <c r="Q2721" s="8" t="s">
        <v>4262</v>
      </c>
      <c r="R2721" s="8">
        <v>0.28599999999999998</v>
      </c>
      <c r="S2721" s="8">
        <v>24773152</v>
      </c>
      <c r="T2721" s="8" t="s">
        <v>24</v>
      </c>
      <c r="U2721" s="8" t="s">
        <v>25</v>
      </c>
    </row>
    <row r="2722" spans="1:21">
      <c r="A2722" s="8" t="s">
        <v>10349</v>
      </c>
      <c r="B2722" s="8" t="s">
        <v>11860</v>
      </c>
      <c r="C2722" s="8">
        <v>64641</v>
      </c>
      <c r="D2722" s="8" t="s">
        <v>279</v>
      </c>
      <c r="E2722" s="8">
        <v>25902317</v>
      </c>
      <c r="F2722" s="8">
        <v>25902317</v>
      </c>
      <c r="G2722" s="8" t="s">
        <v>46</v>
      </c>
      <c r="H2722" s="8" t="s">
        <v>41</v>
      </c>
      <c r="I2722" s="8" t="s">
        <v>23</v>
      </c>
      <c r="J2722" s="8" t="s">
        <v>11861</v>
      </c>
      <c r="K2722" s="8" t="s">
        <v>11863</v>
      </c>
      <c r="L2722" s="8" t="s">
        <v>19</v>
      </c>
      <c r="M2722" s="8">
        <v>76</v>
      </c>
      <c r="N2722" s="8" t="s">
        <v>205</v>
      </c>
      <c r="O2722" s="8">
        <v>20</v>
      </c>
      <c r="P2722" s="8" t="s">
        <v>11862</v>
      </c>
      <c r="Q2722" s="8" t="s">
        <v>4262</v>
      </c>
      <c r="R2722" s="8">
        <v>0.26800000000000002</v>
      </c>
      <c r="S2722" s="8">
        <v>25902317</v>
      </c>
      <c r="T2722" s="8" t="s">
        <v>46</v>
      </c>
      <c r="U2722" s="8" t="s">
        <v>41</v>
      </c>
    </row>
    <row r="2723" spans="1:21">
      <c r="A2723" s="8" t="s">
        <v>10349</v>
      </c>
      <c r="B2723" s="8" t="s">
        <v>1544</v>
      </c>
      <c r="C2723" s="8">
        <v>64478</v>
      </c>
      <c r="D2723" s="8" t="s">
        <v>279</v>
      </c>
      <c r="E2723" s="8">
        <v>2966166</v>
      </c>
      <c r="F2723" s="8">
        <v>2966166</v>
      </c>
      <c r="G2723" s="8" t="s">
        <v>46</v>
      </c>
      <c r="H2723" s="8" t="s">
        <v>41</v>
      </c>
      <c r="I2723" s="8" t="s">
        <v>23</v>
      </c>
      <c r="J2723" s="8" t="s">
        <v>1545</v>
      </c>
      <c r="K2723" s="8" t="s">
        <v>11865</v>
      </c>
      <c r="L2723" s="8" t="s">
        <v>19</v>
      </c>
      <c r="M2723" s="8">
        <v>7103</v>
      </c>
      <c r="N2723" s="8" t="s">
        <v>708</v>
      </c>
      <c r="O2723" s="8">
        <v>2238</v>
      </c>
      <c r="P2723" s="8" t="s">
        <v>11864</v>
      </c>
      <c r="Q2723" s="8" t="s">
        <v>4262</v>
      </c>
      <c r="R2723" s="8">
        <v>0.14699999999999999</v>
      </c>
      <c r="S2723" s="8">
        <v>2966166</v>
      </c>
      <c r="T2723" s="8" t="s">
        <v>46</v>
      </c>
      <c r="U2723" s="8" t="s">
        <v>41</v>
      </c>
    </row>
    <row r="2724" spans="1:21">
      <c r="A2724" s="8" t="s">
        <v>10349</v>
      </c>
      <c r="B2724" s="8" t="s">
        <v>11866</v>
      </c>
      <c r="C2724" s="8">
        <v>29942</v>
      </c>
      <c r="D2724" s="8" t="s">
        <v>279</v>
      </c>
      <c r="E2724" s="8">
        <v>30889481</v>
      </c>
      <c r="F2724" s="8">
        <v>30889481</v>
      </c>
      <c r="G2724" s="8" t="s">
        <v>46</v>
      </c>
      <c r="H2724" s="8" t="s">
        <v>41</v>
      </c>
      <c r="I2724" s="8" t="s">
        <v>23</v>
      </c>
      <c r="J2724" s="8" t="s">
        <v>11867</v>
      </c>
      <c r="K2724" s="8" t="s">
        <v>11869</v>
      </c>
      <c r="L2724" s="8" t="s">
        <v>19</v>
      </c>
      <c r="M2724" s="8">
        <v>837</v>
      </c>
      <c r="N2724" s="8" t="s">
        <v>2483</v>
      </c>
      <c r="O2724" s="8">
        <v>273</v>
      </c>
      <c r="P2724" s="8" t="s">
        <v>11868</v>
      </c>
      <c r="Q2724" s="8" t="s">
        <v>4262</v>
      </c>
      <c r="R2724" s="8">
        <v>0.182</v>
      </c>
      <c r="S2724" s="8">
        <v>30889481</v>
      </c>
      <c r="T2724" s="8" t="s">
        <v>46</v>
      </c>
      <c r="U2724" s="8" t="s">
        <v>41</v>
      </c>
    </row>
    <row r="2725" spans="1:21">
      <c r="A2725" s="8" t="s">
        <v>10349</v>
      </c>
      <c r="B2725" s="8" t="s">
        <v>2139</v>
      </c>
      <c r="C2725" s="8">
        <v>137970</v>
      </c>
      <c r="D2725" s="8" t="s">
        <v>279</v>
      </c>
      <c r="E2725" s="8">
        <v>35579784</v>
      </c>
      <c r="F2725" s="8">
        <v>35579784</v>
      </c>
      <c r="G2725" s="8" t="s">
        <v>24</v>
      </c>
      <c r="H2725" s="8" t="s">
        <v>25</v>
      </c>
      <c r="I2725" s="8" t="s">
        <v>23</v>
      </c>
      <c r="J2725" s="8" t="s">
        <v>2793</v>
      </c>
      <c r="K2725" s="8" t="s">
        <v>11871</v>
      </c>
      <c r="L2725" s="8" t="s">
        <v>19</v>
      </c>
      <c r="M2725" s="8">
        <v>1502</v>
      </c>
      <c r="N2725" s="8" t="s">
        <v>155</v>
      </c>
      <c r="O2725" s="8">
        <v>392</v>
      </c>
      <c r="P2725" s="8" t="s">
        <v>11870</v>
      </c>
      <c r="Q2725" s="8" t="s">
        <v>4262</v>
      </c>
      <c r="R2725" s="8">
        <v>0.188</v>
      </c>
      <c r="S2725" s="8">
        <v>35579784</v>
      </c>
      <c r="T2725" s="8" t="s">
        <v>24</v>
      </c>
      <c r="U2725" s="8" t="s">
        <v>25</v>
      </c>
    </row>
    <row r="2726" spans="1:21">
      <c r="A2726" s="8" t="s">
        <v>10349</v>
      </c>
      <c r="B2726" s="8" t="s">
        <v>2139</v>
      </c>
      <c r="C2726" s="8">
        <v>137970</v>
      </c>
      <c r="D2726" s="8" t="s">
        <v>279</v>
      </c>
      <c r="E2726" s="8">
        <v>35608196</v>
      </c>
      <c r="F2726" s="8">
        <v>35608196</v>
      </c>
      <c r="G2726" s="8" t="s">
        <v>46</v>
      </c>
      <c r="H2726" s="8" t="s">
        <v>41</v>
      </c>
      <c r="I2726" s="8" t="s">
        <v>23</v>
      </c>
      <c r="J2726" s="8" t="s">
        <v>2793</v>
      </c>
      <c r="K2726" s="8" t="s">
        <v>11871</v>
      </c>
      <c r="L2726" s="8" t="s">
        <v>19</v>
      </c>
      <c r="M2726" s="8">
        <v>2360</v>
      </c>
      <c r="N2726" s="8" t="s">
        <v>58</v>
      </c>
      <c r="O2726" s="8">
        <v>678</v>
      </c>
      <c r="P2726" s="8" t="s">
        <v>11872</v>
      </c>
      <c r="Q2726" s="8" t="s">
        <v>4262</v>
      </c>
      <c r="R2726" s="8">
        <v>0.16900000000000001</v>
      </c>
      <c r="S2726" s="8">
        <v>35608196</v>
      </c>
      <c r="T2726" s="8" t="s">
        <v>46</v>
      </c>
      <c r="U2726" s="8" t="s">
        <v>41</v>
      </c>
    </row>
    <row r="2727" spans="1:21">
      <c r="A2727" s="8" t="s">
        <v>10349</v>
      </c>
      <c r="B2727" s="8" t="s">
        <v>2140</v>
      </c>
      <c r="C2727" s="8">
        <v>157855</v>
      </c>
      <c r="D2727" s="8" t="s">
        <v>279</v>
      </c>
      <c r="E2727" s="8">
        <v>36722040</v>
      </c>
      <c r="F2727" s="8">
        <v>36722040</v>
      </c>
      <c r="G2727" s="8" t="s">
        <v>24</v>
      </c>
      <c r="H2727" s="8" t="s">
        <v>25</v>
      </c>
      <c r="I2727" s="8" t="s">
        <v>23</v>
      </c>
      <c r="J2727" s="8" t="s">
        <v>11873</v>
      </c>
      <c r="K2727" s="8" t="s">
        <v>11874</v>
      </c>
      <c r="L2727" s="8" t="s">
        <v>68</v>
      </c>
      <c r="M2727" s="8">
        <v>0</v>
      </c>
      <c r="N2727" s="8" t="s">
        <v>35</v>
      </c>
      <c r="O2727" s="8">
        <v>0</v>
      </c>
      <c r="P2727" s="8" t="s">
        <v>35</v>
      </c>
      <c r="Q2727" s="8" t="s">
        <v>4262</v>
      </c>
      <c r="R2727" s="8">
        <v>0.32400000000000001</v>
      </c>
      <c r="S2727" s="8">
        <v>36722040</v>
      </c>
      <c r="T2727" s="8" t="s">
        <v>24</v>
      </c>
      <c r="U2727" s="8" t="s">
        <v>25</v>
      </c>
    </row>
    <row r="2728" spans="1:21">
      <c r="A2728" s="8" t="s">
        <v>10349</v>
      </c>
      <c r="B2728" s="8" t="s">
        <v>11875</v>
      </c>
      <c r="C2728" s="8">
        <v>2260</v>
      </c>
      <c r="D2728" s="8" t="s">
        <v>279</v>
      </c>
      <c r="E2728" s="8">
        <v>38275492</v>
      </c>
      <c r="F2728" s="8">
        <v>38275492</v>
      </c>
      <c r="G2728" s="8" t="s">
        <v>24</v>
      </c>
      <c r="H2728" s="8" t="s">
        <v>25</v>
      </c>
      <c r="I2728" s="8" t="s">
        <v>23</v>
      </c>
      <c r="J2728" s="8" t="s">
        <v>11876</v>
      </c>
      <c r="K2728" s="8" t="s">
        <v>11878</v>
      </c>
      <c r="L2728" s="8" t="s">
        <v>19</v>
      </c>
      <c r="M2728" s="8">
        <v>1864</v>
      </c>
      <c r="N2728" s="8" t="s">
        <v>333</v>
      </c>
      <c r="O2728" s="8">
        <v>514</v>
      </c>
      <c r="P2728" s="8" t="s">
        <v>11877</v>
      </c>
      <c r="Q2728" s="8" t="s">
        <v>4262</v>
      </c>
      <c r="R2728" s="8">
        <v>0.22700000000000001</v>
      </c>
      <c r="S2728" s="8">
        <v>38275492</v>
      </c>
      <c r="T2728" s="8" t="s">
        <v>24</v>
      </c>
      <c r="U2728" s="8" t="s">
        <v>25</v>
      </c>
    </row>
    <row r="2729" spans="1:21">
      <c r="A2729" s="8" t="s">
        <v>10349</v>
      </c>
      <c r="B2729" s="8" t="s">
        <v>11879</v>
      </c>
      <c r="C2729" s="8">
        <v>8754</v>
      </c>
      <c r="D2729" s="8" t="s">
        <v>279</v>
      </c>
      <c r="E2729" s="8">
        <v>38874769</v>
      </c>
      <c r="F2729" s="8">
        <v>38874769</v>
      </c>
      <c r="G2729" s="8" t="s">
        <v>24</v>
      </c>
      <c r="H2729" s="8" t="s">
        <v>25</v>
      </c>
      <c r="I2729" s="8" t="s">
        <v>23</v>
      </c>
      <c r="J2729" s="8" t="s">
        <v>11880</v>
      </c>
      <c r="K2729" s="8" t="s">
        <v>11882</v>
      </c>
      <c r="L2729" s="8" t="s">
        <v>19</v>
      </c>
      <c r="M2729" s="8">
        <v>520</v>
      </c>
      <c r="N2729" s="8" t="s">
        <v>28</v>
      </c>
      <c r="O2729" s="8">
        <v>148</v>
      </c>
      <c r="P2729" s="8" t="s">
        <v>11881</v>
      </c>
      <c r="Q2729" s="8" t="s">
        <v>4262</v>
      </c>
      <c r="R2729" s="8">
        <v>0.217</v>
      </c>
      <c r="S2729" s="8">
        <v>38874769</v>
      </c>
      <c r="T2729" s="8" t="s">
        <v>24</v>
      </c>
      <c r="U2729" s="8" t="s">
        <v>25</v>
      </c>
    </row>
    <row r="2730" spans="1:21">
      <c r="A2730" s="8" t="s">
        <v>10349</v>
      </c>
      <c r="B2730" s="8" t="s">
        <v>11883</v>
      </c>
      <c r="C2730" s="8">
        <v>3620</v>
      </c>
      <c r="D2730" s="8" t="s">
        <v>279</v>
      </c>
      <c r="E2730" s="8">
        <v>39776359</v>
      </c>
      <c r="F2730" s="8">
        <v>39776359</v>
      </c>
      <c r="G2730" s="8" t="s">
        <v>46</v>
      </c>
      <c r="H2730" s="8" t="s">
        <v>41</v>
      </c>
      <c r="I2730" s="8" t="s">
        <v>23</v>
      </c>
      <c r="J2730" s="8" t="s">
        <v>11884</v>
      </c>
      <c r="K2730" s="8" t="s">
        <v>11886</v>
      </c>
      <c r="L2730" s="8" t="s">
        <v>19</v>
      </c>
      <c r="M2730" s="8">
        <v>443</v>
      </c>
      <c r="N2730" s="8" t="s">
        <v>1140</v>
      </c>
      <c r="O2730" s="8">
        <v>110</v>
      </c>
      <c r="P2730" s="8" t="s">
        <v>11885</v>
      </c>
      <c r="Q2730" s="8" t="s">
        <v>4262</v>
      </c>
      <c r="R2730" s="8">
        <v>0.14399999999999999</v>
      </c>
      <c r="S2730" s="8">
        <v>39776359</v>
      </c>
      <c r="T2730" s="8" t="s">
        <v>46</v>
      </c>
      <c r="U2730" s="8" t="s">
        <v>41</v>
      </c>
    </row>
    <row r="2731" spans="1:21">
      <c r="A2731" s="8" t="s">
        <v>10349</v>
      </c>
      <c r="B2731" s="8" t="s">
        <v>2794</v>
      </c>
      <c r="C2731" s="8">
        <v>5591</v>
      </c>
      <c r="D2731" s="8" t="s">
        <v>279</v>
      </c>
      <c r="E2731" s="8">
        <v>48801784</v>
      </c>
      <c r="F2731" s="8">
        <v>48801784</v>
      </c>
      <c r="G2731" s="8" t="s">
        <v>46</v>
      </c>
      <c r="H2731" s="8" t="s">
        <v>41</v>
      </c>
      <c r="I2731" s="8" t="s">
        <v>23</v>
      </c>
      <c r="J2731" s="8" t="s">
        <v>4747</v>
      </c>
      <c r="K2731" s="8" t="s">
        <v>4749</v>
      </c>
      <c r="L2731" s="8" t="s">
        <v>68</v>
      </c>
      <c r="M2731" s="8">
        <v>0</v>
      </c>
      <c r="N2731" s="8" t="s">
        <v>35</v>
      </c>
      <c r="O2731" s="8">
        <v>0</v>
      </c>
      <c r="P2731" s="8" t="s">
        <v>35</v>
      </c>
      <c r="Q2731" s="8" t="s">
        <v>4262</v>
      </c>
      <c r="R2731" s="8">
        <v>0.182</v>
      </c>
      <c r="S2731" s="8">
        <v>48801784</v>
      </c>
      <c r="T2731" s="8" t="s">
        <v>46</v>
      </c>
      <c r="U2731" s="8" t="s">
        <v>41</v>
      </c>
    </row>
    <row r="2732" spans="1:21">
      <c r="A2732" s="8" t="s">
        <v>10349</v>
      </c>
      <c r="B2732" s="8" t="s">
        <v>2794</v>
      </c>
      <c r="C2732" s="8">
        <v>5591</v>
      </c>
      <c r="D2732" s="8" t="s">
        <v>279</v>
      </c>
      <c r="E2732" s="8">
        <v>48817529</v>
      </c>
      <c r="F2732" s="8">
        <v>48817529</v>
      </c>
      <c r="G2732" s="8" t="s">
        <v>46</v>
      </c>
      <c r="H2732" s="8" t="s">
        <v>41</v>
      </c>
      <c r="I2732" s="8" t="s">
        <v>23</v>
      </c>
      <c r="J2732" s="8" t="s">
        <v>4747</v>
      </c>
      <c r="K2732" s="8" t="s">
        <v>4749</v>
      </c>
      <c r="L2732" s="8" t="s">
        <v>19</v>
      </c>
      <c r="M2732" s="8">
        <v>2999</v>
      </c>
      <c r="N2732" s="8" t="s">
        <v>2483</v>
      </c>
      <c r="O2732" s="8">
        <v>981</v>
      </c>
      <c r="P2732" s="8" t="s">
        <v>11887</v>
      </c>
      <c r="Q2732" s="8" t="s">
        <v>4262</v>
      </c>
      <c r="R2732" s="8">
        <v>0.42199999999999999</v>
      </c>
      <c r="S2732" s="8">
        <v>48817529</v>
      </c>
      <c r="T2732" s="8" t="s">
        <v>46</v>
      </c>
      <c r="U2732" s="8" t="s">
        <v>41</v>
      </c>
    </row>
    <row r="2733" spans="1:21">
      <c r="A2733" s="8" t="s">
        <v>10349</v>
      </c>
      <c r="B2733" s="8" t="s">
        <v>11888</v>
      </c>
      <c r="C2733" s="8">
        <v>6013</v>
      </c>
      <c r="D2733" s="8" t="s">
        <v>292</v>
      </c>
      <c r="E2733" s="8">
        <v>5335526</v>
      </c>
      <c r="F2733" s="8">
        <v>5335526</v>
      </c>
      <c r="G2733" s="8" t="s">
        <v>24</v>
      </c>
      <c r="H2733" s="8" t="s">
        <v>25</v>
      </c>
      <c r="I2733" s="8" t="s">
        <v>23</v>
      </c>
      <c r="J2733" s="8" t="s">
        <v>11889</v>
      </c>
      <c r="K2733" s="8" t="s">
        <v>11891</v>
      </c>
      <c r="L2733" s="8" t="s">
        <v>19</v>
      </c>
      <c r="M2733" s="8">
        <v>410</v>
      </c>
      <c r="N2733" s="8" t="s">
        <v>423</v>
      </c>
      <c r="O2733" s="8">
        <v>95</v>
      </c>
      <c r="P2733" s="8" t="s">
        <v>11890</v>
      </c>
      <c r="Q2733" s="8" t="s">
        <v>4262</v>
      </c>
      <c r="R2733" s="8">
        <v>0.13900000000000001</v>
      </c>
      <c r="S2733" s="8">
        <v>5335526</v>
      </c>
      <c r="T2733" s="8" t="s">
        <v>24</v>
      </c>
      <c r="U2733" s="8" t="s">
        <v>25</v>
      </c>
    </row>
    <row r="2734" spans="1:21">
      <c r="A2734" s="8" t="s">
        <v>10349</v>
      </c>
      <c r="B2734" s="8" t="s">
        <v>11892</v>
      </c>
      <c r="C2734" s="8">
        <v>140803</v>
      </c>
      <c r="D2734" s="8" t="s">
        <v>292</v>
      </c>
      <c r="E2734" s="8">
        <v>77397679</v>
      </c>
      <c r="F2734" s="8">
        <v>77397679</v>
      </c>
      <c r="G2734" s="8" t="s">
        <v>24</v>
      </c>
      <c r="H2734" s="8" t="s">
        <v>25</v>
      </c>
      <c r="I2734" s="8" t="s">
        <v>23</v>
      </c>
      <c r="J2734" s="8" t="s">
        <v>11893</v>
      </c>
      <c r="K2734" s="8" t="s">
        <v>11895</v>
      </c>
      <c r="L2734" s="8" t="s">
        <v>19</v>
      </c>
      <c r="M2734" s="8">
        <v>3067</v>
      </c>
      <c r="N2734" s="8" t="s">
        <v>423</v>
      </c>
      <c r="O2734" s="8">
        <v>999</v>
      </c>
      <c r="P2734" s="8" t="s">
        <v>11894</v>
      </c>
      <c r="Q2734" s="8" t="s">
        <v>4262</v>
      </c>
      <c r="R2734" s="8">
        <v>0.182</v>
      </c>
      <c r="S2734" s="8">
        <v>77397679</v>
      </c>
      <c r="T2734" s="8" t="s">
        <v>24</v>
      </c>
      <c r="U2734" s="8" t="s">
        <v>25</v>
      </c>
    </row>
    <row r="2735" spans="1:21">
      <c r="A2735" s="8" t="s">
        <v>10349</v>
      </c>
      <c r="B2735" s="8" t="s">
        <v>1877</v>
      </c>
      <c r="C2735" s="8">
        <v>158471</v>
      </c>
      <c r="D2735" s="8" t="s">
        <v>292</v>
      </c>
      <c r="E2735" s="8">
        <v>79318514</v>
      </c>
      <c r="F2735" s="8">
        <v>79318514</v>
      </c>
      <c r="G2735" s="8" t="s">
        <v>24</v>
      </c>
      <c r="H2735" s="8" t="s">
        <v>25</v>
      </c>
      <c r="I2735" s="8" t="s">
        <v>23</v>
      </c>
      <c r="J2735" s="8" t="s">
        <v>2812</v>
      </c>
      <c r="K2735" s="8" t="s">
        <v>11897</v>
      </c>
      <c r="L2735" s="8" t="s">
        <v>19</v>
      </c>
      <c r="M2735" s="8">
        <v>8139</v>
      </c>
      <c r="N2735" s="8" t="s">
        <v>333</v>
      </c>
      <c r="O2735" s="8">
        <v>2672</v>
      </c>
      <c r="P2735" s="8" t="s">
        <v>11896</v>
      </c>
      <c r="Q2735" s="8" t="s">
        <v>4262</v>
      </c>
      <c r="R2735" s="8">
        <v>0.32300000000000001</v>
      </c>
      <c r="S2735" s="8">
        <v>79318514</v>
      </c>
      <c r="T2735" s="8" t="s">
        <v>24</v>
      </c>
      <c r="U2735" s="8" t="s">
        <v>25</v>
      </c>
    </row>
    <row r="2736" spans="1:21">
      <c r="A2736" s="8" t="s">
        <v>10349</v>
      </c>
      <c r="B2736" s="8" t="s">
        <v>1877</v>
      </c>
      <c r="C2736" s="8">
        <v>158471</v>
      </c>
      <c r="D2736" s="8" t="s">
        <v>292</v>
      </c>
      <c r="E2736" s="8">
        <v>79326063</v>
      </c>
      <c r="F2736" s="8">
        <v>79326063</v>
      </c>
      <c r="G2736" s="8" t="s">
        <v>24</v>
      </c>
      <c r="H2736" s="8" t="s">
        <v>25</v>
      </c>
      <c r="I2736" s="8" t="s">
        <v>23</v>
      </c>
      <c r="J2736" s="8" t="s">
        <v>2812</v>
      </c>
      <c r="K2736" s="8" t="s">
        <v>11897</v>
      </c>
      <c r="L2736" s="8" t="s">
        <v>19</v>
      </c>
      <c r="M2736" s="8">
        <v>1251</v>
      </c>
      <c r="N2736" s="8" t="s">
        <v>1421</v>
      </c>
      <c r="O2736" s="8">
        <v>376</v>
      </c>
      <c r="P2736" s="8" t="s">
        <v>11898</v>
      </c>
      <c r="Q2736" s="8" t="s">
        <v>4262</v>
      </c>
      <c r="R2736" s="8">
        <v>0.27800000000000002</v>
      </c>
      <c r="S2736" s="8">
        <v>79326063</v>
      </c>
      <c r="T2736" s="8" t="s">
        <v>24</v>
      </c>
      <c r="U2736" s="8" t="s">
        <v>25</v>
      </c>
    </row>
    <row r="2737" spans="1:21">
      <c r="A2737" s="8" t="s">
        <v>10349</v>
      </c>
      <c r="B2737" s="8" t="s">
        <v>1877</v>
      </c>
      <c r="C2737" s="8">
        <v>158471</v>
      </c>
      <c r="D2737" s="8" t="s">
        <v>292</v>
      </c>
      <c r="E2737" s="8">
        <v>79438576</v>
      </c>
      <c r="F2737" s="8">
        <v>79438576</v>
      </c>
      <c r="G2737" s="8" t="s">
        <v>24</v>
      </c>
      <c r="H2737" s="8" t="s">
        <v>25</v>
      </c>
      <c r="I2737" s="8" t="s">
        <v>23</v>
      </c>
      <c r="J2737" s="8" t="s">
        <v>2812</v>
      </c>
      <c r="K2737" s="8" t="s">
        <v>11897</v>
      </c>
      <c r="L2737" s="8" t="s">
        <v>19</v>
      </c>
      <c r="M2737" s="8">
        <v>852</v>
      </c>
      <c r="N2737" s="8" t="s">
        <v>1421</v>
      </c>
      <c r="O2737" s="8">
        <v>243</v>
      </c>
      <c r="P2737" s="8" t="s">
        <v>11899</v>
      </c>
      <c r="Q2737" s="8" t="s">
        <v>4262</v>
      </c>
      <c r="R2737" s="8">
        <v>0.14299999999999999</v>
      </c>
      <c r="S2737" s="8">
        <v>79438576</v>
      </c>
      <c r="T2737" s="8" t="s">
        <v>24</v>
      </c>
      <c r="U2737" s="8" t="s">
        <v>25</v>
      </c>
    </row>
    <row r="2738" spans="1:21">
      <c r="A2738" s="8" t="s">
        <v>10349</v>
      </c>
      <c r="B2738" s="8" t="s">
        <v>11900</v>
      </c>
      <c r="C2738" s="8">
        <v>389763</v>
      </c>
      <c r="D2738" s="8" t="s">
        <v>292</v>
      </c>
      <c r="E2738" s="8">
        <v>84606026</v>
      </c>
      <c r="F2738" s="8">
        <v>84606026</v>
      </c>
      <c r="G2738" s="8" t="s">
        <v>46</v>
      </c>
      <c r="H2738" s="8" t="s">
        <v>41</v>
      </c>
      <c r="I2738" s="8" t="s">
        <v>23</v>
      </c>
      <c r="J2738" s="8" t="s">
        <v>11901</v>
      </c>
      <c r="K2738" s="8" t="s">
        <v>11903</v>
      </c>
      <c r="L2738" s="8" t="s">
        <v>19</v>
      </c>
      <c r="M2738" s="8">
        <v>688</v>
      </c>
      <c r="N2738" s="8" t="s">
        <v>333</v>
      </c>
      <c r="O2738" s="8">
        <v>214</v>
      </c>
      <c r="P2738" s="8" t="s">
        <v>11902</v>
      </c>
      <c r="Q2738" s="8" t="s">
        <v>4262</v>
      </c>
      <c r="R2738" s="8">
        <v>0.2</v>
      </c>
      <c r="S2738" s="8">
        <v>84606026</v>
      </c>
      <c r="T2738" s="8" t="s">
        <v>46</v>
      </c>
      <c r="U2738" s="8" t="s">
        <v>41</v>
      </c>
    </row>
    <row r="2739" spans="1:21">
      <c r="A2739" s="8" t="s">
        <v>10349</v>
      </c>
      <c r="B2739" s="8" t="s">
        <v>11900</v>
      </c>
      <c r="C2739" s="8">
        <v>389763</v>
      </c>
      <c r="D2739" s="8" t="s">
        <v>292</v>
      </c>
      <c r="E2739" s="8">
        <v>84609578</v>
      </c>
      <c r="F2739" s="8">
        <v>84609578</v>
      </c>
      <c r="G2739" s="8" t="s">
        <v>24</v>
      </c>
      <c r="H2739" s="8" t="s">
        <v>25</v>
      </c>
      <c r="I2739" s="8" t="s">
        <v>23</v>
      </c>
      <c r="J2739" s="8" t="s">
        <v>11901</v>
      </c>
      <c r="K2739" s="8" t="s">
        <v>11903</v>
      </c>
      <c r="L2739" s="8" t="s">
        <v>19</v>
      </c>
      <c r="M2739" s="8">
        <v>4240</v>
      </c>
      <c r="N2739" s="8" t="s">
        <v>1399</v>
      </c>
      <c r="O2739" s="8">
        <v>1398</v>
      </c>
      <c r="P2739" s="8" t="s">
        <v>11904</v>
      </c>
      <c r="Q2739" s="8" t="s">
        <v>4262</v>
      </c>
      <c r="R2739" s="8">
        <v>0.17799999999999999</v>
      </c>
      <c r="S2739" s="8">
        <v>84609578</v>
      </c>
      <c r="T2739" s="8" t="s">
        <v>24</v>
      </c>
      <c r="U2739" s="8" t="s">
        <v>25</v>
      </c>
    </row>
    <row r="2740" spans="1:21">
      <c r="A2740" s="8" t="s">
        <v>10349</v>
      </c>
      <c r="B2740" s="8" t="s">
        <v>11905</v>
      </c>
      <c r="C2740" s="8">
        <v>4915</v>
      </c>
      <c r="D2740" s="8" t="s">
        <v>292</v>
      </c>
      <c r="E2740" s="8">
        <v>87322758</v>
      </c>
      <c r="F2740" s="8">
        <v>87322758</v>
      </c>
      <c r="G2740" s="8" t="s">
        <v>24</v>
      </c>
      <c r="H2740" s="8" t="s">
        <v>25</v>
      </c>
      <c r="I2740" s="8" t="s">
        <v>23</v>
      </c>
      <c r="J2740" s="8" t="s">
        <v>11906</v>
      </c>
      <c r="K2740" s="8" t="s">
        <v>11907</v>
      </c>
      <c r="L2740" s="8" t="s">
        <v>68</v>
      </c>
      <c r="M2740" s="8">
        <v>0</v>
      </c>
      <c r="N2740" s="8" t="s">
        <v>35</v>
      </c>
      <c r="O2740" s="8">
        <v>0</v>
      </c>
      <c r="P2740" s="8" t="s">
        <v>35</v>
      </c>
      <c r="Q2740" s="8" t="s">
        <v>4262</v>
      </c>
      <c r="R2740" s="8">
        <v>0.191</v>
      </c>
      <c r="S2740" s="8">
        <v>87322758</v>
      </c>
      <c r="T2740" s="8" t="s">
        <v>24</v>
      </c>
      <c r="U2740" s="8" t="s">
        <v>25</v>
      </c>
    </row>
    <row r="2741" spans="1:21">
      <c r="A2741" s="8" t="s">
        <v>10349</v>
      </c>
      <c r="B2741" s="8" t="s">
        <v>2813</v>
      </c>
      <c r="C2741" s="8">
        <v>1761</v>
      </c>
      <c r="D2741" s="8" t="s">
        <v>292</v>
      </c>
      <c r="E2741" s="8">
        <v>916842</v>
      </c>
      <c r="F2741" s="8">
        <v>916842</v>
      </c>
      <c r="G2741" s="8" t="s">
        <v>24</v>
      </c>
      <c r="H2741" s="8" t="s">
        <v>25</v>
      </c>
      <c r="I2741" s="8" t="s">
        <v>23</v>
      </c>
      <c r="J2741" s="8" t="s">
        <v>2814</v>
      </c>
      <c r="K2741" s="8" t="s">
        <v>11909</v>
      </c>
      <c r="L2741" s="8" t="s">
        <v>19</v>
      </c>
      <c r="M2741" s="8">
        <v>1051</v>
      </c>
      <c r="N2741" s="8" t="s">
        <v>205</v>
      </c>
      <c r="O2741" s="8">
        <v>301</v>
      </c>
      <c r="P2741" s="8" t="s">
        <v>11908</v>
      </c>
      <c r="Q2741" s="8" t="s">
        <v>4262</v>
      </c>
      <c r="R2741" s="8">
        <v>0.20699999999999999</v>
      </c>
      <c r="S2741" s="8">
        <v>916842</v>
      </c>
      <c r="T2741" s="8" t="s">
        <v>24</v>
      </c>
      <c r="U2741" s="8" t="s">
        <v>25</v>
      </c>
    </row>
    <row r="2742" spans="1:21">
      <c r="A2742" s="8" t="s">
        <v>10349</v>
      </c>
      <c r="B2742" s="8" t="s">
        <v>4040</v>
      </c>
      <c r="C2742" s="8">
        <v>1612</v>
      </c>
      <c r="D2742" s="8" t="s">
        <v>292</v>
      </c>
      <c r="E2742" s="8">
        <v>90261406</v>
      </c>
      <c r="F2742" s="8">
        <v>90261406</v>
      </c>
      <c r="G2742" s="8" t="s">
        <v>24</v>
      </c>
      <c r="H2742" s="8" t="s">
        <v>25</v>
      </c>
      <c r="I2742" s="8" t="s">
        <v>23</v>
      </c>
      <c r="J2742" s="8" t="s">
        <v>11910</v>
      </c>
      <c r="K2742" s="8" t="s">
        <v>11912</v>
      </c>
      <c r="L2742" s="8" t="s">
        <v>19</v>
      </c>
      <c r="M2742" s="8">
        <v>1537</v>
      </c>
      <c r="N2742" s="8" t="s">
        <v>536</v>
      </c>
      <c r="O2742" s="8">
        <v>388</v>
      </c>
      <c r="P2742" s="8" t="s">
        <v>11911</v>
      </c>
      <c r="Q2742" s="8" t="s">
        <v>4262</v>
      </c>
      <c r="R2742" s="8">
        <v>0.188</v>
      </c>
      <c r="S2742" s="8">
        <v>90261406</v>
      </c>
      <c r="T2742" s="8" t="s">
        <v>24</v>
      </c>
      <c r="U2742" s="8" t="s">
        <v>25</v>
      </c>
    </row>
    <row r="2743" spans="1:21">
      <c r="A2743" s="8" t="s">
        <v>10349</v>
      </c>
      <c r="B2743" s="8" t="s">
        <v>9034</v>
      </c>
      <c r="C2743" s="8">
        <v>65268</v>
      </c>
      <c r="D2743" s="8" t="s">
        <v>292</v>
      </c>
      <c r="E2743" s="8">
        <v>96009867</v>
      </c>
      <c r="F2743" s="8">
        <v>96009867</v>
      </c>
      <c r="G2743" s="8" t="s">
        <v>24</v>
      </c>
      <c r="H2743" s="8" t="s">
        <v>25</v>
      </c>
      <c r="I2743" s="8" t="s">
        <v>23</v>
      </c>
      <c r="J2743" s="8" t="s">
        <v>9035</v>
      </c>
      <c r="K2743" s="8" t="s">
        <v>9037</v>
      </c>
      <c r="L2743" s="8" t="s">
        <v>19</v>
      </c>
      <c r="M2743" s="8">
        <v>1585</v>
      </c>
      <c r="N2743" s="8" t="s">
        <v>155</v>
      </c>
      <c r="O2743" s="8">
        <v>529</v>
      </c>
      <c r="P2743" s="8" t="s">
        <v>11913</v>
      </c>
      <c r="Q2743" s="8" t="s">
        <v>4262</v>
      </c>
      <c r="R2743" s="8">
        <v>0.24199999999999999</v>
      </c>
      <c r="S2743" s="8">
        <v>96009867</v>
      </c>
      <c r="T2743" s="8" t="s">
        <v>24</v>
      </c>
      <c r="U2743" s="8" t="s">
        <v>25</v>
      </c>
    </row>
    <row r="2744" spans="1:21">
      <c r="A2744" s="8" t="s">
        <v>10349</v>
      </c>
      <c r="B2744" s="8" t="s">
        <v>11914</v>
      </c>
      <c r="C2744" s="8">
        <v>392376</v>
      </c>
      <c r="D2744" s="8" t="s">
        <v>292</v>
      </c>
      <c r="E2744" s="8">
        <v>107367619</v>
      </c>
      <c r="F2744" s="8">
        <v>107367619</v>
      </c>
      <c r="G2744" s="8" t="s">
        <v>46</v>
      </c>
      <c r="H2744" s="8" t="s">
        <v>41</v>
      </c>
      <c r="I2744" s="8" t="s">
        <v>23</v>
      </c>
      <c r="J2744" s="8" t="s">
        <v>11915</v>
      </c>
      <c r="K2744" s="8" t="s">
        <v>11917</v>
      </c>
      <c r="L2744" s="8" t="s">
        <v>19</v>
      </c>
      <c r="M2744" s="8">
        <v>290</v>
      </c>
      <c r="N2744" s="8" t="s">
        <v>618</v>
      </c>
      <c r="O2744" s="8">
        <v>97</v>
      </c>
      <c r="P2744" s="8" t="s">
        <v>11916</v>
      </c>
      <c r="Q2744" s="8" t="s">
        <v>4262</v>
      </c>
      <c r="R2744" s="8">
        <v>0.28199999999999997</v>
      </c>
      <c r="S2744" s="8">
        <v>107367619</v>
      </c>
      <c r="T2744" s="8" t="s">
        <v>46</v>
      </c>
      <c r="U2744" s="8" t="s">
        <v>41</v>
      </c>
    </row>
    <row r="2745" spans="1:21">
      <c r="A2745" s="8" t="s">
        <v>10349</v>
      </c>
      <c r="B2745" s="8" t="s">
        <v>11918</v>
      </c>
      <c r="C2745" s="8">
        <v>19</v>
      </c>
      <c r="D2745" s="8" t="s">
        <v>292</v>
      </c>
      <c r="E2745" s="8">
        <v>107549241</v>
      </c>
      <c r="F2745" s="8">
        <v>107549241</v>
      </c>
      <c r="G2745" s="8" t="s">
        <v>46</v>
      </c>
      <c r="H2745" s="8" t="s">
        <v>41</v>
      </c>
      <c r="I2745" s="8" t="s">
        <v>23</v>
      </c>
      <c r="J2745" s="8" t="s">
        <v>11919</v>
      </c>
      <c r="K2745" s="8" t="s">
        <v>11921</v>
      </c>
      <c r="L2745" s="8" t="s">
        <v>19</v>
      </c>
      <c r="M2745" s="8">
        <v>6625</v>
      </c>
      <c r="N2745" s="8" t="s">
        <v>205</v>
      </c>
      <c r="O2745" s="8">
        <v>2074</v>
      </c>
      <c r="P2745" s="8" t="s">
        <v>11920</v>
      </c>
      <c r="Q2745" s="8" t="s">
        <v>4262</v>
      </c>
      <c r="R2745" s="8">
        <v>0.27100000000000002</v>
      </c>
      <c r="S2745" s="8">
        <v>107549241</v>
      </c>
      <c r="T2745" s="8" t="s">
        <v>46</v>
      </c>
      <c r="U2745" s="8" t="s">
        <v>41</v>
      </c>
    </row>
    <row r="2746" spans="1:21">
      <c r="A2746" s="8" t="s">
        <v>10349</v>
      </c>
      <c r="B2746" s="8" t="s">
        <v>1977</v>
      </c>
      <c r="C2746" s="8">
        <v>54566</v>
      </c>
      <c r="D2746" s="8" t="s">
        <v>292</v>
      </c>
      <c r="E2746" s="8">
        <v>111970330</v>
      </c>
      <c r="F2746" s="8">
        <v>111970330</v>
      </c>
      <c r="G2746" s="8" t="s">
        <v>46</v>
      </c>
      <c r="H2746" s="8" t="s">
        <v>41</v>
      </c>
      <c r="I2746" s="8" t="s">
        <v>23</v>
      </c>
      <c r="J2746" s="8" t="s">
        <v>11922</v>
      </c>
      <c r="K2746" s="8" t="s">
        <v>11923</v>
      </c>
      <c r="L2746" s="8" t="s">
        <v>68</v>
      </c>
      <c r="M2746" s="8">
        <v>0</v>
      </c>
      <c r="N2746" s="8" t="s">
        <v>35</v>
      </c>
      <c r="O2746" s="8">
        <v>0</v>
      </c>
      <c r="P2746" s="8" t="s">
        <v>35</v>
      </c>
      <c r="Q2746" s="8" t="s">
        <v>4262</v>
      </c>
      <c r="R2746" s="8">
        <v>0.27100000000000002</v>
      </c>
      <c r="S2746" s="8">
        <v>111970330</v>
      </c>
      <c r="T2746" s="8" t="s">
        <v>46</v>
      </c>
      <c r="U2746" s="8" t="s">
        <v>41</v>
      </c>
    </row>
    <row r="2747" spans="1:21">
      <c r="A2747" s="8" t="s">
        <v>10349</v>
      </c>
      <c r="B2747" s="8" t="s">
        <v>9038</v>
      </c>
      <c r="C2747" s="8">
        <v>79987</v>
      </c>
      <c r="D2747" s="8" t="s">
        <v>292</v>
      </c>
      <c r="E2747" s="8">
        <v>113212441</v>
      </c>
      <c r="F2747" s="8">
        <v>113212441</v>
      </c>
      <c r="G2747" s="8" t="s">
        <v>24</v>
      </c>
      <c r="H2747" s="8" t="s">
        <v>25</v>
      </c>
      <c r="I2747" s="8" t="s">
        <v>23</v>
      </c>
      <c r="J2747" s="8" t="s">
        <v>9039</v>
      </c>
      <c r="K2747" s="8" t="s">
        <v>9041</v>
      </c>
      <c r="L2747" s="8" t="s">
        <v>19</v>
      </c>
      <c r="M2747" s="8">
        <v>4338</v>
      </c>
      <c r="N2747" s="8" t="s">
        <v>522</v>
      </c>
      <c r="O2747" s="8">
        <v>1334</v>
      </c>
      <c r="P2747" s="8" t="s">
        <v>11924</v>
      </c>
      <c r="Q2747" s="8" t="s">
        <v>4262</v>
      </c>
      <c r="R2747" s="8">
        <v>0.21</v>
      </c>
      <c r="S2747" s="8">
        <v>113212441</v>
      </c>
      <c r="T2747" s="8" t="s">
        <v>24</v>
      </c>
      <c r="U2747" s="8" t="s">
        <v>25</v>
      </c>
    </row>
    <row r="2748" spans="1:21">
      <c r="A2748" s="8" t="s">
        <v>10349</v>
      </c>
      <c r="B2748" s="8" t="s">
        <v>817</v>
      </c>
      <c r="C2748" s="8">
        <v>23245</v>
      </c>
      <c r="D2748" s="8" t="s">
        <v>292</v>
      </c>
      <c r="E2748" s="8">
        <v>119802119</v>
      </c>
      <c r="F2748" s="8">
        <v>119802119</v>
      </c>
      <c r="G2748" s="8" t="s">
        <v>24</v>
      </c>
      <c r="H2748" s="8" t="s">
        <v>25</v>
      </c>
      <c r="I2748" s="8" t="s">
        <v>23</v>
      </c>
      <c r="J2748" s="8" t="s">
        <v>818</v>
      </c>
      <c r="K2748" s="8" t="s">
        <v>11926</v>
      </c>
      <c r="L2748" s="8" t="s">
        <v>19</v>
      </c>
      <c r="M2748" s="8">
        <v>1350</v>
      </c>
      <c r="N2748" s="8" t="s">
        <v>2400</v>
      </c>
      <c r="O2748" s="8">
        <v>417</v>
      </c>
      <c r="P2748" s="8" t="s">
        <v>11925</v>
      </c>
      <c r="Q2748" s="8" t="s">
        <v>4262</v>
      </c>
      <c r="R2748" s="8">
        <v>0.4</v>
      </c>
      <c r="S2748" s="8">
        <v>119802119</v>
      </c>
      <c r="T2748" s="8" t="s">
        <v>24</v>
      </c>
      <c r="U2748" s="8" t="s">
        <v>25</v>
      </c>
    </row>
    <row r="2749" spans="1:21">
      <c r="A2749" s="8" t="s">
        <v>10349</v>
      </c>
      <c r="B2749" s="8" t="s">
        <v>11927</v>
      </c>
      <c r="C2749" s="8">
        <v>7099</v>
      </c>
      <c r="D2749" s="8" t="s">
        <v>292</v>
      </c>
      <c r="E2749" s="8">
        <v>120475470</v>
      </c>
      <c r="F2749" s="8">
        <v>120475470</v>
      </c>
      <c r="G2749" s="8" t="s">
        <v>24</v>
      </c>
      <c r="H2749" s="8" t="s">
        <v>25</v>
      </c>
      <c r="I2749" s="8" t="s">
        <v>23</v>
      </c>
      <c r="J2749" s="8" t="s">
        <v>11928</v>
      </c>
      <c r="K2749" s="8" t="s">
        <v>11930</v>
      </c>
      <c r="L2749" s="8" t="s">
        <v>19</v>
      </c>
      <c r="M2749" s="8">
        <v>1355</v>
      </c>
      <c r="N2749" s="8" t="s">
        <v>2483</v>
      </c>
      <c r="O2749" s="8">
        <v>355</v>
      </c>
      <c r="P2749" s="8" t="s">
        <v>11929</v>
      </c>
      <c r="Q2749" s="8" t="s">
        <v>4262</v>
      </c>
      <c r="R2749" s="8">
        <v>0.22500000000000001</v>
      </c>
      <c r="S2749" s="8">
        <v>120475470</v>
      </c>
      <c r="T2749" s="8" t="s">
        <v>24</v>
      </c>
      <c r="U2749" s="8" t="s">
        <v>25</v>
      </c>
    </row>
    <row r="2750" spans="1:21">
      <c r="A2750" s="8" t="s">
        <v>10349</v>
      </c>
      <c r="B2750" s="8" t="s">
        <v>11931</v>
      </c>
      <c r="C2750" s="8">
        <v>26190</v>
      </c>
      <c r="D2750" s="8" t="s">
        <v>292</v>
      </c>
      <c r="E2750" s="8">
        <v>123538380</v>
      </c>
      <c r="F2750" s="8">
        <v>123538380</v>
      </c>
      <c r="G2750" s="8" t="s">
        <v>46</v>
      </c>
      <c r="H2750" s="8" t="s">
        <v>41</v>
      </c>
      <c r="I2750" s="8" t="s">
        <v>23</v>
      </c>
      <c r="J2750" s="8" t="s">
        <v>11932</v>
      </c>
      <c r="K2750" s="8" t="s">
        <v>11934</v>
      </c>
      <c r="L2750" s="8" t="s">
        <v>76</v>
      </c>
      <c r="M2750" s="8">
        <v>1048</v>
      </c>
      <c r="N2750" s="8" t="s">
        <v>716</v>
      </c>
      <c r="O2750" s="8">
        <v>270</v>
      </c>
      <c r="P2750" s="8" t="s">
        <v>11933</v>
      </c>
      <c r="Q2750" s="8" t="s">
        <v>4262</v>
      </c>
      <c r="R2750" s="8">
        <v>0.20499999999999999</v>
      </c>
      <c r="S2750" s="8">
        <v>123538380</v>
      </c>
      <c r="T2750" s="8" t="s">
        <v>46</v>
      </c>
      <c r="U2750" s="8" t="s">
        <v>41</v>
      </c>
    </row>
    <row r="2751" spans="1:21">
      <c r="A2751" s="8" t="s">
        <v>10349</v>
      </c>
      <c r="B2751" s="8" t="s">
        <v>2804</v>
      </c>
      <c r="C2751" s="8">
        <v>11064</v>
      </c>
      <c r="D2751" s="8" t="s">
        <v>292</v>
      </c>
      <c r="E2751" s="8">
        <v>123903055</v>
      </c>
      <c r="F2751" s="8">
        <v>123903055</v>
      </c>
      <c r="G2751" s="8" t="s">
        <v>24</v>
      </c>
      <c r="H2751" s="8" t="s">
        <v>25</v>
      </c>
      <c r="I2751" s="8" t="s">
        <v>23</v>
      </c>
      <c r="J2751" s="8" t="s">
        <v>2805</v>
      </c>
      <c r="K2751" s="8" t="s">
        <v>11936</v>
      </c>
      <c r="L2751" s="8" t="s">
        <v>19</v>
      </c>
      <c r="M2751" s="8">
        <v>2505</v>
      </c>
      <c r="N2751" s="8" t="s">
        <v>1399</v>
      </c>
      <c r="O2751" s="8">
        <v>825</v>
      </c>
      <c r="P2751" s="8" t="s">
        <v>11935</v>
      </c>
      <c r="Q2751" s="8" t="s">
        <v>4262</v>
      </c>
      <c r="R2751" s="8">
        <v>0.24099999999999999</v>
      </c>
      <c r="S2751" s="8">
        <v>123903055</v>
      </c>
      <c r="T2751" s="8" t="s">
        <v>24</v>
      </c>
      <c r="U2751" s="8" t="s">
        <v>25</v>
      </c>
    </row>
    <row r="2752" spans="1:21">
      <c r="A2752" s="8" t="s">
        <v>10349</v>
      </c>
      <c r="B2752" s="8" t="s">
        <v>11937</v>
      </c>
      <c r="C2752" s="8">
        <v>51552</v>
      </c>
      <c r="D2752" s="8" t="s">
        <v>292</v>
      </c>
      <c r="E2752" s="8">
        <v>123954503</v>
      </c>
      <c r="F2752" s="8">
        <v>123954503</v>
      </c>
      <c r="G2752" s="8" t="s">
        <v>46</v>
      </c>
      <c r="H2752" s="8" t="s">
        <v>41</v>
      </c>
      <c r="I2752" s="8" t="s">
        <v>23</v>
      </c>
      <c r="J2752" s="8" t="s">
        <v>11938</v>
      </c>
      <c r="K2752" s="8" t="s">
        <v>11939</v>
      </c>
      <c r="L2752" s="8" t="s">
        <v>68</v>
      </c>
      <c r="M2752" s="8">
        <v>0</v>
      </c>
      <c r="N2752" s="8" t="s">
        <v>35</v>
      </c>
      <c r="O2752" s="8">
        <v>0</v>
      </c>
      <c r="P2752" s="8" t="s">
        <v>35</v>
      </c>
      <c r="Q2752" s="8" t="s">
        <v>4262</v>
      </c>
      <c r="R2752" s="8">
        <v>0.23200000000000001</v>
      </c>
      <c r="S2752" s="8">
        <v>123954503</v>
      </c>
      <c r="T2752" s="8" t="s">
        <v>46</v>
      </c>
      <c r="U2752" s="8" t="s">
        <v>41</v>
      </c>
    </row>
    <row r="2753" spans="1:21">
      <c r="A2753" s="8" t="s">
        <v>10349</v>
      </c>
      <c r="B2753" s="8" t="s">
        <v>11940</v>
      </c>
      <c r="C2753" s="8">
        <v>26740</v>
      </c>
      <c r="D2753" s="8" t="s">
        <v>292</v>
      </c>
      <c r="E2753" s="8">
        <v>125273088</v>
      </c>
      <c r="F2753" s="8">
        <v>125273088</v>
      </c>
      <c r="G2753" s="8" t="s">
        <v>46</v>
      </c>
      <c r="H2753" s="8" t="s">
        <v>41</v>
      </c>
      <c r="I2753" s="8" t="s">
        <v>23</v>
      </c>
      <c r="J2753" s="8" t="s">
        <v>11941</v>
      </c>
      <c r="K2753" s="8" t="s">
        <v>11943</v>
      </c>
      <c r="L2753" s="8" t="s">
        <v>19</v>
      </c>
      <c r="M2753" s="8">
        <v>8</v>
      </c>
      <c r="N2753" s="8" t="s">
        <v>1140</v>
      </c>
      <c r="O2753" s="8">
        <v>3</v>
      </c>
      <c r="P2753" s="8" t="s">
        <v>11942</v>
      </c>
      <c r="Q2753" s="8" t="s">
        <v>4262</v>
      </c>
      <c r="R2753" s="8">
        <v>0.189</v>
      </c>
      <c r="S2753" s="8">
        <v>125273088</v>
      </c>
      <c r="T2753" s="8" t="s">
        <v>46</v>
      </c>
      <c r="U2753" s="8" t="s">
        <v>41</v>
      </c>
    </row>
    <row r="2754" spans="1:21">
      <c r="A2754" s="8" t="s">
        <v>10349</v>
      </c>
      <c r="B2754" s="8" t="s">
        <v>11944</v>
      </c>
      <c r="C2754" s="8">
        <v>23637</v>
      </c>
      <c r="D2754" s="8" t="s">
        <v>292</v>
      </c>
      <c r="E2754" s="8">
        <v>125835883</v>
      </c>
      <c r="F2754" s="8">
        <v>125835883</v>
      </c>
      <c r="G2754" s="8" t="s">
        <v>24</v>
      </c>
      <c r="H2754" s="8" t="s">
        <v>25</v>
      </c>
      <c r="I2754" s="8" t="s">
        <v>23</v>
      </c>
      <c r="J2754" s="8" t="s">
        <v>11945</v>
      </c>
      <c r="K2754" s="8" t="s">
        <v>11947</v>
      </c>
      <c r="L2754" s="8" t="s">
        <v>19</v>
      </c>
      <c r="M2754" s="8">
        <v>2170</v>
      </c>
      <c r="N2754" s="8" t="s">
        <v>1399</v>
      </c>
      <c r="O2754" s="8">
        <v>679</v>
      </c>
      <c r="P2754" s="8" t="s">
        <v>11946</v>
      </c>
      <c r="Q2754" s="8" t="s">
        <v>4262</v>
      </c>
      <c r="R2754" s="8">
        <v>0.14699999999999999</v>
      </c>
      <c r="S2754" s="8">
        <v>125835883</v>
      </c>
      <c r="T2754" s="8" t="s">
        <v>24</v>
      </c>
      <c r="U2754" s="8" t="s">
        <v>25</v>
      </c>
    </row>
    <row r="2755" spans="1:21">
      <c r="A2755" s="8" t="s">
        <v>10349</v>
      </c>
      <c r="B2755" s="8" t="s">
        <v>1880</v>
      </c>
      <c r="C2755" s="8">
        <v>79109</v>
      </c>
      <c r="D2755" s="8" t="s">
        <v>292</v>
      </c>
      <c r="E2755" s="8">
        <v>128434667</v>
      </c>
      <c r="F2755" s="8">
        <v>128434667</v>
      </c>
      <c r="G2755" s="8" t="s">
        <v>46</v>
      </c>
      <c r="H2755" s="8" t="s">
        <v>41</v>
      </c>
      <c r="I2755" s="8" t="s">
        <v>23</v>
      </c>
      <c r="J2755" s="8" t="s">
        <v>6917</v>
      </c>
      <c r="K2755" s="8" t="s">
        <v>6919</v>
      </c>
      <c r="L2755" s="8" t="s">
        <v>19</v>
      </c>
      <c r="M2755" s="8">
        <v>520</v>
      </c>
      <c r="N2755" s="8" t="s">
        <v>536</v>
      </c>
      <c r="O2755" s="8">
        <v>63</v>
      </c>
      <c r="P2755" s="8" t="s">
        <v>11948</v>
      </c>
      <c r="Q2755" s="8" t="s">
        <v>4262</v>
      </c>
      <c r="R2755" s="8">
        <v>0.182</v>
      </c>
      <c r="S2755" s="8">
        <v>128434667</v>
      </c>
      <c r="T2755" s="8" t="s">
        <v>46</v>
      </c>
      <c r="U2755" s="8" t="s">
        <v>41</v>
      </c>
    </row>
    <row r="2756" spans="1:21">
      <c r="A2756" s="8" t="s">
        <v>10349</v>
      </c>
      <c r="B2756" s="8" t="s">
        <v>11949</v>
      </c>
      <c r="C2756" s="8">
        <v>403341</v>
      </c>
      <c r="D2756" s="8" t="s">
        <v>292</v>
      </c>
      <c r="E2756" s="8">
        <v>129641776</v>
      </c>
      <c r="F2756" s="8">
        <v>129641776</v>
      </c>
      <c r="G2756" s="8" t="s">
        <v>24</v>
      </c>
      <c r="H2756" s="8" t="s">
        <v>25</v>
      </c>
      <c r="I2756" s="8" t="s">
        <v>23</v>
      </c>
      <c r="J2756" s="8" t="s">
        <v>11950</v>
      </c>
      <c r="K2756" s="8" t="s">
        <v>11952</v>
      </c>
      <c r="L2756" s="8" t="s">
        <v>19</v>
      </c>
      <c r="M2756" s="8">
        <v>183</v>
      </c>
      <c r="N2756" s="8" t="s">
        <v>1399</v>
      </c>
      <c r="O2756" s="8">
        <v>29</v>
      </c>
      <c r="P2756" s="8" t="s">
        <v>11951</v>
      </c>
      <c r="Q2756" s="8" t="s">
        <v>4262</v>
      </c>
      <c r="R2756" s="8">
        <v>0.223</v>
      </c>
      <c r="S2756" s="8">
        <v>129641776</v>
      </c>
      <c r="T2756" s="8" t="s">
        <v>24</v>
      </c>
      <c r="U2756" s="8" t="s">
        <v>25</v>
      </c>
    </row>
    <row r="2757" spans="1:21">
      <c r="A2757" s="8" t="s">
        <v>10349</v>
      </c>
      <c r="B2757" s="8" t="s">
        <v>11953</v>
      </c>
      <c r="C2757" s="8">
        <v>51148</v>
      </c>
      <c r="D2757" s="8" t="s">
        <v>292</v>
      </c>
      <c r="E2757" s="8">
        <v>131186546</v>
      </c>
      <c r="F2757" s="8">
        <v>131186546</v>
      </c>
      <c r="G2757" s="8" t="s">
        <v>46</v>
      </c>
      <c r="H2757" s="8" t="s">
        <v>41</v>
      </c>
      <c r="I2757" s="8" t="s">
        <v>23</v>
      </c>
      <c r="J2757" s="8" t="s">
        <v>11954</v>
      </c>
      <c r="K2757" s="8" t="s">
        <v>11956</v>
      </c>
      <c r="L2757" s="8" t="s">
        <v>19</v>
      </c>
      <c r="M2757" s="8">
        <v>954</v>
      </c>
      <c r="N2757" s="8" t="s">
        <v>2400</v>
      </c>
      <c r="O2757" s="8">
        <v>186</v>
      </c>
      <c r="P2757" s="8" t="s">
        <v>11955</v>
      </c>
      <c r="Q2757" s="8" t="s">
        <v>4262</v>
      </c>
      <c r="R2757" s="8">
        <v>0.25</v>
      </c>
      <c r="S2757" s="8">
        <v>131186546</v>
      </c>
      <c r="T2757" s="8" t="s">
        <v>46</v>
      </c>
      <c r="U2757" s="8" t="s">
        <v>41</v>
      </c>
    </row>
    <row r="2758" spans="1:21">
      <c r="A2758" s="8" t="s">
        <v>10349</v>
      </c>
      <c r="B2758" s="8" t="s">
        <v>2155</v>
      </c>
      <c r="C2758" s="8">
        <v>84726</v>
      </c>
      <c r="D2758" s="8" t="s">
        <v>292</v>
      </c>
      <c r="E2758" s="8">
        <v>134349873</v>
      </c>
      <c r="F2758" s="8">
        <v>134349873</v>
      </c>
      <c r="G2758" s="8" t="s">
        <v>24</v>
      </c>
      <c r="H2758" s="8" t="s">
        <v>25</v>
      </c>
      <c r="I2758" s="8" t="s">
        <v>23</v>
      </c>
      <c r="J2758" s="8" t="s">
        <v>2808</v>
      </c>
      <c r="K2758" s="8" t="s">
        <v>11958</v>
      </c>
      <c r="L2758" s="8" t="s">
        <v>19</v>
      </c>
      <c r="M2758" s="8">
        <v>2412</v>
      </c>
      <c r="N2758" s="8" t="s">
        <v>2483</v>
      </c>
      <c r="O2758" s="8">
        <v>786</v>
      </c>
      <c r="P2758" s="8" t="s">
        <v>11957</v>
      </c>
      <c r="Q2758" s="8" t="s">
        <v>4262</v>
      </c>
      <c r="R2758" s="8">
        <v>0.23499999999999999</v>
      </c>
      <c r="S2758" s="8">
        <v>134349873</v>
      </c>
      <c r="T2758" s="8" t="s">
        <v>24</v>
      </c>
      <c r="U2758" s="8" t="s">
        <v>25</v>
      </c>
    </row>
    <row r="2759" spans="1:21">
      <c r="A2759" s="8" t="s">
        <v>10349</v>
      </c>
      <c r="B2759" s="8" t="s">
        <v>2155</v>
      </c>
      <c r="C2759" s="8">
        <v>84726</v>
      </c>
      <c r="D2759" s="8" t="s">
        <v>292</v>
      </c>
      <c r="E2759" s="8">
        <v>134351831</v>
      </c>
      <c r="F2759" s="8">
        <v>134351831</v>
      </c>
      <c r="G2759" s="8" t="s">
        <v>24</v>
      </c>
      <c r="H2759" s="8" t="s">
        <v>25</v>
      </c>
      <c r="I2759" s="8" t="s">
        <v>23</v>
      </c>
      <c r="J2759" s="8" t="s">
        <v>2808</v>
      </c>
      <c r="K2759" s="8" t="s">
        <v>11958</v>
      </c>
      <c r="L2759" s="8" t="s">
        <v>19</v>
      </c>
      <c r="M2759" s="8">
        <v>4370</v>
      </c>
      <c r="N2759" s="8" t="s">
        <v>28</v>
      </c>
      <c r="O2759" s="8">
        <v>1439</v>
      </c>
      <c r="P2759" s="8" t="s">
        <v>11959</v>
      </c>
      <c r="Q2759" s="8" t="s">
        <v>4262</v>
      </c>
      <c r="R2759" s="8">
        <v>0.28999999999999998</v>
      </c>
      <c r="S2759" s="8">
        <v>134351831</v>
      </c>
      <c r="T2759" s="8" t="s">
        <v>24</v>
      </c>
      <c r="U2759" s="8" t="s">
        <v>25</v>
      </c>
    </row>
    <row r="2760" spans="1:21">
      <c r="A2760" s="8" t="s">
        <v>10349</v>
      </c>
      <c r="B2760" s="8" t="s">
        <v>2809</v>
      </c>
      <c r="C2760" s="8">
        <v>10585</v>
      </c>
      <c r="D2760" s="8" t="s">
        <v>292</v>
      </c>
      <c r="E2760" s="8">
        <v>134382820</v>
      </c>
      <c r="F2760" s="8">
        <v>134382820</v>
      </c>
      <c r="G2760" s="8" t="s">
        <v>24</v>
      </c>
      <c r="H2760" s="8" t="s">
        <v>25</v>
      </c>
      <c r="I2760" s="8" t="s">
        <v>23</v>
      </c>
      <c r="J2760" s="8" t="s">
        <v>11960</v>
      </c>
      <c r="K2760" s="8" t="s">
        <v>11962</v>
      </c>
      <c r="L2760" s="8" t="s">
        <v>19</v>
      </c>
      <c r="M2760" s="8">
        <v>548</v>
      </c>
      <c r="N2760" s="8" t="s">
        <v>21</v>
      </c>
      <c r="O2760" s="8">
        <v>116</v>
      </c>
      <c r="P2760" s="8" t="s">
        <v>11961</v>
      </c>
      <c r="Q2760" s="8" t="s">
        <v>4262</v>
      </c>
      <c r="R2760" s="8">
        <v>0.23100000000000001</v>
      </c>
      <c r="S2760" s="8">
        <v>134382820</v>
      </c>
      <c r="T2760" s="8" t="s">
        <v>24</v>
      </c>
      <c r="U2760" s="8" t="s">
        <v>25</v>
      </c>
    </row>
    <row r="2761" spans="1:21">
      <c r="A2761" s="8" t="s">
        <v>10349</v>
      </c>
      <c r="B2761" s="8" t="s">
        <v>11963</v>
      </c>
      <c r="C2761" s="8">
        <v>11253</v>
      </c>
      <c r="D2761" s="8" t="s">
        <v>292</v>
      </c>
      <c r="E2761" s="8">
        <v>139995606</v>
      </c>
      <c r="F2761" s="8">
        <v>139995606</v>
      </c>
      <c r="G2761" s="8" t="s">
        <v>24</v>
      </c>
      <c r="H2761" s="8" t="s">
        <v>41</v>
      </c>
      <c r="I2761" s="8" t="s">
        <v>23</v>
      </c>
      <c r="J2761" s="8" t="s">
        <v>11964</v>
      </c>
      <c r="K2761" s="8" t="s">
        <v>11965</v>
      </c>
      <c r="L2761" s="8" t="s">
        <v>68</v>
      </c>
      <c r="M2761" s="8">
        <v>0</v>
      </c>
      <c r="N2761" s="8" t="s">
        <v>35</v>
      </c>
      <c r="O2761" s="8">
        <v>0</v>
      </c>
      <c r="P2761" s="8" t="s">
        <v>35</v>
      </c>
      <c r="Q2761" s="8" t="s">
        <v>4262</v>
      </c>
      <c r="R2761" s="8">
        <v>0.27300000000000002</v>
      </c>
      <c r="S2761" s="8">
        <v>139995606</v>
      </c>
      <c r="T2761" s="8" t="s">
        <v>24</v>
      </c>
      <c r="U2761" s="8" t="s">
        <v>41</v>
      </c>
    </row>
    <row r="2762" spans="1:21">
      <c r="A2762" s="8" t="s">
        <v>10349</v>
      </c>
      <c r="B2762" s="8" t="s">
        <v>11966</v>
      </c>
      <c r="C2762" s="8">
        <v>340481</v>
      </c>
      <c r="D2762" s="8" t="s">
        <v>292</v>
      </c>
      <c r="E2762" s="8">
        <v>14640011</v>
      </c>
      <c r="F2762" s="8">
        <v>14640011</v>
      </c>
      <c r="G2762" s="8" t="s">
        <v>46</v>
      </c>
      <c r="H2762" s="8" t="s">
        <v>41</v>
      </c>
      <c r="I2762" s="8" t="s">
        <v>23</v>
      </c>
      <c r="J2762" s="8" t="s">
        <v>11967</v>
      </c>
      <c r="K2762" s="8" t="s">
        <v>11968</v>
      </c>
      <c r="L2762" s="8" t="s">
        <v>68</v>
      </c>
      <c r="M2762" s="8">
        <v>0</v>
      </c>
      <c r="N2762" s="8" t="s">
        <v>35</v>
      </c>
      <c r="O2762" s="8">
        <v>0</v>
      </c>
      <c r="P2762" s="8" t="s">
        <v>35</v>
      </c>
      <c r="Q2762" s="8" t="s">
        <v>4262</v>
      </c>
      <c r="R2762" s="8">
        <v>0.20799999999999999</v>
      </c>
      <c r="S2762" s="8">
        <v>14640011</v>
      </c>
      <c r="T2762" s="8" t="s">
        <v>46</v>
      </c>
      <c r="U2762" s="8" t="s">
        <v>41</v>
      </c>
    </row>
    <row r="2763" spans="1:21">
      <c r="A2763" s="8" t="s">
        <v>10349</v>
      </c>
      <c r="B2763" s="8" t="s">
        <v>2146</v>
      </c>
      <c r="C2763" s="8">
        <v>54796</v>
      </c>
      <c r="D2763" s="8" t="s">
        <v>292</v>
      </c>
      <c r="E2763" s="8">
        <v>16436988</v>
      </c>
      <c r="F2763" s="8">
        <v>16436988</v>
      </c>
      <c r="G2763" s="8" t="s">
        <v>46</v>
      </c>
      <c r="H2763" s="8" t="s">
        <v>41</v>
      </c>
      <c r="I2763" s="8" t="s">
        <v>23</v>
      </c>
      <c r="J2763" s="8" t="s">
        <v>11969</v>
      </c>
      <c r="K2763" s="8" t="s">
        <v>11971</v>
      </c>
      <c r="L2763" s="8" t="s">
        <v>19</v>
      </c>
      <c r="M2763" s="8">
        <v>1344</v>
      </c>
      <c r="N2763" s="8" t="s">
        <v>21</v>
      </c>
      <c r="O2763" s="8">
        <v>402</v>
      </c>
      <c r="P2763" s="8" t="s">
        <v>11970</v>
      </c>
      <c r="Q2763" s="8" t="s">
        <v>4262</v>
      </c>
      <c r="R2763" s="8">
        <v>0.16</v>
      </c>
      <c r="S2763" s="8">
        <v>16436988</v>
      </c>
      <c r="T2763" s="8" t="s">
        <v>46</v>
      </c>
      <c r="U2763" s="8" t="s">
        <v>41</v>
      </c>
    </row>
    <row r="2764" spans="1:21">
      <c r="A2764" s="8" t="s">
        <v>10349</v>
      </c>
      <c r="B2764" s="8" t="s">
        <v>2810</v>
      </c>
      <c r="C2764" s="8">
        <v>92949</v>
      </c>
      <c r="D2764" s="8" t="s">
        <v>292</v>
      </c>
      <c r="E2764" s="8">
        <v>18770748</v>
      </c>
      <c r="F2764" s="8">
        <v>18770748</v>
      </c>
      <c r="G2764" s="8" t="s">
        <v>46</v>
      </c>
      <c r="H2764" s="8" t="s">
        <v>41</v>
      </c>
      <c r="I2764" s="8" t="s">
        <v>23</v>
      </c>
      <c r="J2764" s="8" t="s">
        <v>2811</v>
      </c>
      <c r="K2764" s="8" t="s">
        <v>11972</v>
      </c>
      <c r="L2764" s="8" t="s">
        <v>19</v>
      </c>
      <c r="M2764" s="8">
        <v>2518</v>
      </c>
      <c r="N2764" s="8" t="s">
        <v>333</v>
      </c>
      <c r="O2764" s="8">
        <v>789</v>
      </c>
      <c r="P2764" s="8" t="s">
        <v>5673</v>
      </c>
      <c r="Q2764" s="8" t="s">
        <v>4262</v>
      </c>
      <c r="R2764" s="8">
        <v>0.152</v>
      </c>
      <c r="S2764" s="8">
        <v>18770748</v>
      </c>
      <c r="T2764" s="8" t="s">
        <v>46</v>
      </c>
      <c r="U2764" s="8" t="s">
        <v>41</v>
      </c>
    </row>
    <row r="2765" spans="1:21">
      <c r="A2765" s="8" t="s">
        <v>10349</v>
      </c>
      <c r="B2765" s="8" t="s">
        <v>2810</v>
      </c>
      <c r="C2765" s="8">
        <v>92949</v>
      </c>
      <c r="D2765" s="8" t="s">
        <v>292</v>
      </c>
      <c r="E2765" s="8">
        <v>18829844</v>
      </c>
      <c r="F2765" s="8">
        <v>18829844</v>
      </c>
      <c r="G2765" s="8" t="s">
        <v>46</v>
      </c>
      <c r="H2765" s="8" t="s">
        <v>41</v>
      </c>
      <c r="I2765" s="8" t="s">
        <v>23</v>
      </c>
      <c r="J2765" s="8" t="s">
        <v>2811</v>
      </c>
      <c r="K2765" s="8" t="s">
        <v>11972</v>
      </c>
      <c r="L2765" s="8" t="s">
        <v>19</v>
      </c>
      <c r="M2765" s="8">
        <v>4270</v>
      </c>
      <c r="N2765" s="8" t="s">
        <v>333</v>
      </c>
      <c r="O2765" s="8">
        <v>1373</v>
      </c>
      <c r="P2765" s="8" t="s">
        <v>11973</v>
      </c>
      <c r="Q2765" s="8" t="s">
        <v>4262</v>
      </c>
      <c r="R2765" s="8">
        <v>0.109</v>
      </c>
      <c r="S2765" s="8">
        <v>18829844</v>
      </c>
      <c r="T2765" s="8" t="s">
        <v>46</v>
      </c>
      <c r="U2765" s="8" t="s">
        <v>41</v>
      </c>
    </row>
    <row r="2766" spans="1:21">
      <c r="A2766" s="8" t="s">
        <v>10349</v>
      </c>
      <c r="B2766" s="8" t="s">
        <v>2278</v>
      </c>
      <c r="C2766" s="8">
        <v>81704</v>
      </c>
      <c r="D2766" s="8" t="s">
        <v>292</v>
      </c>
      <c r="E2766" s="8">
        <v>336617</v>
      </c>
      <c r="F2766" s="8">
        <v>336617</v>
      </c>
      <c r="G2766" s="8" t="s">
        <v>46</v>
      </c>
      <c r="H2766" s="8" t="s">
        <v>41</v>
      </c>
      <c r="I2766" s="8" t="s">
        <v>23</v>
      </c>
      <c r="J2766" s="8" t="s">
        <v>7420</v>
      </c>
      <c r="K2766" s="8" t="s">
        <v>7422</v>
      </c>
      <c r="L2766" s="8" t="s">
        <v>76</v>
      </c>
      <c r="M2766" s="8">
        <v>1433</v>
      </c>
      <c r="N2766" s="8" t="s">
        <v>2720</v>
      </c>
      <c r="O2766" s="8">
        <v>441</v>
      </c>
      <c r="P2766" s="8" t="s">
        <v>11064</v>
      </c>
      <c r="Q2766" s="8" t="s">
        <v>4262</v>
      </c>
      <c r="R2766" s="8">
        <v>0.2</v>
      </c>
      <c r="S2766" s="8">
        <v>336617</v>
      </c>
      <c r="T2766" s="8" t="s">
        <v>46</v>
      </c>
      <c r="U2766" s="8" t="s">
        <v>41</v>
      </c>
    </row>
    <row r="2767" spans="1:21">
      <c r="A2767" s="8" t="s">
        <v>10349</v>
      </c>
      <c r="B2767" s="8" t="s">
        <v>11974</v>
      </c>
      <c r="C2767" s="8">
        <v>138724</v>
      </c>
      <c r="D2767" s="8" t="s">
        <v>292</v>
      </c>
      <c r="E2767" s="8">
        <v>35043113</v>
      </c>
      <c r="F2767" s="8">
        <v>35043113</v>
      </c>
      <c r="G2767" s="8" t="s">
        <v>46</v>
      </c>
      <c r="H2767" s="8" t="s">
        <v>41</v>
      </c>
      <c r="I2767" s="8" t="s">
        <v>23</v>
      </c>
      <c r="J2767" s="8" t="s">
        <v>11975</v>
      </c>
      <c r="K2767" s="8" t="s">
        <v>11977</v>
      </c>
      <c r="L2767" s="8" t="s">
        <v>19</v>
      </c>
      <c r="M2767" s="8">
        <v>516</v>
      </c>
      <c r="N2767" s="8" t="s">
        <v>415</v>
      </c>
      <c r="O2767" s="8">
        <v>163</v>
      </c>
      <c r="P2767" s="8" t="s">
        <v>11976</v>
      </c>
      <c r="Q2767" s="8" t="s">
        <v>4262</v>
      </c>
      <c r="R2767" s="8">
        <v>0.159</v>
      </c>
      <c r="S2767" s="8">
        <v>35043113</v>
      </c>
      <c r="T2767" s="8" t="s">
        <v>46</v>
      </c>
      <c r="U2767" s="8" t="s">
        <v>41</v>
      </c>
    </row>
    <row r="2768" spans="1:21">
      <c r="A2768" s="8" t="s">
        <v>10349</v>
      </c>
      <c r="B2768" s="8" t="s">
        <v>11978</v>
      </c>
      <c r="C2768" s="8">
        <v>971</v>
      </c>
      <c r="D2768" s="8" t="s">
        <v>292</v>
      </c>
      <c r="E2768" s="8">
        <v>35616135</v>
      </c>
      <c r="F2768" s="8">
        <v>35616135</v>
      </c>
      <c r="G2768" s="8" t="s">
        <v>46</v>
      </c>
      <c r="H2768" s="8" t="s">
        <v>41</v>
      </c>
      <c r="I2768" s="8" t="s">
        <v>23</v>
      </c>
      <c r="J2768" s="8" t="s">
        <v>11979</v>
      </c>
      <c r="K2768" s="8" t="s">
        <v>11981</v>
      </c>
      <c r="L2768" s="8" t="s">
        <v>19</v>
      </c>
      <c r="M2768" s="8">
        <v>617</v>
      </c>
      <c r="N2768" s="8" t="s">
        <v>941</v>
      </c>
      <c r="O2768" s="8">
        <v>165</v>
      </c>
      <c r="P2768" s="8" t="s">
        <v>11980</v>
      </c>
      <c r="Q2768" s="8" t="s">
        <v>4262</v>
      </c>
      <c r="R2768" s="8">
        <v>0.14299999999999999</v>
      </c>
      <c r="S2768" s="8">
        <v>35616135</v>
      </c>
      <c r="T2768" s="8" t="s">
        <v>46</v>
      </c>
      <c r="U2768" s="8" t="s">
        <v>41</v>
      </c>
    </row>
    <row r="2769" spans="1:21">
      <c r="A2769" s="8" t="s">
        <v>10349</v>
      </c>
      <c r="B2769" s="8" t="s">
        <v>11982</v>
      </c>
      <c r="C2769" s="8">
        <v>9827</v>
      </c>
      <c r="D2769" s="8" t="s">
        <v>292</v>
      </c>
      <c r="E2769" s="8">
        <v>35750346</v>
      </c>
      <c r="F2769" s="8">
        <v>35750346</v>
      </c>
      <c r="G2769" s="8" t="s">
        <v>24</v>
      </c>
      <c r="H2769" s="8" t="s">
        <v>25</v>
      </c>
      <c r="I2769" s="8" t="s">
        <v>23</v>
      </c>
      <c r="J2769" s="8" t="s">
        <v>11983</v>
      </c>
      <c r="K2769" s="8" t="s">
        <v>11985</v>
      </c>
      <c r="L2769" s="8" t="s">
        <v>19</v>
      </c>
      <c r="M2769" s="8">
        <v>371</v>
      </c>
      <c r="N2769" s="8" t="s">
        <v>485</v>
      </c>
      <c r="O2769" s="8">
        <v>75</v>
      </c>
      <c r="P2769" s="8" t="s">
        <v>11984</v>
      </c>
      <c r="Q2769" s="8" t="s">
        <v>4262</v>
      </c>
      <c r="R2769" s="8">
        <v>0.17899999999999999</v>
      </c>
      <c r="S2769" s="8">
        <v>35750346</v>
      </c>
      <c r="T2769" s="8" t="s">
        <v>24</v>
      </c>
      <c r="U2769" s="8" t="s">
        <v>25</v>
      </c>
    </row>
    <row r="2770" spans="1:21">
      <c r="A2770" s="8" t="s">
        <v>10349</v>
      </c>
      <c r="B2770" s="8" t="s">
        <v>11986</v>
      </c>
      <c r="C2770" s="8">
        <v>64425</v>
      </c>
      <c r="D2770" s="8" t="s">
        <v>292</v>
      </c>
      <c r="E2770" s="8">
        <v>37486699</v>
      </c>
      <c r="F2770" s="8">
        <v>37486699</v>
      </c>
      <c r="G2770" s="8" t="s">
        <v>24</v>
      </c>
      <c r="H2770" s="8" t="s">
        <v>25</v>
      </c>
      <c r="I2770" s="8" t="s">
        <v>23</v>
      </c>
      <c r="J2770" s="8" t="s">
        <v>11987</v>
      </c>
      <c r="K2770" s="8" t="s">
        <v>11988</v>
      </c>
      <c r="L2770" s="8" t="s">
        <v>68</v>
      </c>
      <c r="M2770" s="8">
        <v>0</v>
      </c>
      <c r="N2770" s="8" t="s">
        <v>35</v>
      </c>
      <c r="O2770" s="8">
        <v>0</v>
      </c>
      <c r="P2770" s="8" t="s">
        <v>35</v>
      </c>
      <c r="Q2770" s="8" t="s">
        <v>4262</v>
      </c>
      <c r="R2770" s="8">
        <v>0.161</v>
      </c>
      <c r="S2770" s="8">
        <v>37486699</v>
      </c>
      <c r="T2770" s="8" t="s">
        <v>24</v>
      </c>
      <c r="U2770" s="8" t="s">
        <v>25</v>
      </c>
    </row>
    <row r="2771" spans="1:21">
      <c r="A2771" s="8" t="s">
        <v>10349</v>
      </c>
      <c r="B2771" s="8" t="s">
        <v>6931</v>
      </c>
      <c r="C2771" s="8">
        <v>22844</v>
      </c>
      <c r="D2771" s="8" t="s">
        <v>292</v>
      </c>
      <c r="E2771" s="8">
        <v>37744889</v>
      </c>
      <c r="F2771" s="8">
        <v>37744889</v>
      </c>
      <c r="G2771" s="8" t="s">
        <v>24</v>
      </c>
      <c r="H2771" s="8" t="s">
        <v>25</v>
      </c>
      <c r="I2771" s="8" t="s">
        <v>23</v>
      </c>
      <c r="J2771" s="8" t="s">
        <v>6932</v>
      </c>
      <c r="K2771" s="8" t="s">
        <v>6934</v>
      </c>
      <c r="L2771" s="8" t="s">
        <v>19</v>
      </c>
      <c r="M2771" s="8">
        <v>2904</v>
      </c>
      <c r="N2771" s="8" t="s">
        <v>166</v>
      </c>
      <c r="O2771" s="8">
        <v>954</v>
      </c>
      <c r="P2771" s="8" t="s">
        <v>11989</v>
      </c>
      <c r="Q2771" s="8" t="s">
        <v>4262</v>
      </c>
      <c r="R2771" s="8">
        <v>0.159</v>
      </c>
      <c r="S2771" s="8">
        <v>37744889</v>
      </c>
      <c r="T2771" s="8" t="s">
        <v>24</v>
      </c>
      <c r="U2771" s="8" t="s">
        <v>25</v>
      </c>
    </row>
    <row r="2772" spans="1:21">
      <c r="A2772" s="8" t="s">
        <v>10349</v>
      </c>
      <c r="B2772" s="8" t="s">
        <v>2278</v>
      </c>
      <c r="C2772" s="8">
        <v>81704</v>
      </c>
      <c r="D2772" s="8" t="s">
        <v>292</v>
      </c>
      <c r="E2772" s="8">
        <v>420489</v>
      </c>
      <c r="F2772" s="8">
        <v>420489</v>
      </c>
      <c r="G2772" s="8" t="s">
        <v>24</v>
      </c>
      <c r="H2772" s="8" t="s">
        <v>25</v>
      </c>
      <c r="I2772" s="8" t="s">
        <v>23</v>
      </c>
      <c r="J2772" s="8" t="s">
        <v>7420</v>
      </c>
      <c r="K2772" s="8" t="s">
        <v>7422</v>
      </c>
      <c r="L2772" s="8" t="s">
        <v>19</v>
      </c>
      <c r="M2772" s="8">
        <v>4041</v>
      </c>
      <c r="N2772" s="8" t="s">
        <v>708</v>
      </c>
      <c r="O2772" s="8">
        <v>1310</v>
      </c>
      <c r="P2772" s="8" t="s">
        <v>11990</v>
      </c>
      <c r="Q2772" s="8" t="s">
        <v>4262</v>
      </c>
      <c r="R2772" s="8">
        <v>0.17100000000000001</v>
      </c>
      <c r="S2772" s="8">
        <v>420489</v>
      </c>
      <c r="T2772" s="8" t="s">
        <v>24</v>
      </c>
      <c r="U2772" s="8" t="s">
        <v>25</v>
      </c>
    </row>
    <row r="2773" spans="1:21">
      <c r="A2773" s="8" t="s">
        <v>10349</v>
      </c>
      <c r="B2773" s="8" t="s">
        <v>11991</v>
      </c>
      <c r="C2773" s="8">
        <v>50808</v>
      </c>
      <c r="D2773" s="8" t="s">
        <v>292</v>
      </c>
      <c r="E2773" s="8">
        <v>4722505</v>
      </c>
      <c r="F2773" s="8">
        <v>4722505</v>
      </c>
      <c r="G2773" s="8" t="s">
        <v>46</v>
      </c>
      <c r="H2773" s="8" t="s">
        <v>41</v>
      </c>
      <c r="I2773" s="8" t="s">
        <v>23</v>
      </c>
      <c r="J2773" s="8" t="s">
        <v>11992</v>
      </c>
      <c r="K2773" s="8" t="s">
        <v>11993</v>
      </c>
      <c r="L2773" s="8" t="s">
        <v>68</v>
      </c>
      <c r="M2773" s="8">
        <v>0</v>
      </c>
      <c r="N2773" s="8" t="s">
        <v>35</v>
      </c>
      <c r="O2773" s="8">
        <v>0</v>
      </c>
      <c r="P2773" s="8" t="s">
        <v>35</v>
      </c>
      <c r="Q2773" s="8" t="s">
        <v>4262</v>
      </c>
      <c r="R2773" s="8">
        <v>0.25</v>
      </c>
      <c r="S2773" s="8">
        <v>4722505</v>
      </c>
      <c r="T2773" s="8" t="s">
        <v>46</v>
      </c>
      <c r="U2773" s="8" t="s">
        <v>41</v>
      </c>
    </row>
    <row r="2774" spans="1:21">
      <c r="A2774" s="8" t="s">
        <v>10349</v>
      </c>
      <c r="B2774" s="8" t="s">
        <v>4766</v>
      </c>
      <c r="C2774" s="8">
        <v>57705</v>
      </c>
      <c r="D2774" s="8" t="s">
        <v>69</v>
      </c>
      <c r="E2774" s="8">
        <v>50151466</v>
      </c>
      <c r="F2774" s="8">
        <v>50151466</v>
      </c>
      <c r="G2774" s="8" t="s">
        <v>46</v>
      </c>
      <c r="H2774" s="8" t="s">
        <v>41</v>
      </c>
      <c r="I2774" s="8" t="s">
        <v>23</v>
      </c>
      <c r="J2774" s="8" t="s">
        <v>4767</v>
      </c>
      <c r="K2774" s="8" t="s">
        <v>4769</v>
      </c>
      <c r="L2774" s="8" t="s">
        <v>19</v>
      </c>
      <c r="M2774" s="8">
        <v>7798</v>
      </c>
      <c r="N2774" s="8" t="s">
        <v>333</v>
      </c>
      <c r="O2774" s="8">
        <v>2574</v>
      </c>
      <c r="P2774" s="8" t="s">
        <v>11994</v>
      </c>
      <c r="Q2774" s="8" t="s">
        <v>4262</v>
      </c>
      <c r="R2774" s="8">
        <v>0.24</v>
      </c>
      <c r="S2774" s="8">
        <v>50151466</v>
      </c>
      <c r="T2774" s="8" t="s">
        <v>46</v>
      </c>
      <c r="U2774" s="8" t="s">
        <v>41</v>
      </c>
    </row>
    <row r="2775" spans="1:21">
      <c r="A2775" s="8" t="s">
        <v>10349</v>
      </c>
      <c r="B2775" s="8" t="s">
        <v>2445</v>
      </c>
      <c r="C2775" s="8">
        <v>118461</v>
      </c>
      <c r="D2775" s="8" t="s">
        <v>69</v>
      </c>
      <c r="E2775" s="8">
        <v>50531078</v>
      </c>
      <c r="F2775" s="8">
        <v>50531078</v>
      </c>
      <c r="G2775" s="8" t="s">
        <v>46</v>
      </c>
      <c r="H2775" s="8" t="s">
        <v>41</v>
      </c>
      <c r="I2775" s="8" t="s">
        <v>23</v>
      </c>
      <c r="J2775" s="8" t="s">
        <v>4339</v>
      </c>
      <c r="K2775" s="8" t="s">
        <v>4341</v>
      </c>
      <c r="L2775" s="8" t="s">
        <v>19</v>
      </c>
      <c r="M2775" s="8">
        <v>827</v>
      </c>
      <c r="N2775" s="8" t="s">
        <v>96</v>
      </c>
      <c r="O2775" s="8">
        <v>163</v>
      </c>
      <c r="P2775" s="8" t="s">
        <v>11995</v>
      </c>
      <c r="Q2775" s="8" t="s">
        <v>4262</v>
      </c>
      <c r="R2775" s="8">
        <v>0.152</v>
      </c>
      <c r="S2775" s="8">
        <v>50531078</v>
      </c>
      <c r="T2775" s="8" t="s">
        <v>46</v>
      </c>
      <c r="U2775" s="8" t="s">
        <v>41</v>
      </c>
    </row>
    <row r="2776" spans="1:21">
      <c r="A2776" s="8" t="s">
        <v>10349</v>
      </c>
      <c r="B2776" s="8" t="s">
        <v>2446</v>
      </c>
      <c r="C2776" s="8">
        <v>79861</v>
      </c>
      <c r="D2776" s="8" t="s">
        <v>69</v>
      </c>
      <c r="E2776" s="8">
        <v>5442998</v>
      </c>
      <c r="F2776" s="8">
        <v>5442998</v>
      </c>
      <c r="G2776" s="8" t="s">
        <v>24</v>
      </c>
      <c r="H2776" s="8" t="s">
        <v>25</v>
      </c>
      <c r="I2776" s="8" t="s">
        <v>23</v>
      </c>
      <c r="J2776" s="8" t="s">
        <v>2447</v>
      </c>
      <c r="K2776" s="8" t="s">
        <v>11997</v>
      </c>
      <c r="L2776" s="8" t="s">
        <v>19</v>
      </c>
      <c r="M2776" s="8">
        <v>94</v>
      </c>
      <c r="N2776" s="8" t="s">
        <v>1421</v>
      </c>
      <c r="O2776" s="8">
        <v>19</v>
      </c>
      <c r="P2776" s="8" t="s">
        <v>11996</v>
      </c>
      <c r="Q2776" s="8" t="s">
        <v>4262</v>
      </c>
      <c r="R2776" s="8">
        <v>0.22</v>
      </c>
      <c r="S2776" s="8">
        <v>5442998</v>
      </c>
      <c r="T2776" s="8" t="s">
        <v>24</v>
      </c>
      <c r="U2776" s="8" t="s">
        <v>25</v>
      </c>
    </row>
    <row r="2777" spans="1:21">
      <c r="A2777" s="8" t="s">
        <v>10349</v>
      </c>
      <c r="B2777" s="8" t="s">
        <v>554</v>
      </c>
      <c r="C2777" s="8">
        <v>65217</v>
      </c>
      <c r="D2777" s="8" t="s">
        <v>69</v>
      </c>
      <c r="E2777" s="8">
        <v>55581682</v>
      </c>
      <c r="F2777" s="8">
        <v>55581682</v>
      </c>
      <c r="G2777" s="8" t="s">
        <v>46</v>
      </c>
      <c r="H2777" s="8" t="s">
        <v>41</v>
      </c>
      <c r="I2777" s="8" t="s">
        <v>23</v>
      </c>
      <c r="J2777" s="8" t="s">
        <v>11998</v>
      </c>
      <c r="K2777" s="8" t="s">
        <v>12000</v>
      </c>
      <c r="L2777" s="8" t="s">
        <v>19</v>
      </c>
      <c r="M2777" s="8">
        <v>6220</v>
      </c>
      <c r="N2777" s="8" t="s">
        <v>1399</v>
      </c>
      <c r="O2777" s="8">
        <v>1942</v>
      </c>
      <c r="P2777" s="8" t="s">
        <v>11999</v>
      </c>
      <c r="Q2777" s="8" t="s">
        <v>4262</v>
      </c>
      <c r="R2777" s="8">
        <v>0.24399999999999999</v>
      </c>
      <c r="S2777" s="8">
        <v>55581682</v>
      </c>
      <c r="T2777" s="8" t="s">
        <v>46</v>
      </c>
      <c r="U2777" s="8" t="s">
        <v>41</v>
      </c>
    </row>
    <row r="2778" spans="1:21">
      <c r="A2778" s="8" t="s">
        <v>10349</v>
      </c>
      <c r="B2778" s="8" t="s">
        <v>554</v>
      </c>
      <c r="C2778" s="8">
        <v>65217</v>
      </c>
      <c r="D2778" s="8" t="s">
        <v>69</v>
      </c>
      <c r="E2778" s="8">
        <v>55782681</v>
      </c>
      <c r="F2778" s="8">
        <v>55782681</v>
      </c>
      <c r="G2778" s="8" t="s">
        <v>24</v>
      </c>
      <c r="H2778" s="8" t="s">
        <v>25</v>
      </c>
      <c r="I2778" s="8" t="s">
        <v>23</v>
      </c>
      <c r="J2778" s="8" t="s">
        <v>11998</v>
      </c>
      <c r="K2778" s="8" t="s">
        <v>12000</v>
      </c>
      <c r="L2778" s="8" t="s">
        <v>19</v>
      </c>
      <c r="M2778" s="8">
        <v>2907</v>
      </c>
      <c r="N2778" s="8" t="s">
        <v>423</v>
      </c>
      <c r="O2778" s="8">
        <v>838</v>
      </c>
      <c r="P2778" s="8" t="s">
        <v>12001</v>
      </c>
      <c r="Q2778" s="8" t="s">
        <v>4262</v>
      </c>
      <c r="R2778" s="8">
        <v>0.23899999999999999</v>
      </c>
      <c r="S2778" s="8">
        <v>55782681</v>
      </c>
      <c r="T2778" s="8" t="s">
        <v>24</v>
      </c>
      <c r="U2778" s="8" t="s">
        <v>25</v>
      </c>
    </row>
    <row r="2779" spans="1:21">
      <c r="A2779" s="8" t="s">
        <v>10349</v>
      </c>
      <c r="B2779" s="8" t="s">
        <v>647</v>
      </c>
      <c r="C2779" s="8">
        <v>288</v>
      </c>
      <c r="D2779" s="8" t="s">
        <v>69</v>
      </c>
      <c r="E2779" s="8">
        <v>61959962</v>
      </c>
      <c r="F2779" s="8">
        <v>61959962</v>
      </c>
      <c r="G2779" s="8" t="s">
        <v>46</v>
      </c>
      <c r="H2779" s="8" t="s">
        <v>41</v>
      </c>
      <c r="I2779" s="8" t="s">
        <v>23</v>
      </c>
      <c r="J2779" s="8" t="s">
        <v>12002</v>
      </c>
      <c r="K2779" s="8" t="s">
        <v>12004</v>
      </c>
      <c r="L2779" s="8" t="s">
        <v>19</v>
      </c>
      <c r="M2779" s="8">
        <v>1754</v>
      </c>
      <c r="N2779" s="8" t="s">
        <v>2439</v>
      </c>
      <c r="O2779" s="8">
        <v>472</v>
      </c>
      <c r="P2779" s="8" t="s">
        <v>12003</v>
      </c>
      <c r="Q2779" s="8" t="s">
        <v>4262</v>
      </c>
      <c r="R2779" s="8">
        <v>0.20799999999999999</v>
      </c>
      <c r="S2779" s="8">
        <v>61959962</v>
      </c>
      <c r="T2779" s="8" t="s">
        <v>46</v>
      </c>
      <c r="U2779" s="8" t="s">
        <v>41</v>
      </c>
    </row>
    <row r="2780" spans="1:21">
      <c r="A2780" s="8" t="s">
        <v>10349</v>
      </c>
      <c r="B2780" s="8" t="s">
        <v>12005</v>
      </c>
      <c r="C2780" s="8">
        <v>84665</v>
      </c>
      <c r="D2780" s="8" t="s">
        <v>69</v>
      </c>
      <c r="E2780" s="8">
        <v>69908201</v>
      </c>
      <c r="F2780" s="8">
        <v>69908201</v>
      </c>
      <c r="G2780" s="8" t="s">
        <v>46</v>
      </c>
      <c r="H2780" s="8" t="s">
        <v>41</v>
      </c>
      <c r="I2780" s="8" t="s">
        <v>23</v>
      </c>
      <c r="J2780" s="8" t="s">
        <v>12006</v>
      </c>
      <c r="K2780" s="8" t="s">
        <v>12008</v>
      </c>
      <c r="L2780" s="8" t="s">
        <v>19</v>
      </c>
      <c r="M2780" s="8">
        <v>1454</v>
      </c>
      <c r="N2780" s="8" t="s">
        <v>415</v>
      </c>
      <c r="O2780" s="8">
        <v>408</v>
      </c>
      <c r="P2780" s="8" t="s">
        <v>12007</v>
      </c>
      <c r="Q2780" s="8" t="s">
        <v>4262</v>
      </c>
      <c r="R2780" s="8">
        <v>0.35299999999999998</v>
      </c>
      <c r="S2780" s="8">
        <v>69908201</v>
      </c>
      <c r="T2780" s="8" t="s">
        <v>46</v>
      </c>
      <c r="U2780" s="8" t="s">
        <v>41</v>
      </c>
    </row>
    <row r="2781" spans="1:21">
      <c r="A2781" s="8" t="s">
        <v>10349</v>
      </c>
      <c r="B2781" s="8" t="s">
        <v>12009</v>
      </c>
      <c r="C2781" s="8">
        <v>80201</v>
      </c>
      <c r="D2781" s="8" t="s">
        <v>69</v>
      </c>
      <c r="E2781" s="8">
        <v>71010409</v>
      </c>
      <c r="F2781" s="8">
        <v>71010409</v>
      </c>
      <c r="G2781" s="8" t="s">
        <v>24</v>
      </c>
      <c r="H2781" s="8" t="s">
        <v>25</v>
      </c>
      <c r="I2781" s="8" t="s">
        <v>23</v>
      </c>
      <c r="J2781" s="8" t="s">
        <v>12010</v>
      </c>
      <c r="K2781" s="8" t="s">
        <v>12011</v>
      </c>
      <c r="L2781" s="8" t="s">
        <v>68</v>
      </c>
      <c r="M2781" s="8">
        <v>0</v>
      </c>
      <c r="N2781" s="8" t="s">
        <v>35</v>
      </c>
      <c r="O2781" s="8">
        <v>0</v>
      </c>
      <c r="P2781" s="8" t="s">
        <v>35</v>
      </c>
      <c r="Q2781" s="8" t="s">
        <v>4262</v>
      </c>
      <c r="R2781" s="8">
        <v>0.184</v>
      </c>
      <c r="S2781" s="8">
        <v>71010409</v>
      </c>
      <c r="T2781" s="8" t="s">
        <v>24</v>
      </c>
      <c r="U2781" s="8" t="s">
        <v>25</v>
      </c>
    </row>
    <row r="2782" spans="1:21">
      <c r="A2782" s="8" t="s">
        <v>10349</v>
      </c>
      <c r="B2782" s="8" t="s">
        <v>12012</v>
      </c>
      <c r="C2782" s="8">
        <v>79933</v>
      </c>
      <c r="D2782" s="8" t="s">
        <v>69</v>
      </c>
      <c r="E2782" s="8">
        <v>75413310</v>
      </c>
      <c r="F2782" s="8">
        <v>75413310</v>
      </c>
      <c r="G2782" s="8" t="s">
        <v>24</v>
      </c>
      <c r="H2782" s="8" t="s">
        <v>25</v>
      </c>
      <c r="I2782" s="8" t="s">
        <v>23</v>
      </c>
      <c r="J2782" s="8" t="s">
        <v>12013</v>
      </c>
      <c r="K2782" s="8" t="s">
        <v>12015</v>
      </c>
      <c r="L2782" s="8" t="s">
        <v>19</v>
      </c>
      <c r="M2782" s="8">
        <v>511</v>
      </c>
      <c r="N2782" s="8" t="s">
        <v>1140</v>
      </c>
      <c r="O2782" s="8">
        <v>120</v>
      </c>
      <c r="P2782" s="8" t="s">
        <v>12014</v>
      </c>
      <c r="Q2782" s="8" t="s">
        <v>4262</v>
      </c>
      <c r="R2782" s="8">
        <v>0.33300000000000002</v>
      </c>
      <c r="S2782" s="8">
        <v>75413310</v>
      </c>
      <c r="T2782" s="8" t="s">
        <v>24</v>
      </c>
      <c r="U2782" s="8" t="s">
        <v>25</v>
      </c>
    </row>
    <row r="2783" spans="1:21">
      <c r="A2783" s="8" t="s">
        <v>10349</v>
      </c>
      <c r="B2783" s="8" t="s">
        <v>2448</v>
      </c>
      <c r="C2783" s="8">
        <v>3778</v>
      </c>
      <c r="D2783" s="8" t="s">
        <v>69</v>
      </c>
      <c r="E2783" s="8">
        <v>78647080</v>
      </c>
      <c r="F2783" s="8">
        <v>78647080</v>
      </c>
      <c r="G2783" s="8" t="s">
        <v>24</v>
      </c>
      <c r="H2783" s="8" t="s">
        <v>25</v>
      </c>
      <c r="I2783" s="8" t="s">
        <v>23</v>
      </c>
      <c r="J2783" s="8" t="s">
        <v>12016</v>
      </c>
      <c r="K2783" s="8" t="s">
        <v>12018</v>
      </c>
      <c r="L2783" s="8" t="s">
        <v>19</v>
      </c>
      <c r="M2783" s="8">
        <v>3832</v>
      </c>
      <c r="N2783" s="8" t="s">
        <v>2400</v>
      </c>
      <c r="O2783" s="8">
        <v>1219</v>
      </c>
      <c r="P2783" s="8" t="s">
        <v>12017</v>
      </c>
      <c r="Q2783" s="8" t="s">
        <v>4262</v>
      </c>
      <c r="R2783" s="8">
        <v>0.17599999999999999</v>
      </c>
      <c r="S2783" s="8">
        <v>78647080</v>
      </c>
      <c r="T2783" s="8" t="s">
        <v>24</v>
      </c>
      <c r="U2783" s="8" t="s">
        <v>25</v>
      </c>
    </row>
    <row r="2784" spans="1:21">
      <c r="A2784" s="8" t="s">
        <v>10349</v>
      </c>
      <c r="B2784" s="8" t="s">
        <v>12019</v>
      </c>
      <c r="C2784" s="8">
        <v>340654</v>
      </c>
      <c r="D2784" s="8" t="s">
        <v>69</v>
      </c>
      <c r="E2784" s="8">
        <v>90576579</v>
      </c>
      <c r="F2784" s="8">
        <v>90576579</v>
      </c>
      <c r="G2784" s="8" t="s">
        <v>24</v>
      </c>
      <c r="H2784" s="8" t="s">
        <v>25</v>
      </c>
      <c r="I2784" s="8" t="s">
        <v>23</v>
      </c>
      <c r="J2784" s="8" t="s">
        <v>12020</v>
      </c>
      <c r="K2784" s="8" t="s">
        <v>12022</v>
      </c>
      <c r="L2784" s="8" t="s">
        <v>19</v>
      </c>
      <c r="M2784" s="8">
        <v>1032</v>
      </c>
      <c r="N2784" s="8" t="s">
        <v>1070</v>
      </c>
      <c r="O2784" s="8">
        <v>289</v>
      </c>
      <c r="P2784" s="8" t="s">
        <v>12021</v>
      </c>
      <c r="Q2784" s="8" t="s">
        <v>4262</v>
      </c>
      <c r="R2784" s="8">
        <v>0.222</v>
      </c>
      <c r="S2784" s="8">
        <v>90576579</v>
      </c>
      <c r="T2784" s="8" t="s">
        <v>24</v>
      </c>
      <c r="U2784" s="8" t="s">
        <v>25</v>
      </c>
    </row>
    <row r="2785" spans="1:21">
      <c r="A2785" s="8" t="s">
        <v>10349</v>
      </c>
      <c r="B2785" s="8" t="s">
        <v>12023</v>
      </c>
      <c r="C2785" s="8">
        <v>80351</v>
      </c>
      <c r="D2785" s="8" t="s">
        <v>69</v>
      </c>
      <c r="E2785" s="8">
        <v>93611046</v>
      </c>
      <c r="F2785" s="8">
        <v>93611046</v>
      </c>
      <c r="G2785" s="8" t="s">
        <v>24</v>
      </c>
      <c r="H2785" s="8" t="s">
        <v>25</v>
      </c>
      <c r="I2785" s="8" t="s">
        <v>23</v>
      </c>
      <c r="J2785" s="8" t="s">
        <v>12024</v>
      </c>
      <c r="K2785" s="8" t="s">
        <v>12026</v>
      </c>
      <c r="L2785" s="8" t="s">
        <v>19</v>
      </c>
      <c r="M2785" s="8">
        <v>3065</v>
      </c>
      <c r="N2785" s="8" t="s">
        <v>2483</v>
      </c>
      <c r="O2785" s="8">
        <v>923</v>
      </c>
      <c r="P2785" s="8" t="s">
        <v>12025</v>
      </c>
      <c r="Q2785" s="8" t="s">
        <v>4262</v>
      </c>
      <c r="R2785" s="8">
        <v>0.113</v>
      </c>
      <c r="S2785" s="8">
        <v>93611046</v>
      </c>
      <c r="T2785" s="8" t="s">
        <v>24</v>
      </c>
      <c r="U2785" s="8" t="s">
        <v>25</v>
      </c>
    </row>
    <row r="2786" spans="1:21">
      <c r="A2786" s="8" t="s">
        <v>10349</v>
      </c>
      <c r="B2786" s="8" t="s">
        <v>2449</v>
      </c>
      <c r="C2786" s="8">
        <v>26509</v>
      </c>
      <c r="D2786" s="8" t="s">
        <v>69</v>
      </c>
      <c r="E2786" s="8">
        <v>95079657</v>
      </c>
      <c r="F2786" s="8">
        <v>95079657</v>
      </c>
      <c r="G2786" s="8" t="s">
        <v>24</v>
      </c>
      <c r="H2786" s="8" t="s">
        <v>25</v>
      </c>
      <c r="I2786" s="8" t="s">
        <v>23</v>
      </c>
      <c r="J2786" s="8" t="s">
        <v>12027</v>
      </c>
      <c r="K2786" s="8" t="s">
        <v>12029</v>
      </c>
      <c r="L2786" s="8" t="s">
        <v>19</v>
      </c>
      <c r="M2786" s="8">
        <v>5693</v>
      </c>
      <c r="N2786" s="8" t="s">
        <v>1421</v>
      </c>
      <c r="O2786" s="8">
        <v>1857</v>
      </c>
      <c r="P2786" s="8" t="s">
        <v>12028</v>
      </c>
      <c r="Q2786" s="8" t="s">
        <v>4262</v>
      </c>
      <c r="R2786" s="8">
        <v>0.2</v>
      </c>
      <c r="S2786" s="8">
        <v>95079657</v>
      </c>
      <c r="T2786" s="8" t="s">
        <v>24</v>
      </c>
      <c r="U2786" s="8" t="s">
        <v>25</v>
      </c>
    </row>
    <row r="2787" spans="1:21">
      <c r="A2787" s="8" t="s">
        <v>10349</v>
      </c>
      <c r="B2787" s="8" t="s">
        <v>12030</v>
      </c>
      <c r="C2787" s="8">
        <v>9849</v>
      </c>
      <c r="D2787" s="8" t="s">
        <v>69</v>
      </c>
      <c r="E2787" s="8">
        <v>97917805</v>
      </c>
      <c r="F2787" s="8">
        <v>97917805</v>
      </c>
      <c r="G2787" s="8" t="s">
        <v>24</v>
      </c>
      <c r="H2787" s="8" t="s">
        <v>25</v>
      </c>
      <c r="I2787" s="8" t="s">
        <v>23</v>
      </c>
      <c r="J2787" s="8" t="s">
        <v>12031</v>
      </c>
      <c r="K2787" s="8" t="s">
        <v>12033</v>
      </c>
      <c r="L2787" s="8" t="s">
        <v>19</v>
      </c>
      <c r="M2787" s="8">
        <v>2583</v>
      </c>
      <c r="N2787" s="8" t="s">
        <v>1440</v>
      </c>
      <c r="O2787" s="8">
        <v>576</v>
      </c>
      <c r="P2787" s="8" t="s">
        <v>12032</v>
      </c>
      <c r="Q2787" s="8" t="s">
        <v>4262</v>
      </c>
      <c r="R2787" s="8">
        <v>0.13100000000000001</v>
      </c>
      <c r="S2787" s="8">
        <v>97917805</v>
      </c>
      <c r="T2787" s="8" t="s">
        <v>24</v>
      </c>
      <c r="U2787" s="8" t="s">
        <v>25</v>
      </c>
    </row>
    <row r="2788" spans="1:21">
      <c r="A2788" s="8" t="s">
        <v>10349</v>
      </c>
      <c r="B2788" s="8" t="s">
        <v>12034</v>
      </c>
      <c r="C2788" s="8">
        <v>26148</v>
      </c>
      <c r="D2788" s="8" t="s">
        <v>69</v>
      </c>
      <c r="E2788" s="8">
        <v>98742550</v>
      </c>
      <c r="F2788" s="8">
        <v>98742550</v>
      </c>
      <c r="G2788" s="8" t="s">
        <v>24</v>
      </c>
      <c r="H2788" s="8" t="s">
        <v>25</v>
      </c>
      <c r="I2788" s="8" t="s">
        <v>23</v>
      </c>
      <c r="J2788" s="8" t="s">
        <v>12035</v>
      </c>
      <c r="K2788" s="8" t="s">
        <v>12037</v>
      </c>
      <c r="L2788" s="8" t="s">
        <v>19</v>
      </c>
      <c r="M2788" s="8">
        <v>1510</v>
      </c>
      <c r="N2788" s="8" t="s">
        <v>796</v>
      </c>
      <c r="O2788" s="8">
        <v>468</v>
      </c>
      <c r="P2788" s="8" t="s">
        <v>12036</v>
      </c>
      <c r="Q2788" s="8" t="s">
        <v>4262</v>
      </c>
      <c r="R2788" s="8">
        <v>0.122</v>
      </c>
      <c r="S2788" s="8">
        <v>98742550</v>
      </c>
      <c r="T2788" s="8" t="s">
        <v>24</v>
      </c>
      <c r="U2788" s="8" t="s">
        <v>25</v>
      </c>
    </row>
    <row r="2789" spans="1:21">
      <c r="A2789" s="8" t="s">
        <v>10349</v>
      </c>
      <c r="B2789" s="8" t="s">
        <v>12038</v>
      </c>
      <c r="C2789" s="8">
        <v>84986</v>
      </c>
      <c r="D2789" s="8" t="s">
        <v>69</v>
      </c>
      <c r="E2789" s="8">
        <v>99025616</v>
      </c>
      <c r="F2789" s="8">
        <v>99025616</v>
      </c>
      <c r="G2789" s="8" t="s">
        <v>46</v>
      </c>
      <c r="H2789" s="8" t="s">
        <v>41</v>
      </c>
      <c r="I2789" s="8" t="s">
        <v>23</v>
      </c>
      <c r="J2789" s="8" t="s">
        <v>12039</v>
      </c>
      <c r="K2789" s="8" t="s">
        <v>12040</v>
      </c>
      <c r="L2789" s="8" t="s">
        <v>68</v>
      </c>
      <c r="M2789" s="8">
        <v>0</v>
      </c>
      <c r="N2789" s="8" t="s">
        <v>35</v>
      </c>
      <c r="O2789" s="8">
        <v>0</v>
      </c>
      <c r="P2789" s="8" t="s">
        <v>35</v>
      </c>
      <c r="Q2789" s="8" t="s">
        <v>4262</v>
      </c>
      <c r="R2789" s="8">
        <v>0.121</v>
      </c>
      <c r="S2789" s="8">
        <v>99025616</v>
      </c>
      <c r="T2789" s="8" t="s">
        <v>46</v>
      </c>
      <c r="U2789" s="8" t="s">
        <v>41</v>
      </c>
    </row>
    <row r="2790" spans="1:21">
      <c r="A2790" s="8" t="s">
        <v>10349</v>
      </c>
      <c r="B2790" s="8" t="s">
        <v>12041</v>
      </c>
      <c r="C2790" s="8">
        <v>55118</v>
      </c>
      <c r="D2790" s="8" t="s">
        <v>69</v>
      </c>
      <c r="E2790" s="8">
        <v>99664527</v>
      </c>
      <c r="F2790" s="8">
        <v>99664527</v>
      </c>
      <c r="G2790" s="8" t="s">
        <v>46</v>
      </c>
      <c r="H2790" s="8" t="s">
        <v>41</v>
      </c>
      <c r="I2790" s="8" t="s">
        <v>23</v>
      </c>
      <c r="J2790" s="8" t="s">
        <v>12042</v>
      </c>
      <c r="K2790" s="8" t="s">
        <v>12044</v>
      </c>
      <c r="L2790" s="8" t="s">
        <v>19</v>
      </c>
      <c r="M2790" s="8">
        <v>1074</v>
      </c>
      <c r="N2790" s="8" t="s">
        <v>485</v>
      </c>
      <c r="O2790" s="8">
        <v>299</v>
      </c>
      <c r="P2790" s="8" t="s">
        <v>12043</v>
      </c>
      <c r="Q2790" s="8" t="s">
        <v>4262</v>
      </c>
      <c r="R2790" s="8">
        <v>0.21099999999999999</v>
      </c>
      <c r="S2790" s="8">
        <v>99664527</v>
      </c>
      <c r="T2790" s="8" t="s">
        <v>46</v>
      </c>
      <c r="U2790" s="8" t="s">
        <v>41</v>
      </c>
    </row>
    <row r="2791" spans="1:21">
      <c r="A2791" s="8" t="s">
        <v>10349</v>
      </c>
      <c r="B2791" s="8" t="s">
        <v>2432</v>
      </c>
      <c r="C2791" s="8">
        <v>60495</v>
      </c>
      <c r="D2791" s="8" t="s">
        <v>69</v>
      </c>
      <c r="E2791" s="8">
        <v>100995492</v>
      </c>
      <c r="F2791" s="8">
        <v>100995492</v>
      </c>
      <c r="G2791" s="8" t="s">
        <v>24</v>
      </c>
      <c r="H2791" s="8" t="s">
        <v>25</v>
      </c>
      <c r="I2791" s="8" t="s">
        <v>23</v>
      </c>
      <c r="J2791" s="8" t="s">
        <v>12045</v>
      </c>
      <c r="K2791" s="8" t="s">
        <v>12047</v>
      </c>
      <c r="L2791" s="8" t="s">
        <v>19</v>
      </c>
      <c r="M2791" s="8">
        <v>141</v>
      </c>
      <c r="N2791" s="8" t="s">
        <v>1421</v>
      </c>
      <c r="O2791" s="8">
        <v>23</v>
      </c>
      <c r="P2791" s="8" t="s">
        <v>12046</v>
      </c>
      <c r="Q2791" s="8" t="s">
        <v>4262</v>
      </c>
      <c r="R2791" s="8">
        <v>0.25</v>
      </c>
      <c r="S2791" s="8">
        <v>100995492</v>
      </c>
      <c r="T2791" s="8" t="s">
        <v>24</v>
      </c>
      <c r="U2791" s="8" t="s">
        <v>25</v>
      </c>
    </row>
    <row r="2792" spans="1:21">
      <c r="A2792" s="8" t="s">
        <v>10349</v>
      </c>
      <c r="B2792" s="8" t="s">
        <v>1980</v>
      </c>
      <c r="C2792" s="8">
        <v>55280</v>
      </c>
      <c r="D2792" s="8" t="s">
        <v>69</v>
      </c>
      <c r="E2792" s="8">
        <v>102016053</v>
      </c>
      <c r="F2792" s="8">
        <v>102016053</v>
      </c>
      <c r="G2792" s="8" t="s">
        <v>46</v>
      </c>
      <c r="H2792" s="8" t="s">
        <v>41</v>
      </c>
      <c r="I2792" s="8" t="s">
        <v>23</v>
      </c>
      <c r="J2792" s="8" t="s">
        <v>2433</v>
      </c>
      <c r="K2792" s="8" t="s">
        <v>12049</v>
      </c>
      <c r="L2792" s="8" t="s">
        <v>76</v>
      </c>
      <c r="M2792" s="8">
        <v>557</v>
      </c>
      <c r="N2792" s="8" t="s">
        <v>471</v>
      </c>
      <c r="O2792" s="8">
        <v>157</v>
      </c>
      <c r="P2792" s="8" t="s">
        <v>12048</v>
      </c>
      <c r="Q2792" s="8" t="s">
        <v>4262</v>
      </c>
      <c r="R2792" s="8">
        <v>0.28899999999999998</v>
      </c>
      <c r="S2792" s="8">
        <v>102016053</v>
      </c>
      <c r="T2792" s="8" t="s">
        <v>46</v>
      </c>
      <c r="U2792" s="8" t="s">
        <v>41</v>
      </c>
    </row>
    <row r="2793" spans="1:21">
      <c r="A2793" s="8" t="s">
        <v>10349</v>
      </c>
      <c r="B2793" s="8" t="s">
        <v>12050</v>
      </c>
      <c r="C2793" s="8">
        <v>9221</v>
      </c>
      <c r="D2793" s="8" t="s">
        <v>69</v>
      </c>
      <c r="E2793" s="8">
        <v>103921898</v>
      </c>
      <c r="F2793" s="8">
        <v>103921898</v>
      </c>
      <c r="G2793" s="8" t="s">
        <v>24</v>
      </c>
      <c r="H2793" s="8" t="s">
        <v>25</v>
      </c>
      <c r="I2793" s="8" t="s">
        <v>23</v>
      </c>
      <c r="J2793" s="8" t="s">
        <v>12051</v>
      </c>
      <c r="K2793" s="8" t="s">
        <v>12053</v>
      </c>
      <c r="L2793" s="8" t="s">
        <v>19</v>
      </c>
      <c r="M2793" s="8">
        <v>2207</v>
      </c>
      <c r="N2793" s="8" t="s">
        <v>155</v>
      </c>
      <c r="O2793" s="8">
        <v>658</v>
      </c>
      <c r="P2793" s="8" t="s">
        <v>12052</v>
      </c>
      <c r="Q2793" s="8" t="s">
        <v>4262</v>
      </c>
      <c r="R2793" s="8">
        <v>0.13800000000000001</v>
      </c>
      <c r="S2793" s="8">
        <v>103921898</v>
      </c>
      <c r="T2793" s="8" t="s">
        <v>24</v>
      </c>
      <c r="U2793" s="8" t="s">
        <v>25</v>
      </c>
    </row>
    <row r="2794" spans="1:21">
      <c r="A2794" s="8" t="s">
        <v>10349</v>
      </c>
      <c r="B2794" s="8" t="s">
        <v>12054</v>
      </c>
      <c r="C2794" s="8">
        <v>83401</v>
      </c>
      <c r="D2794" s="8" t="s">
        <v>69</v>
      </c>
      <c r="E2794" s="8">
        <v>103987454</v>
      </c>
      <c r="F2794" s="8">
        <v>103987454</v>
      </c>
      <c r="G2794" s="8" t="s">
        <v>24</v>
      </c>
      <c r="H2794" s="8" t="s">
        <v>25</v>
      </c>
      <c r="I2794" s="8" t="s">
        <v>23</v>
      </c>
      <c r="J2794" s="8" t="s">
        <v>12055</v>
      </c>
      <c r="K2794" s="8" t="s">
        <v>12057</v>
      </c>
      <c r="L2794" s="8" t="s">
        <v>19</v>
      </c>
      <c r="M2794" s="8">
        <v>336</v>
      </c>
      <c r="N2794" s="8" t="s">
        <v>73</v>
      </c>
      <c r="O2794" s="8">
        <v>58</v>
      </c>
      <c r="P2794" s="8" t="s">
        <v>12056</v>
      </c>
      <c r="Q2794" s="8" t="s">
        <v>4262</v>
      </c>
      <c r="R2794" s="8">
        <v>0.24199999999999999</v>
      </c>
      <c r="S2794" s="8">
        <v>103987454</v>
      </c>
      <c r="T2794" s="8" t="s">
        <v>24</v>
      </c>
      <c r="U2794" s="8" t="s">
        <v>25</v>
      </c>
    </row>
    <row r="2795" spans="1:21">
      <c r="A2795" s="8" t="s">
        <v>10349</v>
      </c>
      <c r="B2795" s="8" t="s">
        <v>12058</v>
      </c>
      <c r="C2795" s="8">
        <v>54805</v>
      </c>
      <c r="D2795" s="8" t="s">
        <v>69</v>
      </c>
      <c r="E2795" s="8">
        <v>104679738</v>
      </c>
      <c r="F2795" s="8">
        <v>104679738</v>
      </c>
      <c r="G2795" s="8" t="s">
        <v>24</v>
      </c>
      <c r="H2795" s="8" t="s">
        <v>25</v>
      </c>
      <c r="I2795" s="8" t="s">
        <v>23</v>
      </c>
      <c r="J2795" s="8" t="s">
        <v>12059</v>
      </c>
      <c r="K2795" s="8" t="s">
        <v>12061</v>
      </c>
      <c r="L2795" s="8" t="s">
        <v>19</v>
      </c>
      <c r="M2795" s="8">
        <v>1625</v>
      </c>
      <c r="N2795" s="8" t="s">
        <v>155</v>
      </c>
      <c r="O2795" s="8">
        <v>501</v>
      </c>
      <c r="P2795" s="8" t="s">
        <v>12060</v>
      </c>
      <c r="Q2795" s="8" t="s">
        <v>4262</v>
      </c>
      <c r="R2795" s="8">
        <v>0.20599999999999999</v>
      </c>
      <c r="S2795" s="8">
        <v>104679738</v>
      </c>
      <c r="T2795" s="8" t="s">
        <v>24</v>
      </c>
      <c r="U2795" s="8" t="s">
        <v>25</v>
      </c>
    </row>
    <row r="2796" spans="1:21">
      <c r="A2796" s="8" t="s">
        <v>10349</v>
      </c>
      <c r="B2796" s="8" t="s">
        <v>12062</v>
      </c>
      <c r="C2796" s="8">
        <v>22986</v>
      </c>
      <c r="D2796" s="8" t="s">
        <v>69</v>
      </c>
      <c r="E2796" s="8">
        <v>106970918</v>
      </c>
      <c r="F2796" s="8">
        <v>106970918</v>
      </c>
      <c r="G2796" s="8" t="s">
        <v>24</v>
      </c>
      <c r="H2796" s="8" t="s">
        <v>25</v>
      </c>
      <c r="I2796" s="8" t="s">
        <v>23</v>
      </c>
      <c r="J2796" s="8" t="s">
        <v>12063</v>
      </c>
      <c r="K2796" s="8" t="s">
        <v>12065</v>
      </c>
      <c r="L2796" s="8" t="s">
        <v>19</v>
      </c>
      <c r="M2796" s="8">
        <v>2512</v>
      </c>
      <c r="N2796" s="8" t="s">
        <v>1399</v>
      </c>
      <c r="O2796" s="8">
        <v>762</v>
      </c>
      <c r="P2796" s="8" t="s">
        <v>12064</v>
      </c>
      <c r="Q2796" s="8" t="s">
        <v>4262</v>
      </c>
      <c r="R2796" s="8">
        <v>0.19</v>
      </c>
      <c r="S2796" s="8">
        <v>106970918</v>
      </c>
      <c r="T2796" s="8" t="s">
        <v>24</v>
      </c>
      <c r="U2796" s="8" t="s">
        <v>25</v>
      </c>
    </row>
    <row r="2797" spans="1:21">
      <c r="A2797" s="8" t="s">
        <v>10349</v>
      </c>
      <c r="B2797" s="8" t="s">
        <v>2201</v>
      </c>
      <c r="C2797" s="8">
        <v>3026</v>
      </c>
      <c r="D2797" s="8" t="s">
        <v>69</v>
      </c>
      <c r="E2797" s="8">
        <v>115345609</v>
      </c>
      <c r="F2797" s="8">
        <v>115345609</v>
      </c>
      <c r="G2797" s="8" t="s">
        <v>24</v>
      </c>
      <c r="H2797" s="8" t="s">
        <v>25</v>
      </c>
      <c r="I2797" s="8" t="s">
        <v>23</v>
      </c>
      <c r="J2797" s="8" t="s">
        <v>12066</v>
      </c>
      <c r="K2797" s="8" t="s">
        <v>12068</v>
      </c>
      <c r="L2797" s="8" t="s">
        <v>19</v>
      </c>
      <c r="M2797" s="8">
        <v>1533</v>
      </c>
      <c r="N2797" s="8" t="s">
        <v>732</v>
      </c>
      <c r="O2797" s="8">
        <v>477</v>
      </c>
      <c r="P2797" s="8" t="s">
        <v>12067</v>
      </c>
      <c r="Q2797" s="8" t="s">
        <v>4262</v>
      </c>
      <c r="R2797" s="8">
        <v>0.22700000000000001</v>
      </c>
      <c r="S2797" s="8">
        <v>115345609</v>
      </c>
      <c r="T2797" s="8" t="s">
        <v>24</v>
      </c>
      <c r="U2797" s="8" t="s">
        <v>25</v>
      </c>
    </row>
    <row r="2798" spans="1:21">
      <c r="A2798" s="8" t="s">
        <v>10349</v>
      </c>
      <c r="B2798" s="8" t="s">
        <v>2435</v>
      </c>
      <c r="C2798" s="8">
        <v>56165</v>
      </c>
      <c r="D2798" s="8" t="s">
        <v>69</v>
      </c>
      <c r="E2798" s="8">
        <v>115973745</v>
      </c>
      <c r="F2798" s="8">
        <v>115973745</v>
      </c>
      <c r="G2798" s="8" t="s">
        <v>24</v>
      </c>
      <c r="H2798" s="8" t="s">
        <v>25</v>
      </c>
      <c r="I2798" s="8" t="s">
        <v>23</v>
      </c>
      <c r="J2798" s="8" t="s">
        <v>2436</v>
      </c>
      <c r="K2798" s="8" t="s">
        <v>12070</v>
      </c>
      <c r="L2798" s="8" t="s">
        <v>19</v>
      </c>
      <c r="M2798" s="8">
        <v>2237</v>
      </c>
      <c r="N2798" s="8" t="s">
        <v>796</v>
      </c>
      <c r="O2798" s="8">
        <v>695</v>
      </c>
      <c r="P2798" s="8" t="s">
        <v>12069</v>
      </c>
      <c r="Q2798" s="8" t="s">
        <v>4262</v>
      </c>
      <c r="R2798" s="8">
        <v>0.28599999999999998</v>
      </c>
      <c r="S2798" s="8">
        <v>115973745</v>
      </c>
      <c r="T2798" s="8" t="s">
        <v>24</v>
      </c>
      <c r="U2798" s="8" t="s">
        <v>25</v>
      </c>
    </row>
    <row r="2799" spans="1:21">
      <c r="A2799" s="8" t="s">
        <v>10349</v>
      </c>
      <c r="B2799" s="8" t="s">
        <v>12071</v>
      </c>
      <c r="C2799" s="8">
        <v>119548</v>
      </c>
      <c r="D2799" s="8" t="s">
        <v>69</v>
      </c>
      <c r="E2799" s="8">
        <v>118196314</v>
      </c>
      <c r="F2799" s="8">
        <v>118196314</v>
      </c>
      <c r="G2799" s="8" t="s">
        <v>24</v>
      </c>
      <c r="H2799" s="8" t="s">
        <v>25</v>
      </c>
      <c r="I2799" s="8" t="s">
        <v>23</v>
      </c>
      <c r="J2799" s="8" t="s">
        <v>12072</v>
      </c>
      <c r="K2799" s="8" t="s">
        <v>12074</v>
      </c>
      <c r="L2799" s="8" t="s">
        <v>76</v>
      </c>
      <c r="M2799" s="8">
        <v>242</v>
      </c>
      <c r="N2799" s="8" t="s">
        <v>716</v>
      </c>
      <c r="O2799" s="8">
        <v>47</v>
      </c>
      <c r="P2799" s="8" t="s">
        <v>12073</v>
      </c>
      <c r="Q2799" s="8" t="s">
        <v>4262</v>
      </c>
      <c r="R2799" s="8">
        <v>0.156</v>
      </c>
      <c r="S2799" s="8">
        <v>118196314</v>
      </c>
      <c r="T2799" s="8" t="s">
        <v>24</v>
      </c>
      <c r="U2799" s="8" t="s">
        <v>25</v>
      </c>
    </row>
    <row r="2800" spans="1:21">
      <c r="A2800" s="8" t="s">
        <v>10349</v>
      </c>
      <c r="B2800" s="8" t="s">
        <v>12075</v>
      </c>
      <c r="C2800" s="8">
        <v>5408</v>
      </c>
      <c r="D2800" s="8" t="s">
        <v>69</v>
      </c>
      <c r="E2800" s="8">
        <v>118385564</v>
      </c>
      <c r="F2800" s="8">
        <v>118385564</v>
      </c>
      <c r="G2800" s="8" t="s">
        <v>24</v>
      </c>
      <c r="H2800" s="8" t="s">
        <v>25</v>
      </c>
      <c r="I2800" s="8" t="s">
        <v>23</v>
      </c>
      <c r="J2800" s="8" t="s">
        <v>12076</v>
      </c>
      <c r="K2800" s="8" t="s">
        <v>12078</v>
      </c>
      <c r="L2800" s="8" t="s">
        <v>76</v>
      </c>
      <c r="M2800" s="8">
        <v>338</v>
      </c>
      <c r="N2800" s="8" t="s">
        <v>716</v>
      </c>
      <c r="O2800" s="8">
        <v>105</v>
      </c>
      <c r="P2800" s="8" t="s">
        <v>12077</v>
      </c>
      <c r="Q2800" s="8" t="s">
        <v>4262</v>
      </c>
      <c r="R2800" s="8">
        <v>0.16700000000000001</v>
      </c>
      <c r="S2800" s="8">
        <v>118385564</v>
      </c>
      <c r="T2800" s="8" t="s">
        <v>24</v>
      </c>
      <c r="U2800" s="8" t="s">
        <v>25</v>
      </c>
    </row>
    <row r="2801" spans="1:21">
      <c r="A2801" s="8" t="s">
        <v>10349</v>
      </c>
      <c r="B2801" s="8" t="s">
        <v>1229</v>
      </c>
      <c r="C2801" s="8">
        <v>118987</v>
      </c>
      <c r="D2801" s="8" t="s">
        <v>69</v>
      </c>
      <c r="E2801" s="8">
        <v>119049792</v>
      </c>
      <c r="F2801" s="8">
        <v>119049792</v>
      </c>
      <c r="G2801" s="8" t="s">
        <v>46</v>
      </c>
      <c r="H2801" s="8" t="s">
        <v>41</v>
      </c>
      <c r="I2801" s="8" t="s">
        <v>23</v>
      </c>
      <c r="J2801" s="8" t="s">
        <v>1230</v>
      </c>
      <c r="K2801" s="8" t="s">
        <v>12080</v>
      </c>
      <c r="L2801" s="8" t="s">
        <v>19</v>
      </c>
      <c r="M2801" s="8">
        <v>1365</v>
      </c>
      <c r="N2801" s="8" t="s">
        <v>1399</v>
      </c>
      <c r="O2801" s="8">
        <v>389</v>
      </c>
      <c r="P2801" s="8" t="s">
        <v>12079</v>
      </c>
      <c r="Q2801" s="8" t="s">
        <v>4262</v>
      </c>
      <c r="R2801" s="8">
        <v>0.27300000000000002</v>
      </c>
      <c r="S2801" s="8">
        <v>119049792</v>
      </c>
      <c r="T2801" s="8" t="s">
        <v>46</v>
      </c>
      <c r="U2801" s="8" t="s">
        <v>41</v>
      </c>
    </row>
    <row r="2802" spans="1:21">
      <c r="A2802" s="8" t="s">
        <v>10349</v>
      </c>
      <c r="B2802" s="8" t="s">
        <v>1009</v>
      </c>
      <c r="C2802" s="8">
        <v>10579</v>
      </c>
      <c r="D2802" s="8" t="s">
        <v>69</v>
      </c>
      <c r="E2802" s="8">
        <v>123845808</v>
      </c>
      <c r="F2802" s="8">
        <v>123845808</v>
      </c>
      <c r="G2802" s="8" t="s">
        <v>24</v>
      </c>
      <c r="H2802" s="8" t="s">
        <v>25</v>
      </c>
      <c r="I2802" s="8" t="s">
        <v>23</v>
      </c>
      <c r="J2802" s="8" t="s">
        <v>1010</v>
      </c>
      <c r="K2802" s="8" t="s">
        <v>12082</v>
      </c>
      <c r="L2802" s="8" t="s">
        <v>19</v>
      </c>
      <c r="M2802" s="8">
        <v>4153</v>
      </c>
      <c r="N2802" s="8" t="s">
        <v>536</v>
      </c>
      <c r="O2802" s="8">
        <v>1265</v>
      </c>
      <c r="P2802" s="8" t="s">
        <v>12081</v>
      </c>
      <c r="Q2802" s="8" t="s">
        <v>4262</v>
      </c>
      <c r="R2802" s="8">
        <v>0.33300000000000002</v>
      </c>
      <c r="S2802" s="8">
        <v>123845808</v>
      </c>
      <c r="T2802" s="8" t="s">
        <v>24</v>
      </c>
      <c r="U2802" s="8" t="s">
        <v>25</v>
      </c>
    </row>
    <row r="2803" spans="1:21">
      <c r="A2803" s="8" t="s">
        <v>10349</v>
      </c>
      <c r="B2803" s="8" t="s">
        <v>1009</v>
      </c>
      <c r="C2803" s="8">
        <v>10579</v>
      </c>
      <c r="D2803" s="8" t="s">
        <v>69</v>
      </c>
      <c r="E2803" s="8">
        <v>124001483</v>
      </c>
      <c r="F2803" s="8">
        <v>124001483</v>
      </c>
      <c r="G2803" s="8" t="s">
        <v>24</v>
      </c>
      <c r="H2803" s="8" t="s">
        <v>25</v>
      </c>
      <c r="I2803" s="8" t="s">
        <v>23</v>
      </c>
      <c r="J2803" s="8" t="s">
        <v>1010</v>
      </c>
      <c r="K2803" s="8" t="s">
        <v>12082</v>
      </c>
      <c r="L2803" s="8" t="s">
        <v>19</v>
      </c>
      <c r="M2803" s="8">
        <v>8719</v>
      </c>
      <c r="N2803" s="8" t="s">
        <v>155</v>
      </c>
      <c r="O2803" s="8">
        <v>2787</v>
      </c>
      <c r="P2803" s="8" t="s">
        <v>12083</v>
      </c>
      <c r="Q2803" s="8" t="s">
        <v>4262</v>
      </c>
      <c r="R2803" s="8">
        <v>0.23300000000000001</v>
      </c>
      <c r="S2803" s="8">
        <v>124001483</v>
      </c>
      <c r="T2803" s="8" t="s">
        <v>24</v>
      </c>
      <c r="U2803" s="8" t="s">
        <v>25</v>
      </c>
    </row>
    <row r="2804" spans="1:21">
      <c r="A2804" s="8" t="s">
        <v>10349</v>
      </c>
      <c r="B2804" s="8" t="s">
        <v>12084</v>
      </c>
      <c r="C2804" s="8">
        <v>118663</v>
      </c>
      <c r="D2804" s="8" t="s">
        <v>69</v>
      </c>
      <c r="E2804" s="8">
        <v>124036325</v>
      </c>
      <c r="F2804" s="8">
        <v>124036325</v>
      </c>
      <c r="G2804" s="8" t="s">
        <v>24</v>
      </c>
      <c r="H2804" s="8" t="s">
        <v>25</v>
      </c>
      <c r="I2804" s="8" t="s">
        <v>23</v>
      </c>
      <c r="J2804" s="8" t="s">
        <v>12085</v>
      </c>
      <c r="K2804" s="8" t="s">
        <v>12087</v>
      </c>
      <c r="L2804" s="8" t="s">
        <v>19</v>
      </c>
      <c r="M2804" s="8">
        <v>289</v>
      </c>
      <c r="N2804" s="8" t="s">
        <v>73</v>
      </c>
      <c r="O2804" s="8">
        <v>13</v>
      </c>
      <c r="P2804" s="8" t="s">
        <v>12086</v>
      </c>
      <c r="Q2804" s="8" t="s">
        <v>4262</v>
      </c>
      <c r="R2804" s="8">
        <v>0.17899999999999999</v>
      </c>
      <c r="S2804" s="8">
        <v>124036325</v>
      </c>
      <c r="T2804" s="8" t="s">
        <v>24</v>
      </c>
      <c r="U2804" s="8" t="s">
        <v>25</v>
      </c>
    </row>
    <row r="2805" spans="1:21">
      <c r="A2805" s="8" t="s">
        <v>10349</v>
      </c>
      <c r="B2805" s="8" t="s">
        <v>2437</v>
      </c>
      <c r="C2805" s="8">
        <v>51363</v>
      </c>
      <c r="D2805" s="8" t="s">
        <v>69</v>
      </c>
      <c r="E2805" s="8">
        <v>125805449</v>
      </c>
      <c r="F2805" s="8">
        <v>125805449</v>
      </c>
      <c r="G2805" s="8" t="s">
        <v>46</v>
      </c>
      <c r="H2805" s="8" t="s">
        <v>41</v>
      </c>
      <c r="I2805" s="8" t="s">
        <v>23</v>
      </c>
      <c r="J2805" s="8" t="s">
        <v>12088</v>
      </c>
      <c r="K2805" s="8" t="s">
        <v>12090</v>
      </c>
      <c r="L2805" s="8" t="s">
        <v>19</v>
      </c>
      <c r="M2805" s="8">
        <v>883</v>
      </c>
      <c r="N2805" s="8" t="s">
        <v>768</v>
      </c>
      <c r="O2805" s="8">
        <v>94</v>
      </c>
      <c r="P2805" s="8" t="s">
        <v>12089</v>
      </c>
      <c r="Q2805" s="8" t="s">
        <v>4262</v>
      </c>
      <c r="R2805" s="8">
        <v>0.26100000000000001</v>
      </c>
      <c r="S2805" s="8">
        <v>125805449</v>
      </c>
      <c r="T2805" s="8" t="s">
        <v>46</v>
      </c>
      <c r="U2805" s="8" t="s">
        <v>41</v>
      </c>
    </row>
    <row r="2806" spans="1:21">
      <c r="A2806" s="8" t="s">
        <v>10349</v>
      </c>
      <c r="B2806" s="8" t="s">
        <v>2160</v>
      </c>
      <c r="C2806" s="8">
        <v>4942</v>
      </c>
      <c r="D2806" s="8" t="s">
        <v>69</v>
      </c>
      <c r="E2806" s="8">
        <v>126091525</v>
      </c>
      <c r="F2806" s="8">
        <v>126091525</v>
      </c>
      <c r="G2806" s="8" t="s">
        <v>46</v>
      </c>
      <c r="H2806" s="8" t="s">
        <v>41</v>
      </c>
      <c r="I2806" s="8" t="s">
        <v>23</v>
      </c>
      <c r="J2806" s="8" t="s">
        <v>12091</v>
      </c>
      <c r="K2806" s="8" t="s">
        <v>12093</v>
      </c>
      <c r="L2806" s="8" t="s">
        <v>19</v>
      </c>
      <c r="M2806" s="8">
        <v>1004</v>
      </c>
      <c r="N2806" s="8" t="s">
        <v>1364</v>
      </c>
      <c r="O2806" s="8">
        <v>291</v>
      </c>
      <c r="P2806" s="8" t="s">
        <v>12092</v>
      </c>
      <c r="Q2806" s="8" t="s">
        <v>4262</v>
      </c>
      <c r="R2806" s="8">
        <v>0.21099999999999999</v>
      </c>
      <c r="S2806" s="8">
        <v>126091525</v>
      </c>
      <c r="T2806" s="8" t="s">
        <v>46</v>
      </c>
      <c r="U2806" s="8" t="s">
        <v>41</v>
      </c>
    </row>
    <row r="2807" spans="1:21">
      <c r="A2807" s="8" t="s">
        <v>10349</v>
      </c>
      <c r="B2807" s="8" t="s">
        <v>2438</v>
      </c>
      <c r="C2807" s="8">
        <v>8038</v>
      </c>
      <c r="D2807" s="8" t="s">
        <v>69</v>
      </c>
      <c r="E2807" s="8">
        <v>127734642</v>
      </c>
      <c r="F2807" s="8">
        <v>127734642</v>
      </c>
      <c r="G2807" s="8" t="s">
        <v>46</v>
      </c>
      <c r="H2807" s="8" t="s">
        <v>41</v>
      </c>
      <c r="I2807" s="8" t="s">
        <v>23</v>
      </c>
      <c r="J2807" s="8" t="s">
        <v>12094</v>
      </c>
      <c r="K2807" s="8" t="s">
        <v>12095</v>
      </c>
      <c r="L2807" s="8" t="s">
        <v>19</v>
      </c>
      <c r="M2807" s="8">
        <v>2399</v>
      </c>
      <c r="N2807" s="8" t="s">
        <v>2439</v>
      </c>
      <c r="O2807" s="8">
        <v>662</v>
      </c>
      <c r="P2807" s="8" t="s">
        <v>7381</v>
      </c>
      <c r="Q2807" s="8" t="s">
        <v>4262</v>
      </c>
      <c r="R2807" s="8">
        <v>0.22900000000000001</v>
      </c>
      <c r="S2807" s="8">
        <v>127734642</v>
      </c>
      <c r="T2807" s="8" t="s">
        <v>46</v>
      </c>
      <c r="U2807" s="8" t="s">
        <v>41</v>
      </c>
    </row>
    <row r="2808" spans="1:21">
      <c r="A2808" s="8" t="s">
        <v>10349</v>
      </c>
      <c r="B2808" s="8" t="s">
        <v>12096</v>
      </c>
      <c r="C2808" s="8">
        <v>256536</v>
      </c>
      <c r="D2808" s="8" t="s">
        <v>69</v>
      </c>
      <c r="E2808" s="8">
        <v>133106513</v>
      </c>
      <c r="F2808" s="8">
        <v>133106513</v>
      </c>
      <c r="G2808" s="8" t="s">
        <v>24</v>
      </c>
      <c r="H2808" s="8" t="s">
        <v>25</v>
      </c>
      <c r="I2808" s="8" t="s">
        <v>23</v>
      </c>
      <c r="J2808" s="8" t="s">
        <v>12097</v>
      </c>
      <c r="K2808" s="8" t="s">
        <v>12099</v>
      </c>
      <c r="L2808" s="8" t="s">
        <v>19</v>
      </c>
      <c r="M2808" s="8">
        <v>717</v>
      </c>
      <c r="N2808" s="8" t="s">
        <v>2440</v>
      </c>
      <c r="O2808" s="8">
        <v>211</v>
      </c>
      <c r="P2808" s="8" t="s">
        <v>12098</v>
      </c>
      <c r="Q2808" s="8" t="s">
        <v>4262</v>
      </c>
      <c r="R2808" s="8">
        <v>0.182</v>
      </c>
      <c r="S2808" s="8">
        <v>133106513</v>
      </c>
      <c r="T2808" s="8" t="s">
        <v>24</v>
      </c>
      <c r="U2808" s="8" t="s">
        <v>25</v>
      </c>
    </row>
    <row r="2809" spans="1:21">
      <c r="A2809" s="8" t="s">
        <v>10349</v>
      </c>
      <c r="B2809" s="8" t="s">
        <v>2441</v>
      </c>
      <c r="C2809" s="8">
        <v>27287</v>
      </c>
      <c r="D2809" s="8" t="s">
        <v>69</v>
      </c>
      <c r="E2809" s="8">
        <v>135053458</v>
      </c>
      <c r="F2809" s="8">
        <v>135053458</v>
      </c>
      <c r="G2809" s="8" t="s">
        <v>24</v>
      </c>
      <c r="H2809" s="8" t="s">
        <v>25</v>
      </c>
      <c r="I2809" s="8" t="s">
        <v>23</v>
      </c>
      <c r="J2809" s="8" t="s">
        <v>2442</v>
      </c>
      <c r="K2809" s="8" t="s">
        <v>12102</v>
      </c>
      <c r="L2809" s="8" t="s">
        <v>19</v>
      </c>
      <c r="M2809" s="8">
        <v>436</v>
      </c>
      <c r="N2809" s="8" t="s">
        <v>73</v>
      </c>
      <c r="O2809" s="8">
        <v>142</v>
      </c>
      <c r="P2809" s="8" t="s">
        <v>12100</v>
      </c>
      <c r="Q2809" s="8" t="s">
        <v>12101</v>
      </c>
      <c r="R2809" s="8">
        <v>0.3</v>
      </c>
      <c r="S2809" s="8">
        <v>135053458</v>
      </c>
      <c r="T2809" s="8" t="s">
        <v>24</v>
      </c>
      <c r="U2809" s="8" t="s">
        <v>25</v>
      </c>
    </row>
    <row r="2810" spans="1:21">
      <c r="A2810" s="8" t="s">
        <v>10349</v>
      </c>
      <c r="B2810" s="8" t="s">
        <v>645</v>
      </c>
      <c r="C2810" s="8">
        <v>10529</v>
      </c>
      <c r="D2810" s="8" t="s">
        <v>69</v>
      </c>
      <c r="E2810" s="8">
        <v>21169815</v>
      </c>
      <c r="F2810" s="8">
        <v>21169815</v>
      </c>
      <c r="G2810" s="8" t="s">
        <v>24</v>
      </c>
      <c r="H2810" s="8" t="s">
        <v>25</v>
      </c>
      <c r="I2810" s="8" t="s">
        <v>23</v>
      </c>
      <c r="J2810" s="8" t="s">
        <v>646</v>
      </c>
      <c r="K2810" s="8" t="s">
        <v>12104</v>
      </c>
      <c r="L2810" s="8" t="s">
        <v>19</v>
      </c>
      <c r="M2810" s="8">
        <v>785</v>
      </c>
      <c r="N2810" s="8" t="s">
        <v>2843</v>
      </c>
      <c r="O2810" s="8">
        <v>130</v>
      </c>
      <c r="P2810" s="8" t="s">
        <v>12103</v>
      </c>
      <c r="Q2810" s="8" t="s">
        <v>4262</v>
      </c>
      <c r="R2810" s="8">
        <v>0.16</v>
      </c>
      <c r="S2810" s="8">
        <v>21169815</v>
      </c>
      <c r="T2810" s="8" t="s">
        <v>24</v>
      </c>
      <c r="U2810" s="8" t="s">
        <v>25</v>
      </c>
    </row>
    <row r="2811" spans="1:21">
      <c r="A2811" s="8" t="s">
        <v>10349</v>
      </c>
      <c r="B2811" s="8" t="s">
        <v>12105</v>
      </c>
      <c r="C2811" s="8">
        <v>387638</v>
      </c>
      <c r="D2811" s="8" t="s">
        <v>69</v>
      </c>
      <c r="E2811" s="8">
        <v>21414832</v>
      </c>
      <c r="F2811" s="8">
        <v>21414832</v>
      </c>
      <c r="G2811" s="8" t="s">
        <v>46</v>
      </c>
      <c r="H2811" s="8" t="s">
        <v>41</v>
      </c>
      <c r="I2811" s="8" t="s">
        <v>23</v>
      </c>
      <c r="J2811" s="8" t="s">
        <v>12106</v>
      </c>
      <c r="K2811" s="8" t="s">
        <v>12108</v>
      </c>
      <c r="L2811" s="8" t="s">
        <v>19</v>
      </c>
      <c r="M2811" s="8">
        <v>439</v>
      </c>
      <c r="N2811" s="8" t="s">
        <v>28</v>
      </c>
      <c r="O2811" s="8">
        <v>130</v>
      </c>
      <c r="P2811" s="8" t="s">
        <v>12107</v>
      </c>
      <c r="Q2811" s="8" t="s">
        <v>4262</v>
      </c>
      <c r="R2811" s="8">
        <v>0.20899999999999999</v>
      </c>
      <c r="S2811" s="8">
        <v>21414832</v>
      </c>
      <c r="T2811" s="8" t="s">
        <v>46</v>
      </c>
      <c r="U2811" s="8" t="s">
        <v>41</v>
      </c>
    </row>
    <row r="2812" spans="1:21">
      <c r="A2812" s="8" t="s">
        <v>10349</v>
      </c>
      <c r="B2812" s="8" t="s">
        <v>5676</v>
      </c>
      <c r="C2812" s="8">
        <v>57512</v>
      </c>
      <c r="D2812" s="8" t="s">
        <v>69</v>
      </c>
      <c r="E2812" s="8">
        <v>25861808</v>
      </c>
      <c r="F2812" s="8">
        <v>25861808</v>
      </c>
      <c r="G2812" s="8" t="s">
        <v>46</v>
      </c>
      <c r="H2812" s="8" t="s">
        <v>41</v>
      </c>
      <c r="I2812" s="8" t="s">
        <v>23</v>
      </c>
      <c r="J2812" s="8" t="s">
        <v>5677</v>
      </c>
      <c r="K2812" s="8" t="s">
        <v>5679</v>
      </c>
      <c r="L2812" s="8" t="s">
        <v>19</v>
      </c>
      <c r="M2812" s="8">
        <v>1805</v>
      </c>
      <c r="N2812" s="8" t="s">
        <v>364</v>
      </c>
      <c r="O2812" s="8">
        <v>582</v>
      </c>
      <c r="P2812" s="8" t="s">
        <v>12109</v>
      </c>
      <c r="Q2812" s="8" t="s">
        <v>4262</v>
      </c>
      <c r="R2812" s="8">
        <v>0.308</v>
      </c>
      <c r="S2812" s="8">
        <v>25861808</v>
      </c>
      <c r="T2812" s="8" t="s">
        <v>46</v>
      </c>
      <c r="U2812" s="8" t="s">
        <v>41</v>
      </c>
    </row>
    <row r="2813" spans="1:21">
      <c r="A2813" s="8" t="s">
        <v>10349</v>
      </c>
      <c r="B2813" s="8" t="s">
        <v>2443</v>
      </c>
      <c r="C2813" s="8">
        <v>219770</v>
      </c>
      <c r="D2813" s="8" t="s">
        <v>69</v>
      </c>
      <c r="E2813" s="8">
        <v>35896703</v>
      </c>
      <c r="F2813" s="8">
        <v>35896703</v>
      </c>
      <c r="G2813" s="8" t="s">
        <v>46</v>
      </c>
      <c r="H2813" s="8" t="s">
        <v>41</v>
      </c>
      <c r="I2813" s="8" t="s">
        <v>23</v>
      </c>
      <c r="J2813" s="8" t="s">
        <v>2444</v>
      </c>
      <c r="K2813" s="8" t="s">
        <v>12111</v>
      </c>
      <c r="L2813" s="8" t="s">
        <v>19</v>
      </c>
      <c r="M2813" s="8">
        <v>420</v>
      </c>
      <c r="N2813" s="8" t="s">
        <v>2400</v>
      </c>
      <c r="O2813" s="8">
        <v>88</v>
      </c>
      <c r="P2813" s="8" t="s">
        <v>12110</v>
      </c>
      <c r="Q2813" s="8" t="s">
        <v>4262</v>
      </c>
      <c r="R2813" s="8">
        <v>0.182</v>
      </c>
      <c r="S2813" s="8">
        <v>35896703</v>
      </c>
      <c r="T2813" s="8" t="s">
        <v>46</v>
      </c>
      <c r="U2813" s="8" t="s">
        <v>41</v>
      </c>
    </row>
    <row r="2814" spans="1:21">
      <c r="A2814" s="8" t="s">
        <v>10349</v>
      </c>
      <c r="B2814" s="8" t="s">
        <v>12112</v>
      </c>
      <c r="C2814" s="8">
        <v>91074</v>
      </c>
      <c r="D2814" s="8" t="s">
        <v>69</v>
      </c>
      <c r="E2814" s="8">
        <v>37486230</v>
      </c>
      <c r="F2814" s="8">
        <v>37486230</v>
      </c>
      <c r="G2814" s="8" t="s">
        <v>46</v>
      </c>
      <c r="H2814" s="8" t="s">
        <v>41</v>
      </c>
      <c r="I2814" s="8" t="s">
        <v>23</v>
      </c>
      <c r="J2814" s="8" t="s">
        <v>12113</v>
      </c>
      <c r="K2814" s="8" t="s">
        <v>12115</v>
      </c>
      <c r="L2814" s="8" t="s">
        <v>19</v>
      </c>
      <c r="M2814" s="8">
        <v>2567</v>
      </c>
      <c r="N2814" s="8" t="s">
        <v>1421</v>
      </c>
      <c r="O2814" s="8">
        <v>823</v>
      </c>
      <c r="P2814" s="8" t="s">
        <v>12114</v>
      </c>
      <c r="Q2814" s="8" t="s">
        <v>4262</v>
      </c>
      <c r="R2814" s="8">
        <v>0.183</v>
      </c>
      <c r="S2814" s="8">
        <v>37486230</v>
      </c>
      <c r="T2814" s="8" t="s">
        <v>46</v>
      </c>
      <c r="U2814" s="8" t="s">
        <v>41</v>
      </c>
    </row>
    <row r="2815" spans="1:21">
      <c r="A2815" s="8" t="s">
        <v>10349</v>
      </c>
      <c r="B2815" s="8" t="s">
        <v>12116</v>
      </c>
      <c r="C2815" s="8">
        <v>221002</v>
      </c>
      <c r="D2815" s="8" t="s">
        <v>69</v>
      </c>
      <c r="E2815" s="8">
        <v>43693567</v>
      </c>
      <c r="F2815" s="8">
        <v>43693567</v>
      </c>
      <c r="G2815" s="8" t="s">
        <v>24</v>
      </c>
      <c r="H2815" s="8" t="s">
        <v>25</v>
      </c>
      <c r="I2815" s="8" t="s">
        <v>23</v>
      </c>
      <c r="J2815" s="8" t="s">
        <v>12117</v>
      </c>
      <c r="K2815" s="8" t="s">
        <v>12118</v>
      </c>
      <c r="L2815" s="8" t="s">
        <v>19</v>
      </c>
      <c r="M2815" s="8">
        <v>1190</v>
      </c>
      <c r="N2815" s="8" t="s">
        <v>1421</v>
      </c>
      <c r="O2815" s="8">
        <v>370</v>
      </c>
      <c r="P2815" s="8" t="s">
        <v>8781</v>
      </c>
      <c r="Q2815" s="8" t="s">
        <v>4262</v>
      </c>
      <c r="R2815" s="8">
        <v>0.30399999999999999</v>
      </c>
      <c r="S2815" s="8">
        <v>43693567</v>
      </c>
      <c r="T2815" s="8" t="s">
        <v>24</v>
      </c>
      <c r="U2815" s="8" t="s">
        <v>25</v>
      </c>
    </row>
    <row r="2816" spans="1:21">
      <c r="A2816" s="8" t="s">
        <v>10349</v>
      </c>
      <c r="B2816" s="8" t="s">
        <v>12119</v>
      </c>
      <c r="C2816" s="8">
        <v>53828</v>
      </c>
      <c r="D2816" s="8" t="s">
        <v>69</v>
      </c>
      <c r="E2816" s="8">
        <v>43870994</v>
      </c>
      <c r="F2816" s="8">
        <v>43870994</v>
      </c>
      <c r="G2816" s="8" t="s">
        <v>24</v>
      </c>
      <c r="H2816" s="8" t="s">
        <v>25</v>
      </c>
      <c r="I2816" s="8" t="s">
        <v>23</v>
      </c>
      <c r="J2816" s="8" t="s">
        <v>12120</v>
      </c>
      <c r="K2816" s="8" t="s">
        <v>12122</v>
      </c>
      <c r="L2816" s="8" t="s">
        <v>19</v>
      </c>
      <c r="M2816" s="8">
        <v>477</v>
      </c>
      <c r="N2816" s="8" t="s">
        <v>155</v>
      </c>
      <c r="O2816" s="8">
        <v>49</v>
      </c>
      <c r="P2816" s="8" t="s">
        <v>12121</v>
      </c>
      <c r="Q2816" s="8" t="s">
        <v>4262</v>
      </c>
      <c r="R2816" s="8">
        <v>0.19</v>
      </c>
      <c r="S2816" s="8">
        <v>43870994</v>
      </c>
      <c r="T2816" s="8" t="s">
        <v>24</v>
      </c>
      <c r="U2816" s="8" t="s">
        <v>25</v>
      </c>
    </row>
    <row r="2817" spans="1:21">
      <c r="A2817" s="8" t="s">
        <v>10349</v>
      </c>
      <c r="B2817" s="8" t="s">
        <v>12123</v>
      </c>
      <c r="C2817" s="8">
        <v>93550</v>
      </c>
      <c r="D2817" s="8" t="s">
        <v>69</v>
      </c>
      <c r="E2817" s="8">
        <v>46143869</v>
      </c>
      <c r="F2817" s="8">
        <v>46143869</v>
      </c>
      <c r="G2817" s="8" t="s">
        <v>46</v>
      </c>
      <c r="H2817" s="8" t="s">
        <v>41</v>
      </c>
      <c r="I2817" s="8" t="s">
        <v>23</v>
      </c>
      <c r="J2817" s="8" t="s">
        <v>12124</v>
      </c>
      <c r="K2817" s="8" t="s">
        <v>12125</v>
      </c>
      <c r="L2817" s="8" t="s">
        <v>19</v>
      </c>
      <c r="M2817" s="8">
        <v>684</v>
      </c>
      <c r="N2817" s="8" t="s">
        <v>1364</v>
      </c>
      <c r="O2817" s="8">
        <v>148</v>
      </c>
      <c r="P2817" s="8" t="s">
        <v>11881</v>
      </c>
      <c r="Q2817" s="8" t="s">
        <v>4262</v>
      </c>
      <c r="R2817" s="8">
        <v>0.28899999999999998</v>
      </c>
      <c r="S2817" s="8">
        <v>46143869</v>
      </c>
      <c r="T2817" s="8" t="s">
        <v>46</v>
      </c>
      <c r="U2817" s="8" t="s">
        <v>41</v>
      </c>
    </row>
    <row r="2818" spans="1:21">
      <c r="A2818" s="8" t="s">
        <v>10349</v>
      </c>
      <c r="B2818" s="8" t="s">
        <v>12126</v>
      </c>
      <c r="C2818" s="8">
        <v>5540</v>
      </c>
      <c r="D2818" s="8" t="s">
        <v>69</v>
      </c>
      <c r="E2818" s="8">
        <v>47086949</v>
      </c>
      <c r="F2818" s="8">
        <v>47086949</v>
      </c>
      <c r="G2818" s="8" t="s">
        <v>24</v>
      </c>
      <c r="H2818" s="8" t="s">
        <v>25</v>
      </c>
      <c r="I2818" s="8" t="s">
        <v>23</v>
      </c>
      <c r="J2818" s="8" t="s">
        <v>12127</v>
      </c>
      <c r="K2818" s="8" t="s">
        <v>12129</v>
      </c>
      <c r="L2818" s="8" t="s">
        <v>19</v>
      </c>
      <c r="M2818" s="8">
        <v>585</v>
      </c>
      <c r="N2818" s="8" t="s">
        <v>21</v>
      </c>
      <c r="O2818" s="8">
        <v>56</v>
      </c>
      <c r="P2818" s="8" t="s">
        <v>12128</v>
      </c>
      <c r="Q2818" s="8" t="s">
        <v>4262</v>
      </c>
      <c r="R2818" s="8">
        <v>0.23100000000000001</v>
      </c>
      <c r="S2818" s="8">
        <v>47086949</v>
      </c>
      <c r="T2818" s="8" t="s">
        <v>24</v>
      </c>
      <c r="U2818" s="8" t="s">
        <v>25</v>
      </c>
    </row>
    <row r="2819" spans="1:21">
      <c r="A2819" s="8" t="s">
        <v>10349</v>
      </c>
      <c r="B2819" s="8" t="s">
        <v>4766</v>
      </c>
      <c r="C2819" s="8">
        <v>57705</v>
      </c>
      <c r="D2819" s="8" t="s">
        <v>69</v>
      </c>
      <c r="E2819" s="8">
        <v>49994916</v>
      </c>
      <c r="F2819" s="8">
        <v>49994916</v>
      </c>
      <c r="G2819" s="8" t="s">
        <v>24</v>
      </c>
      <c r="H2819" s="8" t="s">
        <v>25</v>
      </c>
      <c r="I2819" s="8" t="s">
        <v>23</v>
      </c>
      <c r="J2819" s="8" t="s">
        <v>4767</v>
      </c>
      <c r="K2819" s="8" t="s">
        <v>4769</v>
      </c>
      <c r="L2819" s="8" t="s">
        <v>68</v>
      </c>
      <c r="M2819" s="8">
        <v>0</v>
      </c>
      <c r="N2819" s="8" t="s">
        <v>35</v>
      </c>
      <c r="O2819" s="8">
        <v>0</v>
      </c>
      <c r="P2819" s="8" t="s">
        <v>35</v>
      </c>
      <c r="Q2819" s="8" t="s">
        <v>4262</v>
      </c>
      <c r="R2819" s="8">
        <v>6.3E-2</v>
      </c>
      <c r="S2819" s="8">
        <v>49994916</v>
      </c>
      <c r="T2819" s="8" t="s">
        <v>24</v>
      </c>
      <c r="U2819" s="8" t="s">
        <v>25</v>
      </c>
    </row>
    <row r="2820" spans="1:21">
      <c r="A2820" s="8" t="s">
        <v>10349</v>
      </c>
      <c r="B2820" s="8" t="s">
        <v>12130</v>
      </c>
      <c r="C2820" s="8">
        <v>390061</v>
      </c>
      <c r="D2820" s="8" t="s">
        <v>83</v>
      </c>
      <c r="E2820" s="8">
        <v>5443588</v>
      </c>
      <c r="F2820" s="8">
        <v>5443588</v>
      </c>
      <c r="G2820" s="8" t="s">
        <v>46</v>
      </c>
      <c r="H2820" s="8" t="s">
        <v>41</v>
      </c>
      <c r="I2820" s="8" t="s">
        <v>23</v>
      </c>
      <c r="J2820" s="8" t="s">
        <v>12131</v>
      </c>
      <c r="K2820" s="8" t="s">
        <v>12133</v>
      </c>
      <c r="L2820" s="8" t="s">
        <v>19</v>
      </c>
      <c r="M2820" s="8">
        <v>248</v>
      </c>
      <c r="N2820" s="8" t="s">
        <v>364</v>
      </c>
      <c r="O2820" s="8">
        <v>53</v>
      </c>
      <c r="P2820" s="8" t="s">
        <v>12132</v>
      </c>
      <c r="Q2820" s="8" t="s">
        <v>4262</v>
      </c>
      <c r="R2820" s="8">
        <v>0.21099999999999999</v>
      </c>
      <c r="S2820" s="8">
        <v>5443588</v>
      </c>
      <c r="T2820" s="8" t="s">
        <v>46</v>
      </c>
      <c r="U2820" s="8" t="s">
        <v>41</v>
      </c>
    </row>
    <row r="2821" spans="1:21">
      <c r="A2821" s="8" t="s">
        <v>10349</v>
      </c>
      <c r="B2821" s="8" t="s">
        <v>12134</v>
      </c>
      <c r="C2821" s="8">
        <v>120586</v>
      </c>
      <c r="D2821" s="8" t="s">
        <v>83</v>
      </c>
      <c r="E2821" s="8">
        <v>55861388</v>
      </c>
      <c r="F2821" s="8">
        <v>55861388</v>
      </c>
      <c r="G2821" s="8" t="s">
        <v>46</v>
      </c>
      <c r="H2821" s="8" t="s">
        <v>41</v>
      </c>
      <c r="I2821" s="8" t="s">
        <v>23</v>
      </c>
      <c r="J2821" s="8" t="s">
        <v>12135</v>
      </c>
      <c r="K2821" s="8" t="s">
        <v>12138</v>
      </c>
      <c r="L2821" s="8" t="s">
        <v>19</v>
      </c>
      <c r="M2821" s="8">
        <v>605</v>
      </c>
      <c r="N2821" s="8" t="s">
        <v>389</v>
      </c>
      <c r="O2821" s="8">
        <v>202</v>
      </c>
      <c r="P2821" s="8" t="s">
        <v>12136</v>
      </c>
      <c r="Q2821" s="8" t="s">
        <v>12137</v>
      </c>
      <c r="R2821" s="8">
        <v>0.20899999999999999</v>
      </c>
      <c r="S2821" s="8">
        <v>55861388</v>
      </c>
      <c r="T2821" s="8" t="s">
        <v>46</v>
      </c>
      <c r="U2821" s="8" t="s">
        <v>41</v>
      </c>
    </row>
    <row r="2822" spans="1:21">
      <c r="A2822" s="8" t="s">
        <v>10349</v>
      </c>
      <c r="B2822" s="8" t="s">
        <v>12139</v>
      </c>
      <c r="C2822" s="8">
        <v>390152</v>
      </c>
      <c r="D2822" s="8" t="s">
        <v>83</v>
      </c>
      <c r="E2822" s="8">
        <v>55890737</v>
      </c>
      <c r="F2822" s="8">
        <v>55890737</v>
      </c>
      <c r="G2822" s="8" t="s">
        <v>24</v>
      </c>
      <c r="H2822" s="8" t="s">
        <v>25</v>
      </c>
      <c r="I2822" s="8" t="s">
        <v>23</v>
      </c>
      <c r="J2822" s="8" t="s">
        <v>12140</v>
      </c>
      <c r="K2822" s="8" t="s">
        <v>12142</v>
      </c>
      <c r="L2822" s="8" t="s">
        <v>19</v>
      </c>
      <c r="M2822" s="8">
        <v>889</v>
      </c>
      <c r="N2822" s="8" t="s">
        <v>171</v>
      </c>
      <c r="O2822" s="8">
        <v>297</v>
      </c>
      <c r="P2822" s="8" t="s">
        <v>12141</v>
      </c>
      <c r="Q2822" s="8" t="s">
        <v>4262</v>
      </c>
      <c r="R2822" s="8">
        <v>0.26400000000000001</v>
      </c>
      <c r="S2822" s="8">
        <v>55890737</v>
      </c>
      <c r="T2822" s="8" t="s">
        <v>24</v>
      </c>
      <c r="U2822" s="8" t="s">
        <v>25</v>
      </c>
    </row>
    <row r="2823" spans="1:21">
      <c r="A2823" s="8" t="s">
        <v>10349</v>
      </c>
      <c r="B2823" s="8" t="s">
        <v>7450</v>
      </c>
      <c r="C2823" s="8">
        <v>81168</v>
      </c>
      <c r="D2823" s="8" t="s">
        <v>83</v>
      </c>
      <c r="E2823" s="8">
        <v>55904920</v>
      </c>
      <c r="F2823" s="8">
        <v>55904920</v>
      </c>
      <c r="G2823" s="8" t="s">
        <v>24</v>
      </c>
      <c r="H2823" s="8" t="s">
        <v>25</v>
      </c>
      <c r="I2823" s="8" t="s">
        <v>23</v>
      </c>
      <c r="J2823" s="8" t="s">
        <v>7451</v>
      </c>
      <c r="K2823" s="8" t="s">
        <v>7453</v>
      </c>
      <c r="L2823" s="8" t="s">
        <v>19</v>
      </c>
      <c r="M2823" s="8">
        <v>275</v>
      </c>
      <c r="N2823" s="8" t="s">
        <v>1325</v>
      </c>
      <c r="O2823" s="8">
        <v>92</v>
      </c>
      <c r="P2823" s="8" t="s">
        <v>12143</v>
      </c>
      <c r="Q2823" s="8" t="s">
        <v>4262</v>
      </c>
      <c r="R2823" s="8">
        <v>0.109</v>
      </c>
      <c r="S2823" s="8">
        <v>55904920</v>
      </c>
      <c r="T2823" s="8" t="s">
        <v>24</v>
      </c>
      <c r="U2823" s="8" t="s">
        <v>25</v>
      </c>
    </row>
    <row r="2824" spans="1:21">
      <c r="A2824" s="8" t="s">
        <v>10349</v>
      </c>
      <c r="B2824" s="8" t="s">
        <v>12144</v>
      </c>
      <c r="C2824" s="8">
        <v>219469</v>
      </c>
      <c r="D2824" s="8" t="s">
        <v>83</v>
      </c>
      <c r="E2824" s="8">
        <v>56058105</v>
      </c>
      <c r="F2824" s="8">
        <v>56058105</v>
      </c>
      <c r="G2824" s="8" t="s">
        <v>24</v>
      </c>
      <c r="H2824" s="8" t="s">
        <v>25</v>
      </c>
      <c r="I2824" s="8" t="s">
        <v>23</v>
      </c>
      <c r="J2824" s="8" t="s">
        <v>12145</v>
      </c>
      <c r="K2824" s="8" t="s">
        <v>12147</v>
      </c>
      <c r="L2824" s="8" t="s">
        <v>19</v>
      </c>
      <c r="M2824" s="8">
        <v>434</v>
      </c>
      <c r="N2824" s="8" t="s">
        <v>96</v>
      </c>
      <c r="O2824" s="8">
        <v>145</v>
      </c>
      <c r="P2824" s="8" t="s">
        <v>12146</v>
      </c>
      <c r="Q2824" s="8" t="s">
        <v>4262</v>
      </c>
      <c r="R2824" s="8">
        <v>0.1</v>
      </c>
      <c r="S2824" s="8">
        <v>56058105</v>
      </c>
      <c r="T2824" s="8" t="s">
        <v>24</v>
      </c>
      <c r="U2824" s="8" t="s">
        <v>25</v>
      </c>
    </row>
    <row r="2825" spans="1:21">
      <c r="A2825" s="8" t="s">
        <v>10349</v>
      </c>
      <c r="B2825" s="8" t="s">
        <v>12148</v>
      </c>
      <c r="C2825" s="8">
        <v>219479</v>
      </c>
      <c r="D2825" s="8" t="s">
        <v>83</v>
      </c>
      <c r="E2825" s="8">
        <v>56185323</v>
      </c>
      <c r="F2825" s="8">
        <v>56185323</v>
      </c>
      <c r="G2825" s="8" t="s">
        <v>24</v>
      </c>
      <c r="H2825" s="8" t="s">
        <v>25</v>
      </c>
      <c r="I2825" s="8" t="s">
        <v>23</v>
      </c>
      <c r="J2825" s="8" t="s">
        <v>12149</v>
      </c>
      <c r="K2825" s="8" t="s">
        <v>12150</v>
      </c>
      <c r="L2825" s="8" t="s">
        <v>19</v>
      </c>
      <c r="M2825" s="8">
        <v>386</v>
      </c>
      <c r="N2825" s="8" t="s">
        <v>333</v>
      </c>
      <c r="O2825" s="8">
        <v>129</v>
      </c>
      <c r="P2825" s="8" t="s">
        <v>5741</v>
      </c>
      <c r="Q2825" s="8" t="s">
        <v>4262</v>
      </c>
      <c r="R2825" s="8">
        <v>0.14799999999999999</v>
      </c>
      <c r="S2825" s="8">
        <v>56185323</v>
      </c>
      <c r="T2825" s="8" t="s">
        <v>24</v>
      </c>
      <c r="U2825" s="8" t="s">
        <v>25</v>
      </c>
    </row>
    <row r="2826" spans="1:21">
      <c r="A2826" s="8" t="s">
        <v>10349</v>
      </c>
      <c r="B2826" s="8" t="s">
        <v>1236</v>
      </c>
      <c r="C2826" s="8">
        <v>390162</v>
      </c>
      <c r="D2826" s="8" t="s">
        <v>83</v>
      </c>
      <c r="E2826" s="8">
        <v>56230339</v>
      </c>
      <c r="F2826" s="8">
        <v>56230339</v>
      </c>
      <c r="G2826" s="8" t="s">
        <v>24</v>
      </c>
      <c r="H2826" s="8" t="s">
        <v>25</v>
      </c>
      <c r="I2826" s="8" t="s">
        <v>23</v>
      </c>
      <c r="J2826" s="8" t="s">
        <v>1237</v>
      </c>
      <c r="K2826" s="8" t="s">
        <v>7455</v>
      </c>
      <c r="L2826" s="8" t="s">
        <v>19</v>
      </c>
      <c r="M2826" s="8">
        <v>539</v>
      </c>
      <c r="N2826" s="8" t="s">
        <v>333</v>
      </c>
      <c r="O2826" s="8">
        <v>180</v>
      </c>
      <c r="P2826" s="8" t="s">
        <v>12151</v>
      </c>
      <c r="Q2826" s="8" t="s">
        <v>4262</v>
      </c>
      <c r="R2826" s="8">
        <v>0.24099999999999999</v>
      </c>
      <c r="S2826" s="8">
        <v>56230339</v>
      </c>
      <c r="T2826" s="8" t="s">
        <v>24</v>
      </c>
      <c r="U2826" s="8" t="s">
        <v>25</v>
      </c>
    </row>
    <row r="2827" spans="1:21">
      <c r="A2827" s="8" t="s">
        <v>10349</v>
      </c>
      <c r="B2827" s="8" t="s">
        <v>12152</v>
      </c>
      <c r="C2827" s="8">
        <v>390072</v>
      </c>
      <c r="D2827" s="8" t="s">
        <v>83</v>
      </c>
      <c r="E2827" s="8">
        <v>5776460</v>
      </c>
      <c r="F2827" s="8">
        <v>5776460</v>
      </c>
      <c r="G2827" s="8" t="s">
        <v>46</v>
      </c>
      <c r="H2827" s="8" t="s">
        <v>41</v>
      </c>
      <c r="I2827" s="8" t="s">
        <v>23</v>
      </c>
      <c r="J2827" s="8" t="s">
        <v>12153</v>
      </c>
      <c r="K2827" s="8" t="s">
        <v>12155</v>
      </c>
      <c r="L2827" s="8" t="s">
        <v>19</v>
      </c>
      <c r="M2827" s="8">
        <v>538</v>
      </c>
      <c r="N2827" s="8" t="s">
        <v>58</v>
      </c>
      <c r="O2827" s="8">
        <v>164</v>
      </c>
      <c r="P2827" s="8" t="s">
        <v>12154</v>
      </c>
      <c r="Q2827" s="8" t="s">
        <v>4262</v>
      </c>
      <c r="R2827" s="8">
        <v>0.13300000000000001</v>
      </c>
      <c r="S2827" s="8">
        <v>5776460</v>
      </c>
      <c r="T2827" s="8" t="s">
        <v>46</v>
      </c>
      <c r="U2827" s="8" t="s">
        <v>41</v>
      </c>
    </row>
    <row r="2828" spans="1:21">
      <c r="A2828" s="8" t="s">
        <v>10349</v>
      </c>
      <c r="B2828" s="8" t="s">
        <v>12156</v>
      </c>
      <c r="C2828" s="8">
        <v>219958</v>
      </c>
      <c r="D2828" s="8" t="s">
        <v>83</v>
      </c>
      <c r="E2828" s="8">
        <v>57971068</v>
      </c>
      <c r="F2828" s="8">
        <v>57971068</v>
      </c>
      <c r="G2828" s="8" t="s">
        <v>24</v>
      </c>
      <c r="H2828" s="8" t="s">
        <v>25</v>
      </c>
      <c r="I2828" s="8" t="s">
        <v>23</v>
      </c>
      <c r="J2828" s="8" t="s">
        <v>12157</v>
      </c>
      <c r="K2828" s="8" t="s">
        <v>12159</v>
      </c>
      <c r="L2828" s="8" t="s">
        <v>19</v>
      </c>
      <c r="M2828" s="8">
        <v>586</v>
      </c>
      <c r="N2828" s="8" t="s">
        <v>415</v>
      </c>
      <c r="O2828" s="8">
        <v>196</v>
      </c>
      <c r="P2828" s="8" t="s">
        <v>12158</v>
      </c>
      <c r="Q2828" s="8" t="s">
        <v>4262</v>
      </c>
      <c r="R2828" s="8">
        <v>0.26100000000000001</v>
      </c>
      <c r="S2828" s="8">
        <v>57971068</v>
      </c>
      <c r="T2828" s="8" t="s">
        <v>24</v>
      </c>
      <c r="U2828" s="8" t="s">
        <v>25</v>
      </c>
    </row>
    <row r="2829" spans="1:21">
      <c r="A2829" s="8" t="s">
        <v>10349</v>
      </c>
      <c r="B2829" s="8" t="s">
        <v>12160</v>
      </c>
      <c r="C2829" s="8">
        <v>219959</v>
      </c>
      <c r="D2829" s="8" t="s">
        <v>83</v>
      </c>
      <c r="E2829" s="8">
        <v>57982382</v>
      </c>
      <c r="F2829" s="8">
        <v>57982382</v>
      </c>
      <c r="G2829" s="8" t="s">
        <v>24</v>
      </c>
      <c r="H2829" s="8" t="s">
        <v>25</v>
      </c>
      <c r="I2829" s="8" t="s">
        <v>23</v>
      </c>
      <c r="J2829" s="8" t="s">
        <v>12161</v>
      </c>
      <c r="K2829" s="8" t="s">
        <v>12163</v>
      </c>
      <c r="L2829" s="8" t="s">
        <v>19</v>
      </c>
      <c r="M2829" s="8">
        <v>166</v>
      </c>
      <c r="N2829" s="8" t="s">
        <v>28</v>
      </c>
      <c r="O2829" s="8">
        <v>56</v>
      </c>
      <c r="P2829" s="8" t="s">
        <v>12162</v>
      </c>
      <c r="Q2829" s="8" t="s">
        <v>4262</v>
      </c>
      <c r="R2829" s="8">
        <v>0.17199999999999999</v>
      </c>
      <c r="S2829" s="8">
        <v>57982382</v>
      </c>
      <c r="T2829" s="8" t="s">
        <v>24</v>
      </c>
      <c r="U2829" s="8" t="s">
        <v>25</v>
      </c>
    </row>
    <row r="2830" spans="1:21">
      <c r="A2830" s="8" t="s">
        <v>10349</v>
      </c>
      <c r="B2830" s="8" t="s">
        <v>12164</v>
      </c>
      <c r="C2830" s="8">
        <v>7439</v>
      </c>
      <c r="D2830" s="8" t="s">
        <v>83</v>
      </c>
      <c r="E2830" s="8">
        <v>61729993</v>
      </c>
      <c r="F2830" s="8">
        <v>61729993</v>
      </c>
      <c r="G2830" s="8" t="s">
        <v>46</v>
      </c>
      <c r="H2830" s="8" t="s">
        <v>41</v>
      </c>
      <c r="I2830" s="8" t="s">
        <v>23</v>
      </c>
      <c r="J2830" s="8" t="s">
        <v>12165</v>
      </c>
      <c r="K2830" s="8" t="s">
        <v>12167</v>
      </c>
      <c r="L2830" s="8" t="s">
        <v>19</v>
      </c>
      <c r="M2830" s="8">
        <v>1947</v>
      </c>
      <c r="N2830" s="8" t="s">
        <v>1421</v>
      </c>
      <c r="O2830" s="8">
        <v>456</v>
      </c>
      <c r="P2830" s="8" t="s">
        <v>12166</v>
      </c>
      <c r="Q2830" s="8" t="s">
        <v>4262</v>
      </c>
      <c r="R2830" s="8">
        <v>0.16700000000000001</v>
      </c>
      <c r="S2830" s="8">
        <v>61729993</v>
      </c>
      <c r="T2830" s="8" t="s">
        <v>46</v>
      </c>
      <c r="U2830" s="8" t="s">
        <v>41</v>
      </c>
    </row>
    <row r="2831" spans="1:21">
      <c r="A2831" s="8" t="s">
        <v>10349</v>
      </c>
      <c r="B2831" s="8" t="s">
        <v>320</v>
      </c>
      <c r="C2831" s="8">
        <v>79026</v>
      </c>
      <c r="D2831" s="8" t="s">
        <v>83</v>
      </c>
      <c r="E2831" s="8">
        <v>62286087</v>
      </c>
      <c r="F2831" s="8">
        <v>62286087</v>
      </c>
      <c r="G2831" s="8" t="s">
        <v>46</v>
      </c>
      <c r="H2831" s="8" t="s">
        <v>41</v>
      </c>
      <c r="I2831" s="8" t="s">
        <v>23</v>
      </c>
      <c r="J2831" s="8" t="s">
        <v>321</v>
      </c>
      <c r="K2831" s="8" t="s">
        <v>12169</v>
      </c>
      <c r="L2831" s="8" t="s">
        <v>19</v>
      </c>
      <c r="M2831" s="8">
        <v>16102</v>
      </c>
      <c r="N2831" s="8" t="s">
        <v>1364</v>
      </c>
      <c r="O2831" s="8">
        <v>5268</v>
      </c>
      <c r="P2831" s="8" t="s">
        <v>12168</v>
      </c>
      <c r="Q2831" s="8" t="s">
        <v>4262</v>
      </c>
      <c r="R2831" s="8">
        <v>0.13200000000000001</v>
      </c>
      <c r="S2831" s="8">
        <v>62286087</v>
      </c>
      <c r="T2831" s="8" t="s">
        <v>46</v>
      </c>
      <c r="U2831" s="8" t="s">
        <v>41</v>
      </c>
    </row>
    <row r="2832" spans="1:21">
      <c r="A2832" s="8" t="s">
        <v>10349</v>
      </c>
      <c r="B2832" s="8" t="s">
        <v>320</v>
      </c>
      <c r="C2832" s="8">
        <v>79026</v>
      </c>
      <c r="D2832" s="8" t="s">
        <v>83</v>
      </c>
      <c r="E2832" s="8">
        <v>62294219</v>
      </c>
      <c r="F2832" s="8">
        <v>62294219</v>
      </c>
      <c r="G2832" s="8" t="s">
        <v>46</v>
      </c>
      <c r="H2832" s="8" t="s">
        <v>41</v>
      </c>
      <c r="I2832" s="8" t="s">
        <v>23</v>
      </c>
      <c r="J2832" s="8" t="s">
        <v>321</v>
      </c>
      <c r="K2832" s="8" t="s">
        <v>12169</v>
      </c>
      <c r="L2832" s="8" t="s">
        <v>19</v>
      </c>
      <c r="M2832" s="8">
        <v>7970</v>
      </c>
      <c r="N2832" s="8" t="s">
        <v>494</v>
      </c>
      <c r="O2832" s="8">
        <v>2557</v>
      </c>
      <c r="P2832" s="8" t="s">
        <v>12170</v>
      </c>
      <c r="Q2832" s="8" t="s">
        <v>4262</v>
      </c>
      <c r="R2832" s="8">
        <v>0.14599999999999999</v>
      </c>
      <c r="S2832" s="8">
        <v>62294219</v>
      </c>
      <c r="T2832" s="8" t="s">
        <v>46</v>
      </c>
      <c r="U2832" s="8" t="s">
        <v>41</v>
      </c>
    </row>
    <row r="2833" spans="1:21">
      <c r="A2833" s="8" t="s">
        <v>10349</v>
      </c>
      <c r="B2833" s="8" t="s">
        <v>12171</v>
      </c>
      <c r="C2833" s="8">
        <v>9219</v>
      </c>
      <c r="D2833" s="8" t="s">
        <v>83</v>
      </c>
      <c r="E2833" s="8">
        <v>62362017</v>
      </c>
      <c r="F2833" s="8">
        <v>62362017</v>
      </c>
      <c r="G2833" s="8" t="s">
        <v>46</v>
      </c>
      <c r="H2833" s="8" t="s">
        <v>41</v>
      </c>
      <c r="I2833" s="8" t="s">
        <v>23</v>
      </c>
      <c r="J2833" s="8" t="s">
        <v>12172</v>
      </c>
      <c r="K2833" s="8" t="s">
        <v>12174</v>
      </c>
      <c r="L2833" s="8" t="s">
        <v>19</v>
      </c>
      <c r="M2833" s="8">
        <v>2053</v>
      </c>
      <c r="N2833" s="8" t="s">
        <v>536</v>
      </c>
      <c r="O2833" s="8">
        <v>555</v>
      </c>
      <c r="P2833" s="8" t="s">
        <v>12173</v>
      </c>
      <c r="Q2833" s="8" t="s">
        <v>4262</v>
      </c>
      <c r="R2833" s="8">
        <v>0.17499999999999999</v>
      </c>
      <c r="S2833" s="8">
        <v>62362017</v>
      </c>
      <c r="T2833" s="8" t="s">
        <v>46</v>
      </c>
      <c r="U2833" s="8" t="s">
        <v>41</v>
      </c>
    </row>
    <row r="2834" spans="1:21">
      <c r="A2834" s="8" t="s">
        <v>10349</v>
      </c>
      <c r="B2834" s="8" t="s">
        <v>2470</v>
      </c>
      <c r="C2834" s="8">
        <v>25824</v>
      </c>
      <c r="D2834" s="8" t="s">
        <v>83</v>
      </c>
      <c r="E2834" s="8">
        <v>64087293</v>
      </c>
      <c r="F2834" s="8">
        <v>64087293</v>
      </c>
      <c r="G2834" s="8" t="s">
        <v>24</v>
      </c>
      <c r="H2834" s="8" t="s">
        <v>25</v>
      </c>
      <c r="I2834" s="8" t="s">
        <v>23</v>
      </c>
      <c r="J2834" s="8" t="s">
        <v>12175</v>
      </c>
      <c r="K2834" s="8" t="s">
        <v>12177</v>
      </c>
      <c r="L2834" s="8" t="s">
        <v>19</v>
      </c>
      <c r="M2834" s="8">
        <v>387</v>
      </c>
      <c r="N2834" s="8" t="s">
        <v>878</v>
      </c>
      <c r="O2834" s="8">
        <v>87</v>
      </c>
      <c r="P2834" s="8" t="s">
        <v>12176</v>
      </c>
      <c r="Q2834" s="8" t="s">
        <v>4262</v>
      </c>
      <c r="R2834" s="8">
        <v>0.17100000000000001</v>
      </c>
      <c r="S2834" s="8">
        <v>64087293</v>
      </c>
      <c r="T2834" s="8" t="s">
        <v>24</v>
      </c>
      <c r="U2834" s="8" t="s">
        <v>25</v>
      </c>
    </row>
    <row r="2835" spans="1:21">
      <c r="A2835" s="8" t="s">
        <v>10349</v>
      </c>
      <c r="B2835" s="8" t="s">
        <v>1981</v>
      </c>
      <c r="C2835" s="8">
        <v>3263</v>
      </c>
      <c r="D2835" s="8" t="s">
        <v>83</v>
      </c>
      <c r="E2835" s="8">
        <v>6459640</v>
      </c>
      <c r="F2835" s="8">
        <v>6459640</v>
      </c>
      <c r="G2835" s="8" t="s">
        <v>46</v>
      </c>
      <c r="H2835" s="8" t="s">
        <v>41</v>
      </c>
      <c r="I2835" s="8" t="s">
        <v>23</v>
      </c>
      <c r="J2835" s="8" t="s">
        <v>12178</v>
      </c>
      <c r="K2835" s="8" t="s">
        <v>12180</v>
      </c>
      <c r="L2835" s="8" t="s">
        <v>19</v>
      </c>
      <c r="M2835" s="8">
        <v>497</v>
      </c>
      <c r="N2835" s="8" t="s">
        <v>768</v>
      </c>
      <c r="O2835" s="8">
        <v>146</v>
      </c>
      <c r="P2835" s="8" t="s">
        <v>12179</v>
      </c>
      <c r="Q2835" s="8" t="s">
        <v>4262</v>
      </c>
      <c r="R2835" s="8">
        <v>0.17799999999999999</v>
      </c>
      <c r="S2835" s="8">
        <v>6459640</v>
      </c>
      <c r="T2835" s="8" t="s">
        <v>46</v>
      </c>
      <c r="U2835" s="8" t="s">
        <v>41</v>
      </c>
    </row>
    <row r="2836" spans="1:21">
      <c r="A2836" s="8" t="s">
        <v>10349</v>
      </c>
      <c r="B2836" s="8" t="s">
        <v>2472</v>
      </c>
      <c r="C2836" s="8">
        <v>10612</v>
      </c>
      <c r="D2836" s="8" t="s">
        <v>83</v>
      </c>
      <c r="E2836" s="8">
        <v>6478018</v>
      </c>
      <c r="F2836" s="8">
        <v>6478018</v>
      </c>
      <c r="G2836" s="8" t="s">
        <v>46</v>
      </c>
      <c r="H2836" s="8" t="s">
        <v>41</v>
      </c>
      <c r="I2836" s="8" t="s">
        <v>23</v>
      </c>
      <c r="J2836" s="8" t="s">
        <v>12181</v>
      </c>
      <c r="K2836" s="8" t="s">
        <v>12183</v>
      </c>
      <c r="L2836" s="8" t="s">
        <v>19</v>
      </c>
      <c r="M2836" s="8">
        <v>1160</v>
      </c>
      <c r="N2836" s="8" t="s">
        <v>205</v>
      </c>
      <c r="O2836" s="8">
        <v>313</v>
      </c>
      <c r="P2836" s="8" t="s">
        <v>12182</v>
      </c>
      <c r="Q2836" s="8" t="s">
        <v>4262</v>
      </c>
      <c r="R2836" s="8">
        <v>0.41199999999999998</v>
      </c>
      <c r="S2836" s="8">
        <v>6478018</v>
      </c>
      <c r="T2836" s="8" t="s">
        <v>46</v>
      </c>
      <c r="U2836" s="8" t="s">
        <v>41</v>
      </c>
    </row>
    <row r="2837" spans="1:21">
      <c r="A2837" s="8" t="s">
        <v>10349</v>
      </c>
      <c r="B2837" s="8" t="s">
        <v>2471</v>
      </c>
      <c r="C2837" s="8">
        <v>5837</v>
      </c>
      <c r="D2837" s="8" t="s">
        <v>83</v>
      </c>
      <c r="E2837" s="8">
        <v>64522783</v>
      </c>
      <c r="F2837" s="8">
        <v>64522783</v>
      </c>
      <c r="G2837" s="8" t="s">
        <v>46</v>
      </c>
      <c r="H2837" s="8" t="s">
        <v>41</v>
      </c>
      <c r="I2837" s="8" t="s">
        <v>23</v>
      </c>
      <c r="J2837" s="8" t="s">
        <v>12184</v>
      </c>
      <c r="K2837" s="8" t="s">
        <v>12186</v>
      </c>
      <c r="L2837" s="8" t="s">
        <v>19</v>
      </c>
      <c r="M2837" s="8">
        <v>1634</v>
      </c>
      <c r="N2837" s="8" t="s">
        <v>941</v>
      </c>
      <c r="O2837" s="8">
        <v>273</v>
      </c>
      <c r="P2837" s="8" t="s">
        <v>12185</v>
      </c>
      <c r="Q2837" s="8" t="s">
        <v>4262</v>
      </c>
      <c r="R2837" s="8">
        <v>0.3</v>
      </c>
      <c r="S2837" s="8">
        <v>64522783</v>
      </c>
      <c r="T2837" s="8" t="s">
        <v>46</v>
      </c>
      <c r="U2837" s="8" t="s">
        <v>41</v>
      </c>
    </row>
    <row r="2838" spans="1:21">
      <c r="A2838" s="8" t="s">
        <v>10349</v>
      </c>
      <c r="B2838" s="8" t="s">
        <v>9126</v>
      </c>
      <c r="C2838" s="8">
        <v>266743</v>
      </c>
      <c r="D2838" s="8" t="s">
        <v>83</v>
      </c>
      <c r="E2838" s="8">
        <v>66192057</v>
      </c>
      <c r="F2838" s="8">
        <v>66192057</v>
      </c>
      <c r="G2838" s="8" t="s">
        <v>24</v>
      </c>
      <c r="H2838" s="8" t="s">
        <v>25</v>
      </c>
      <c r="I2838" s="8" t="s">
        <v>23</v>
      </c>
      <c r="J2838" s="8" t="s">
        <v>9127</v>
      </c>
      <c r="K2838" s="8" t="s">
        <v>9129</v>
      </c>
      <c r="L2838" s="8" t="s">
        <v>19</v>
      </c>
      <c r="M2838" s="8">
        <v>1872</v>
      </c>
      <c r="N2838" s="8" t="s">
        <v>1364</v>
      </c>
      <c r="O2838" s="8">
        <v>566</v>
      </c>
      <c r="P2838" s="8" t="s">
        <v>12187</v>
      </c>
      <c r="Q2838" s="8" t="s">
        <v>4262</v>
      </c>
      <c r="R2838" s="8">
        <v>0.20499999999999999</v>
      </c>
      <c r="S2838" s="8">
        <v>66192057</v>
      </c>
      <c r="T2838" s="8" t="s">
        <v>24</v>
      </c>
      <c r="U2838" s="8" t="s">
        <v>25</v>
      </c>
    </row>
    <row r="2839" spans="1:21">
      <c r="A2839" s="8" t="s">
        <v>10349</v>
      </c>
      <c r="B2839" s="8" t="s">
        <v>12188</v>
      </c>
      <c r="C2839" s="8">
        <v>8642</v>
      </c>
      <c r="D2839" s="8" t="s">
        <v>83</v>
      </c>
      <c r="E2839" s="8">
        <v>6654105</v>
      </c>
      <c r="F2839" s="8">
        <v>6654105</v>
      </c>
      <c r="G2839" s="8" t="s">
        <v>46</v>
      </c>
      <c r="H2839" s="8" t="s">
        <v>41</v>
      </c>
      <c r="I2839" s="8" t="s">
        <v>23</v>
      </c>
      <c r="J2839" s="8" t="s">
        <v>12189</v>
      </c>
      <c r="K2839" s="8" t="s">
        <v>12191</v>
      </c>
      <c r="L2839" s="8" t="s">
        <v>19</v>
      </c>
      <c r="M2839" s="8">
        <v>3045</v>
      </c>
      <c r="N2839" s="8" t="s">
        <v>171</v>
      </c>
      <c r="O2839" s="8">
        <v>880</v>
      </c>
      <c r="P2839" s="8" t="s">
        <v>12190</v>
      </c>
      <c r="Q2839" s="8" t="s">
        <v>4262</v>
      </c>
      <c r="R2839" s="8">
        <v>0.185</v>
      </c>
      <c r="S2839" s="8">
        <v>6654105</v>
      </c>
      <c r="T2839" s="8" t="s">
        <v>46</v>
      </c>
      <c r="U2839" s="8" t="s">
        <v>41</v>
      </c>
    </row>
    <row r="2840" spans="1:21">
      <c r="A2840" s="8" t="s">
        <v>10349</v>
      </c>
      <c r="B2840" s="8" t="s">
        <v>2476</v>
      </c>
      <c r="C2840" s="8">
        <v>338755</v>
      </c>
      <c r="D2840" s="8" t="s">
        <v>83</v>
      </c>
      <c r="E2840" s="8">
        <v>6789387</v>
      </c>
      <c r="F2840" s="8">
        <v>6789387</v>
      </c>
      <c r="G2840" s="8" t="s">
        <v>24</v>
      </c>
      <c r="H2840" s="8" t="s">
        <v>25</v>
      </c>
      <c r="I2840" s="8" t="s">
        <v>23</v>
      </c>
      <c r="J2840" s="8" t="s">
        <v>2477</v>
      </c>
      <c r="K2840" s="8" t="s">
        <v>12193</v>
      </c>
      <c r="L2840" s="8" t="s">
        <v>19</v>
      </c>
      <c r="M2840" s="8">
        <v>802</v>
      </c>
      <c r="N2840" s="8" t="s">
        <v>2400</v>
      </c>
      <c r="O2840" s="8">
        <v>268</v>
      </c>
      <c r="P2840" s="8" t="s">
        <v>12192</v>
      </c>
      <c r="Q2840" s="8" t="s">
        <v>4262</v>
      </c>
      <c r="R2840" s="8">
        <v>0.25</v>
      </c>
      <c r="S2840" s="8">
        <v>6789387</v>
      </c>
      <c r="T2840" s="8" t="s">
        <v>24</v>
      </c>
      <c r="U2840" s="8" t="s">
        <v>25</v>
      </c>
    </row>
    <row r="2841" spans="1:21">
      <c r="A2841" s="8" t="s">
        <v>10349</v>
      </c>
      <c r="B2841" s="8" t="s">
        <v>90</v>
      </c>
      <c r="C2841" s="8">
        <v>22941</v>
      </c>
      <c r="D2841" s="8" t="s">
        <v>83</v>
      </c>
      <c r="E2841" s="8">
        <v>70803556</v>
      </c>
      <c r="F2841" s="8">
        <v>70803556</v>
      </c>
      <c r="G2841" s="8" t="s">
        <v>46</v>
      </c>
      <c r="H2841" s="8" t="s">
        <v>41</v>
      </c>
      <c r="I2841" s="8" t="s">
        <v>23</v>
      </c>
      <c r="J2841" s="8" t="s">
        <v>2478</v>
      </c>
      <c r="K2841" s="8" t="s">
        <v>5344</v>
      </c>
      <c r="L2841" s="8" t="s">
        <v>19</v>
      </c>
      <c r="M2841" s="8">
        <v>902</v>
      </c>
      <c r="N2841" s="8" t="s">
        <v>494</v>
      </c>
      <c r="O2841" s="8">
        <v>275</v>
      </c>
      <c r="P2841" s="8" t="s">
        <v>12194</v>
      </c>
      <c r="Q2841" s="8" t="s">
        <v>4262</v>
      </c>
      <c r="R2841" s="8">
        <v>0.25</v>
      </c>
      <c r="S2841" s="8">
        <v>70803556</v>
      </c>
      <c r="T2841" s="8" t="s">
        <v>46</v>
      </c>
      <c r="U2841" s="8" t="s">
        <v>41</v>
      </c>
    </row>
    <row r="2842" spans="1:21">
      <c r="A2842" s="8" t="s">
        <v>10349</v>
      </c>
      <c r="B2842" s="8" t="s">
        <v>12195</v>
      </c>
      <c r="C2842" s="8">
        <v>283209</v>
      </c>
      <c r="D2842" s="8" t="s">
        <v>83</v>
      </c>
      <c r="E2842" s="8">
        <v>74082801</v>
      </c>
      <c r="F2842" s="8">
        <v>74082801</v>
      </c>
      <c r="G2842" s="8" t="s">
        <v>46</v>
      </c>
      <c r="H2842" s="8" t="s">
        <v>41</v>
      </c>
      <c r="I2842" s="8" t="s">
        <v>23</v>
      </c>
      <c r="J2842" s="8" t="s">
        <v>12196</v>
      </c>
      <c r="K2842" s="8" t="s">
        <v>12198</v>
      </c>
      <c r="L2842" s="8" t="s">
        <v>19</v>
      </c>
      <c r="M2842" s="8">
        <v>637</v>
      </c>
      <c r="N2842" s="8" t="s">
        <v>1399</v>
      </c>
      <c r="O2842" s="8">
        <v>114</v>
      </c>
      <c r="P2842" s="8" t="s">
        <v>12197</v>
      </c>
      <c r="Q2842" s="8" t="s">
        <v>4262</v>
      </c>
      <c r="R2842" s="8">
        <v>0.23699999999999999</v>
      </c>
      <c r="S2842" s="8">
        <v>74082801</v>
      </c>
      <c r="T2842" s="8" t="s">
        <v>46</v>
      </c>
      <c r="U2842" s="8" t="s">
        <v>41</v>
      </c>
    </row>
    <row r="2843" spans="1:21">
      <c r="A2843" s="8" t="s">
        <v>10349</v>
      </c>
      <c r="B2843" s="8" t="s">
        <v>12199</v>
      </c>
      <c r="C2843" s="8">
        <v>10008</v>
      </c>
      <c r="D2843" s="8" t="s">
        <v>83</v>
      </c>
      <c r="E2843" s="8">
        <v>74168514</v>
      </c>
      <c r="F2843" s="8">
        <v>74168514</v>
      </c>
      <c r="G2843" s="8" t="s">
        <v>46</v>
      </c>
      <c r="H2843" s="8" t="s">
        <v>41</v>
      </c>
      <c r="I2843" s="8" t="s">
        <v>23</v>
      </c>
      <c r="J2843" s="8" t="s">
        <v>12200</v>
      </c>
      <c r="K2843" s="8" t="s">
        <v>12202</v>
      </c>
      <c r="L2843" s="8" t="s">
        <v>19</v>
      </c>
      <c r="M2843" s="8">
        <v>442</v>
      </c>
      <c r="N2843" s="8" t="s">
        <v>61</v>
      </c>
      <c r="O2843" s="8">
        <v>32</v>
      </c>
      <c r="P2843" s="8" t="s">
        <v>12201</v>
      </c>
      <c r="Q2843" s="8" t="s">
        <v>4262</v>
      </c>
      <c r="R2843" s="8">
        <v>0.25</v>
      </c>
      <c r="S2843" s="8">
        <v>74168514</v>
      </c>
      <c r="T2843" s="8" t="s">
        <v>46</v>
      </c>
      <c r="U2843" s="8" t="s">
        <v>41</v>
      </c>
    </row>
    <row r="2844" spans="1:21">
      <c r="A2844" s="8" t="s">
        <v>10349</v>
      </c>
      <c r="B2844" s="8" t="s">
        <v>12203</v>
      </c>
      <c r="C2844" s="8">
        <v>51773</v>
      </c>
      <c r="D2844" s="8" t="s">
        <v>83</v>
      </c>
      <c r="E2844" s="8">
        <v>77413072</v>
      </c>
      <c r="F2844" s="8">
        <v>77413072</v>
      </c>
      <c r="G2844" s="8" t="s">
        <v>46</v>
      </c>
      <c r="H2844" s="8" t="s">
        <v>41</v>
      </c>
      <c r="I2844" s="8" t="s">
        <v>23</v>
      </c>
      <c r="J2844" s="8" t="s">
        <v>12204</v>
      </c>
      <c r="K2844" s="8" t="s">
        <v>12206</v>
      </c>
      <c r="L2844" s="8" t="s">
        <v>19</v>
      </c>
      <c r="M2844" s="8">
        <v>1322</v>
      </c>
      <c r="N2844" s="8" t="s">
        <v>494</v>
      </c>
      <c r="O2844" s="8">
        <v>401</v>
      </c>
      <c r="P2844" s="8" t="s">
        <v>12205</v>
      </c>
      <c r="Q2844" s="8" t="s">
        <v>4262</v>
      </c>
      <c r="R2844" s="8">
        <v>0.26700000000000002</v>
      </c>
      <c r="S2844" s="8">
        <v>77413072</v>
      </c>
      <c r="T2844" s="8" t="s">
        <v>46</v>
      </c>
      <c r="U2844" s="8" t="s">
        <v>41</v>
      </c>
    </row>
    <row r="2845" spans="1:21">
      <c r="A2845" s="8" t="s">
        <v>10349</v>
      </c>
      <c r="B2845" s="8" t="s">
        <v>12207</v>
      </c>
      <c r="C2845" s="8">
        <v>57558</v>
      </c>
      <c r="D2845" s="8" t="s">
        <v>83</v>
      </c>
      <c r="E2845" s="8">
        <v>77917062</v>
      </c>
      <c r="F2845" s="8">
        <v>77917062</v>
      </c>
      <c r="G2845" s="8" t="s">
        <v>24</v>
      </c>
      <c r="H2845" s="8" t="s">
        <v>25</v>
      </c>
      <c r="I2845" s="8" t="s">
        <v>23</v>
      </c>
      <c r="J2845" s="8" t="s">
        <v>12208</v>
      </c>
      <c r="K2845" s="8" t="s">
        <v>12210</v>
      </c>
      <c r="L2845" s="8" t="s">
        <v>19</v>
      </c>
      <c r="M2845" s="8">
        <v>1728</v>
      </c>
      <c r="N2845" s="8" t="s">
        <v>155</v>
      </c>
      <c r="O2845" s="8">
        <v>458</v>
      </c>
      <c r="P2845" s="8" t="s">
        <v>12209</v>
      </c>
      <c r="Q2845" s="8" t="s">
        <v>4262</v>
      </c>
      <c r="R2845" s="8">
        <v>0.18</v>
      </c>
      <c r="S2845" s="8">
        <v>77917062</v>
      </c>
      <c r="T2845" s="8" t="s">
        <v>24</v>
      </c>
      <c r="U2845" s="8" t="s">
        <v>25</v>
      </c>
    </row>
    <row r="2846" spans="1:21">
      <c r="A2846" s="8" t="s">
        <v>10349</v>
      </c>
      <c r="B2846" s="8" t="s">
        <v>12211</v>
      </c>
      <c r="C2846" s="8">
        <v>65975</v>
      </c>
      <c r="D2846" s="8" t="s">
        <v>83</v>
      </c>
      <c r="E2846" s="8">
        <v>8414119</v>
      </c>
      <c r="F2846" s="8">
        <v>8414119</v>
      </c>
      <c r="G2846" s="8" t="s">
        <v>46</v>
      </c>
      <c r="H2846" s="8" t="s">
        <v>41</v>
      </c>
      <c r="I2846" s="8" t="s">
        <v>23</v>
      </c>
      <c r="J2846" s="8" t="s">
        <v>12212</v>
      </c>
      <c r="K2846" s="8" t="s">
        <v>12214</v>
      </c>
      <c r="L2846" s="8" t="s">
        <v>19</v>
      </c>
      <c r="M2846" s="8">
        <v>2006</v>
      </c>
      <c r="N2846" s="8" t="s">
        <v>1364</v>
      </c>
      <c r="O2846" s="8">
        <v>495</v>
      </c>
      <c r="P2846" s="8" t="s">
        <v>12213</v>
      </c>
      <c r="Q2846" s="8" t="s">
        <v>4262</v>
      </c>
      <c r="R2846" s="8">
        <v>0.25600000000000001</v>
      </c>
      <c r="S2846" s="8">
        <v>8414119</v>
      </c>
      <c r="T2846" s="8" t="s">
        <v>46</v>
      </c>
      <c r="U2846" s="8" t="s">
        <v>41</v>
      </c>
    </row>
    <row r="2847" spans="1:21">
      <c r="A2847" s="8" t="s">
        <v>10349</v>
      </c>
      <c r="B2847" s="8" t="s">
        <v>12215</v>
      </c>
      <c r="C2847" s="8">
        <v>54843</v>
      </c>
      <c r="D2847" s="8" t="s">
        <v>83</v>
      </c>
      <c r="E2847" s="8">
        <v>85436743</v>
      </c>
      <c r="F2847" s="8">
        <v>85436743</v>
      </c>
      <c r="G2847" s="8" t="s">
        <v>46</v>
      </c>
      <c r="H2847" s="8" t="s">
        <v>41</v>
      </c>
      <c r="I2847" s="8" t="s">
        <v>23</v>
      </c>
      <c r="J2847" s="8" t="s">
        <v>12216</v>
      </c>
      <c r="K2847" s="8" t="s">
        <v>12218</v>
      </c>
      <c r="L2847" s="8" t="s">
        <v>19</v>
      </c>
      <c r="M2847" s="8">
        <v>769</v>
      </c>
      <c r="N2847" s="8" t="s">
        <v>1070</v>
      </c>
      <c r="O2847" s="8">
        <v>253</v>
      </c>
      <c r="P2847" s="8" t="s">
        <v>12217</v>
      </c>
      <c r="Q2847" s="8" t="s">
        <v>4262</v>
      </c>
      <c r="R2847" s="8">
        <v>0.19400000000000001</v>
      </c>
      <c r="S2847" s="8">
        <v>85436743</v>
      </c>
      <c r="T2847" s="8" t="s">
        <v>46</v>
      </c>
      <c r="U2847" s="8" t="s">
        <v>41</v>
      </c>
    </row>
    <row r="2848" spans="1:21">
      <c r="A2848" s="8" t="s">
        <v>10349</v>
      </c>
      <c r="B2848" s="8" t="s">
        <v>1988</v>
      </c>
      <c r="C2848" s="8">
        <v>1075</v>
      </c>
      <c r="D2848" s="8" t="s">
        <v>83</v>
      </c>
      <c r="E2848" s="8">
        <v>88027267</v>
      </c>
      <c r="F2848" s="8">
        <v>88027267</v>
      </c>
      <c r="G2848" s="8" t="s">
        <v>46</v>
      </c>
      <c r="H2848" s="8" t="s">
        <v>41</v>
      </c>
      <c r="I2848" s="8" t="s">
        <v>23</v>
      </c>
      <c r="J2848" s="8" t="s">
        <v>12219</v>
      </c>
      <c r="K2848" s="8" t="s">
        <v>12221</v>
      </c>
      <c r="L2848" s="8" t="s">
        <v>76</v>
      </c>
      <c r="M2848" s="8">
        <v>1400</v>
      </c>
      <c r="N2848" s="8" t="s">
        <v>716</v>
      </c>
      <c r="O2848" s="8">
        <v>433</v>
      </c>
      <c r="P2848" s="8" t="s">
        <v>12220</v>
      </c>
      <c r="Q2848" s="8" t="s">
        <v>4262</v>
      </c>
      <c r="R2848" s="8">
        <v>0.216</v>
      </c>
      <c r="S2848" s="8">
        <v>88027267</v>
      </c>
      <c r="T2848" s="8" t="s">
        <v>46</v>
      </c>
      <c r="U2848" s="8" t="s">
        <v>41</v>
      </c>
    </row>
    <row r="2849" spans="1:21">
      <c r="A2849" s="8" t="s">
        <v>10349</v>
      </c>
      <c r="B2849" s="8" t="s">
        <v>2479</v>
      </c>
      <c r="C2849" s="8">
        <v>57758</v>
      </c>
      <c r="D2849" s="8" t="s">
        <v>83</v>
      </c>
      <c r="E2849" s="8">
        <v>9080913</v>
      </c>
      <c r="F2849" s="8">
        <v>9080913</v>
      </c>
      <c r="G2849" s="8" t="s">
        <v>46</v>
      </c>
      <c r="H2849" s="8" t="s">
        <v>41</v>
      </c>
      <c r="I2849" s="8" t="s">
        <v>23</v>
      </c>
      <c r="J2849" s="8" t="s">
        <v>12222</v>
      </c>
      <c r="K2849" s="8" t="s">
        <v>12224</v>
      </c>
      <c r="L2849" s="8" t="s">
        <v>19</v>
      </c>
      <c r="M2849" s="8">
        <v>1102</v>
      </c>
      <c r="N2849" s="8" t="s">
        <v>536</v>
      </c>
      <c r="O2849" s="8">
        <v>343</v>
      </c>
      <c r="P2849" s="8" t="s">
        <v>12223</v>
      </c>
      <c r="Q2849" s="8" t="s">
        <v>4262</v>
      </c>
      <c r="R2849" s="8">
        <v>0.28599999999999998</v>
      </c>
      <c r="S2849" s="8">
        <v>9080913</v>
      </c>
      <c r="T2849" s="8" t="s">
        <v>46</v>
      </c>
      <c r="U2849" s="8" t="s">
        <v>41</v>
      </c>
    </row>
    <row r="2850" spans="1:21">
      <c r="A2850" s="8" t="s">
        <v>10349</v>
      </c>
      <c r="B2850" s="8" t="s">
        <v>2169</v>
      </c>
      <c r="C2850" s="8">
        <v>120114</v>
      </c>
      <c r="D2850" s="8" t="s">
        <v>83</v>
      </c>
      <c r="E2850" s="8">
        <v>92085559</v>
      </c>
      <c r="F2850" s="8">
        <v>92085559</v>
      </c>
      <c r="G2850" s="8" t="s">
        <v>46</v>
      </c>
      <c r="H2850" s="8" t="s">
        <v>41</v>
      </c>
      <c r="I2850" s="8" t="s">
        <v>23</v>
      </c>
      <c r="J2850" s="8" t="s">
        <v>3608</v>
      </c>
      <c r="K2850" s="8" t="s">
        <v>7485</v>
      </c>
      <c r="L2850" s="8" t="s">
        <v>19</v>
      </c>
      <c r="M2850" s="8">
        <v>298</v>
      </c>
      <c r="N2850" s="8" t="s">
        <v>417</v>
      </c>
      <c r="O2850" s="8">
        <v>94</v>
      </c>
      <c r="P2850" s="8" t="s">
        <v>12225</v>
      </c>
      <c r="Q2850" s="8" t="s">
        <v>4262</v>
      </c>
      <c r="R2850" s="8">
        <v>0.11799999999999999</v>
      </c>
      <c r="S2850" s="8">
        <v>92085559</v>
      </c>
      <c r="T2850" s="8" t="s">
        <v>46</v>
      </c>
      <c r="U2850" s="8" t="s">
        <v>41</v>
      </c>
    </row>
    <row r="2851" spans="1:21">
      <c r="A2851" s="8" t="s">
        <v>10349</v>
      </c>
      <c r="B2851" s="8" t="s">
        <v>2169</v>
      </c>
      <c r="C2851" s="8">
        <v>120114</v>
      </c>
      <c r="D2851" s="8" t="s">
        <v>83</v>
      </c>
      <c r="E2851" s="8">
        <v>92533516</v>
      </c>
      <c r="F2851" s="8">
        <v>92533516</v>
      </c>
      <c r="G2851" s="8" t="s">
        <v>24</v>
      </c>
      <c r="H2851" s="8" t="s">
        <v>25</v>
      </c>
      <c r="I2851" s="8" t="s">
        <v>23</v>
      </c>
      <c r="J2851" s="8" t="s">
        <v>3608</v>
      </c>
      <c r="K2851" s="8" t="s">
        <v>7485</v>
      </c>
      <c r="L2851" s="8" t="s">
        <v>19</v>
      </c>
      <c r="M2851" s="8">
        <v>7354</v>
      </c>
      <c r="N2851" s="8" t="s">
        <v>708</v>
      </c>
      <c r="O2851" s="8">
        <v>2446</v>
      </c>
      <c r="P2851" s="8" t="s">
        <v>12226</v>
      </c>
      <c r="Q2851" s="8" t="s">
        <v>4262</v>
      </c>
      <c r="R2851" s="8">
        <v>0.14000000000000001</v>
      </c>
      <c r="S2851" s="8">
        <v>92533516</v>
      </c>
      <c r="T2851" s="8" t="s">
        <v>24</v>
      </c>
      <c r="U2851" s="8" t="s">
        <v>25</v>
      </c>
    </row>
    <row r="2852" spans="1:21">
      <c r="A2852" s="8" t="s">
        <v>10349</v>
      </c>
      <c r="B2852" s="8" t="s">
        <v>2480</v>
      </c>
      <c r="C2852" s="8">
        <v>4361</v>
      </c>
      <c r="D2852" s="8" t="s">
        <v>83</v>
      </c>
      <c r="E2852" s="8">
        <v>94203782</v>
      </c>
      <c r="F2852" s="8">
        <v>94203782</v>
      </c>
      <c r="G2852" s="8" t="s">
        <v>46</v>
      </c>
      <c r="H2852" s="8" t="s">
        <v>41</v>
      </c>
      <c r="I2852" s="8" t="s">
        <v>23</v>
      </c>
      <c r="J2852" s="8" t="s">
        <v>12227</v>
      </c>
      <c r="K2852" s="8" t="s">
        <v>12229</v>
      </c>
      <c r="L2852" s="8" t="s">
        <v>19</v>
      </c>
      <c r="M2852" s="8">
        <v>1061</v>
      </c>
      <c r="N2852" s="8" t="s">
        <v>1399</v>
      </c>
      <c r="O2852" s="8">
        <v>291</v>
      </c>
      <c r="P2852" s="8" t="s">
        <v>12228</v>
      </c>
      <c r="Q2852" s="8" t="s">
        <v>4262</v>
      </c>
      <c r="R2852" s="8">
        <v>0.26900000000000002</v>
      </c>
      <c r="S2852" s="8">
        <v>94203782</v>
      </c>
      <c r="T2852" s="8" t="s">
        <v>46</v>
      </c>
      <c r="U2852" s="8" t="s">
        <v>41</v>
      </c>
    </row>
    <row r="2853" spans="1:21">
      <c r="A2853" s="8" t="s">
        <v>10349</v>
      </c>
      <c r="B2853" s="8" t="s">
        <v>2450</v>
      </c>
      <c r="C2853" s="8">
        <v>330</v>
      </c>
      <c r="D2853" s="8" t="s">
        <v>83</v>
      </c>
      <c r="E2853" s="8">
        <v>102195634</v>
      </c>
      <c r="F2853" s="8">
        <v>102195634</v>
      </c>
      <c r="G2853" s="8" t="s">
        <v>24</v>
      </c>
      <c r="H2853" s="8" t="s">
        <v>25</v>
      </c>
      <c r="I2853" s="8" t="s">
        <v>23</v>
      </c>
      <c r="J2853" s="8" t="s">
        <v>12230</v>
      </c>
      <c r="K2853" s="8" t="s">
        <v>12232</v>
      </c>
      <c r="L2853" s="8" t="s">
        <v>19</v>
      </c>
      <c r="M2853" s="8">
        <v>616</v>
      </c>
      <c r="N2853" s="8" t="s">
        <v>1364</v>
      </c>
      <c r="O2853" s="8">
        <v>132</v>
      </c>
      <c r="P2853" s="8" t="s">
        <v>12231</v>
      </c>
      <c r="Q2853" s="8" t="s">
        <v>4262</v>
      </c>
      <c r="R2853" s="8">
        <v>0.19700000000000001</v>
      </c>
      <c r="S2853" s="8">
        <v>102195634</v>
      </c>
      <c r="T2853" s="8" t="s">
        <v>24</v>
      </c>
      <c r="U2853" s="8" t="s">
        <v>25</v>
      </c>
    </row>
    <row r="2854" spans="1:21">
      <c r="A2854" s="8" t="s">
        <v>10349</v>
      </c>
      <c r="B2854" s="8" t="s">
        <v>3836</v>
      </c>
      <c r="C2854" s="8">
        <v>64066</v>
      </c>
      <c r="D2854" s="8" t="s">
        <v>83</v>
      </c>
      <c r="E2854" s="8">
        <v>102563723</v>
      </c>
      <c r="F2854" s="8">
        <v>102563723</v>
      </c>
      <c r="G2854" s="8" t="s">
        <v>46</v>
      </c>
      <c r="H2854" s="8" t="s">
        <v>41</v>
      </c>
      <c r="I2854" s="8" t="s">
        <v>23</v>
      </c>
      <c r="J2854" s="8" t="s">
        <v>3837</v>
      </c>
      <c r="K2854" s="8" t="s">
        <v>4817</v>
      </c>
      <c r="L2854" s="8" t="s">
        <v>19</v>
      </c>
      <c r="M2854" s="8">
        <v>1266</v>
      </c>
      <c r="N2854" s="8" t="s">
        <v>322</v>
      </c>
      <c r="O2854" s="8">
        <v>415</v>
      </c>
      <c r="P2854" s="8" t="s">
        <v>12233</v>
      </c>
      <c r="Q2854" s="8" t="s">
        <v>4262</v>
      </c>
      <c r="R2854" s="8">
        <v>0.13900000000000001</v>
      </c>
      <c r="S2854" s="8">
        <v>102563723</v>
      </c>
      <c r="T2854" s="8" t="s">
        <v>46</v>
      </c>
      <c r="U2854" s="8" t="s">
        <v>41</v>
      </c>
    </row>
    <row r="2855" spans="1:21">
      <c r="A2855" s="8" t="s">
        <v>10349</v>
      </c>
      <c r="B2855" s="8" t="s">
        <v>12234</v>
      </c>
      <c r="C2855" s="8">
        <v>4321</v>
      </c>
      <c r="D2855" s="8" t="s">
        <v>83</v>
      </c>
      <c r="E2855" s="8">
        <v>102738747</v>
      </c>
      <c r="F2855" s="8">
        <v>102738747</v>
      </c>
      <c r="G2855" s="8" t="s">
        <v>46</v>
      </c>
      <c r="H2855" s="8" t="s">
        <v>41</v>
      </c>
      <c r="I2855" s="8" t="s">
        <v>23</v>
      </c>
      <c r="J2855" s="8" t="s">
        <v>12235</v>
      </c>
      <c r="K2855" s="8" t="s">
        <v>12237</v>
      </c>
      <c r="L2855" s="8" t="s">
        <v>19</v>
      </c>
      <c r="M2855" s="8">
        <v>776</v>
      </c>
      <c r="N2855" s="8" t="s">
        <v>536</v>
      </c>
      <c r="O2855" s="8">
        <v>227</v>
      </c>
      <c r="P2855" s="8" t="s">
        <v>12236</v>
      </c>
      <c r="Q2855" s="8" t="s">
        <v>4262</v>
      </c>
      <c r="R2855" s="8">
        <v>0.20499999999999999</v>
      </c>
      <c r="S2855" s="8">
        <v>102738747</v>
      </c>
      <c r="T2855" s="8" t="s">
        <v>46</v>
      </c>
      <c r="U2855" s="8" t="s">
        <v>41</v>
      </c>
    </row>
    <row r="2856" spans="1:21">
      <c r="A2856" s="8" t="s">
        <v>10349</v>
      </c>
      <c r="B2856" s="8" t="s">
        <v>12234</v>
      </c>
      <c r="C2856" s="8">
        <v>4321</v>
      </c>
      <c r="D2856" s="8" t="s">
        <v>83</v>
      </c>
      <c r="E2856" s="8">
        <v>102743629</v>
      </c>
      <c r="F2856" s="8">
        <v>102743629</v>
      </c>
      <c r="G2856" s="8" t="s">
        <v>46</v>
      </c>
      <c r="H2856" s="8" t="s">
        <v>41</v>
      </c>
      <c r="I2856" s="8" t="s">
        <v>23</v>
      </c>
      <c r="J2856" s="8" t="s">
        <v>12235</v>
      </c>
      <c r="K2856" s="8" t="s">
        <v>12237</v>
      </c>
      <c r="L2856" s="8" t="s">
        <v>19</v>
      </c>
      <c r="M2856" s="8">
        <v>413</v>
      </c>
      <c r="N2856" s="8" t="s">
        <v>28</v>
      </c>
      <c r="O2856" s="8">
        <v>106</v>
      </c>
      <c r="P2856" s="8" t="s">
        <v>12238</v>
      </c>
      <c r="Q2856" s="8" t="s">
        <v>4262</v>
      </c>
      <c r="R2856" s="8">
        <v>0.122</v>
      </c>
      <c r="S2856" s="8">
        <v>102743629</v>
      </c>
      <c r="T2856" s="8" t="s">
        <v>46</v>
      </c>
      <c r="U2856" s="8" t="s">
        <v>41</v>
      </c>
    </row>
    <row r="2857" spans="1:21">
      <c r="A2857" s="8" t="s">
        <v>10349</v>
      </c>
      <c r="B2857" s="8" t="s">
        <v>3746</v>
      </c>
      <c r="C2857" s="8">
        <v>4583</v>
      </c>
      <c r="D2857" s="8" t="s">
        <v>83</v>
      </c>
      <c r="E2857" s="8">
        <v>1093742</v>
      </c>
      <c r="F2857" s="8">
        <v>1093742</v>
      </c>
      <c r="G2857" s="8" t="s">
        <v>46</v>
      </c>
      <c r="H2857" s="8" t="s">
        <v>41</v>
      </c>
      <c r="I2857" s="8" t="s">
        <v>23</v>
      </c>
      <c r="J2857" s="8" t="s">
        <v>3747</v>
      </c>
      <c r="K2857" s="8" t="s">
        <v>7486</v>
      </c>
      <c r="L2857" s="8" t="s">
        <v>19</v>
      </c>
      <c r="M2857" s="8">
        <v>5573</v>
      </c>
      <c r="N2857" s="8" t="s">
        <v>1140</v>
      </c>
      <c r="O2857" s="8">
        <v>1849</v>
      </c>
      <c r="P2857" s="8" t="s">
        <v>12239</v>
      </c>
      <c r="Q2857" s="8" t="s">
        <v>4262</v>
      </c>
      <c r="R2857" s="8">
        <v>0.20899999999999999</v>
      </c>
      <c r="S2857" s="8">
        <v>1093742</v>
      </c>
      <c r="T2857" s="8" t="s">
        <v>46</v>
      </c>
      <c r="U2857" s="8" t="s">
        <v>41</v>
      </c>
    </row>
    <row r="2858" spans="1:21">
      <c r="A2858" s="8" t="s">
        <v>10349</v>
      </c>
      <c r="B2858" s="8" t="s">
        <v>2452</v>
      </c>
      <c r="C2858" s="8">
        <v>143884</v>
      </c>
      <c r="D2858" s="8" t="s">
        <v>83</v>
      </c>
      <c r="E2858" s="8">
        <v>107313682</v>
      </c>
      <c r="F2858" s="8">
        <v>107313682</v>
      </c>
      <c r="G2858" s="8" t="s">
        <v>46</v>
      </c>
      <c r="H2858" s="8" t="s">
        <v>25</v>
      </c>
      <c r="I2858" s="8" t="s">
        <v>23</v>
      </c>
      <c r="J2858" s="8" t="s">
        <v>2453</v>
      </c>
      <c r="K2858" s="8" t="s">
        <v>12241</v>
      </c>
      <c r="L2858" s="8" t="s">
        <v>19</v>
      </c>
      <c r="M2858" s="8">
        <v>463</v>
      </c>
      <c r="N2858" s="8" t="s">
        <v>463</v>
      </c>
      <c r="O2858" s="8">
        <v>145</v>
      </c>
      <c r="P2858" s="8" t="s">
        <v>12240</v>
      </c>
      <c r="Q2858" s="8" t="s">
        <v>4262</v>
      </c>
      <c r="R2858" s="8">
        <v>0.20799999999999999</v>
      </c>
      <c r="S2858" s="8">
        <v>107313682</v>
      </c>
      <c r="T2858" s="8" t="s">
        <v>46</v>
      </c>
      <c r="U2858" s="8" t="s">
        <v>25</v>
      </c>
    </row>
    <row r="2859" spans="1:21">
      <c r="A2859" s="8" t="s">
        <v>10349</v>
      </c>
      <c r="B2859" s="8" t="s">
        <v>2454</v>
      </c>
      <c r="C2859" s="8">
        <v>54734</v>
      </c>
      <c r="D2859" s="8" t="s">
        <v>83</v>
      </c>
      <c r="E2859" s="8">
        <v>107833040</v>
      </c>
      <c r="F2859" s="8">
        <v>107833040</v>
      </c>
      <c r="G2859" s="8" t="s">
        <v>46</v>
      </c>
      <c r="H2859" s="8" t="s">
        <v>41</v>
      </c>
      <c r="I2859" s="8" t="s">
        <v>23</v>
      </c>
      <c r="J2859" s="8" t="s">
        <v>2455</v>
      </c>
      <c r="K2859" s="8" t="s">
        <v>12243</v>
      </c>
      <c r="L2859" s="8" t="s">
        <v>19</v>
      </c>
      <c r="M2859" s="8">
        <v>614</v>
      </c>
      <c r="N2859" s="8" t="s">
        <v>522</v>
      </c>
      <c r="O2859" s="8">
        <v>199</v>
      </c>
      <c r="P2859" s="8" t="s">
        <v>12242</v>
      </c>
      <c r="Q2859" s="8" t="s">
        <v>4262</v>
      </c>
      <c r="R2859" s="8">
        <v>0.28599999999999998</v>
      </c>
      <c r="S2859" s="8">
        <v>107833040</v>
      </c>
      <c r="T2859" s="8" t="s">
        <v>46</v>
      </c>
      <c r="U2859" s="8" t="s">
        <v>41</v>
      </c>
    </row>
    <row r="2860" spans="1:21">
      <c r="A2860" s="8" t="s">
        <v>10349</v>
      </c>
      <c r="B2860" s="8" t="s">
        <v>12244</v>
      </c>
      <c r="C2860" s="8">
        <v>2230</v>
      </c>
      <c r="D2860" s="8" t="s">
        <v>83</v>
      </c>
      <c r="E2860" s="8">
        <v>110327725</v>
      </c>
      <c r="F2860" s="8">
        <v>110327725</v>
      </c>
      <c r="G2860" s="8" t="s">
        <v>24</v>
      </c>
      <c r="H2860" s="8" t="s">
        <v>25</v>
      </c>
      <c r="I2860" s="8" t="s">
        <v>23</v>
      </c>
      <c r="J2860" s="8" t="s">
        <v>12245</v>
      </c>
      <c r="K2860" s="8" t="s">
        <v>12247</v>
      </c>
      <c r="L2860" s="8" t="s">
        <v>19</v>
      </c>
      <c r="M2860" s="8">
        <v>645</v>
      </c>
      <c r="N2860" s="8" t="s">
        <v>557</v>
      </c>
      <c r="O2860" s="8">
        <v>132</v>
      </c>
      <c r="P2860" s="8" t="s">
        <v>12246</v>
      </c>
      <c r="Q2860" s="8" t="s">
        <v>4262</v>
      </c>
      <c r="R2860" s="8">
        <v>0.2</v>
      </c>
      <c r="S2860" s="8">
        <v>110327725</v>
      </c>
      <c r="T2860" s="8" t="s">
        <v>24</v>
      </c>
      <c r="U2860" s="8" t="s">
        <v>25</v>
      </c>
    </row>
    <row r="2861" spans="1:21">
      <c r="A2861" s="8" t="s">
        <v>10349</v>
      </c>
      <c r="B2861" s="8" t="s">
        <v>12248</v>
      </c>
      <c r="C2861" s="8">
        <v>57569</v>
      </c>
      <c r="D2861" s="8" t="s">
        <v>83</v>
      </c>
      <c r="E2861" s="8">
        <v>110451847</v>
      </c>
      <c r="F2861" s="8">
        <v>110451847</v>
      </c>
      <c r="G2861" s="8" t="s">
        <v>46</v>
      </c>
      <c r="H2861" s="8" t="s">
        <v>41</v>
      </c>
      <c r="I2861" s="8" t="s">
        <v>23</v>
      </c>
      <c r="J2861" s="8" t="s">
        <v>12249</v>
      </c>
      <c r="K2861" s="8" t="s">
        <v>12251</v>
      </c>
      <c r="L2861" s="8" t="s">
        <v>19</v>
      </c>
      <c r="M2861" s="8">
        <v>2108</v>
      </c>
      <c r="N2861" s="8" t="s">
        <v>205</v>
      </c>
      <c r="O2861" s="8">
        <v>608</v>
      </c>
      <c r="P2861" s="8" t="s">
        <v>12250</v>
      </c>
      <c r="Q2861" s="8" t="s">
        <v>4262</v>
      </c>
      <c r="R2861" s="8">
        <v>0.31</v>
      </c>
      <c r="S2861" s="8">
        <v>110451847</v>
      </c>
      <c r="T2861" s="8" t="s">
        <v>46</v>
      </c>
      <c r="U2861" s="8" t="s">
        <v>41</v>
      </c>
    </row>
    <row r="2862" spans="1:21">
      <c r="A2862" s="8" t="s">
        <v>10349</v>
      </c>
      <c r="B2862" s="8" t="s">
        <v>2456</v>
      </c>
      <c r="C2862" s="8">
        <v>283106</v>
      </c>
      <c r="D2862" s="8" t="s">
        <v>83</v>
      </c>
      <c r="E2862" s="8">
        <v>11374139</v>
      </c>
      <c r="F2862" s="8">
        <v>11374139</v>
      </c>
      <c r="G2862" s="8" t="s">
        <v>46</v>
      </c>
      <c r="H2862" s="8" t="s">
        <v>41</v>
      </c>
      <c r="I2862" s="8" t="s">
        <v>23</v>
      </c>
      <c r="J2862" s="8" t="s">
        <v>2457</v>
      </c>
      <c r="K2862" s="8" t="s">
        <v>12253</v>
      </c>
      <c r="L2862" s="8" t="s">
        <v>76</v>
      </c>
      <c r="M2862" s="8">
        <v>766</v>
      </c>
      <c r="N2862" s="8" t="s">
        <v>716</v>
      </c>
      <c r="O2862" s="8">
        <v>176</v>
      </c>
      <c r="P2862" s="8" t="s">
        <v>12252</v>
      </c>
      <c r="Q2862" s="8" t="s">
        <v>4262</v>
      </c>
      <c r="R2862" s="8">
        <v>0.28599999999999998</v>
      </c>
      <c r="S2862" s="8">
        <v>11374139</v>
      </c>
      <c r="T2862" s="8" t="s">
        <v>46</v>
      </c>
      <c r="U2862" s="8" t="s">
        <v>41</v>
      </c>
    </row>
    <row r="2863" spans="1:21">
      <c r="A2863" s="8" t="s">
        <v>10349</v>
      </c>
      <c r="B2863" s="8" t="s">
        <v>12254</v>
      </c>
      <c r="C2863" s="8">
        <v>9177</v>
      </c>
      <c r="D2863" s="8" t="s">
        <v>83</v>
      </c>
      <c r="E2863" s="8">
        <v>113802563</v>
      </c>
      <c r="F2863" s="8">
        <v>113802563</v>
      </c>
      <c r="G2863" s="8" t="s">
        <v>24</v>
      </c>
      <c r="H2863" s="8" t="s">
        <v>25</v>
      </c>
      <c r="I2863" s="8" t="s">
        <v>23</v>
      </c>
      <c r="J2863" s="8" t="s">
        <v>12255</v>
      </c>
      <c r="K2863" s="8" t="s">
        <v>12257</v>
      </c>
      <c r="L2863" s="8" t="s">
        <v>76</v>
      </c>
      <c r="M2863" s="8">
        <v>409</v>
      </c>
      <c r="N2863" s="8" t="s">
        <v>716</v>
      </c>
      <c r="O2863" s="8">
        <v>114</v>
      </c>
      <c r="P2863" s="8" t="s">
        <v>12256</v>
      </c>
      <c r="Q2863" s="8" t="s">
        <v>4262</v>
      </c>
      <c r="R2863" s="8">
        <v>0.14000000000000001</v>
      </c>
      <c r="S2863" s="8">
        <v>113802563</v>
      </c>
      <c r="T2863" s="8" t="s">
        <v>24</v>
      </c>
      <c r="U2863" s="8" t="s">
        <v>25</v>
      </c>
    </row>
    <row r="2864" spans="1:21">
      <c r="A2864" s="8" t="s">
        <v>10349</v>
      </c>
      <c r="B2864" s="8" t="s">
        <v>12258</v>
      </c>
      <c r="C2864" s="8">
        <v>120400</v>
      </c>
      <c r="D2864" s="8" t="s">
        <v>83</v>
      </c>
      <c r="E2864" s="8">
        <v>114392997</v>
      </c>
      <c r="F2864" s="8">
        <v>114392997</v>
      </c>
      <c r="G2864" s="8" t="s">
        <v>24</v>
      </c>
      <c r="H2864" s="8" t="s">
        <v>25</v>
      </c>
      <c r="I2864" s="8" t="s">
        <v>23</v>
      </c>
      <c r="J2864" s="8" t="s">
        <v>12259</v>
      </c>
      <c r="K2864" s="8" t="s">
        <v>12261</v>
      </c>
      <c r="L2864" s="8" t="s">
        <v>19</v>
      </c>
      <c r="M2864" s="8">
        <v>1328</v>
      </c>
      <c r="N2864" s="8" t="s">
        <v>333</v>
      </c>
      <c r="O2864" s="8">
        <v>304</v>
      </c>
      <c r="P2864" s="8" t="s">
        <v>12260</v>
      </c>
      <c r="Q2864" s="8" t="s">
        <v>4262</v>
      </c>
      <c r="R2864" s="8">
        <v>0.32400000000000001</v>
      </c>
      <c r="S2864" s="8">
        <v>114392997</v>
      </c>
      <c r="T2864" s="8" t="s">
        <v>24</v>
      </c>
      <c r="U2864" s="8" t="s">
        <v>25</v>
      </c>
    </row>
    <row r="2865" spans="1:21">
      <c r="A2865" s="8" t="s">
        <v>10349</v>
      </c>
      <c r="B2865" s="8" t="s">
        <v>12262</v>
      </c>
      <c r="C2865" s="8">
        <v>54827</v>
      </c>
      <c r="D2865" s="8" t="s">
        <v>83</v>
      </c>
      <c r="E2865" s="8">
        <v>114453092</v>
      </c>
      <c r="F2865" s="8">
        <v>114453092</v>
      </c>
      <c r="G2865" s="8" t="s">
        <v>24</v>
      </c>
      <c r="H2865" s="8" t="s">
        <v>25</v>
      </c>
      <c r="I2865" s="8" t="s">
        <v>23</v>
      </c>
      <c r="J2865" s="8" t="s">
        <v>12263</v>
      </c>
      <c r="K2865" s="8" t="s">
        <v>12265</v>
      </c>
      <c r="L2865" s="8" t="s">
        <v>19</v>
      </c>
      <c r="M2865" s="8">
        <v>929</v>
      </c>
      <c r="N2865" s="8" t="s">
        <v>2400</v>
      </c>
      <c r="O2865" s="8">
        <v>250</v>
      </c>
      <c r="P2865" s="8" t="s">
        <v>12264</v>
      </c>
      <c r="Q2865" s="8" t="s">
        <v>4262</v>
      </c>
      <c r="R2865" s="8">
        <v>0.156</v>
      </c>
      <c r="S2865" s="8">
        <v>114453092</v>
      </c>
      <c r="T2865" s="8" t="s">
        <v>24</v>
      </c>
      <c r="U2865" s="8" t="s">
        <v>25</v>
      </c>
    </row>
    <row r="2866" spans="1:21">
      <c r="A2866" s="8" t="s">
        <v>10349</v>
      </c>
      <c r="B2866" s="8" t="s">
        <v>12266</v>
      </c>
      <c r="C2866" s="8">
        <v>23705</v>
      </c>
      <c r="D2866" s="8" t="s">
        <v>83</v>
      </c>
      <c r="E2866" s="8">
        <v>115049405</v>
      </c>
      <c r="F2866" s="8">
        <v>115049405</v>
      </c>
      <c r="G2866" s="8" t="s">
        <v>46</v>
      </c>
      <c r="H2866" s="8" t="s">
        <v>41</v>
      </c>
      <c r="I2866" s="8" t="s">
        <v>23</v>
      </c>
      <c r="J2866" s="8" t="s">
        <v>12267</v>
      </c>
      <c r="K2866" s="8" t="s">
        <v>12268</v>
      </c>
      <c r="L2866" s="8" t="s">
        <v>19</v>
      </c>
      <c r="M2866" s="8">
        <v>1298</v>
      </c>
      <c r="N2866" s="8" t="s">
        <v>732</v>
      </c>
      <c r="O2866" s="8">
        <v>390</v>
      </c>
      <c r="P2866" s="8" t="s">
        <v>11002</v>
      </c>
      <c r="Q2866" s="8" t="s">
        <v>4262</v>
      </c>
      <c r="R2866" s="8">
        <v>0.113</v>
      </c>
      <c r="S2866" s="8">
        <v>115049405</v>
      </c>
      <c r="T2866" s="8" t="s">
        <v>46</v>
      </c>
      <c r="U2866" s="8" t="s">
        <v>41</v>
      </c>
    </row>
    <row r="2867" spans="1:21">
      <c r="A2867" s="8" t="s">
        <v>10349</v>
      </c>
      <c r="B2867" s="8" t="s">
        <v>12269</v>
      </c>
      <c r="C2867" s="8">
        <v>84811</v>
      </c>
      <c r="D2867" s="8" t="s">
        <v>83</v>
      </c>
      <c r="E2867" s="8">
        <v>116633605</v>
      </c>
      <c r="F2867" s="8">
        <v>116633605</v>
      </c>
      <c r="G2867" s="8" t="s">
        <v>46</v>
      </c>
      <c r="H2867" s="8" t="s">
        <v>41</v>
      </c>
      <c r="I2867" s="8" t="s">
        <v>23</v>
      </c>
      <c r="J2867" s="8" t="s">
        <v>12270</v>
      </c>
      <c r="K2867" s="8" t="s">
        <v>12272</v>
      </c>
      <c r="L2867" s="8" t="s">
        <v>19</v>
      </c>
      <c r="M2867" s="8">
        <v>734</v>
      </c>
      <c r="N2867" s="8" t="s">
        <v>878</v>
      </c>
      <c r="O2867" s="8">
        <v>234</v>
      </c>
      <c r="P2867" s="8" t="s">
        <v>12271</v>
      </c>
      <c r="Q2867" s="8" t="s">
        <v>4262</v>
      </c>
      <c r="R2867" s="8">
        <v>0.158</v>
      </c>
      <c r="S2867" s="8">
        <v>116633605</v>
      </c>
      <c r="T2867" s="8" t="s">
        <v>46</v>
      </c>
      <c r="U2867" s="8" t="s">
        <v>41</v>
      </c>
    </row>
    <row r="2868" spans="1:21">
      <c r="A2868" s="8" t="s">
        <v>10349</v>
      </c>
      <c r="B2868" s="8" t="s">
        <v>2274</v>
      </c>
      <c r="C2868" s="8">
        <v>257160</v>
      </c>
      <c r="D2868" s="8" t="s">
        <v>83</v>
      </c>
      <c r="E2868" s="8">
        <v>117109546</v>
      </c>
      <c r="F2868" s="8">
        <v>117109546</v>
      </c>
      <c r="G2868" s="8" t="s">
        <v>24</v>
      </c>
      <c r="H2868" s="8" t="s">
        <v>25</v>
      </c>
      <c r="I2868" s="8" t="s">
        <v>23</v>
      </c>
      <c r="J2868" s="8" t="s">
        <v>12273</v>
      </c>
      <c r="K2868" s="8" t="s">
        <v>12274</v>
      </c>
      <c r="L2868" s="8" t="s">
        <v>19</v>
      </c>
      <c r="M2868" s="8">
        <v>382</v>
      </c>
      <c r="N2868" s="8" t="s">
        <v>155</v>
      </c>
      <c r="O2868" s="8">
        <v>113</v>
      </c>
      <c r="P2868" s="8" t="s">
        <v>11528</v>
      </c>
      <c r="Q2868" s="8" t="s">
        <v>4262</v>
      </c>
      <c r="R2868" s="8">
        <v>0.16700000000000001</v>
      </c>
      <c r="S2868" s="8">
        <v>117109546</v>
      </c>
      <c r="T2868" s="8" t="s">
        <v>24</v>
      </c>
      <c r="U2868" s="8" t="s">
        <v>25</v>
      </c>
    </row>
    <row r="2869" spans="1:21">
      <c r="A2869" s="8" t="s">
        <v>10349</v>
      </c>
      <c r="B2869" s="8" t="s">
        <v>12275</v>
      </c>
      <c r="C2869" s="8">
        <v>917</v>
      </c>
      <c r="D2869" s="8" t="s">
        <v>83</v>
      </c>
      <c r="E2869" s="8">
        <v>118220554</v>
      </c>
      <c r="F2869" s="8">
        <v>118220554</v>
      </c>
      <c r="G2869" s="8" t="s">
        <v>24</v>
      </c>
      <c r="H2869" s="8" t="s">
        <v>25</v>
      </c>
      <c r="I2869" s="8" t="s">
        <v>23</v>
      </c>
      <c r="J2869" s="8" t="s">
        <v>12276</v>
      </c>
      <c r="K2869" s="8" t="s">
        <v>12278</v>
      </c>
      <c r="L2869" s="8" t="s">
        <v>19</v>
      </c>
      <c r="M2869" s="8">
        <v>256</v>
      </c>
      <c r="N2869" s="8" t="s">
        <v>1399</v>
      </c>
      <c r="O2869" s="8">
        <v>59</v>
      </c>
      <c r="P2869" s="8" t="s">
        <v>12277</v>
      </c>
      <c r="Q2869" s="8" t="s">
        <v>4262</v>
      </c>
      <c r="R2869" s="8">
        <v>0.17599999999999999</v>
      </c>
      <c r="S2869" s="8">
        <v>118220554</v>
      </c>
      <c r="T2869" s="8" t="s">
        <v>24</v>
      </c>
      <c r="U2869" s="8" t="s">
        <v>25</v>
      </c>
    </row>
    <row r="2870" spans="1:21">
      <c r="A2870" s="8" t="s">
        <v>10349</v>
      </c>
      <c r="B2870" s="8" t="s">
        <v>12279</v>
      </c>
      <c r="C2870" s="8">
        <v>23187</v>
      </c>
      <c r="D2870" s="8" t="s">
        <v>83</v>
      </c>
      <c r="E2870" s="8">
        <v>118513063</v>
      </c>
      <c r="F2870" s="8">
        <v>118513063</v>
      </c>
      <c r="G2870" s="8" t="s">
        <v>46</v>
      </c>
      <c r="H2870" s="8" t="s">
        <v>41</v>
      </c>
      <c r="I2870" s="8" t="s">
        <v>23</v>
      </c>
      <c r="J2870" s="8" t="s">
        <v>12280</v>
      </c>
      <c r="K2870" s="8" t="s">
        <v>12282</v>
      </c>
      <c r="L2870" s="8" t="s">
        <v>19</v>
      </c>
      <c r="M2870" s="8">
        <v>2958</v>
      </c>
      <c r="N2870" s="8" t="s">
        <v>1140</v>
      </c>
      <c r="O2870" s="8">
        <v>943</v>
      </c>
      <c r="P2870" s="8" t="s">
        <v>12281</v>
      </c>
      <c r="Q2870" s="8" t="s">
        <v>4262</v>
      </c>
      <c r="R2870" s="8">
        <v>0.25</v>
      </c>
      <c r="S2870" s="8">
        <v>118513063</v>
      </c>
      <c r="T2870" s="8" t="s">
        <v>46</v>
      </c>
      <c r="U2870" s="8" t="s">
        <v>41</v>
      </c>
    </row>
    <row r="2871" spans="1:21">
      <c r="A2871" s="8" t="s">
        <v>10349</v>
      </c>
      <c r="B2871" s="8" t="s">
        <v>12283</v>
      </c>
      <c r="C2871" s="8">
        <v>55823</v>
      </c>
      <c r="D2871" s="8" t="s">
        <v>83</v>
      </c>
      <c r="E2871" s="8">
        <v>118942373</v>
      </c>
      <c r="F2871" s="8">
        <v>118942373</v>
      </c>
      <c r="G2871" s="8" t="s">
        <v>24</v>
      </c>
      <c r="H2871" s="8" t="s">
        <v>25</v>
      </c>
      <c r="I2871" s="8" t="s">
        <v>23</v>
      </c>
      <c r="J2871" s="8" t="s">
        <v>12284</v>
      </c>
      <c r="K2871" s="8" t="s">
        <v>12286</v>
      </c>
      <c r="L2871" s="8" t="s">
        <v>19</v>
      </c>
      <c r="M2871" s="8">
        <v>746</v>
      </c>
      <c r="N2871" s="8" t="s">
        <v>732</v>
      </c>
      <c r="O2871" s="8">
        <v>235</v>
      </c>
      <c r="P2871" s="8" t="s">
        <v>12285</v>
      </c>
      <c r="Q2871" s="8" t="s">
        <v>4262</v>
      </c>
      <c r="R2871" s="8">
        <v>0.185</v>
      </c>
      <c r="S2871" s="8">
        <v>118942373</v>
      </c>
      <c r="T2871" s="8" t="s">
        <v>24</v>
      </c>
      <c r="U2871" s="8" t="s">
        <v>25</v>
      </c>
    </row>
    <row r="2872" spans="1:21">
      <c r="A2872" s="8" t="s">
        <v>10349</v>
      </c>
      <c r="B2872" s="8" t="s">
        <v>2458</v>
      </c>
      <c r="C2872" s="8">
        <v>55031</v>
      </c>
      <c r="D2872" s="8" t="s">
        <v>83</v>
      </c>
      <c r="E2872" s="8">
        <v>11944409</v>
      </c>
      <c r="F2872" s="8">
        <v>11944409</v>
      </c>
      <c r="G2872" s="8" t="s">
        <v>24</v>
      </c>
      <c r="H2872" s="8" t="s">
        <v>25</v>
      </c>
      <c r="I2872" s="8" t="s">
        <v>23</v>
      </c>
      <c r="J2872" s="8" t="s">
        <v>2459</v>
      </c>
      <c r="K2872" s="8" t="s">
        <v>12289</v>
      </c>
      <c r="L2872" s="8" t="s">
        <v>19</v>
      </c>
      <c r="M2872" s="8">
        <v>1916</v>
      </c>
      <c r="N2872" s="8" t="s">
        <v>758</v>
      </c>
      <c r="O2872" s="8">
        <v>385</v>
      </c>
      <c r="P2872" s="8" t="s">
        <v>12287</v>
      </c>
      <c r="Q2872" s="8" t="s">
        <v>12288</v>
      </c>
      <c r="R2872" s="8">
        <v>0.182</v>
      </c>
      <c r="S2872" s="8">
        <v>11944409</v>
      </c>
      <c r="T2872" s="8" t="s">
        <v>24</v>
      </c>
      <c r="U2872" s="8" t="s">
        <v>25</v>
      </c>
    </row>
    <row r="2873" spans="1:21">
      <c r="A2873" s="8" t="s">
        <v>10349</v>
      </c>
      <c r="B2873" s="8" t="s">
        <v>2458</v>
      </c>
      <c r="C2873" s="8">
        <v>55031</v>
      </c>
      <c r="D2873" s="8" t="s">
        <v>83</v>
      </c>
      <c r="E2873" s="8">
        <v>11963900</v>
      </c>
      <c r="F2873" s="8">
        <v>11963900</v>
      </c>
      <c r="G2873" s="8" t="s">
        <v>24</v>
      </c>
      <c r="H2873" s="8" t="s">
        <v>25</v>
      </c>
      <c r="I2873" s="8" t="s">
        <v>23</v>
      </c>
      <c r="J2873" s="8" t="s">
        <v>2459</v>
      </c>
      <c r="K2873" s="8" t="s">
        <v>12289</v>
      </c>
      <c r="L2873" s="8" t="s">
        <v>19</v>
      </c>
      <c r="M2873" s="8">
        <v>2891</v>
      </c>
      <c r="N2873" s="8" t="s">
        <v>166</v>
      </c>
      <c r="O2873" s="8">
        <v>710</v>
      </c>
      <c r="P2873" s="8" t="s">
        <v>12290</v>
      </c>
      <c r="Q2873" s="8" t="s">
        <v>4262</v>
      </c>
      <c r="R2873" s="8">
        <v>0.20300000000000001</v>
      </c>
      <c r="S2873" s="8">
        <v>11963900</v>
      </c>
      <c r="T2873" s="8" t="s">
        <v>24</v>
      </c>
      <c r="U2873" s="8" t="s">
        <v>25</v>
      </c>
    </row>
    <row r="2874" spans="1:21">
      <c r="A2874" s="8" t="s">
        <v>10349</v>
      </c>
      <c r="B2874" s="8" t="s">
        <v>2460</v>
      </c>
      <c r="C2874" s="8">
        <v>25833</v>
      </c>
      <c r="D2874" s="8" t="s">
        <v>83</v>
      </c>
      <c r="E2874" s="8">
        <v>120188039</v>
      </c>
      <c r="F2874" s="8">
        <v>120188039</v>
      </c>
      <c r="G2874" s="8" t="s">
        <v>24</v>
      </c>
      <c r="H2874" s="8" t="s">
        <v>25</v>
      </c>
      <c r="I2874" s="8" t="s">
        <v>23</v>
      </c>
      <c r="J2874" s="8" t="s">
        <v>4818</v>
      </c>
      <c r="K2874" s="8" t="s">
        <v>4820</v>
      </c>
      <c r="L2874" s="8" t="s">
        <v>19</v>
      </c>
      <c r="M2874" s="8">
        <v>1339</v>
      </c>
      <c r="N2874" s="8" t="s">
        <v>1070</v>
      </c>
      <c r="O2874" s="8">
        <v>413</v>
      </c>
      <c r="P2874" s="8" t="s">
        <v>7331</v>
      </c>
      <c r="Q2874" s="8" t="s">
        <v>4262</v>
      </c>
      <c r="R2874" s="8">
        <v>0.35699999999999998</v>
      </c>
      <c r="S2874" s="8">
        <v>120188039</v>
      </c>
      <c r="T2874" s="8" t="s">
        <v>24</v>
      </c>
      <c r="U2874" s="8" t="s">
        <v>25</v>
      </c>
    </row>
    <row r="2875" spans="1:21">
      <c r="A2875" s="8" t="s">
        <v>10349</v>
      </c>
      <c r="B2875" s="8" t="s">
        <v>12291</v>
      </c>
      <c r="C2875" s="8">
        <v>23365</v>
      </c>
      <c r="D2875" s="8" t="s">
        <v>83</v>
      </c>
      <c r="E2875" s="8">
        <v>120298807</v>
      </c>
      <c r="F2875" s="8">
        <v>120298807</v>
      </c>
      <c r="G2875" s="8" t="s">
        <v>24</v>
      </c>
      <c r="H2875" s="8" t="s">
        <v>25</v>
      </c>
      <c r="I2875" s="8" t="s">
        <v>23</v>
      </c>
      <c r="J2875" s="8" t="s">
        <v>12292</v>
      </c>
      <c r="K2875" s="8" t="s">
        <v>12294</v>
      </c>
      <c r="L2875" s="8" t="s">
        <v>19</v>
      </c>
      <c r="M2875" s="8">
        <v>771</v>
      </c>
      <c r="N2875" s="8" t="s">
        <v>1364</v>
      </c>
      <c r="O2875" s="8">
        <v>146</v>
      </c>
      <c r="P2875" s="8" t="s">
        <v>12293</v>
      </c>
      <c r="Q2875" s="8" t="s">
        <v>4262</v>
      </c>
      <c r="R2875" s="8">
        <v>0.23300000000000001</v>
      </c>
      <c r="S2875" s="8">
        <v>120298807</v>
      </c>
      <c r="T2875" s="8" t="s">
        <v>24</v>
      </c>
      <c r="U2875" s="8" t="s">
        <v>25</v>
      </c>
    </row>
    <row r="2876" spans="1:21">
      <c r="A2876" s="8" t="s">
        <v>10349</v>
      </c>
      <c r="B2876" s="8" t="s">
        <v>1892</v>
      </c>
      <c r="C2876" s="8">
        <v>6653</v>
      </c>
      <c r="D2876" s="8" t="s">
        <v>83</v>
      </c>
      <c r="E2876" s="8">
        <v>121440956</v>
      </c>
      <c r="F2876" s="8">
        <v>121440956</v>
      </c>
      <c r="G2876" s="8" t="s">
        <v>25</v>
      </c>
      <c r="H2876" s="8" t="s">
        <v>46</v>
      </c>
      <c r="I2876" s="8" t="s">
        <v>23</v>
      </c>
      <c r="J2876" s="8" t="s">
        <v>2461</v>
      </c>
      <c r="K2876" s="8" t="s">
        <v>12296</v>
      </c>
      <c r="L2876" s="8" t="s">
        <v>19</v>
      </c>
      <c r="M2876" s="8">
        <v>3443</v>
      </c>
      <c r="N2876" s="8" t="s">
        <v>3734</v>
      </c>
      <c r="O2876" s="8">
        <v>1105</v>
      </c>
      <c r="P2876" s="8" t="s">
        <v>12295</v>
      </c>
      <c r="Q2876" s="8" t="s">
        <v>4262</v>
      </c>
      <c r="R2876" s="8">
        <v>0.13800000000000001</v>
      </c>
      <c r="S2876" s="8">
        <v>121440956</v>
      </c>
      <c r="T2876" s="8" t="s">
        <v>25</v>
      </c>
      <c r="U2876" s="8" t="s">
        <v>46</v>
      </c>
    </row>
    <row r="2877" spans="1:21">
      <c r="A2877" s="8" t="s">
        <v>10349</v>
      </c>
      <c r="B2877" s="8" t="s">
        <v>12297</v>
      </c>
      <c r="C2877" s="8">
        <v>84959</v>
      </c>
      <c r="D2877" s="8" t="s">
        <v>83</v>
      </c>
      <c r="E2877" s="8">
        <v>122680544</v>
      </c>
      <c r="F2877" s="8">
        <v>122680544</v>
      </c>
      <c r="G2877" s="8" t="s">
        <v>46</v>
      </c>
      <c r="H2877" s="8" t="s">
        <v>41</v>
      </c>
      <c r="I2877" s="8" t="s">
        <v>23</v>
      </c>
      <c r="J2877" s="8" t="s">
        <v>12298</v>
      </c>
      <c r="K2877" s="8" t="s">
        <v>12300</v>
      </c>
      <c r="L2877" s="8" t="s">
        <v>19</v>
      </c>
      <c r="M2877" s="8">
        <v>2260</v>
      </c>
      <c r="N2877" s="8" t="s">
        <v>2843</v>
      </c>
      <c r="O2877" s="8">
        <v>634</v>
      </c>
      <c r="P2877" s="8" t="s">
        <v>12299</v>
      </c>
      <c r="Q2877" s="8" t="s">
        <v>4262</v>
      </c>
      <c r="R2877" s="8">
        <v>0.22600000000000001</v>
      </c>
      <c r="S2877" s="8">
        <v>122680544</v>
      </c>
      <c r="T2877" s="8" t="s">
        <v>46</v>
      </c>
      <c r="U2877" s="8" t="s">
        <v>41</v>
      </c>
    </row>
    <row r="2878" spans="1:21">
      <c r="A2878" s="8" t="s">
        <v>10349</v>
      </c>
      <c r="B2878" s="8" t="s">
        <v>12301</v>
      </c>
      <c r="C2878" s="8">
        <v>56253</v>
      </c>
      <c r="D2878" s="8" t="s">
        <v>83</v>
      </c>
      <c r="E2878" s="8">
        <v>122741985</v>
      </c>
      <c r="F2878" s="8">
        <v>122741985</v>
      </c>
      <c r="G2878" s="8" t="s">
        <v>46</v>
      </c>
      <c r="H2878" s="8" t="s">
        <v>41</v>
      </c>
      <c r="I2878" s="8" t="s">
        <v>23</v>
      </c>
      <c r="J2878" s="8" t="s">
        <v>12302</v>
      </c>
      <c r="K2878" s="8" t="s">
        <v>12304</v>
      </c>
      <c r="L2878" s="8" t="s">
        <v>19</v>
      </c>
      <c r="M2878" s="8">
        <v>1060</v>
      </c>
      <c r="N2878" s="8" t="s">
        <v>415</v>
      </c>
      <c r="O2878" s="8">
        <v>354</v>
      </c>
      <c r="P2878" s="8" t="s">
        <v>12303</v>
      </c>
      <c r="Q2878" s="8" t="s">
        <v>4262</v>
      </c>
      <c r="R2878" s="8">
        <v>0.189</v>
      </c>
      <c r="S2878" s="8">
        <v>122741985</v>
      </c>
      <c r="T2878" s="8" t="s">
        <v>46</v>
      </c>
      <c r="U2878" s="8" t="s">
        <v>41</v>
      </c>
    </row>
    <row r="2879" spans="1:21">
      <c r="A2879" s="8" t="s">
        <v>10349</v>
      </c>
      <c r="B2879" s="8" t="s">
        <v>12305</v>
      </c>
      <c r="C2879" s="8">
        <v>338661</v>
      </c>
      <c r="D2879" s="8" t="s">
        <v>83</v>
      </c>
      <c r="E2879" s="8">
        <v>123755990</v>
      </c>
      <c r="F2879" s="8">
        <v>123755990</v>
      </c>
      <c r="G2879" s="8" t="s">
        <v>46</v>
      </c>
      <c r="H2879" s="8" t="s">
        <v>41</v>
      </c>
      <c r="I2879" s="8" t="s">
        <v>23</v>
      </c>
      <c r="J2879" s="8" t="s">
        <v>12306</v>
      </c>
      <c r="K2879" s="8" t="s">
        <v>12308</v>
      </c>
      <c r="L2879" s="8" t="s">
        <v>19</v>
      </c>
      <c r="M2879" s="8">
        <v>351</v>
      </c>
      <c r="N2879" s="8" t="s">
        <v>2664</v>
      </c>
      <c r="O2879" s="8">
        <v>48</v>
      </c>
      <c r="P2879" s="8" t="s">
        <v>12307</v>
      </c>
      <c r="Q2879" s="8" t="s">
        <v>4262</v>
      </c>
      <c r="R2879" s="8">
        <v>0.13500000000000001</v>
      </c>
      <c r="S2879" s="8">
        <v>123755990</v>
      </c>
      <c r="T2879" s="8" t="s">
        <v>46</v>
      </c>
      <c r="U2879" s="8" t="s">
        <v>41</v>
      </c>
    </row>
    <row r="2880" spans="1:21">
      <c r="A2880" s="8" t="s">
        <v>10349</v>
      </c>
      <c r="B2880" s="8" t="s">
        <v>12309</v>
      </c>
      <c r="C2880" s="8">
        <v>338662</v>
      </c>
      <c r="D2880" s="8" t="s">
        <v>83</v>
      </c>
      <c r="E2880" s="8">
        <v>123777926</v>
      </c>
      <c r="F2880" s="8">
        <v>123777926</v>
      </c>
      <c r="G2880" s="8" t="s">
        <v>46</v>
      </c>
      <c r="H2880" s="8" t="s">
        <v>41</v>
      </c>
      <c r="I2880" s="8" t="s">
        <v>23</v>
      </c>
      <c r="J2880" s="8" t="s">
        <v>12310</v>
      </c>
      <c r="K2880" s="8" t="s">
        <v>12312</v>
      </c>
      <c r="L2880" s="8" t="s">
        <v>19</v>
      </c>
      <c r="M2880" s="8">
        <v>788</v>
      </c>
      <c r="N2880" s="8" t="s">
        <v>389</v>
      </c>
      <c r="O2880" s="8">
        <v>263</v>
      </c>
      <c r="P2880" s="8" t="s">
        <v>12311</v>
      </c>
      <c r="Q2880" s="8" t="s">
        <v>4262</v>
      </c>
      <c r="R2880" s="8">
        <v>0.16700000000000001</v>
      </c>
      <c r="S2880" s="8">
        <v>123777926</v>
      </c>
      <c r="T2880" s="8" t="s">
        <v>46</v>
      </c>
      <c r="U2880" s="8" t="s">
        <v>41</v>
      </c>
    </row>
    <row r="2881" spans="1:21">
      <c r="A2881" s="8" t="s">
        <v>10349</v>
      </c>
      <c r="B2881" s="8" t="s">
        <v>2462</v>
      </c>
      <c r="C2881" s="8">
        <v>2313</v>
      </c>
      <c r="D2881" s="8" t="s">
        <v>83</v>
      </c>
      <c r="E2881" s="8">
        <v>128680482</v>
      </c>
      <c r="F2881" s="8">
        <v>128680482</v>
      </c>
      <c r="G2881" s="8" t="s">
        <v>46</v>
      </c>
      <c r="H2881" s="8" t="s">
        <v>41</v>
      </c>
      <c r="I2881" s="8" t="s">
        <v>23</v>
      </c>
      <c r="J2881" s="8" t="s">
        <v>9158</v>
      </c>
      <c r="K2881" s="8" t="s">
        <v>9160</v>
      </c>
      <c r="L2881" s="8" t="s">
        <v>19</v>
      </c>
      <c r="M2881" s="8">
        <v>1299</v>
      </c>
      <c r="N2881" s="8" t="s">
        <v>560</v>
      </c>
      <c r="O2881" s="8">
        <v>320</v>
      </c>
      <c r="P2881" s="8" t="s">
        <v>12313</v>
      </c>
      <c r="Q2881" s="8" t="s">
        <v>4262</v>
      </c>
      <c r="R2881" s="8">
        <v>0.36699999999999999</v>
      </c>
      <c r="S2881" s="8">
        <v>128680482</v>
      </c>
      <c r="T2881" s="8" t="s">
        <v>46</v>
      </c>
      <c r="U2881" s="8" t="s">
        <v>41</v>
      </c>
    </row>
    <row r="2882" spans="1:21">
      <c r="A2882" s="8" t="s">
        <v>10349</v>
      </c>
      <c r="B2882" s="8" t="s">
        <v>12314</v>
      </c>
      <c r="C2882" s="8">
        <v>9743</v>
      </c>
      <c r="D2882" s="8" t="s">
        <v>83</v>
      </c>
      <c r="E2882" s="8">
        <v>128842530</v>
      </c>
      <c r="F2882" s="8">
        <v>128842530</v>
      </c>
      <c r="G2882" s="8" t="s">
        <v>46</v>
      </c>
      <c r="H2882" s="8" t="s">
        <v>41</v>
      </c>
      <c r="I2882" s="8" t="s">
        <v>23</v>
      </c>
      <c r="J2882" s="8" t="s">
        <v>12315</v>
      </c>
      <c r="K2882" s="8" t="s">
        <v>12316</v>
      </c>
      <c r="L2882" s="8" t="s">
        <v>19</v>
      </c>
      <c r="M2882" s="8">
        <v>3829</v>
      </c>
      <c r="N2882" s="8" t="s">
        <v>758</v>
      </c>
      <c r="O2882" s="8">
        <v>1277</v>
      </c>
      <c r="P2882" s="8" t="s">
        <v>10597</v>
      </c>
      <c r="Q2882" s="8" t="s">
        <v>4262</v>
      </c>
      <c r="R2882" s="8">
        <v>0.20599999999999999</v>
      </c>
      <c r="S2882" s="8">
        <v>128842530</v>
      </c>
      <c r="T2882" s="8" t="s">
        <v>46</v>
      </c>
      <c r="U2882" s="8" t="s">
        <v>41</v>
      </c>
    </row>
    <row r="2883" spans="1:21">
      <c r="A2883" s="8" t="s">
        <v>10349</v>
      </c>
      <c r="B2883" s="8" t="s">
        <v>12317</v>
      </c>
      <c r="C2883" s="8">
        <v>84188</v>
      </c>
      <c r="D2883" s="8" t="s">
        <v>83</v>
      </c>
      <c r="E2883" s="8">
        <v>13729592</v>
      </c>
      <c r="F2883" s="8">
        <v>13729592</v>
      </c>
      <c r="G2883" s="8" t="s">
        <v>46</v>
      </c>
      <c r="H2883" s="8" t="s">
        <v>41</v>
      </c>
      <c r="I2883" s="8" t="s">
        <v>23</v>
      </c>
      <c r="J2883" s="8" t="s">
        <v>12318</v>
      </c>
      <c r="K2883" s="8" t="s">
        <v>12320</v>
      </c>
      <c r="L2883" s="8" t="s">
        <v>19</v>
      </c>
      <c r="M2883" s="8">
        <v>666</v>
      </c>
      <c r="N2883" s="8" t="s">
        <v>415</v>
      </c>
      <c r="O2883" s="8">
        <v>171</v>
      </c>
      <c r="P2883" s="8" t="s">
        <v>12319</v>
      </c>
      <c r="Q2883" s="8" t="s">
        <v>4262</v>
      </c>
      <c r="R2883" s="8">
        <v>0.25900000000000001</v>
      </c>
      <c r="S2883" s="8">
        <v>13729592</v>
      </c>
      <c r="T2883" s="8" t="s">
        <v>46</v>
      </c>
      <c r="U2883" s="8" t="s">
        <v>41</v>
      </c>
    </row>
    <row r="2884" spans="1:21">
      <c r="A2884" s="8" t="s">
        <v>10349</v>
      </c>
      <c r="B2884" s="8" t="s">
        <v>12317</v>
      </c>
      <c r="C2884" s="8">
        <v>84188</v>
      </c>
      <c r="D2884" s="8" t="s">
        <v>83</v>
      </c>
      <c r="E2884" s="8">
        <v>13734581</v>
      </c>
      <c r="F2884" s="8">
        <v>13734581</v>
      </c>
      <c r="G2884" s="8" t="s">
        <v>24</v>
      </c>
      <c r="H2884" s="8" t="s">
        <v>25</v>
      </c>
      <c r="I2884" s="8" t="s">
        <v>23</v>
      </c>
      <c r="J2884" s="8" t="s">
        <v>12318</v>
      </c>
      <c r="K2884" s="8" t="s">
        <v>12320</v>
      </c>
      <c r="L2884" s="8" t="s">
        <v>68</v>
      </c>
      <c r="M2884" s="8">
        <v>0</v>
      </c>
      <c r="N2884" s="8" t="s">
        <v>35</v>
      </c>
      <c r="O2884" s="8">
        <v>0</v>
      </c>
      <c r="P2884" s="8" t="s">
        <v>35</v>
      </c>
      <c r="Q2884" s="8" t="s">
        <v>4262</v>
      </c>
      <c r="R2884" s="8">
        <v>0.247</v>
      </c>
      <c r="S2884" s="8">
        <v>13734581</v>
      </c>
      <c r="T2884" s="8" t="s">
        <v>24</v>
      </c>
      <c r="U2884" s="8" t="s">
        <v>25</v>
      </c>
    </row>
    <row r="2885" spans="1:21">
      <c r="A2885" s="8" t="s">
        <v>10349</v>
      </c>
      <c r="B2885" s="8" t="s">
        <v>12321</v>
      </c>
      <c r="C2885" s="8">
        <v>1315</v>
      </c>
      <c r="D2885" s="8" t="s">
        <v>83</v>
      </c>
      <c r="E2885" s="8">
        <v>14512140</v>
      </c>
      <c r="F2885" s="8">
        <v>14512140</v>
      </c>
      <c r="G2885" s="8" t="s">
        <v>46</v>
      </c>
      <c r="H2885" s="8" t="s">
        <v>41</v>
      </c>
      <c r="I2885" s="8" t="s">
        <v>23</v>
      </c>
      <c r="J2885" s="8" t="s">
        <v>12322</v>
      </c>
      <c r="K2885" s="8" t="s">
        <v>12323</v>
      </c>
      <c r="L2885" s="8" t="s">
        <v>19</v>
      </c>
      <c r="M2885" s="8">
        <v>762</v>
      </c>
      <c r="N2885" s="8" t="s">
        <v>1070</v>
      </c>
      <c r="O2885" s="8">
        <v>193</v>
      </c>
      <c r="P2885" s="8" t="s">
        <v>10319</v>
      </c>
      <c r="Q2885" s="8" t="s">
        <v>4262</v>
      </c>
      <c r="R2885" s="8">
        <v>0.14599999999999999</v>
      </c>
      <c r="S2885" s="8">
        <v>14512140</v>
      </c>
      <c r="T2885" s="8" t="s">
        <v>46</v>
      </c>
      <c r="U2885" s="8" t="s">
        <v>41</v>
      </c>
    </row>
    <row r="2886" spans="1:21">
      <c r="A2886" s="8" t="s">
        <v>10349</v>
      </c>
      <c r="B2886" s="8" t="s">
        <v>12324</v>
      </c>
      <c r="C2886" s="8">
        <v>387267</v>
      </c>
      <c r="D2886" s="8" t="s">
        <v>83</v>
      </c>
      <c r="E2886" s="8">
        <v>1643175</v>
      </c>
      <c r="F2886" s="8">
        <v>1643175</v>
      </c>
      <c r="G2886" s="8" t="s">
        <v>46</v>
      </c>
      <c r="H2886" s="8" t="s">
        <v>41</v>
      </c>
      <c r="I2886" s="8" t="s">
        <v>23</v>
      </c>
      <c r="J2886" s="8" t="s">
        <v>12325</v>
      </c>
      <c r="K2886" s="8" t="s">
        <v>12327</v>
      </c>
      <c r="L2886" s="8" t="s">
        <v>19</v>
      </c>
      <c r="M2886" s="8">
        <v>194</v>
      </c>
      <c r="N2886" s="8" t="s">
        <v>618</v>
      </c>
      <c r="O2886" s="8">
        <v>50</v>
      </c>
      <c r="P2886" s="8" t="s">
        <v>12326</v>
      </c>
      <c r="Q2886" s="8" t="s">
        <v>4262</v>
      </c>
      <c r="R2886" s="8">
        <v>0.17899999999999999</v>
      </c>
      <c r="S2886" s="8">
        <v>1643175</v>
      </c>
      <c r="T2886" s="8" t="s">
        <v>46</v>
      </c>
      <c r="U2886" s="8" t="s">
        <v>41</v>
      </c>
    </row>
    <row r="2887" spans="1:21">
      <c r="A2887" s="8" t="s">
        <v>10349</v>
      </c>
      <c r="B2887" s="8" t="s">
        <v>12328</v>
      </c>
      <c r="C2887" s="8">
        <v>5286</v>
      </c>
      <c r="D2887" s="8" t="s">
        <v>83</v>
      </c>
      <c r="E2887" s="8">
        <v>17190238</v>
      </c>
      <c r="F2887" s="8">
        <v>17190238</v>
      </c>
      <c r="G2887" s="8" t="s">
        <v>46</v>
      </c>
      <c r="H2887" s="8" t="s">
        <v>41</v>
      </c>
      <c r="I2887" s="8" t="s">
        <v>23</v>
      </c>
      <c r="J2887" s="8" t="s">
        <v>12329</v>
      </c>
      <c r="K2887" s="8" t="s">
        <v>12331</v>
      </c>
      <c r="L2887" s="8" t="s">
        <v>19</v>
      </c>
      <c r="M2887" s="8">
        <v>1117</v>
      </c>
      <c r="N2887" s="8" t="s">
        <v>536</v>
      </c>
      <c r="O2887" s="8">
        <v>351</v>
      </c>
      <c r="P2887" s="8" t="s">
        <v>12330</v>
      </c>
      <c r="Q2887" s="8" t="s">
        <v>4262</v>
      </c>
      <c r="R2887" s="8">
        <v>0.23499999999999999</v>
      </c>
      <c r="S2887" s="8">
        <v>17190238</v>
      </c>
      <c r="T2887" s="8" t="s">
        <v>46</v>
      </c>
      <c r="U2887" s="8" t="s">
        <v>41</v>
      </c>
    </row>
    <row r="2888" spans="1:21">
      <c r="A2888" s="8" t="s">
        <v>10349</v>
      </c>
      <c r="B2888" s="8" t="s">
        <v>12328</v>
      </c>
      <c r="C2888" s="8">
        <v>5286</v>
      </c>
      <c r="D2888" s="8" t="s">
        <v>83</v>
      </c>
      <c r="E2888" s="8">
        <v>17190856</v>
      </c>
      <c r="F2888" s="8">
        <v>17190856</v>
      </c>
      <c r="G2888" s="8" t="s">
        <v>46</v>
      </c>
      <c r="H2888" s="8" t="s">
        <v>41</v>
      </c>
      <c r="I2888" s="8" t="s">
        <v>23</v>
      </c>
      <c r="J2888" s="8" t="s">
        <v>12329</v>
      </c>
      <c r="K2888" s="8" t="s">
        <v>12331</v>
      </c>
      <c r="L2888" s="8" t="s">
        <v>19</v>
      </c>
      <c r="M2888" s="8">
        <v>499</v>
      </c>
      <c r="N2888" s="8" t="s">
        <v>1364</v>
      </c>
      <c r="O2888" s="8">
        <v>145</v>
      </c>
      <c r="P2888" s="8" t="s">
        <v>12332</v>
      </c>
      <c r="Q2888" s="8" t="s">
        <v>4262</v>
      </c>
      <c r="R2888" s="8">
        <v>0.189</v>
      </c>
      <c r="S2888" s="8">
        <v>17190856</v>
      </c>
      <c r="T2888" s="8" t="s">
        <v>46</v>
      </c>
      <c r="U2888" s="8" t="s">
        <v>41</v>
      </c>
    </row>
    <row r="2889" spans="1:21">
      <c r="A2889" s="8" t="s">
        <v>10349</v>
      </c>
      <c r="B2889" s="8" t="s">
        <v>3463</v>
      </c>
      <c r="C2889" s="8">
        <v>10083</v>
      </c>
      <c r="D2889" s="8" t="s">
        <v>83</v>
      </c>
      <c r="E2889" s="8">
        <v>17542468</v>
      </c>
      <c r="F2889" s="8">
        <v>17542468</v>
      </c>
      <c r="G2889" s="8" t="s">
        <v>24</v>
      </c>
      <c r="H2889" s="8" t="s">
        <v>25</v>
      </c>
      <c r="I2889" s="8" t="s">
        <v>23</v>
      </c>
      <c r="J2889" s="8" t="s">
        <v>3464</v>
      </c>
      <c r="K2889" s="8" t="s">
        <v>5724</v>
      </c>
      <c r="L2889" s="8" t="s">
        <v>19</v>
      </c>
      <c r="M2889" s="8">
        <v>1268</v>
      </c>
      <c r="N2889" s="8" t="s">
        <v>415</v>
      </c>
      <c r="O2889" s="8">
        <v>387</v>
      </c>
      <c r="P2889" s="8" t="s">
        <v>12333</v>
      </c>
      <c r="Q2889" s="8" t="s">
        <v>4262</v>
      </c>
      <c r="R2889" s="8">
        <v>0.17</v>
      </c>
      <c r="S2889" s="8">
        <v>17542468</v>
      </c>
      <c r="T2889" s="8" t="s">
        <v>24</v>
      </c>
      <c r="U2889" s="8" t="s">
        <v>25</v>
      </c>
    </row>
    <row r="2890" spans="1:21">
      <c r="A2890" s="8" t="s">
        <v>10349</v>
      </c>
      <c r="B2890" s="8" t="s">
        <v>12334</v>
      </c>
      <c r="C2890" s="8">
        <v>283284</v>
      </c>
      <c r="D2890" s="8" t="s">
        <v>83</v>
      </c>
      <c r="E2890" s="8">
        <v>18741441</v>
      </c>
      <c r="F2890" s="8">
        <v>18741441</v>
      </c>
      <c r="G2890" s="8" t="s">
        <v>46</v>
      </c>
      <c r="H2890" s="8" t="s">
        <v>41</v>
      </c>
      <c r="I2890" s="8" t="s">
        <v>23</v>
      </c>
      <c r="J2890" s="8" t="s">
        <v>12335</v>
      </c>
      <c r="K2890" s="8" t="s">
        <v>12336</v>
      </c>
      <c r="L2890" s="8" t="s">
        <v>68</v>
      </c>
      <c r="M2890" s="8">
        <v>0</v>
      </c>
      <c r="N2890" s="8" t="s">
        <v>35</v>
      </c>
      <c r="O2890" s="8">
        <v>0</v>
      </c>
      <c r="P2890" s="8" t="s">
        <v>35</v>
      </c>
      <c r="Q2890" s="8" t="s">
        <v>4262</v>
      </c>
      <c r="R2890" s="8">
        <v>0.184</v>
      </c>
      <c r="S2890" s="8">
        <v>18741441</v>
      </c>
      <c r="T2890" s="8" t="s">
        <v>46</v>
      </c>
      <c r="U2890" s="8" t="s">
        <v>41</v>
      </c>
    </row>
    <row r="2891" spans="1:21">
      <c r="A2891" s="8" t="s">
        <v>10349</v>
      </c>
      <c r="B2891" s="8" t="s">
        <v>2463</v>
      </c>
      <c r="C2891" s="8">
        <v>259249</v>
      </c>
      <c r="D2891" s="8" t="s">
        <v>83</v>
      </c>
      <c r="E2891" s="8">
        <v>18956154</v>
      </c>
      <c r="F2891" s="8">
        <v>18956154</v>
      </c>
      <c r="G2891" s="8" t="s">
        <v>46</v>
      </c>
      <c r="H2891" s="8" t="s">
        <v>41</v>
      </c>
      <c r="I2891" s="8" t="s">
        <v>23</v>
      </c>
      <c r="J2891" s="8" t="s">
        <v>2464</v>
      </c>
      <c r="K2891" s="8" t="s">
        <v>12338</v>
      </c>
      <c r="L2891" s="8" t="s">
        <v>19</v>
      </c>
      <c r="M2891" s="8">
        <v>396</v>
      </c>
      <c r="N2891" s="8" t="s">
        <v>155</v>
      </c>
      <c r="O2891" s="8">
        <v>60</v>
      </c>
      <c r="P2891" s="8" t="s">
        <v>12337</v>
      </c>
      <c r="Q2891" s="8" t="s">
        <v>4262</v>
      </c>
      <c r="R2891" s="8">
        <v>0.35099999999999998</v>
      </c>
      <c r="S2891" s="8">
        <v>18956154</v>
      </c>
      <c r="T2891" s="8" t="s">
        <v>46</v>
      </c>
      <c r="U2891" s="8" t="s">
        <v>41</v>
      </c>
    </row>
    <row r="2892" spans="1:21">
      <c r="A2892" s="8" t="s">
        <v>10349</v>
      </c>
      <c r="B2892" s="8" t="s">
        <v>1893</v>
      </c>
      <c r="C2892" s="8">
        <v>4676</v>
      </c>
      <c r="D2892" s="8" t="s">
        <v>83</v>
      </c>
      <c r="E2892" s="8">
        <v>2979628</v>
      </c>
      <c r="F2892" s="8">
        <v>2979628</v>
      </c>
      <c r="G2892" s="8" t="s">
        <v>46</v>
      </c>
      <c r="H2892" s="8" t="s">
        <v>41</v>
      </c>
      <c r="I2892" s="8" t="s">
        <v>23</v>
      </c>
      <c r="J2892" s="8" t="s">
        <v>2465</v>
      </c>
      <c r="K2892" s="8" t="s">
        <v>12339</v>
      </c>
      <c r="L2892" s="8" t="s">
        <v>68</v>
      </c>
      <c r="M2892" s="8">
        <v>0</v>
      </c>
      <c r="N2892" s="8" t="s">
        <v>35</v>
      </c>
      <c r="O2892" s="8">
        <v>0</v>
      </c>
      <c r="P2892" s="8" t="s">
        <v>35</v>
      </c>
      <c r="Q2892" s="8" t="s">
        <v>4262</v>
      </c>
      <c r="R2892" s="8">
        <v>0.222</v>
      </c>
      <c r="S2892" s="8">
        <v>2979628</v>
      </c>
      <c r="T2892" s="8" t="s">
        <v>46</v>
      </c>
      <c r="U2892" s="8" t="s">
        <v>41</v>
      </c>
    </row>
    <row r="2893" spans="1:21">
      <c r="A2893" s="8" t="s">
        <v>10349</v>
      </c>
      <c r="B2893" s="8" t="s">
        <v>2466</v>
      </c>
      <c r="C2893" s="8">
        <v>26273</v>
      </c>
      <c r="D2893" s="8" t="s">
        <v>83</v>
      </c>
      <c r="E2893" s="8">
        <v>33763552</v>
      </c>
      <c r="F2893" s="8">
        <v>33763552</v>
      </c>
      <c r="G2893" s="8" t="s">
        <v>46</v>
      </c>
      <c r="H2893" s="8" t="s">
        <v>41</v>
      </c>
      <c r="I2893" s="8" t="s">
        <v>23</v>
      </c>
      <c r="J2893" s="8" t="s">
        <v>2467</v>
      </c>
      <c r="K2893" s="8" t="s">
        <v>12341</v>
      </c>
      <c r="L2893" s="8" t="s">
        <v>19</v>
      </c>
      <c r="M2893" s="8">
        <v>1346</v>
      </c>
      <c r="N2893" s="8" t="s">
        <v>1070</v>
      </c>
      <c r="O2893" s="8">
        <v>440</v>
      </c>
      <c r="P2893" s="8" t="s">
        <v>12340</v>
      </c>
      <c r="Q2893" s="8" t="s">
        <v>4262</v>
      </c>
      <c r="R2893" s="8">
        <v>0.33300000000000002</v>
      </c>
      <c r="S2893" s="8">
        <v>33763552</v>
      </c>
      <c r="T2893" s="8" t="s">
        <v>46</v>
      </c>
      <c r="U2893" s="8" t="s">
        <v>41</v>
      </c>
    </row>
    <row r="2894" spans="1:21">
      <c r="A2894" s="8" t="s">
        <v>10349</v>
      </c>
      <c r="B2894" s="8" t="s">
        <v>4050</v>
      </c>
      <c r="C2894" s="8">
        <v>4928</v>
      </c>
      <c r="D2894" s="8" t="s">
        <v>83</v>
      </c>
      <c r="E2894" s="8">
        <v>3723772</v>
      </c>
      <c r="F2894" s="8">
        <v>3723772</v>
      </c>
      <c r="G2894" s="8" t="s">
        <v>46</v>
      </c>
      <c r="H2894" s="8" t="s">
        <v>41</v>
      </c>
      <c r="I2894" s="8" t="s">
        <v>23</v>
      </c>
      <c r="J2894" s="8" t="s">
        <v>9167</v>
      </c>
      <c r="K2894" s="8" t="s">
        <v>9169</v>
      </c>
      <c r="L2894" s="8" t="s">
        <v>19</v>
      </c>
      <c r="M2894" s="8">
        <v>3854</v>
      </c>
      <c r="N2894" s="8" t="s">
        <v>536</v>
      </c>
      <c r="O2894" s="8">
        <v>1145</v>
      </c>
      <c r="P2894" s="8" t="s">
        <v>12342</v>
      </c>
      <c r="Q2894" s="8" t="s">
        <v>4262</v>
      </c>
      <c r="R2894" s="8">
        <v>0.13300000000000001</v>
      </c>
      <c r="S2894" s="8">
        <v>3723772</v>
      </c>
      <c r="T2894" s="8" t="s">
        <v>46</v>
      </c>
      <c r="U2894" s="8" t="s">
        <v>41</v>
      </c>
    </row>
    <row r="2895" spans="1:21">
      <c r="A2895" s="8" t="s">
        <v>10349</v>
      </c>
      <c r="B2895" s="8" t="s">
        <v>12343</v>
      </c>
      <c r="C2895" s="8">
        <v>221120</v>
      </c>
      <c r="D2895" s="8" t="s">
        <v>83</v>
      </c>
      <c r="E2895" s="8">
        <v>43913620</v>
      </c>
      <c r="F2895" s="8">
        <v>43913620</v>
      </c>
      <c r="G2895" s="8" t="s">
        <v>24</v>
      </c>
      <c r="H2895" s="8" t="s">
        <v>25</v>
      </c>
      <c r="I2895" s="8" t="s">
        <v>23</v>
      </c>
      <c r="J2895" s="8" t="s">
        <v>12344</v>
      </c>
      <c r="K2895" s="8" t="s">
        <v>12346</v>
      </c>
      <c r="L2895" s="8" t="s">
        <v>19</v>
      </c>
      <c r="M2895" s="8">
        <v>843</v>
      </c>
      <c r="N2895" s="8" t="s">
        <v>1070</v>
      </c>
      <c r="O2895" s="8">
        <v>134</v>
      </c>
      <c r="P2895" s="8" t="s">
        <v>12345</v>
      </c>
      <c r="Q2895" s="8" t="s">
        <v>4262</v>
      </c>
      <c r="R2895" s="8">
        <v>0.23499999999999999</v>
      </c>
      <c r="S2895" s="8">
        <v>43913620</v>
      </c>
      <c r="T2895" s="8" t="s">
        <v>24</v>
      </c>
      <c r="U2895" s="8" t="s">
        <v>25</v>
      </c>
    </row>
    <row r="2896" spans="1:21">
      <c r="A2896" s="8" t="s">
        <v>10349</v>
      </c>
      <c r="B2896" s="8" t="s">
        <v>2928</v>
      </c>
      <c r="C2896" s="8">
        <v>1132</v>
      </c>
      <c r="D2896" s="8" t="s">
        <v>83</v>
      </c>
      <c r="E2896" s="8">
        <v>46407441</v>
      </c>
      <c r="F2896" s="8">
        <v>46407441</v>
      </c>
      <c r="G2896" s="8" t="s">
        <v>24</v>
      </c>
      <c r="H2896" s="8" t="s">
        <v>25</v>
      </c>
      <c r="I2896" s="8" t="s">
        <v>23</v>
      </c>
      <c r="J2896" s="8" t="s">
        <v>2929</v>
      </c>
      <c r="K2896" s="8" t="s">
        <v>9982</v>
      </c>
      <c r="L2896" s="8" t="s">
        <v>19</v>
      </c>
      <c r="M2896" s="8">
        <v>667</v>
      </c>
      <c r="N2896" s="8" t="s">
        <v>560</v>
      </c>
      <c r="O2896" s="8">
        <v>223</v>
      </c>
      <c r="P2896" s="8" t="s">
        <v>12347</v>
      </c>
      <c r="Q2896" s="8" t="s">
        <v>4262</v>
      </c>
      <c r="R2896" s="8">
        <v>0.25800000000000001</v>
      </c>
      <c r="S2896" s="8">
        <v>46407441</v>
      </c>
      <c r="T2896" s="8" t="s">
        <v>24</v>
      </c>
      <c r="U2896" s="8" t="s">
        <v>25</v>
      </c>
    </row>
    <row r="2897" spans="1:21">
      <c r="A2897" s="8" t="s">
        <v>10349</v>
      </c>
      <c r="B2897" s="8" t="s">
        <v>5349</v>
      </c>
      <c r="C2897" s="8">
        <v>55626</v>
      </c>
      <c r="D2897" s="8" t="s">
        <v>83</v>
      </c>
      <c r="E2897" s="8">
        <v>46569906</v>
      </c>
      <c r="F2897" s="8">
        <v>46569906</v>
      </c>
      <c r="G2897" s="8" t="s">
        <v>46</v>
      </c>
      <c r="H2897" s="8" t="s">
        <v>41</v>
      </c>
      <c r="I2897" s="8" t="s">
        <v>23</v>
      </c>
      <c r="J2897" s="8" t="s">
        <v>5350</v>
      </c>
      <c r="K2897" s="8" t="s">
        <v>5352</v>
      </c>
      <c r="L2897" s="8" t="s">
        <v>19</v>
      </c>
      <c r="M2897" s="8">
        <v>385</v>
      </c>
      <c r="N2897" s="8" t="s">
        <v>768</v>
      </c>
      <c r="O2897" s="8">
        <v>9</v>
      </c>
      <c r="P2897" s="8" t="s">
        <v>12348</v>
      </c>
      <c r="Q2897" s="8" t="s">
        <v>4262</v>
      </c>
      <c r="R2897" s="8">
        <v>0.14000000000000001</v>
      </c>
      <c r="S2897" s="8">
        <v>46569906</v>
      </c>
      <c r="T2897" s="8" t="s">
        <v>46</v>
      </c>
      <c r="U2897" s="8" t="s">
        <v>41</v>
      </c>
    </row>
    <row r="2898" spans="1:21">
      <c r="A2898" s="8" t="s">
        <v>10349</v>
      </c>
      <c r="B2898" s="8" t="s">
        <v>12349</v>
      </c>
      <c r="C2898" s="8">
        <v>9776</v>
      </c>
      <c r="D2898" s="8" t="s">
        <v>83</v>
      </c>
      <c r="E2898" s="8">
        <v>46689408</v>
      </c>
      <c r="F2898" s="8">
        <v>46689408</v>
      </c>
      <c r="G2898" s="8" t="s">
        <v>24</v>
      </c>
      <c r="H2898" s="8" t="s">
        <v>25</v>
      </c>
      <c r="I2898" s="8" t="s">
        <v>23</v>
      </c>
      <c r="J2898" s="8" t="s">
        <v>12350</v>
      </c>
      <c r="K2898" s="8" t="s">
        <v>12352</v>
      </c>
      <c r="L2898" s="8" t="s">
        <v>19</v>
      </c>
      <c r="M2898" s="8">
        <v>1850</v>
      </c>
      <c r="N2898" s="8" t="s">
        <v>28</v>
      </c>
      <c r="O2898" s="8">
        <v>408</v>
      </c>
      <c r="P2898" s="8" t="s">
        <v>12351</v>
      </c>
      <c r="Q2898" s="8" t="s">
        <v>4262</v>
      </c>
      <c r="R2898" s="8">
        <v>0.20499999999999999</v>
      </c>
      <c r="S2898" s="8">
        <v>46689408</v>
      </c>
      <c r="T2898" s="8" t="s">
        <v>24</v>
      </c>
      <c r="U2898" s="8" t="s">
        <v>25</v>
      </c>
    </row>
    <row r="2899" spans="1:21">
      <c r="A2899" s="8" t="s">
        <v>10349</v>
      </c>
      <c r="B2899" s="8" t="s">
        <v>657</v>
      </c>
      <c r="C2899" s="8">
        <v>8567</v>
      </c>
      <c r="D2899" s="8" t="s">
        <v>83</v>
      </c>
      <c r="E2899" s="8">
        <v>47314100</v>
      </c>
      <c r="F2899" s="8">
        <v>47314100</v>
      </c>
      <c r="G2899" s="8" t="s">
        <v>24</v>
      </c>
      <c r="H2899" s="8" t="s">
        <v>25</v>
      </c>
      <c r="I2899" s="8" t="s">
        <v>23</v>
      </c>
      <c r="J2899" s="8" t="s">
        <v>12353</v>
      </c>
      <c r="K2899" s="8" t="s">
        <v>12355</v>
      </c>
      <c r="L2899" s="8" t="s">
        <v>76</v>
      </c>
      <c r="M2899" s="8">
        <v>3559</v>
      </c>
      <c r="N2899" s="8" t="s">
        <v>471</v>
      </c>
      <c r="O2899" s="8">
        <v>1123</v>
      </c>
      <c r="P2899" s="8" t="s">
        <v>12354</v>
      </c>
      <c r="Q2899" s="8" t="s">
        <v>4262</v>
      </c>
      <c r="R2899" s="8">
        <v>0.19400000000000001</v>
      </c>
      <c r="S2899" s="8">
        <v>47314100</v>
      </c>
      <c r="T2899" s="8" t="s">
        <v>24</v>
      </c>
      <c r="U2899" s="8" t="s">
        <v>25</v>
      </c>
    </row>
    <row r="2900" spans="1:21">
      <c r="A2900" s="8" t="s">
        <v>10349</v>
      </c>
      <c r="B2900" s="8" t="s">
        <v>12356</v>
      </c>
      <c r="C2900" s="8">
        <v>119694</v>
      </c>
      <c r="D2900" s="8" t="s">
        <v>83</v>
      </c>
      <c r="E2900" s="8">
        <v>4842878</v>
      </c>
      <c r="F2900" s="8">
        <v>4842878</v>
      </c>
      <c r="G2900" s="8" t="s">
        <v>46</v>
      </c>
      <c r="H2900" s="8" t="s">
        <v>41</v>
      </c>
      <c r="I2900" s="8" t="s">
        <v>23</v>
      </c>
      <c r="J2900" s="8" t="s">
        <v>12357</v>
      </c>
      <c r="K2900" s="8" t="s">
        <v>12359</v>
      </c>
      <c r="L2900" s="8" t="s">
        <v>19</v>
      </c>
      <c r="M2900" s="8">
        <v>263</v>
      </c>
      <c r="N2900" s="8" t="s">
        <v>309</v>
      </c>
      <c r="O2900" s="8">
        <v>88</v>
      </c>
      <c r="P2900" s="8" t="s">
        <v>12358</v>
      </c>
      <c r="Q2900" s="8" t="s">
        <v>4262</v>
      </c>
      <c r="R2900" s="8">
        <v>0.25</v>
      </c>
      <c r="S2900" s="8">
        <v>4842878</v>
      </c>
      <c r="T2900" s="8" t="s">
        <v>46</v>
      </c>
      <c r="U2900" s="8" t="s">
        <v>41</v>
      </c>
    </row>
    <row r="2901" spans="1:21">
      <c r="A2901" s="8" t="s">
        <v>10349</v>
      </c>
      <c r="B2901" s="8" t="s">
        <v>3839</v>
      </c>
      <c r="C2901" s="8">
        <v>81282</v>
      </c>
      <c r="D2901" s="8" t="s">
        <v>83</v>
      </c>
      <c r="E2901" s="8">
        <v>4936109</v>
      </c>
      <c r="F2901" s="8">
        <v>4936109</v>
      </c>
      <c r="G2901" s="8" t="s">
        <v>46</v>
      </c>
      <c r="H2901" s="8" t="s">
        <v>41</v>
      </c>
      <c r="I2901" s="8" t="s">
        <v>23</v>
      </c>
      <c r="J2901" s="8" t="s">
        <v>3840</v>
      </c>
      <c r="K2901" s="8" t="s">
        <v>4834</v>
      </c>
      <c r="L2901" s="8" t="s">
        <v>19</v>
      </c>
      <c r="M2901" s="8">
        <v>785</v>
      </c>
      <c r="N2901" s="8" t="s">
        <v>205</v>
      </c>
      <c r="O2901" s="8">
        <v>262</v>
      </c>
      <c r="P2901" s="8" t="s">
        <v>12360</v>
      </c>
      <c r="Q2901" s="8" t="s">
        <v>4262</v>
      </c>
      <c r="R2901" s="8">
        <v>0.23499999999999999</v>
      </c>
      <c r="S2901" s="8">
        <v>4936109</v>
      </c>
      <c r="T2901" s="8" t="s">
        <v>46</v>
      </c>
      <c r="U2901" s="8" t="s">
        <v>41</v>
      </c>
    </row>
    <row r="2902" spans="1:21">
      <c r="A2902" s="8" t="s">
        <v>10349</v>
      </c>
      <c r="B2902" s="8" t="s">
        <v>3839</v>
      </c>
      <c r="C2902" s="8">
        <v>81282</v>
      </c>
      <c r="D2902" s="8" t="s">
        <v>83</v>
      </c>
      <c r="E2902" s="8">
        <v>4936298</v>
      </c>
      <c r="F2902" s="8">
        <v>4936298</v>
      </c>
      <c r="G2902" s="8" t="s">
        <v>24</v>
      </c>
      <c r="H2902" s="8" t="s">
        <v>25</v>
      </c>
      <c r="I2902" s="8" t="s">
        <v>23</v>
      </c>
      <c r="J2902" s="8" t="s">
        <v>3840</v>
      </c>
      <c r="K2902" s="8" t="s">
        <v>4834</v>
      </c>
      <c r="L2902" s="8" t="s">
        <v>19</v>
      </c>
      <c r="M2902" s="8">
        <v>596</v>
      </c>
      <c r="N2902" s="8" t="s">
        <v>1421</v>
      </c>
      <c r="O2902" s="8">
        <v>199</v>
      </c>
      <c r="P2902" s="8" t="s">
        <v>6619</v>
      </c>
      <c r="Q2902" s="8" t="s">
        <v>4262</v>
      </c>
      <c r="R2902" s="8">
        <v>0.22700000000000001</v>
      </c>
      <c r="S2902" s="8">
        <v>4936298</v>
      </c>
      <c r="T2902" s="8" t="s">
        <v>24</v>
      </c>
      <c r="U2902" s="8" t="s">
        <v>25</v>
      </c>
    </row>
    <row r="2903" spans="1:21">
      <c r="A2903" s="8" t="s">
        <v>10349</v>
      </c>
      <c r="B2903" s="8" t="s">
        <v>6483</v>
      </c>
      <c r="C2903" s="8">
        <v>120824</v>
      </c>
      <c r="D2903" s="8" t="s">
        <v>83</v>
      </c>
      <c r="E2903" s="8">
        <v>49003009</v>
      </c>
      <c r="F2903" s="8">
        <v>49003009</v>
      </c>
      <c r="G2903" s="8" t="s">
        <v>24</v>
      </c>
      <c r="H2903" s="8" t="s">
        <v>25</v>
      </c>
      <c r="I2903" s="8" t="s">
        <v>23</v>
      </c>
      <c r="J2903" s="8" t="s">
        <v>6484</v>
      </c>
      <c r="K2903" s="8" t="s">
        <v>6486</v>
      </c>
      <c r="L2903" s="8" t="s">
        <v>19</v>
      </c>
      <c r="M2903" s="8">
        <v>239</v>
      </c>
      <c r="N2903" s="8" t="s">
        <v>1421</v>
      </c>
      <c r="O2903" s="8">
        <v>80</v>
      </c>
      <c r="P2903" s="8" t="s">
        <v>12361</v>
      </c>
      <c r="Q2903" s="8" t="s">
        <v>4262</v>
      </c>
      <c r="R2903" s="8">
        <v>0.13800000000000001</v>
      </c>
      <c r="S2903" s="8">
        <v>49003009</v>
      </c>
      <c r="T2903" s="8" t="s">
        <v>24</v>
      </c>
      <c r="U2903" s="8" t="s">
        <v>25</v>
      </c>
    </row>
    <row r="2904" spans="1:21">
      <c r="A2904" s="8" t="s">
        <v>10349</v>
      </c>
      <c r="B2904" s="8" t="s">
        <v>12362</v>
      </c>
      <c r="C2904" s="8">
        <v>84318</v>
      </c>
      <c r="D2904" s="8" t="s">
        <v>104</v>
      </c>
      <c r="E2904" s="8">
        <v>541073</v>
      </c>
      <c r="F2904" s="8">
        <v>541073</v>
      </c>
      <c r="G2904" s="8" t="s">
        <v>24</v>
      </c>
      <c r="H2904" s="8" t="s">
        <v>25</v>
      </c>
      <c r="I2904" s="8" t="s">
        <v>23</v>
      </c>
      <c r="J2904" s="8" t="s">
        <v>12363</v>
      </c>
      <c r="K2904" s="8" t="s">
        <v>12365</v>
      </c>
      <c r="L2904" s="8" t="s">
        <v>19</v>
      </c>
      <c r="M2904" s="8">
        <v>805</v>
      </c>
      <c r="N2904" s="8" t="s">
        <v>758</v>
      </c>
      <c r="O2904" s="8">
        <v>209</v>
      </c>
      <c r="P2904" s="8" t="s">
        <v>12364</v>
      </c>
      <c r="Q2904" s="8" t="s">
        <v>4262</v>
      </c>
      <c r="R2904" s="8">
        <v>0.16</v>
      </c>
      <c r="S2904" s="8">
        <v>541073</v>
      </c>
      <c r="T2904" s="8" t="s">
        <v>24</v>
      </c>
      <c r="U2904" s="8" t="s">
        <v>25</v>
      </c>
    </row>
    <row r="2905" spans="1:21">
      <c r="A2905" s="8" t="s">
        <v>10349</v>
      </c>
      <c r="B2905" s="8" t="s">
        <v>12366</v>
      </c>
      <c r="C2905" s="8">
        <v>3889</v>
      </c>
      <c r="D2905" s="8" t="s">
        <v>104</v>
      </c>
      <c r="E2905" s="8">
        <v>52713060</v>
      </c>
      <c r="F2905" s="8">
        <v>52713060</v>
      </c>
      <c r="G2905" s="8" t="s">
        <v>24</v>
      </c>
      <c r="H2905" s="8" t="s">
        <v>25</v>
      </c>
      <c r="I2905" s="8" t="s">
        <v>23</v>
      </c>
      <c r="J2905" s="8" t="s">
        <v>12367</v>
      </c>
      <c r="K2905" s="8" t="s">
        <v>12369</v>
      </c>
      <c r="L2905" s="8" t="s">
        <v>19</v>
      </c>
      <c r="M2905" s="8">
        <v>536</v>
      </c>
      <c r="N2905" s="8" t="s">
        <v>333</v>
      </c>
      <c r="O2905" s="8">
        <v>158</v>
      </c>
      <c r="P2905" s="8" t="s">
        <v>8415</v>
      </c>
      <c r="Q2905" s="8" t="s">
        <v>12368</v>
      </c>
      <c r="R2905" s="8">
        <v>0.19400000000000001</v>
      </c>
      <c r="S2905" s="8">
        <v>52713060</v>
      </c>
      <c r="T2905" s="8" t="s">
        <v>24</v>
      </c>
      <c r="U2905" s="8" t="s">
        <v>25</v>
      </c>
    </row>
    <row r="2906" spans="1:21">
      <c r="A2906" s="8" t="s">
        <v>10349</v>
      </c>
      <c r="B2906" s="8" t="s">
        <v>12370</v>
      </c>
      <c r="C2906" s="8">
        <v>3890</v>
      </c>
      <c r="D2906" s="8" t="s">
        <v>104</v>
      </c>
      <c r="E2906" s="8">
        <v>52774174</v>
      </c>
      <c r="F2906" s="8">
        <v>52774174</v>
      </c>
      <c r="G2906" s="8" t="s">
        <v>46</v>
      </c>
      <c r="H2906" s="8" t="s">
        <v>41</v>
      </c>
      <c r="I2906" s="8" t="s">
        <v>23</v>
      </c>
      <c r="J2906" s="8" t="s">
        <v>12371</v>
      </c>
      <c r="K2906" s="8" t="s">
        <v>12373</v>
      </c>
      <c r="L2906" s="8" t="s">
        <v>19</v>
      </c>
      <c r="M2906" s="8">
        <v>1445</v>
      </c>
      <c r="N2906" s="8" t="s">
        <v>2483</v>
      </c>
      <c r="O2906" s="8">
        <v>466</v>
      </c>
      <c r="P2906" s="8" t="s">
        <v>12372</v>
      </c>
      <c r="Q2906" s="8" t="s">
        <v>4262</v>
      </c>
      <c r="R2906" s="8">
        <v>0.27300000000000002</v>
      </c>
      <c r="S2906" s="8">
        <v>52774174</v>
      </c>
      <c r="T2906" s="8" t="s">
        <v>46</v>
      </c>
      <c r="U2906" s="8" t="s">
        <v>41</v>
      </c>
    </row>
    <row r="2907" spans="1:21">
      <c r="A2907" s="8" t="s">
        <v>10349</v>
      </c>
      <c r="B2907" s="8" t="s">
        <v>12374</v>
      </c>
      <c r="C2907" s="8">
        <v>112802</v>
      </c>
      <c r="D2907" s="8" t="s">
        <v>104</v>
      </c>
      <c r="E2907" s="8">
        <v>52946480</v>
      </c>
      <c r="F2907" s="8">
        <v>52946480</v>
      </c>
      <c r="G2907" s="8" t="s">
        <v>46</v>
      </c>
      <c r="H2907" s="8" t="s">
        <v>41</v>
      </c>
      <c r="I2907" s="8" t="s">
        <v>23</v>
      </c>
      <c r="J2907" s="8" t="s">
        <v>12375</v>
      </c>
      <c r="K2907" s="8" t="s">
        <v>12377</v>
      </c>
      <c r="L2907" s="8" t="s">
        <v>19</v>
      </c>
      <c r="M2907" s="8">
        <v>452</v>
      </c>
      <c r="N2907" s="8" t="s">
        <v>155</v>
      </c>
      <c r="O2907" s="8">
        <v>128</v>
      </c>
      <c r="P2907" s="8" t="s">
        <v>12376</v>
      </c>
      <c r="Q2907" s="8" t="s">
        <v>4262</v>
      </c>
      <c r="R2907" s="8">
        <v>0.191</v>
      </c>
      <c r="S2907" s="8">
        <v>52946480</v>
      </c>
      <c r="T2907" s="8" t="s">
        <v>46</v>
      </c>
      <c r="U2907" s="8" t="s">
        <v>41</v>
      </c>
    </row>
    <row r="2908" spans="1:21">
      <c r="A2908" s="8" t="s">
        <v>10349</v>
      </c>
      <c r="B2908" s="8" t="s">
        <v>12378</v>
      </c>
      <c r="C2908" s="8">
        <v>121391</v>
      </c>
      <c r="D2908" s="8" t="s">
        <v>104</v>
      </c>
      <c r="E2908" s="8">
        <v>52967126</v>
      </c>
      <c r="F2908" s="8">
        <v>52967126</v>
      </c>
      <c r="G2908" s="8" t="s">
        <v>46</v>
      </c>
      <c r="H2908" s="8" t="s">
        <v>41</v>
      </c>
      <c r="I2908" s="8" t="s">
        <v>23</v>
      </c>
      <c r="J2908" s="8" t="s">
        <v>12379</v>
      </c>
      <c r="K2908" s="8" t="s">
        <v>12381</v>
      </c>
      <c r="L2908" s="8" t="s">
        <v>19</v>
      </c>
      <c r="M2908" s="8">
        <v>484</v>
      </c>
      <c r="N2908" s="8" t="s">
        <v>171</v>
      </c>
      <c r="O2908" s="8">
        <v>146</v>
      </c>
      <c r="P2908" s="8" t="s">
        <v>12380</v>
      </c>
      <c r="Q2908" s="8" t="s">
        <v>4262</v>
      </c>
      <c r="R2908" s="8">
        <v>0.17599999999999999</v>
      </c>
      <c r="S2908" s="8">
        <v>52967126</v>
      </c>
      <c r="T2908" s="8" t="s">
        <v>46</v>
      </c>
      <c r="U2908" s="8" t="s">
        <v>41</v>
      </c>
    </row>
    <row r="2909" spans="1:21">
      <c r="A2909" s="8" t="s">
        <v>10349</v>
      </c>
      <c r="B2909" s="8" t="s">
        <v>7522</v>
      </c>
      <c r="C2909" s="8">
        <v>3849</v>
      </c>
      <c r="D2909" s="8" t="s">
        <v>104</v>
      </c>
      <c r="E2909" s="8">
        <v>53044219</v>
      </c>
      <c r="F2909" s="8">
        <v>53044219</v>
      </c>
      <c r="G2909" s="8" t="s">
        <v>46</v>
      </c>
      <c r="H2909" s="8" t="s">
        <v>41</v>
      </c>
      <c r="I2909" s="8" t="s">
        <v>23</v>
      </c>
      <c r="J2909" s="8" t="s">
        <v>7523</v>
      </c>
      <c r="K2909" s="8" t="s">
        <v>7525</v>
      </c>
      <c r="L2909" s="8" t="s">
        <v>19</v>
      </c>
      <c r="M2909" s="8">
        <v>737</v>
      </c>
      <c r="N2909" s="8" t="s">
        <v>708</v>
      </c>
      <c r="O2909" s="8">
        <v>235</v>
      </c>
      <c r="P2909" s="8" t="s">
        <v>12382</v>
      </c>
      <c r="Q2909" s="8" t="s">
        <v>4262</v>
      </c>
      <c r="R2909" s="8">
        <v>0.21299999999999999</v>
      </c>
      <c r="S2909" s="8">
        <v>53044219</v>
      </c>
      <c r="T2909" s="8" t="s">
        <v>46</v>
      </c>
      <c r="U2909" s="8" t="s">
        <v>41</v>
      </c>
    </row>
    <row r="2910" spans="1:21">
      <c r="A2910" s="8" t="s">
        <v>10349</v>
      </c>
      <c r="B2910" s="8" t="s">
        <v>12383</v>
      </c>
      <c r="C2910" s="8">
        <v>3226</v>
      </c>
      <c r="D2910" s="8" t="s">
        <v>104</v>
      </c>
      <c r="E2910" s="8">
        <v>54383106</v>
      </c>
      <c r="F2910" s="8">
        <v>54383106</v>
      </c>
      <c r="G2910" s="8" t="s">
        <v>24</v>
      </c>
      <c r="H2910" s="8" t="s">
        <v>25</v>
      </c>
      <c r="I2910" s="8" t="s">
        <v>23</v>
      </c>
      <c r="J2910" s="8" t="s">
        <v>12384</v>
      </c>
      <c r="K2910" s="8" t="s">
        <v>12386</v>
      </c>
      <c r="L2910" s="8" t="s">
        <v>19</v>
      </c>
      <c r="M2910" s="8">
        <v>1003</v>
      </c>
      <c r="N2910" s="8" t="s">
        <v>708</v>
      </c>
      <c r="O2910" s="8">
        <v>302</v>
      </c>
      <c r="P2910" s="8" t="s">
        <v>12385</v>
      </c>
      <c r="Q2910" s="8" t="s">
        <v>4262</v>
      </c>
      <c r="R2910" s="8">
        <v>0.13800000000000001</v>
      </c>
      <c r="S2910" s="8">
        <v>54383106</v>
      </c>
      <c r="T2910" s="8" t="s">
        <v>24</v>
      </c>
      <c r="U2910" s="8" t="s">
        <v>25</v>
      </c>
    </row>
    <row r="2911" spans="1:21">
      <c r="A2911" s="8" t="s">
        <v>10349</v>
      </c>
      <c r="B2911" s="8" t="s">
        <v>12387</v>
      </c>
      <c r="C2911" s="8">
        <v>341418</v>
      </c>
      <c r="D2911" s="8" t="s">
        <v>104</v>
      </c>
      <c r="E2911" s="8">
        <v>55945162</v>
      </c>
      <c r="F2911" s="8">
        <v>55945162</v>
      </c>
      <c r="G2911" s="8" t="s">
        <v>46</v>
      </c>
      <c r="H2911" s="8" t="s">
        <v>41</v>
      </c>
      <c r="I2911" s="8" t="s">
        <v>23</v>
      </c>
      <c r="J2911" s="8" t="s">
        <v>12388</v>
      </c>
      <c r="K2911" s="8" t="s">
        <v>12390</v>
      </c>
      <c r="L2911" s="8" t="s">
        <v>19</v>
      </c>
      <c r="M2911" s="8">
        <v>152</v>
      </c>
      <c r="N2911" s="8" t="s">
        <v>333</v>
      </c>
      <c r="O2911" s="8">
        <v>51</v>
      </c>
      <c r="P2911" s="8" t="s">
        <v>12389</v>
      </c>
      <c r="Q2911" s="8" t="s">
        <v>4262</v>
      </c>
      <c r="R2911" s="8">
        <v>0.13900000000000001</v>
      </c>
      <c r="S2911" s="8">
        <v>55945162</v>
      </c>
      <c r="T2911" s="8" t="s">
        <v>46</v>
      </c>
      <c r="U2911" s="8" t="s">
        <v>41</v>
      </c>
    </row>
    <row r="2912" spans="1:21">
      <c r="A2912" s="8" t="s">
        <v>10349</v>
      </c>
      <c r="B2912" s="8" t="s">
        <v>2494</v>
      </c>
      <c r="C2912" s="8">
        <v>4327</v>
      </c>
      <c r="D2912" s="8" t="s">
        <v>104</v>
      </c>
      <c r="E2912" s="8">
        <v>56231089</v>
      </c>
      <c r="F2912" s="8">
        <v>56231089</v>
      </c>
      <c r="G2912" s="8" t="s">
        <v>46</v>
      </c>
      <c r="H2912" s="8" t="s">
        <v>41</v>
      </c>
      <c r="I2912" s="8" t="s">
        <v>23</v>
      </c>
      <c r="J2912" s="8" t="s">
        <v>2495</v>
      </c>
      <c r="K2912" s="8" t="s">
        <v>12392</v>
      </c>
      <c r="L2912" s="8" t="s">
        <v>19</v>
      </c>
      <c r="M2912" s="8">
        <v>1379</v>
      </c>
      <c r="N2912" s="8" t="s">
        <v>878</v>
      </c>
      <c r="O2912" s="8">
        <v>420</v>
      </c>
      <c r="P2912" s="8" t="s">
        <v>12391</v>
      </c>
      <c r="Q2912" s="8" t="s">
        <v>4262</v>
      </c>
      <c r="R2912" s="8">
        <v>0.22</v>
      </c>
      <c r="S2912" s="8">
        <v>56231089</v>
      </c>
      <c r="T2912" s="8" t="s">
        <v>46</v>
      </c>
      <c r="U2912" s="8" t="s">
        <v>41</v>
      </c>
    </row>
    <row r="2913" spans="1:21">
      <c r="A2913" s="8" t="s">
        <v>10349</v>
      </c>
      <c r="B2913" s="8" t="s">
        <v>12393</v>
      </c>
      <c r="C2913" s="8">
        <v>1606</v>
      </c>
      <c r="D2913" s="8" t="s">
        <v>104</v>
      </c>
      <c r="E2913" s="8">
        <v>56333042</v>
      </c>
      <c r="F2913" s="8">
        <v>56333042</v>
      </c>
      <c r="G2913" s="8" t="s">
        <v>24</v>
      </c>
      <c r="H2913" s="8" t="s">
        <v>25</v>
      </c>
      <c r="I2913" s="8" t="s">
        <v>23</v>
      </c>
      <c r="J2913" s="8" t="s">
        <v>12394</v>
      </c>
      <c r="K2913" s="8" t="s">
        <v>12396</v>
      </c>
      <c r="L2913" s="8" t="s">
        <v>19</v>
      </c>
      <c r="M2913" s="8">
        <v>724</v>
      </c>
      <c r="N2913" s="8" t="s">
        <v>768</v>
      </c>
      <c r="O2913" s="8">
        <v>183</v>
      </c>
      <c r="P2913" s="8" t="s">
        <v>12395</v>
      </c>
      <c r="Q2913" s="8" t="s">
        <v>4262</v>
      </c>
      <c r="R2913" s="8">
        <v>0.26900000000000002</v>
      </c>
      <c r="S2913" s="8">
        <v>56333042</v>
      </c>
      <c r="T2913" s="8" t="s">
        <v>24</v>
      </c>
      <c r="U2913" s="8" t="s">
        <v>25</v>
      </c>
    </row>
    <row r="2914" spans="1:21">
      <c r="A2914" s="8" t="s">
        <v>10349</v>
      </c>
      <c r="B2914" s="8" t="s">
        <v>4196</v>
      </c>
      <c r="C2914" s="8">
        <v>283373</v>
      </c>
      <c r="D2914" s="8" t="s">
        <v>104</v>
      </c>
      <c r="E2914" s="8">
        <v>56646325</v>
      </c>
      <c r="F2914" s="8">
        <v>56646325</v>
      </c>
      <c r="G2914" s="8" t="s">
        <v>46</v>
      </c>
      <c r="H2914" s="8" t="s">
        <v>41</v>
      </c>
      <c r="I2914" s="8" t="s">
        <v>23</v>
      </c>
      <c r="J2914" s="8" t="s">
        <v>12397</v>
      </c>
      <c r="K2914" s="8" t="s">
        <v>12399</v>
      </c>
      <c r="L2914" s="8" t="s">
        <v>19</v>
      </c>
      <c r="M2914" s="8">
        <v>1421</v>
      </c>
      <c r="N2914" s="8" t="s">
        <v>708</v>
      </c>
      <c r="O2914" s="8">
        <v>444</v>
      </c>
      <c r="P2914" s="8" t="s">
        <v>12398</v>
      </c>
      <c r="Q2914" s="8" t="s">
        <v>4262</v>
      </c>
      <c r="R2914" s="8">
        <v>0.23</v>
      </c>
      <c r="S2914" s="8">
        <v>56646325</v>
      </c>
      <c r="T2914" s="8" t="s">
        <v>46</v>
      </c>
      <c r="U2914" s="8" t="s">
        <v>41</v>
      </c>
    </row>
    <row r="2915" spans="1:21">
      <c r="A2915" s="8" t="s">
        <v>10349</v>
      </c>
      <c r="B2915" s="8" t="s">
        <v>3162</v>
      </c>
      <c r="C2915" s="8">
        <v>11176</v>
      </c>
      <c r="D2915" s="8" t="s">
        <v>104</v>
      </c>
      <c r="E2915" s="8">
        <v>57006844</v>
      </c>
      <c r="F2915" s="8">
        <v>57006844</v>
      </c>
      <c r="G2915" s="8" t="s">
        <v>46</v>
      </c>
      <c r="H2915" s="8" t="s">
        <v>41</v>
      </c>
      <c r="I2915" s="8" t="s">
        <v>23</v>
      </c>
      <c r="J2915" s="8" t="s">
        <v>3163</v>
      </c>
      <c r="K2915" s="8" t="s">
        <v>6959</v>
      </c>
      <c r="L2915" s="8" t="s">
        <v>19</v>
      </c>
      <c r="M2915" s="8">
        <v>1290</v>
      </c>
      <c r="N2915" s="8" t="s">
        <v>155</v>
      </c>
      <c r="O2915" s="8">
        <v>366</v>
      </c>
      <c r="P2915" s="8" t="s">
        <v>12400</v>
      </c>
      <c r="Q2915" s="8" t="s">
        <v>4262</v>
      </c>
      <c r="R2915" s="8">
        <v>0.214</v>
      </c>
      <c r="S2915" s="8">
        <v>57006844</v>
      </c>
      <c r="T2915" s="8" t="s">
        <v>46</v>
      </c>
      <c r="U2915" s="8" t="s">
        <v>41</v>
      </c>
    </row>
    <row r="2916" spans="1:21">
      <c r="A2916" s="8" t="s">
        <v>10349</v>
      </c>
      <c r="B2916" s="8" t="s">
        <v>3162</v>
      </c>
      <c r="C2916" s="8">
        <v>11176</v>
      </c>
      <c r="D2916" s="8" t="s">
        <v>104</v>
      </c>
      <c r="E2916" s="8">
        <v>57008797</v>
      </c>
      <c r="F2916" s="8">
        <v>57008797</v>
      </c>
      <c r="G2916" s="8" t="s">
        <v>46</v>
      </c>
      <c r="H2916" s="8" t="s">
        <v>41</v>
      </c>
      <c r="I2916" s="8" t="s">
        <v>23</v>
      </c>
      <c r="J2916" s="8" t="s">
        <v>3163</v>
      </c>
      <c r="K2916" s="8" t="s">
        <v>6959</v>
      </c>
      <c r="L2916" s="8" t="s">
        <v>68</v>
      </c>
      <c r="M2916" s="8">
        <v>0</v>
      </c>
      <c r="N2916" s="8" t="s">
        <v>35</v>
      </c>
      <c r="O2916" s="8">
        <v>0</v>
      </c>
      <c r="P2916" s="8" t="s">
        <v>35</v>
      </c>
      <c r="Q2916" s="8" t="s">
        <v>4262</v>
      </c>
      <c r="R2916" s="8">
        <v>0.18</v>
      </c>
      <c r="S2916" s="8">
        <v>57008797</v>
      </c>
      <c r="T2916" s="8" t="s">
        <v>46</v>
      </c>
      <c r="U2916" s="8" t="s">
        <v>41</v>
      </c>
    </row>
    <row r="2917" spans="1:21">
      <c r="A2917" s="8" t="s">
        <v>10349</v>
      </c>
      <c r="B2917" s="8" t="s">
        <v>12401</v>
      </c>
      <c r="C2917" s="8">
        <v>11318</v>
      </c>
      <c r="D2917" s="8" t="s">
        <v>104</v>
      </c>
      <c r="E2917" s="8">
        <v>57390192</v>
      </c>
      <c r="F2917" s="8">
        <v>57390192</v>
      </c>
      <c r="G2917" s="8" t="s">
        <v>46</v>
      </c>
      <c r="H2917" s="8" t="s">
        <v>41</v>
      </c>
      <c r="I2917" s="8" t="s">
        <v>23</v>
      </c>
      <c r="J2917" s="8" t="s">
        <v>12402</v>
      </c>
      <c r="K2917" s="8" t="s">
        <v>12404</v>
      </c>
      <c r="L2917" s="8" t="s">
        <v>19</v>
      </c>
      <c r="M2917" s="8">
        <v>1293</v>
      </c>
      <c r="N2917" s="8" t="s">
        <v>1140</v>
      </c>
      <c r="O2917" s="8">
        <v>400</v>
      </c>
      <c r="P2917" s="8" t="s">
        <v>12403</v>
      </c>
      <c r="Q2917" s="8" t="s">
        <v>4262</v>
      </c>
      <c r="R2917" s="8">
        <v>0.152</v>
      </c>
      <c r="S2917" s="8">
        <v>57390192</v>
      </c>
      <c r="T2917" s="8" t="s">
        <v>46</v>
      </c>
      <c r="U2917" s="8" t="s">
        <v>41</v>
      </c>
    </row>
    <row r="2918" spans="1:21">
      <c r="A2918" s="8" t="s">
        <v>10349</v>
      </c>
      <c r="B2918" s="8" t="s">
        <v>12405</v>
      </c>
      <c r="C2918" s="8">
        <v>246329</v>
      </c>
      <c r="D2918" s="8" t="s">
        <v>104</v>
      </c>
      <c r="E2918" s="8">
        <v>57640598</v>
      </c>
      <c r="F2918" s="8">
        <v>57640598</v>
      </c>
      <c r="G2918" s="8" t="s">
        <v>46</v>
      </c>
      <c r="H2918" s="8" t="s">
        <v>41</v>
      </c>
      <c r="I2918" s="8" t="s">
        <v>23</v>
      </c>
      <c r="J2918" s="8" t="s">
        <v>12406</v>
      </c>
      <c r="K2918" s="8" t="s">
        <v>12408</v>
      </c>
      <c r="L2918" s="8" t="s">
        <v>19</v>
      </c>
      <c r="M2918" s="8">
        <v>787</v>
      </c>
      <c r="N2918" s="8" t="s">
        <v>557</v>
      </c>
      <c r="O2918" s="8">
        <v>198</v>
      </c>
      <c r="P2918" s="8" t="s">
        <v>12407</v>
      </c>
      <c r="Q2918" s="8" t="s">
        <v>4262</v>
      </c>
      <c r="R2918" s="8">
        <v>0.158</v>
      </c>
      <c r="S2918" s="8">
        <v>57640598</v>
      </c>
      <c r="T2918" s="8" t="s">
        <v>46</v>
      </c>
      <c r="U2918" s="8" t="s">
        <v>41</v>
      </c>
    </row>
    <row r="2919" spans="1:21">
      <c r="A2919" s="8" t="s">
        <v>10349</v>
      </c>
      <c r="B2919" s="8" t="s">
        <v>1038</v>
      </c>
      <c r="C2919" s="8">
        <v>7450</v>
      </c>
      <c r="D2919" s="8" t="s">
        <v>104</v>
      </c>
      <c r="E2919" s="8">
        <v>6125929</v>
      </c>
      <c r="F2919" s="8">
        <v>6125929</v>
      </c>
      <c r="G2919" s="8" t="s">
        <v>46</v>
      </c>
      <c r="H2919" s="8" t="s">
        <v>41</v>
      </c>
      <c r="I2919" s="8" t="s">
        <v>23</v>
      </c>
      <c r="J2919" s="8" t="s">
        <v>1039</v>
      </c>
      <c r="K2919" s="8" t="s">
        <v>6730</v>
      </c>
      <c r="L2919" s="8" t="s">
        <v>19</v>
      </c>
      <c r="M2919" s="8">
        <v>5411</v>
      </c>
      <c r="N2919" s="8" t="s">
        <v>155</v>
      </c>
      <c r="O2919" s="8">
        <v>1721</v>
      </c>
      <c r="P2919" s="8" t="s">
        <v>12409</v>
      </c>
      <c r="Q2919" s="8" t="s">
        <v>4262</v>
      </c>
      <c r="R2919" s="8">
        <v>0.182</v>
      </c>
      <c r="S2919" s="8">
        <v>6125929</v>
      </c>
      <c r="T2919" s="8" t="s">
        <v>46</v>
      </c>
      <c r="U2919" s="8" t="s">
        <v>41</v>
      </c>
    </row>
    <row r="2920" spans="1:21">
      <c r="A2920" s="8" t="s">
        <v>10349</v>
      </c>
      <c r="B2920" s="8" t="s">
        <v>3093</v>
      </c>
      <c r="C2920" s="8">
        <v>11213</v>
      </c>
      <c r="D2920" s="8" t="s">
        <v>104</v>
      </c>
      <c r="E2920" s="8">
        <v>66622120</v>
      </c>
      <c r="F2920" s="8">
        <v>66622120</v>
      </c>
      <c r="G2920" s="8" t="s">
        <v>46</v>
      </c>
      <c r="H2920" s="8" t="s">
        <v>41</v>
      </c>
      <c r="I2920" s="8" t="s">
        <v>23</v>
      </c>
      <c r="J2920" s="8" t="s">
        <v>8061</v>
      </c>
      <c r="K2920" s="8" t="s">
        <v>8063</v>
      </c>
      <c r="L2920" s="8" t="s">
        <v>19</v>
      </c>
      <c r="M2920" s="8">
        <v>959</v>
      </c>
      <c r="N2920" s="8" t="s">
        <v>522</v>
      </c>
      <c r="O2920" s="8">
        <v>286</v>
      </c>
      <c r="P2920" s="8" t="s">
        <v>12410</v>
      </c>
      <c r="Q2920" s="8" t="s">
        <v>4262</v>
      </c>
      <c r="R2920" s="8">
        <v>0.15</v>
      </c>
      <c r="S2920" s="8">
        <v>66622120</v>
      </c>
      <c r="T2920" s="8" t="s">
        <v>46</v>
      </c>
      <c r="U2920" s="8" t="s">
        <v>41</v>
      </c>
    </row>
    <row r="2921" spans="1:21">
      <c r="A2921" s="8" t="s">
        <v>10349</v>
      </c>
      <c r="B2921" s="8" t="s">
        <v>12411</v>
      </c>
      <c r="C2921" s="8">
        <v>23426</v>
      </c>
      <c r="D2921" s="8" t="s">
        <v>104</v>
      </c>
      <c r="E2921" s="8">
        <v>66849194</v>
      </c>
      <c r="F2921" s="8">
        <v>66849194</v>
      </c>
      <c r="G2921" s="8" t="s">
        <v>46</v>
      </c>
      <c r="H2921" s="8" t="s">
        <v>25</v>
      </c>
      <c r="I2921" s="8" t="s">
        <v>23</v>
      </c>
      <c r="J2921" s="8" t="s">
        <v>12412</v>
      </c>
      <c r="K2921" s="8" t="s">
        <v>12414</v>
      </c>
      <c r="L2921" s="8" t="s">
        <v>19</v>
      </c>
      <c r="M2921" s="8">
        <v>1434</v>
      </c>
      <c r="N2921" s="8" t="s">
        <v>2954</v>
      </c>
      <c r="O2921" s="8">
        <v>398</v>
      </c>
      <c r="P2921" s="8" t="s">
        <v>12413</v>
      </c>
      <c r="Q2921" s="8" t="s">
        <v>4262</v>
      </c>
      <c r="R2921" s="8">
        <v>0.26300000000000001</v>
      </c>
      <c r="S2921" s="8">
        <v>66849194</v>
      </c>
      <c r="T2921" s="8" t="s">
        <v>46</v>
      </c>
      <c r="U2921" s="8" t="s">
        <v>25</v>
      </c>
    </row>
    <row r="2922" spans="1:21">
      <c r="A2922" s="8" t="s">
        <v>10349</v>
      </c>
      <c r="B2922" s="8" t="s">
        <v>12415</v>
      </c>
      <c r="C2922" s="8">
        <v>1108</v>
      </c>
      <c r="D2922" s="8" t="s">
        <v>104</v>
      </c>
      <c r="E2922" s="8">
        <v>6707428</v>
      </c>
      <c r="F2922" s="8">
        <v>6707428</v>
      </c>
      <c r="G2922" s="8" t="s">
        <v>46</v>
      </c>
      <c r="H2922" s="8" t="s">
        <v>25</v>
      </c>
      <c r="I2922" s="8" t="s">
        <v>23</v>
      </c>
      <c r="J2922" s="8" t="s">
        <v>12416</v>
      </c>
      <c r="K2922" s="8" t="s">
        <v>12418</v>
      </c>
      <c r="L2922" s="8" t="s">
        <v>19</v>
      </c>
      <c r="M2922" s="8">
        <v>1810</v>
      </c>
      <c r="N2922" s="8" t="s">
        <v>710</v>
      </c>
      <c r="O2922" s="8">
        <v>549</v>
      </c>
      <c r="P2922" s="8" t="s">
        <v>12417</v>
      </c>
      <c r="Q2922" s="8" t="s">
        <v>4262</v>
      </c>
      <c r="R2922" s="8">
        <v>9.0999999999999998E-2</v>
      </c>
      <c r="S2922" s="8">
        <v>6707428</v>
      </c>
      <c r="T2922" s="8" t="s">
        <v>46</v>
      </c>
      <c r="U2922" s="8" t="s">
        <v>25</v>
      </c>
    </row>
    <row r="2923" spans="1:21">
      <c r="A2923" s="8" t="s">
        <v>10349</v>
      </c>
      <c r="B2923" s="8" t="s">
        <v>12419</v>
      </c>
      <c r="C2923" s="8">
        <v>51147</v>
      </c>
      <c r="D2923" s="8" t="s">
        <v>104</v>
      </c>
      <c r="E2923" s="8">
        <v>6761856</v>
      </c>
      <c r="F2923" s="8">
        <v>6761856</v>
      </c>
      <c r="G2923" s="8" t="s">
        <v>46</v>
      </c>
      <c r="H2923" s="8" t="s">
        <v>41</v>
      </c>
      <c r="I2923" s="8" t="s">
        <v>23</v>
      </c>
      <c r="J2923" s="8" t="s">
        <v>12420</v>
      </c>
      <c r="K2923" s="8" t="s">
        <v>12422</v>
      </c>
      <c r="L2923" s="8" t="s">
        <v>19</v>
      </c>
      <c r="M2923" s="8">
        <v>513</v>
      </c>
      <c r="N2923" s="8" t="s">
        <v>155</v>
      </c>
      <c r="O2923" s="8">
        <v>158</v>
      </c>
      <c r="P2923" s="8" t="s">
        <v>12421</v>
      </c>
      <c r="Q2923" s="8" t="s">
        <v>4262</v>
      </c>
      <c r="R2923" s="8">
        <v>0.26500000000000001</v>
      </c>
      <c r="S2923" s="8">
        <v>6761856</v>
      </c>
      <c r="T2923" s="8" t="s">
        <v>46</v>
      </c>
      <c r="U2923" s="8" t="s">
        <v>41</v>
      </c>
    </row>
    <row r="2924" spans="1:21">
      <c r="A2924" s="8" t="s">
        <v>10349</v>
      </c>
      <c r="B2924" s="8" t="s">
        <v>1041</v>
      </c>
      <c r="C2924" s="8">
        <v>144453</v>
      </c>
      <c r="D2924" s="8" t="s">
        <v>104</v>
      </c>
      <c r="E2924" s="8">
        <v>70070767</v>
      </c>
      <c r="F2924" s="8">
        <v>70070767</v>
      </c>
      <c r="G2924" s="8" t="s">
        <v>46</v>
      </c>
      <c r="H2924" s="8" t="s">
        <v>41</v>
      </c>
      <c r="I2924" s="8" t="s">
        <v>23</v>
      </c>
      <c r="J2924" s="8" t="s">
        <v>1042</v>
      </c>
      <c r="K2924" s="8" t="s">
        <v>12424</v>
      </c>
      <c r="L2924" s="8" t="s">
        <v>19</v>
      </c>
      <c r="M2924" s="8">
        <v>1023</v>
      </c>
      <c r="N2924" s="8" t="s">
        <v>28</v>
      </c>
      <c r="O2924" s="8">
        <v>266</v>
      </c>
      <c r="P2924" s="8" t="s">
        <v>12423</v>
      </c>
      <c r="Q2924" s="8" t="s">
        <v>4262</v>
      </c>
      <c r="R2924" s="8">
        <v>0.11600000000000001</v>
      </c>
      <c r="S2924" s="8">
        <v>70070767</v>
      </c>
      <c r="T2924" s="8" t="s">
        <v>46</v>
      </c>
      <c r="U2924" s="8" t="s">
        <v>41</v>
      </c>
    </row>
    <row r="2925" spans="1:21">
      <c r="A2925" s="8" t="s">
        <v>10349</v>
      </c>
      <c r="B2925" s="8" t="s">
        <v>6960</v>
      </c>
      <c r="C2925" s="8">
        <v>29953</v>
      </c>
      <c r="D2925" s="8" t="s">
        <v>104</v>
      </c>
      <c r="E2925" s="8">
        <v>73012684</v>
      </c>
      <c r="F2925" s="8">
        <v>73012684</v>
      </c>
      <c r="G2925" s="8" t="s">
        <v>46</v>
      </c>
      <c r="H2925" s="8" t="s">
        <v>41</v>
      </c>
      <c r="I2925" s="8" t="s">
        <v>23</v>
      </c>
      <c r="J2925" s="8" t="s">
        <v>6961</v>
      </c>
      <c r="K2925" s="8" t="s">
        <v>6963</v>
      </c>
      <c r="L2925" s="8" t="s">
        <v>19</v>
      </c>
      <c r="M2925" s="8">
        <v>2230</v>
      </c>
      <c r="N2925" s="8" t="s">
        <v>415</v>
      </c>
      <c r="O2925" s="8">
        <v>734</v>
      </c>
      <c r="P2925" s="8" t="s">
        <v>12425</v>
      </c>
      <c r="Q2925" s="8" t="s">
        <v>4262</v>
      </c>
      <c r="R2925" s="8">
        <v>0.17499999999999999</v>
      </c>
      <c r="S2925" s="8">
        <v>73012684</v>
      </c>
      <c r="T2925" s="8" t="s">
        <v>46</v>
      </c>
      <c r="U2925" s="8" t="s">
        <v>41</v>
      </c>
    </row>
    <row r="2926" spans="1:21">
      <c r="A2926" s="8" t="s">
        <v>10349</v>
      </c>
      <c r="B2926" s="8" t="s">
        <v>12426</v>
      </c>
      <c r="C2926" s="8">
        <v>283316</v>
      </c>
      <c r="D2926" s="8" t="s">
        <v>104</v>
      </c>
      <c r="E2926" s="8">
        <v>7526062</v>
      </c>
      <c r="F2926" s="8">
        <v>7526062</v>
      </c>
      <c r="G2926" s="8" t="s">
        <v>24</v>
      </c>
      <c r="H2926" s="8" t="s">
        <v>25</v>
      </c>
      <c r="I2926" s="8" t="s">
        <v>23</v>
      </c>
      <c r="J2926" s="8" t="s">
        <v>12427</v>
      </c>
      <c r="K2926" s="8" t="s">
        <v>12429</v>
      </c>
      <c r="L2926" s="8" t="s">
        <v>19</v>
      </c>
      <c r="M2926" s="8">
        <v>3610</v>
      </c>
      <c r="N2926" s="8" t="s">
        <v>1421</v>
      </c>
      <c r="O2926" s="8">
        <v>1195</v>
      </c>
      <c r="P2926" s="8" t="s">
        <v>12428</v>
      </c>
      <c r="Q2926" s="8" t="s">
        <v>4262</v>
      </c>
      <c r="R2926" s="8">
        <v>0.22500000000000001</v>
      </c>
      <c r="S2926" s="8">
        <v>7526062</v>
      </c>
      <c r="T2926" s="8" t="s">
        <v>24</v>
      </c>
      <c r="U2926" s="8" t="s">
        <v>25</v>
      </c>
    </row>
    <row r="2927" spans="1:21">
      <c r="A2927" s="8" t="s">
        <v>10349</v>
      </c>
      <c r="B2927" s="8" t="s">
        <v>5083</v>
      </c>
      <c r="C2927" s="8">
        <v>3747</v>
      </c>
      <c r="D2927" s="8" t="s">
        <v>104</v>
      </c>
      <c r="E2927" s="8">
        <v>75444577</v>
      </c>
      <c r="F2927" s="8">
        <v>75444577</v>
      </c>
      <c r="G2927" s="8" t="s">
        <v>24</v>
      </c>
      <c r="H2927" s="8" t="s">
        <v>25</v>
      </c>
      <c r="I2927" s="8" t="s">
        <v>23</v>
      </c>
      <c r="J2927" s="8" t="s">
        <v>5084</v>
      </c>
      <c r="K2927" s="8" t="s">
        <v>5087</v>
      </c>
      <c r="L2927" s="8" t="s">
        <v>19</v>
      </c>
      <c r="M2927" s="8">
        <v>1752</v>
      </c>
      <c r="N2927" s="8" t="s">
        <v>1421</v>
      </c>
      <c r="O2927" s="8">
        <v>403</v>
      </c>
      <c r="P2927" s="8" t="s">
        <v>12430</v>
      </c>
      <c r="Q2927" s="8" t="s">
        <v>4262</v>
      </c>
      <c r="R2927" s="8">
        <v>0.25</v>
      </c>
      <c r="S2927" s="8">
        <v>75444577</v>
      </c>
      <c r="T2927" s="8" t="s">
        <v>24</v>
      </c>
      <c r="U2927" s="8" t="s">
        <v>25</v>
      </c>
    </row>
    <row r="2928" spans="1:21">
      <c r="A2928" s="8" t="s">
        <v>10349</v>
      </c>
      <c r="B2928" s="8" t="s">
        <v>12426</v>
      </c>
      <c r="C2928" s="8">
        <v>283316</v>
      </c>
      <c r="D2928" s="8" t="s">
        <v>104</v>
      </c>
      <c r="E2928" s="8">
        <v>7585254</v>
      </c>
      <c r="F2928" s="8">
        <v>7585254</v>
      </c>
      <c r="G2928" s="8" t="s">
        <v>46</v>
      </c>
      <c r="H2928" s="8" t="s">
        <v>41</v>
      </c>
      <c r="I2928" s="8" t="s">
        <v>23</v>
      </c>
      <c r="J2928" s="8" t="s">
        <v>12427</v>
      </c>
      <c r="K2928" s="8" t="s">
        <v>12429</v>
      </c>
      <c r="L2928" s="8" t="s">
        <v>19</v>
      </c>
      <c r="M2928" s="8">
        <v>550</v>
      </c>
      <c r="N2928" s="8" t="s">
        <v>2483</v>
      </c>
      <c r="O2928" s="8">
        <v>175</v>
      </c>
      <c r="P2928" s="8" t="s">
        <v>12431</v>
      </c>
      <c r="Q2928" s="8" t="s">
        <v>4262</v>
      </c>
      <c r="R2928" s="8">
        <v>0.29199999999999998</v>
      </c>
      <c r="S2928" s="8">
        <v>7585254</v>
      </c>
      <c r="T2928" s="8" t="s">
        <v>46</v>
      </c>
      <c r="U2928" s="8" t="s">
        <v>41</v>
      </c>
    </row>
    <row r="2929" spans="1:21">
      <c r="A2929" s="8" t="s">
        <v>10349</v>
      </c>
      <c r="B2929" s="8" t="s">
        <v>5083</v>
      </c>
      <c r="C2929" s="8">
        <v>3747</v>
      </c>
      <c r="D2929" s="8" t="s">
        <v>104</v>
      </c>
      <c r="E2929" s="8">
        <v>75601730</v>
      </c>
      <c r="F2929" s="8">
        <v>75601730</v>
      </c>
      <c r="G2929" s="8" t="s">
        <v>24</v>
      </c>
      <c r="H2929" s="8" t="s">
        <v>25</v>
      </c>
      <c r="I2929" s="8" t="s">
        <v>23</v>
      </c>
      <c r="J2929" s="8" t="s">
        <v>5084</v>
      </c>
      <c r="K2929" s="8" t="s">
        <v>5087</v>
      </c>
      <c r="L2929" s="8" t="s">
        <v>19</v>
      </c>
      <c r="M2929" s="8">
        <v>578</v>
      </c>
      <c r="N2929" s="8" t="s">
        <v>58</v>
      </c>
      <c r="O2929" s="8">
        <v>12</v>
      </c>
      <c r="P2929" s="8" t="s">
        <v>12432</v>
      </c>
      <c r="Q2929" s="8" t="s">
        <v>4262</v>
      </c>
      <c r="R2929" s="8">
        <v>0.222</v>
      </c>
      <c r="S2929" s="8">
        <v>75601730</v>
      </c>
      <c r="T2929" s="8" t="s">
        <v>24</v>
      </c>
      <c r="U2929" s="8" t="s">
        <v>25</v>
      </c>
    </row>
    <row r="2930" spans="1:21">
      <c r="A2930" s="8" t="s">
        <v>10349</v>
      </c>
      <c r="B2930" s="8" t="s">
        <v>451</v>
      </c>
      <c r="C2930" s="8">
        <v>283310</v>
      </c>
      <c r="D2930" s="8" t="s">
        <v>104</v>
      </c>
      <c r="E2930" s="8">
        <v>80730776</v>
      </c>
      <c r="F2930" s="8">
        <v>80730776</v>
      </c>
      <c r="G2930" s="8" t="s">
        <v>24</v>
      </c>
      <c r="H2930" s="8" t="s">
        <v>25</v>
      </c>
      <c r="I2930" s="8" t="s">
        <v>23</v>
      </c>
      <c r="J2930" s="8" t="s">
        <v>452</v>
      </c>
      <c r="K2930" s="8" t="s">
        <v>4847</v>
      </c>
      <c r="L2930" s="8" t="s">
        <v>19</v>
      </c>
      <c r="M2930" s="8">
        <v>4831</v>
      </c>
      <c r="N2930" s="8" t="s">
        <v>1070</v>
      </c>
      <c r="O2930" s="8">
        <v>1609</v>
      </c>
      <c r="P2930" s="8" t="s">
        <v>12433</v>
      </c>
      <c r="Q2930" s="8" t="s">
        <v>4262</v>
      </c>
      <c r="R2930" s="8">
        <v>0.29199999999999998</v>
      </c>
      <c r="S2930" s="8">
        <v>80730776</v>
      </c>
      <c r="T2930" s="8" t="s">
        <v>24</v>
      </c>
      <c r="U2930" s="8" t="s">
        <v>25</v>
      </c>
    </row>
    <row r="2931" spans="1:21">
      <c r="A2931" s="8" t="s">
        <v>10349</v>
      </c>
      <c r="B2931" s="8" t="s">
        <v>12434</v>
      </c>
      <c r="C2931" s="8">
        <v>719</v>
      </c>
      <c r="D2931" s="8" t="s">
        <v>104</v>
      </c>
      <c r="E2931" s="8">
        <v>8211919</v>
      </c>
      <c r="F2931" s="8">
        <v>8211919</v>
      </c>
      <c r="G2931" s="8" t="s">
        <v>24</v>
      </c>
      <c r="H2931" s="8" t="s">
        <v>25</v>
      </c>
      <c r="I2931" s="8" t="s">
        <v>23</v>
      </c>
      <c r="J2931" s="8" t="s">
        <v>12435</v>
      </c>
      <c r="K2931" s="8" t="s">
        <v>12437</v>
      </c>
      <c r="L2931" s="8" t="s">
        <v>19</v>
      </c>
      <c r="M2931" s="8">
        <v>955</v>
      </c>
      <c r="N2931" s="8" t="s">
        <v>389</v>
      </c>
      <c r="O2931" s="8">
        <v>288</v>
      </c>
      <c r="P2931" s="8" t="s">
        <v>12436</v>
      </c>
      <c r="Q2931" s="8" t="s">
        <v>4262</v>
      </c>
      <c r="R2931" s="8">
        <v>0.17399999999999999</v>
      </c>
      <c r="S2931" s="8">
        <v>8211919</v>
      </c>
      <c r="T2931" s="8" t="s">
        <v>24</v>
      </c>
      <c r="U2931" s="8" t="s">
        <v>25</v>
      </c>
    </row>
    <row r="2932" spans="1:21">
      <c r="A2932" s="8" t="s">
        <v>10349</v>
      </c>
      <c r="B2932" s="8" t="s">
        <v>6964</v>
      </c>
      <c r="C2932" s="8">
        <v>80184</v>
      </c>
      <c r="D2932" s="8" t="s">
        <v>104</v>
      </c>
      <c r="E2932" s="8">
        <v>88513930</v>
      </c>
      <c r="F2932" s="8">
        <v>88513930</v>
      </c>
      <c r="G2932" s="8" t="s">
        <v>46</v>
      </c>
      <c r="H2932" s="8" t="s">
        <v>41</v>
      </c>
      <c r="I2932" s="8" t="s">
        <v>23</v>
      </c>
      <c r="J2932" s="8" t="s">
        <v>6965</v>
      </c>
      <c r="K2932" s="8" t="s">
        <v>6967</v>
      </c>
      <c r="L2932" s="8" t="s">
        <v>19</v>
      </c>
      <c r="M2932" s="8">
        <v>1827</v>
      </c>
      <c r="N2932" s="8" t="s">
        <v>557</v>
      </c>
      <c r="O2932" s="8">
        <v>495</v>
      </c>
      <c r="P2932" s="8" t="s">
        <v>12438</v>
      </c>
      <c r="Q2932" s="8" t="s">
        <v>4262</v>
      </c>
      <c r="R2932" s="8">
        <v>0.25</v>
      </c>
      <c r="S2932" s="8">
        <v>88513930</v>
      </c>
      <c r="T2932" s="8" t="s">
        <v>46</v>
      </c>
      <c r="U2932" s="8" t="s">
        <v>41</v>
      </c>
    </row>
    <row r="2933" spans="1:21">
      <c r="A2933" s="8" t="s">
        <v>10349</v>
      </c>
      <c r="B2933" s="8" t="s">
        <v>12439</v>
      </c>
      <c r="C2933" s="8">
        <v>282809</v>
      </c>
      <c r="D2933" s="8" t="s">
        <v>104</v>
      </c>
      <c r="E2933" s="8">
        <v>89865485</v>
      </c>
      <c r="F2933" s="8">
        <v>89865485</v>
      </c>
      <c r="G2933" s="8" t="s">
        <v>25</v>
      </c>
      <c r="H2933" s="8" t="s">
        <v>46</v>
      </c>
      <c r="I2933" s="8" t="s">
        <v>23</v>
      </c>
      <c r="J2933" s="8" t="s">
        <v>12440</v>
      </c>
      <c r="K2933" s="8" t="s">
        <v>12442</v>
      </c>
      <c r="L2933" s="8" t="s">
        <v>19</v>
      </c>
      <c r="M2933" s="8">
        <v>949</v>
      </c>
      <c r="N2933" s="8" t="s">
        <v>633</v>
      </c>
      <c r="O2933" s="8">
        <v>194</v>
      </c>
      <c r="P2933" s="8" t="s">
        <v>12441</v>
      </c>
      <c r="Q2933" s="8" t="s">
        <v>4262</v>
      </c>
      <c r="R2933" s="8">
        <v>0.11700000000000001</v>
      </c>
      <c r="S2933" s="8">
        <v>89865485</v>
      </c>
      <c r="T2933" s="8" t="s">
        <v>25</v>
      </c>
      <c r="U2933" s="8" t="s">
        <v>46</v>
      </c>
    </row>
    <row r="2934" spans="1:21">
      <c r="A2934" s="8" t="s">
        <v>10349</v>
      </c>
      <c r="B2934" s="8" t="s">
        <v>12443</v>
      </c>
      <c r="C2934" s="8">
        <v>8693</v>
      </c>
      <c r="D2934" s="8" t="s">
        <v>104</v>
      </c>
      <c r="E2934" s="8">
        <v>89917096</v>
      </c>
      <c r="F2934" s="8">
        <v>89917096</v>
      </c>
      <c r="G2934" s="8" t="s">
        <v>46</v>
      </c>
      <c r="H2934" s="8" t="s">
        <v>25</v>
      </c>
      <c r="I2934" s="8" t="s">
        <v>23</v>
      </c>
      <c r="J2934" s="8" t="s">
        <v>12444</v>
      </c>
      <c r="K2934" s="8" t="s">
        <v>12446</v>
      </c>
      <c r="L2934" s="8" t="s">
        <v>76</v>
      </c>
      <c r="M2934" s="8">
        <v>1488</v>
      </c>
      <c r="N2934" s="8" t="s">
        <v>625</v>
      </c>
      <c r="O2934" s="8">
        <v>411</v>
      </c>
      <c r="P2934" s="8" t="s">
        <v>12445</v>
      </c>
      <c r="Q2934" s="8" t="s">
        <v>4262</v>
      </c>
      <c r="R2934" s="8">
        <v>0.21099999999999999</v>
      </c>
      <c r="S2934" s="8">
        <v>89917096</v>
      </c>
      <c r="T2934" s="8" t="s">
        <v>46</v>
      </c>
      <c r="U2934" s="8" t="s">
        <v>25</v>
      </c>
    </row>
    <row r="2935" spans="1:21">
      <c r="A2935" s="8" t="s">
        <v>10349</v>
      </c>
      <c r="B2935" s="8" t="s">
        <v>12443</v>
      </c>
      <c r="C2935" s="8">
        <v>8693</v>
      </c>
      <c r="D2935" s="8" t="s">
        <v>104</v>
      </c>
      <c r="E2935" s="8">
        <v>89917326</v>
      </c>
      <c r="F2935" s="8">
        <v>89917326</v>
      </c>
      <c r="G2935" s="8" t="s">
        <v>46</v>
      </c>
      <c r="H2935" s="8" t="s">
        <v>41</v>
      </c>
      <c r="I2935" s="8" t="s">
        <v>23</v>
      </c>
      <c r="J2935" s="8" t="s">
        <v>12444</v>
      </c>
      <c r="K2935" s="8" t="s">
        <v>12446</v>
      </c>
      <c r="L2935" s="8" t="s">
        <v>76</v>
      </c>
      <c r="M2935" s="8">
        <v>1258</v>
      </c>
      <c r="N2935" s="8" t="s">
        <v>471</v>
      </c>
      <c r="O2935" s="8">
        <v>334</v>
      </c>
      <c r="P2935" s="8" t="s">
        <v>12447</v>
      </c>
      <c r="Q2935" s="8" t="s">
        <v>4262</v>
      </c>
      <c r="R2935" s="8">
        <v>0.157</v>
      </c>
      <c r="S2935" s="8">
        <v>89917326</v>
      </c>
      <c r="T2935" s="8" t="s">
        <v>46</v>
      </c>
      <c r="U2935" s="8" t="s">
        <v>41</v>
      </c>
    </row>
    <row r="2936" spans="1:21">
      <c r="A2936" s="8" t="s">
        <v>10349</v>
      </c>
      <c r="B2936" s="8" t="s">
        <v>12448</v>
      </c>
      <c r="C2936" s="8">
        <v>51266</v>
      </c>
      <c r="D2936" s="8" t="s">
        <v>104</v>
      </c>
      <c r="E2936" s="8">
        <v>10150890</v>
      </c>
      <c r="F2936" s="8">
        <v>10150890</v>
      </c>
      <c r="G2936" s="8" t="s">
        <v>46</v>
      </c>
      <c r="H2936" s="8" t="s">
        <v>41</v>
      </c>
      <c r="I2936" s="8" t="s">
        <v>23</v>
      </c>
      <c r="J2936" s="8" t="s">
        <v>12449</v>
      </c>
      <c r="K2936" s="8" t="s">
        <v>12451</v>
      </c>
      <c r="L2936" s="8" t="s">
        <v>19</v>
      </c>
      <c r="M2936" s="8">
        <v>354</v>
      </c>
      <c r="N2936" s="8" t="s">
        <v>28</v>
      </c>
      <c r="O2936" s="8">
        <v>52</v>
      </c>
      <c r="P2936" s="8" t="s">
        <v>12450</v>
      </c>
      <c r="Q2936" s="8" t="s">
        <v>4262</v>
      </c>
      <c r="R2936" s="8">
        <v>0.16700000000000001</v>
      </c>
      <c r="S2936" s="8">
        <v>10150890</v>
      </c>
      <c r="T2936" s="8" t="s">
        <v>46</v>
      </c>
      <c r="U2936" s="8" t="s">
        <v>41</v>
      </c>
    </row>
    <row r="2937" spans="1:21">
      <c r="A2937" s="8" t="s">
        <v>10349</v>
      </c>
      <c r="B2937" s="8" t="s">
        <v>3610</v>
      </c>
      <c r="C2937" s="8">
        <v>121601</v>
      </c>
      <c r="D2937" s="8" t="s">
        <v>104</v>
      </c>
      <c r="E2937" s="8">
        <v>101510564</v>
      </c>
      <c r="F2937" s="8">
        <v>101510564</v>
      </c>
      <c r="G2937" s="8" t="s">
        <v>41</v>
      </c>
      <c r="H2937" s="8" t="s">
        <v>24</v>
      </c>
      <c r="I2937" s="8" t="s">
        <v>23</v>
      </c>
      <c r="J2937" s="8" t="s">
        <v>3611</v>
      </c>
      <c r="K2937" s="8" t="s">
        <v>5745</v>
      </c>
      <c r="L2937" s="8" t="s">
        <v>19</v>
      </c>
      <c r="M2937" s="8">
        <v>3025</v>
      </c>
      <c r="N2937" s="8" t="s">
        <v>886</v>
      </c>
      <c r="O2937" s="8">
        <v>818</v>
      </c>
      <c r="P2937" s="8" t="s">
        <v>12452</v>
      </c>
      <c r="Q2937" s="8" t="s">
        <v>4262</v>
      </c>
      <c r="R2937" s="8">
        <v>0.188</v>
      </c>
      <c r="S2937" s="8">
        <v>101510564</v>
      </c>
      <c r="T2937" s="8" t="s">
        <v>41</v>
      </c>
      <c r="U2937" s="8" t="s">
        <v>24</v>
      </c>
    </row>
    <row r="2938" spans="1:21">
      <c r="A2938" s="8" t="s">
        <v>10349</v>
      </c>
      <c r="B2938" s="8" t="s">
        <v>2481</v>
      </c>
      <c r="C2938" s="8">
        <v>4604</v>
      </c>
      <c r="D2938" s="8" t="s">
        <v>104</v>
      </c>
      <c r="E2938" s="8">
        <v>102053574</v>
      </c>
      <c r="F2938" s="8">
        <v>102053574</v>
      </c>
      <c r="G2938" s="8" t="s">
        <v>24</v>
      </c>
      <c r="H2938" s="8" t="s">
        <v>25</v>
      </c>
      <c r="I2938" s="8" t="s">
        <v>23</v>
      </c>
      <c r="J2938" s="8" t="s">
        <v>12453</v>
      </c>
      <c r="K2938" s="8" t="s">
        <v>12455</v>
      </c>
      <c r="L2938" s="8" t="s">
        <v>19</v>
      </c>
      <c r="M2938" s="8">
        <v>1957</v>
      </c>
      <c r="N2938" s="8" t="s">
        <v>494</v>
      </c>
      <c r="O2938" s="8">
        <v>606</v>
      </c>
      <c r="P2938" s="8" t="s">
        <v>12454</v>
      </c>
      <c r="Q2938" s="8" t="s">
        <v>4262</v>
      </c>
      <c r="R2938" s="8">
        <v>0.38900000000000001</v>
      </c>
      <c r="S2938" s="8">
        <v>102053574</v>
      </c>
      <c r="T2938" s="8" t="s">
        <v>24</v>
      </c>
      <c r="U2938" s="8" t="s">
        <v>25</v>
      </c>
    </row>
    <row r="2939" spans="1:21">
      <c r="A2939" s="8" t="s">
        <v>10349</v>
      </c>
      <c r="B2939" s="8" t="s">
        <v>3240</v>
      </c>
      <c r="C2939" s="8">
        <v>55576</v>
      </c>
      <c r="D2939" s="8" t="s">
        <v>104</v>
      </c>
      <c r="E2939" s="8">
        <v>103984723</v>
      </c>
      <c r="F2939" s="8">
        <v>103984723</v>
      </c>
      <c r="G2939" s="8" t="s">
        <v>46</v>
      </c>
      <c r="H2939" s="8" t="s">
        <v>41</v>
      </c>
      <c r="I2939" s="8" t="s">
        <v>23</v>
      </c>
      <c r="J2939" s="8" t="s">
        <v>3241</v>
      </c>
      <c r="K2939" s="8" t="s">
        <v>12457</v>
      </c>
      <c r="L2939" s="8" t="s">
        <v>76</v>
      </c>
      <c r="M2939" s="8">
        <v>316</v>
      </c>
      <c r="N2939" s="8" t="s">
        <v>103</v>
      </c>
      <c r="O2939" s="8">
        <v>44</v>
      </c>
      <c r="P2939" s="8" t="s">
        <v>12456</v>
      </c>
      <c r="Q2939" s="8" t="s">
        <v>4262</v>
      </c>
      <c r="R2939" s="8">
        <v>0.311</v>
      </c>
      <c r="S2939" s="8">
        <v>103984723</v>
      </c>
      <c r="T2939" s="8" t="s">
        <v>46</v>
      </c>
      <c r="U2939" s="8" t="s">
        <v>41</v>
      </c>
    </row>
    <row r="2940" spans="1:21">
      <c r="A2940" s="8" t="s">
        <v>10349</v>
      </c>
      <c r="B2940" s="8" t="s">
        <v>3240</v>
      </c>
      <c r="C2940" s="8">
        <v>55576</v>
      </c>
      <c r="D2940" s="8" t="s">
        <v>104</v>
      </c>
      <c r="E2940" s="8">
        <v>104025423</v>
      </c>
      <c r="F2940" s="8">
        <v>104025423</v>
      </c>
      <c r="G2940" s="8" t="s">
        <v>24</v>
      </c>
      <c r="H2940" s="8" t="s">
        <v>25</v>
      </c>
      <c r="I2940" s="8" t="s">
        <v>23</v>
      </c>
      <c r="J2940" s="8" t="s">
        <v>3241</v>
      </c>
      <c r="K2940" s="8" t="s">
        <v>12457</v>
      </c>
      <c r="L2940" s="8" t="s">
        <v>19</v>
      </c>
      <c r="M2940" s="8">
        <v>721</v>
      </c>
      <c r="N2940" s="8" t="s">
        <v>1364</v>
      </c>
      <c r="O2940" s="8">
        <v>179</v>
      </c>
      <c r="P2940" s="8" t="s">
        <v>12458</v>
      </c>
      <c r="Q2940" s="8" t="s">
        <v>4262</v>
      </c>
      <c r="R2940" s="8">
        <v>0.14299999999999999</v>
      </c>
      <c r="S2940" s="8">
        <v>104025423</v>
      </c>
      <c r="T2940" s="8" t="s">
        <v>24</v>
      </c>
      <c r="U2940" s="8" t="s">
        <v>25</v>
      </c>
    </row>
    <row r="2941" spans="1:21">
      <c r="A2941" s="8" t="s">
        <v>10349</v>
      </c>
      <c r="B2941" s="8" t="s">
        <v>2482</v>
      </c>
      <c r="C2941" s="8">
        <v>89910</v>
      </c>
      <c r="D2941" s="8" t="s">
        <v>104</v>
      </c>
      <c r="E2941" s="8">
        <v>109921424</v>
      </c>
      <c r="F2941" s="8">
        <v>109921424</v>
      </c>
      <c r="G2941" s="8" t="s">
        <v>24</v>
      </c>
      <c r="H2941" s="8" t="s">
        <v>25</v>
      </c>
      <c r="I2941" s="8" t="s">
        <v>23</v>
      </c>
      <c r="J2941" s="8" t="s">
        <v>12459</v>
      </c>
      <c r="K2941" s="8" t="s">
        <v>12461</v>
      </c>
      <c r="L2941" s="8" t="s">
        <v>19</v>
      </c>
      <c r="M2941" s="8">
        <v>326</v>
      </c>
      <c r="N2941" s="8" t="s">
        <v>2483</v>
      </c>
      <c r="O2941" s="8">
        <v>23</v>
      </c>
      <c r="P2941" s="8" t="s">
        <v>12460</v>
      </c>
      <c r="Q2941" s="8" t="s">
        <v>4262</v>
      </c>
      <c r="R2941" s="8">
        <v>0.184</v>
      </c>
      <c r="S2941" s="8">
        <v>109921424</v>
      </c>
      <c r="T2941" s="8" t="s">
        <v>24</v>
      </c>
      <c r="U2941" s="8" t="s">
        <v>25</v>
      </c>
    </row>
    <row r="2942" spans="1:21">
      <c r="A2942" s="8" t="s">
        <v>10349</v>
      </c>
      <c r="B2942" s="8" t="s">
        <v>1996</v>
      </c>
      <c r="C2942" s="8">
        <v>488</v>
      </c>
      <c r="D2942" s="8" t="s">
        <v>104</v>
      </c>
      <c r="E2942" s="8">
        <v>110729831</v>
      </c>
      <c r="F2942" s="8">
        <v>110729831</v>
      </c>
      <c r="G2942" s="8" t="s">
        <v>24</v>
      </c>
      <c r="H2942" s="8" t="s">
        <v>25</v>
      </c>
      <c r="I2942" s="8" t="s">
        <v>23</v>
      </c>
      <c r="J2942" s="8" t="s">
        <v>12462</v>
      </c>
      <c r="K2942" s="8" t="s">
        <v>12464</v>
      </c>
      <c r="L2942" s="8" t="s">
        <v>19</v>
      </c>
      <c r="M2942" s="8">
        <v>789</v>
      </c>
      <c r="N2942" s="8" t="s">
        <v>768</v>
      </c>
      <c r="O2942" s="8">
        <v>76</v>
      </c>
      <c r="P2942" s="8" t="s">
        <v>12463</v>
      </c>
      <c r="Q2942" s="8" t="s">
        <v>4262</v>
      </c>
      <c r="R2942" s="8">
        <v>0.23100000000000001</v>
      </c>
      <c r="S2942" s="8">
        <v>110729831</v>
      </c>
      <c r="T2942" s="8" t="s">
        <v>24</v>
      </c>
      <c r="U2942" s="8" t="s">
        <v>25</v>
      </c>
    </row>
    <row r="2943" spans="1:21">
      <c r="A2943" s="8" t="s">
        <v>10349</v>
      </c>
      <c r="B2943" s="8" t="s">
        <v>2310</v>
      </c>
      <c r="C2943" s="8">
        <v>51434</v>
      </c>
      <c r="D2943" s="8" t="s">
        <v>104</v>
      </c>
      <c r="E2943" s="8">
        <v>110824162</v>
      </c>
      <c r="F2943" s="8">
        <v>110824162</v>
      </c>
      <c r="G2943" s="8" t="s">
        <v>46</v>
      </c>
      <c r="H2943" s="8" t="s">
        <v>41</v>
      </c>
      <c r="I2943" s="8" t="s">
        <v>23</v>
      </c>
      <c r="J2943" s="8" t="s">
        <v>12465</v>
      </c>
      <c r="K2943" s="8" t="s">
        <v>12467</v>
      </c>
      <c r="L2943" s="8" t="s">
        <v>19</v>
      </c>
      <c r="M2943" s="8">
        <v>890</v>
      </c>
      <c r="N2943" s="8" t="s">
        <v>1070</v>
      </c>
      <c r="O2943" s="8">
        <v>297</v>
      </c>
      <c r="P2943" s="8" t="s">
        <v>12466</v>
      </c>
      <c r="Q2943" s="8" t="s">
        <v>4262</v>
      </c>
      <c r="R2943" s="8">
        <v>0.26600000000000001</v>
      </c>
      <c r="S2943" s="8">
        <v>110824162</v>
      </c>
      <c r="T2943" s="8" t="s">
        <v>46</v>
      </c>
      <c r="U2943" s="8" t="s">
        <v>41</v>
      </c>
    </row>
    <row r="2944" spans="1:21">
      <c r="A2944" s="8" t="s">
        <v>10349</v>
      </c>
      <c r="B2944" s="8" t="s">
        <v>1031</v>
      </c>
      <c r="C2944" s="8">
        <v>160762</v>
      </c>
      <c r="D2944" s="8" t="s">
        <v>104</v>
      </c>
      <c r="E2944" s="8">
        <v>111296508</v>
      </c>
      <c r="F2944" s="8">
        <v>111296508</v>
      </c>
      <c r="G2944" s="8" t="s">
        <v>46</v>
      </c>
      <c r="H2944" s="8" t="s">
        <v>41</v>
      </c>
      <c r="I2944" s="8" t="s">
        <v>23</v>
      </c>
      <c r="J2944" s="8" t="s">
        <v>1032</v>
      </c>
      <c r="K2944" s="8" t="s">
        <v>12469</v>
      </c>
      <c r="L2944" s="8" t="s">
        <v>19</v>
      </c>
      <c r="M2944" s="8">
        <v>493</v>
      </c>
      <c r="N2944" s="8" t="s">
        <v>58</v>
      </c>
      <c r="O2944" s="8">
        <v>100</v>
      </c>
      <c r="P2944" s="8" t="s">
        <v>12468</v>
      </c>
      <c r="Q2944" s="8" t="s">
        <v>4262</v>
      </c>
      <c r="R2944" s="8">
        <v>0.20799999999999999</v>
      </c>
      <c r="S2944" s="8">
        <v>111296508</v>
      </c>
      <c r="T2944" s="8" t="s">
        <v>46</v>
      </c>
      <c r="U2944" s="8" t="s">
        <v>41</v>
      </c>
    </row>
    <row r="2945" spans="1:21">
      <c r="A2945" s="8" t="s">
        <v>10349</v>
      </c>
      <c r="B2945" s="8" t="s">
        <v>1443</v>
      </c>
      <c r="C2945" s="8">
        <v>4940</v>
      </c>
      <c r="D2945" s="8" t="s">
        <v>104</v>
      </c>
      <c r="E2945" s="8">
        <v>113386798</v>
      </c>
      <c r="F2945" s="8">
        <v>113386798</v>
      </c>
      <c r="G2945" s="8" t="s">
        <v>24</v>
      </c>
      <c r="H2945" s="8" t="s">
        <v>25</v>
      </c>
      <c r="I2945" s="8" t="s">
        <v>23</v>
      </c>
      <c r="J2945" s="8" t="s">
        <v>1444</v>
      </c>
      <c r="K2945" s="8" t="s">
        <v>12471</v>
      </c>
      <c r="L2945" s="8" t="s">
        <v>19</v>
      </c>
      <c r="M2945" s="8">
        <v>1249</v>
      </c>
      <c r="N2945" s="8" t="s">
        <v>768</v>
      </c>
      <c r="O2945" s="8">
        <v>388</v>
      </c>
      <c r="P2945" s="8" t="s">
        <v>12470</v>
      </c>
      <c r="Q2945" s="8" t="s">
        <v>4262</v>
      </c>
      <c r="R2945" s="8">
        <v>0.2</v>
      </c>
      <c r="S2945" s="8">
        <v>113386798</v>
      </c>
      <c r="T2945" s="8" t="s">
        <v>24</v>
      </c>
      <c r="U2945" s="8" t="s">
        <v>25</v>
      </c>
    </row>
    <row r="2946" spans="1:21">
      <c r="A2946" s="8" t="s">
        <v>10349</v>
      </c>
      <c r="B2946" s="8" t="s">
        <v>2484</v>
      </c>
      <c r="C2946" s="8">
        <v>6910</v>
      </c>
      <c r="D2946" s="8" t="s">
        <v>104</v>
      </c>
      <c r="E2946" s="8">
        <v>114804074</v>
      </c>
      <c r="F2946" s="8">
        <v>114804074</v>
      </c>
      <c r="G2946" s="8" t="s">
        <v>46</v>
      </c>
      <c r="H2946" s="8" t="s">
        <v>41</v>
      </c>
      <c r="I2946" s="8" t="s">
        <v>23</v>
      </c>
      <c r="J2946" s="8" t="s">
        <v>8406</v>
      </c>
      <c r="K2946" s="8" t="s">
        <v>8409</v>
      </c>
      <c r="L2946" s="8" t="s">
        <v>19</v>
      </c>
      <c r="M2946" s="8">
        <v>1373</v>
      </c>
      <c r="N2946" s="8" t="s">
        <v>618</v>
      </c>
      <c r="O2946" s="8">
        <v>293</v>
      </c>
      <c r="P2946" s="8" t="s">
        <v>12472</v>
      </c>
      <c r="Q2946" s="8" t="s">
        <v>4262</v>
      </c>
      <c r="R2946" s="8">
        <v>0.29599999999999999</v>
      </c>
      <c r="S2946" s="8">
        <v>114804074</v>
      </c>
      <c r="T2946" s="8" t="s">
        <v>46</v>
      </c>
      <c r="U2946" s="8" t="s">
        <v>41</v>
      </c>
    </row>
    <row r="2947" spans="1:21">
      <c r="A2947" s="8" t="s">
        <v>10349</v>
      </c>
      <c r="B2947" s="8" t="s">
        <v>2208</v>
      </c>
      <c r="C2947" s="8">
        <v>23389</v>
      </c>
      <c r="D2947" s="8" t="s">
        <v>104</v>
      </c>
      <c r="E2947" s="8">
        <v>116675438</v>
      </c>
      <c r="F2947" s="8">
        <v>116675438</v>
      </c>
      <c r="G2947" s="8" t="s">
        <v>46</v>
      </c>
      <c r="H2947" s="8" t="s">
        <v>41</v>
      </c>
      <c r="I2947" s="8" t="s">
        <v>23</v>
      </c>
      <c r="J2947" s="8" t="s">
        <v>12473</v>
      </c>
      <c r="K2947" s="8" t="s">
        <v>12474</v>
      </c>
      <c r="L2947" s="8" t="s">
        <v>19</v>
      </c>
      <c r="M2947" s="8">
        <v>200</v>
      </c>
      <c r="N2947" s="8" t="s">
        <v>155</v>
      </c>
      <c r="O2947" s="8">
        <v>49</v>
      </c>
      <c r="P2947" s="8" t="s">
        <v>12121</v>
      </c>
      <c r="Q2947" s="8" t="s">
        <v>4262</v>
      </c>
      <c r="R2947" s="8">
        <v>0.23899999999999999</v>
      </c>
      <c r="S2947" s="8">
        <v>116675438</v>
      </c>
      <c r="T2947" s="8" t="s">
        <v>46</v>
      </c>
      <c r="U2947" s="8" t="s">
        <v>41</v>
      </c>
    </row>
    <row r="2948" spans="1:21">
      <c r="A2948" s="8" t="s">
        <v>10349</v>
      </c>
      <c r="B2948" s="8" t="s">
        <v>12475</v>
      </c>
      <c r="C2948" s="8">
        <v>4842</v>
      </c>
      <c r="D2948" s="8" t="s">
        <v>104</v>
      </c>
      <c r="E2948" s="8">
        <v>117691560</v>
      </c>
      <c r="F2948" s="8">
        <v>117691560</v>
      </c>
      <c r="G2948" s="8" t="s">
        <v>46</v>
      </c>
      <c r="H2948" s="8" t="s">
        <v>41</v>
      </c>
      <c r="I2948" s="8" t="s">
        <v>23</v>
      </c>
      <c r="J2948" s="8" t="s">
        <v>12476</v>
      </c>
      <c r="K2948" s="8" t="s">
        <v>12477</v>
      </c>
      <c r="L2948" s="8" t="s">
        <v>68</v>
      </c>
      <c r="M2948" s="8">
        <v>0</v>
      </c>
      <c r="N2948" s="8" t="s">
        <v>35</v>
      </c>
      <c r="O2948" s="8">
        <v>0</v>
      </c>
      <c r="P2948" s="8" t="s">
        <v>35</v>
      </c>
      <c r="Q2948" s="8" t="s">
        <v>4262</v>
      </c>
      <c r="R2948" s="8">
        <v>0.16700000000000001</v>
      </c>
      <c r="S2948" s="8">
        <v>117691560</v>
      </c>
      <c r="T2948" s="8" t="s">
        <v>46</v>
      </c>
      <c r="U2948" s="8" t="s">
        <v>41</v>
      </c>
    </row>
    <row r="2949" spans="1:21">
      <c r="A2949" s="8" t="s">
        <v>10349</v>
      </c>
      <c r="B2949" s="8" t="s">
        <v>12478</v>
      </c>
      <c r="C2949" s="8">
        <v>84274</v>
      </c>
      <c r="D2949" s="8" t="s">
        <v>104</v>
      </c>
      <c r="E2949" s="8">
        <v>120941646</v>
      </c>
      <c r="F2949" s="8">
        <v>120941646</v>
      </c>
      <c r="G2949" s="8" t="s">
        <v>46</v>
      </c>
      <c r="H2949" s="8" t="s">
        <v>41</v>
      </c>
      <c r="I2949" s="8" t="s">
        <v>23</v>
      </c>
      <c r="J2949" s="8" t="s">
        <v>12479</v>
      </c>
      <c r="K2949" s="8" t="s">
        <v>12481</v>
      </c>
      <c r="L2949" s="8" t="s">
        <v>19</v>
      </c>
      <c r="M2949" s="8">
        <v>945</v>
      </c>
      <c r="N2949" s="8" t="s">
        <v>171</v>
      </c>
      <c r="O2949" s="8">
        <v>309</v>
      </c>
      <c r="P2949" s="8" t="s">
        <v>12480</v>
      </c>
      <c r="Q2949" s="8" t="s">
        <v>4262</v>
      </c>
      <c r="R2949" s="8">
        <v>0.189</v>
      </c>
      <c r="S2949" s="8">
        <v>120941646</v>
      </c>
      <c r="T2949" s="8" t="s">
        <v>46</v>
      </c>
      <c r="U2949" s="8" t="s">
        <v>41</v>
      </c>
    </row>
    <row r="2950" spans="1:21">
      <c r="A2950" s="8" t="s">
        <v>10349</v>
      </c>
      <c r="B2950" s="8" t="s">
        <v>12482</v>
      </c>
      <c r="C2950" s="8">
        <v>9921</v>
      </c>
      <c r="D2950" s="8" t="s">
        <v>104</v>
      </c>
      <c r="E2950" s="8">
        <v>121001207</v>
      </c>
      <c r="F2950" s="8">
        <v>121001207</v>
      </c>
      <c r="G2950" s="8" t="s">
        <v>24</v>
      </c>
      <c r="H2950" s="8" t="s">
        <v>25</v>
      </c>
      <c r="I2950" s="8" t="s">
        <v>23</v>
      </c>
      <c r="J2950" s="8" t="s">
        <v>12483</v>
      </c>
      <c r="K2950" s="8" t="s">
        <v>12485</v>
      </c>
      <c r="L2950" s="8" t="s">
        <v>19</v>
      </c>
      <c r="M2950" s="8">
        <v>1795</v>
      </c>
      <c r="N2950" s="8" t="s">
        <v>485</v>
      </c>
      <c r="O2950" s="8">
        <v>438</v>
      </c>
      <c r="P2950" s="8" t="s">
        <v>12484</v>
      </c>
      <c r="Q2950" s="8" t="s">
        <v>4262</v>
      </c>
      <c r="R2950" s="8">
        <v>0.189</v>
      </c>
      <c r="S2950" s="8">
        <v>121001207</v>
      </c>
      <c r="T2950" s="8" t="s">
        <v>24</v>
      </c>
      <c r="U2950" s="8" t="s">
        <v>25</v>
      </c>
    </row>
    <row r="2951" spans="1:21">
      <c r="A2951" s="8" t="s">
        <v>10349</v>
      </c>
      <c r="B2951" s="8" t="s">
        <v>12486</v>
      </c>
      <c r="C2951" s="8">
        <v>254050</v>
      </c>
      <c r="D2951" s="8" t="s">
        <v>104</v>
      </c>
      <c r="E2951" s="8">
        <v>122672353</v>
      </c>
      <c r="F2951" s="8">
        <v>122672353</v>
      </c>
      <c r="G2951" s="8" t="s">
        <v>46</v>
      </c>
      <c r="H2951" s="8" t="s">
        <v>41</v>
      </c>
      <c r="I2951" s="8" t="s">
        <v>23</v>
      </c>
      <c r="J2951" s="8" t="s">
        <v>12487</v>
      </c>
      <c r="K2951" s="8" t="s">
        <v>12489</v>
      </c>
      <c r="L2951" s="8" t="s">
        <v>19</v>
      </c>
      <c r="M2951" s="8">
        <v>653</v>
      </c>
      <c r="N2951" s="8" t="s">
        <v>2400</v>
      </c>
      <c r="O2951" s="8">
        <v>210</v>
      </c>
      <c r="P2951" s="8" t="s">
        <v>12488</v>
      </c>
      <c r="Q2951" s="8" t="s">
        <v>4262</v>
      </c>
      <c r="R2951" s="8">
        <v>0.129</v>
      </c>
      <c r="S2951" s="8">
        <v>122672353</v>
      </c>
      <c r="T2951" s="8" t="s">
        <v>46</v>
      </c>
      <c r="U2951" s="8" t="s">
        <v>41</v>
      </c>
    </row>
    <row r="2952" spans="1:21">
      <c r="A2952" s="8" t="s">
        <v>10349</v>
      </c>
      <c r="B2952" s="8" t="s">
        <v>12490</v>
      </c>
      <c r="C2952" s="8">
        <v>27198</v>
      </c>
      <c r="D2952" s="8" t="s">
        <v>104</v>
      </c>
      <c r="E2952" s="8">
        <v>123214270</v>
      </c>
      <c r="F2952" s="8">
        <v>123214270</v>
      </c>
      <c r="G2952" s="8" t="s">
        <v>46</v>
      </c>
      <c r="H2952" s="8" t="s">
        <v>41</v>
      </c>
      <c r="I2952" s="8" t="s">
        <v>23</v>
      </c>
      <c r="J2952" s="8" t="s">
        <v>12491</v>
      </c>
      <c r="K2952" s="8" t="s">
        <v>12493</v>
      </c>
      <c r="L2952" s="8" t="s">
        <v>19</v>
      </c>
      <c r="M2952" s="8">
        <v>860</v>
      </c>
      <c r="N2952" s="8" t="s">
        <v>2483</v>
      </c>
      <c r="O2952" s="8">
        <v>206</v>
      </c>
      <c r="P2952" s="8" t="s">
        <v>12492</v>
      </c>
      <c r="Q2952" s="8" t="s">
        <v>4262</v>
      </c>
      <c r="R2952" s="8">
        <v>0.16700000000000001</v>
      </c>
      <c r="S2952" s="8">
        <v>123214270</v>
      </c>
      <c r="T2952" s="8" t="s">
        <v>46</v>
      </c>
      <c r="U2952" s="8" t="s">
        <v>41</v>
      </c>
    </row>
    <row r="2953" spans="1:21">
      <c r="A2953" s="8" t="s">
        <v>10349</v>
      </c>
      <c r="B2953" s="8" t="s">
        <v>2485</v>
      </c>
      <c r="C2953" s="8">
        <v>9612</v>
      </c>
      <c r="D2953" s="8" t="s">
        <v>104</v>
      </c>
      <c r="E2953" s="8">
        <v>124885176</v>
      </c>
      <c r="F2953" s="8">
        <v>124885176</v>
      </c>
      <c r="G2953" s="8" t="s">
        <v>46</v>
      </c>
      <c r="H2953" s="8" t="s">
        <v>41</v>
      </c>
      <c r="I2953" s="8" t="s">
        <v>23</v>
      </c>
      <c r="J2953" s="8" t="s">
        <v>12494</v>
      </c>
      <c r="K2953" s="8" t="s">
        <v>12496</v>
      </c>
      <c r="L2953" s="8" t="s">
        <v>19</v>
      </c>
      <c r="M2953" s="8">
        <v>2005</v>
      </c>
      <c r="N2953" s="8" t="s">
        <v>166</v>
      </c>
      <c r="O2953" s="8">
        <v>562</v>
      </c>
      <c r="P2953" s="8" t="s">
        <v>12495</v>
      </c>
      <c r="Q2953" s="8" t="s">
        <v>4262</v>
      </c>
      <c r="R2953" s="8">
        <v>0.17599999999999999</v>
      </c>
      <c r="S2953" s="8">
        <v>124885176</v>
      </c>
      <c r="T2953" s="8" t="s">
        <v>46</v>
      </c>
      <c r="U2953" s="8" t="s">
        <v>41</v>
      </c>
    </row>
    <row r="2954" spans="1:21">
      <c r="A2954" s="8" t="s">
        <v>10349</v>
      </c>
      <c r="B2954" s="8" t="s">
        <v>2486</v>
      </c>
      <c r="C2954" s="8">
        <v>2842</v>
      </c>
      <c r="D2954" s="8" t="s">
        <v>104</v>
      </c>
      <c r="E2954" s="8">
        <v>12815099</v>
      </c>
      <c r="F2954" s="8">
        <v>12815099</v>
      </c>
      <c r="G2954" s="8" t="s">
        <v>46</v>
      </c>
      <c r="H2954" s="8" t="s">
        <v>41</v>
      </c>
      <c r="I2954" s="8" t="s">
        <v>23</v>
      </c>
      <c r="J2954" s="8" t="s">
        <v>2487</v>
      </c>
      <c r="K2954" s="8" t="s">
        <v>12498</v>
      </c>
      <c r="L2954" s="8" t="s">
        <v>19</v>
      </c>
      <c r="M2954" s="8">
        <v>639</v>
      </c>
      <c r="N2954" s="8" t="s">
        <v>2483</v>
      </c>
      <c r="O2954" s="8">
        <v>95</v>
      </c>
      <c r="P2954" s="8" t="s">
        <v>12497</v>
      </c>
      <c r="Q2954" s="8" t="s">
        <v>4262</v>
      </c>
      <c r="R2954" s="8">
        <v>0.31</v>
      </c>
      <c r="S2954" s="8">
        <v>12815099</v>
      </c>
      <c r="T2954" s="8" t="s">
        <v>46</v>
      </c>
      <c r="U2954" s="8" t="s">
        <v>41</v>
      </c>
    </row>
    <row r="2955" spans="1:21">
      <c r="A2955" s="8" t="s">
        <v>10349</v>
      </c>
      <c r="B2955" s="8" t="s">
        <v>12499</v>
      </c>
      <c r="C2955" s="8">
        <v>121260</v>
      </c>
      <c r="D2955" s="8" t="s">
        <v>104</v>
      </c>
      <c r="E2955" s="8">
        <v>129299456</v>
      </c>
      <c r="F2955" s="8">
        <v>129299456</v>
      </c>
      <c r="G2955" s="8" t="s">
        <v>46</v>
      </c>
      <c r="H2955" s="8" t="s">
        <v>41</v>
      </c>
      <c r="I2955" s="8" t="s">
        <v>23</v>
      </c>
      <c r="J2955" s="8" t="s">
        <v>12500</v>
      </c>
      <c r="K2955" s="8" t="s">
        <v>12502</v>
      </c>
      <c r="L2955" s="8" t="s">
        <v>19</v>
      </c>
      <c r="M2955" s="8">
        <v>759</v>
      </c>
      <c r="N2955" s="8" t="s">
        <v>768</v>
      </c>
      <c r="O2955" s="8">
        <v>236</v>
      </c>
      <c r="P2955" s="8" t="s">
        <v>12501</v>
      </c>
      <c r="Q2955" s="8" t="s">
        <v>4262</v>
      </c>
      <c r="R2955" s="8">
        <v>0.26500000000000001</v>
      </c>
      <c r="S2955" s="8">
        <v>129299456</v>
      </c>
      <c r="T2955" s="8" t="s">
        <v>46</v>
      </c>
      <c r="U2955" s="8" t="s">
        <v>41</v>
      </c>
    </row>
    <row r="2956" spans="1:21">
      <c r="A2956" s="8" t="s">
        <v>10349</v>
      </c>
      <c r="B2956" s="8" t="s">
        <v>327</v>
      </c>
      <c r="C2956" s="8">
        <v>11211</v>
      </c>
      <c r="D2956" s="8" t="s">
        <v>104</v>
      </c>
      <c r="E2956" s="8">
        <v>130647818</v>
      </c>
      <c r="F2956" s="8">
        <v>130647818</v>
      </c>
      <c r="G2956" s="8" t="s">
        <v>24</v>
      </c>
      <c r="H2956" s="8" t="s">
        <v>25</v>
      </c>
      <c r="I2956" s="8" t="s">
        <v>23</v>
      </c>
      <c r="J2956" s="8" t="s">
        <v>328</v>
      </c>
      <c r="K2956" s="8" t="s">
        <v>12504</v>
      </c>
      <c r="L2956" s="8" t="s">
        <v>19</v>
      </c>
      <c r="M2956" s="8">
        <v>815</v>
      </c>
      <c r="N2956" s="8" t="s">
        <v>166</v>
      </c>
      <c r="O2956" s="8">
        <v>111</v>
      </c>
      <c r="P2956" s="8" t="s">
        <v>12503</v>
      </c>
      <c r="Q2956" s="8" t="s">
        <v>4262</v>
      </c>
      <c r="R2956" s="8">
        <v>0.17899999999999999</v>
      </c>
      <c r="S2956" s="8">
        <v>130647818</v>
      </c>
      <c r="T2956" s="8" t="s">
        <v>24</v>
      </c>
      <c r="U2956" s="8" t="s">
        <v>25</v>
      </c>
    </row>
    <row r="2957" spans="1:21">
      <c r="A2957" s="8" t="s">
        <v>10349</v>
      </c>
      <c r="B2957" s="8" t="s">
        <v>327</v>
      </c>
      <c r="C2957" s="8">
        <v>11211</v>
      </c>
      <c r="D2957" s="8" t="s">
        <v>104</v>
      </c>
      <c r="E2957" s="8">
        <v>130648376</v>
      </c>
      <c r="F2957" s="8">
        <v>130648376</v>
      </c>
      <c r="G2957" s="8" t="s">
        <v>46</v>
      </c>
      <c r="H2957" s="8" t="s">
        <v>41</v>
      </c>
      <c r="I2957" s="8" t="s">
        <v>23</v>
      </c>
      <c r="J2957" s="8" t="s">
        <v>328</v>
      </c>
      <c r="K2957" s="8" t="s">
        <v>12504</v>
      </c>
      <c r="L2957" s="8" t="s">
        <v>19</v>
      </c>
      <c r="M2957" s="8">
        <v>1373</v>
      </c>
      <c r="N2957" s="8" t="s">
        <v>58</v>
      </c>
      <c r="O2957" s="8">
        <v>297</v>
      </c>
      <c r="P2957" s="8" t="s">
        <v>12505</v>
      </c>
      <c r="Q2957" s="8" t="s">
        <v>4262</v>
      </c>
      <c r="R2957" s="8">
        <v>0.217</v>
      </c>
      <c r="S2957" s="8">
        <v>130648376</v>
      </c>
      <c r="T2957" s="8" t="s">
        <v>46</v>
      </c>
      <c r="U2957" s="8" t="s">
        <v>41</v>
      </c>
    </row>
    <row r="2958" spans="1:21">
      <c r="A2958" s="8" t="s">
        <v>10349</v>
      </c>
      <c r="B2958" s="8" t="s">
        <v>12506</v>
      </c>
      <c r="C2958" s="8">
        <v>2802</v>
      </c>
      <c r="D2958" s="8" t="s">
        <v>104</v>
      </c>
      <c r="E2958" s="8">
        <v>133372566</v>
      </c>
      <c r="F2958" s="8">
        <v>133372566</v>
      </c>
      <c r="G2958" s="8" t="s">
        <v>46</v>
      </c>
      <c r="H2958" s="8" t="s">
        <v>41</v>
      </c>
      <c r="I2958" s="8" t="s">
        <v>23</v>
      </c>
      <c r="J2958" s="8" t="s">
        <v>12507</v>
      </c>
      <c r="K2958" s="8" t="s">
        <v>12509</v>
      </c>
      <c r="L2958" s="8" t="s">
        <v>19</v>
      </c>
      <c r="M2958" s="8">
        <v>2900</v>
      </c>
      <c r="N2958" s="8" t="s">
        <v>768</v>
      </c>
      <c r="O2958" s="8">
        <v>781</v>
      </c>
      <c r="P2958" s="8" t="s">
        <v>12508</v>
      </c>
      <c r="Q2958" s="8" t="s">
        <v>4262</v>
      </c>
      <c r="R2958" s="8">
        <v>0.22</v>
      </c>
      <c r="S2958" s="8">
        <v>133372566</v>
      </c>
      <c r="T2958" s="8" t="s">
        <v>46</v>
      </c>
      <c r="U2958" s="8" t="s">
        <v>41</v>
      </c>
    </row>
    <row r="2959" spans="1:21">
      <c r="A2959" s="8" t="s">
        <v>10349</v>
      </c>
      <c r="B2959" s="8" t="s">
        <v>12510</v>
      </c>
      <c r="C2959" s="8">
        <v>100287515</v>
      </c>
      <c r="D2959" s="8" t="s">
        <v>104</v>
      </c>
      <c r="E2959" s="8">
        <v>133587424</v>
      </c>
      <c r="F2959" s="8">
        <v>133587424</v>
      </c>
      <c r="G2959" s="8" t="s">
        <v>24</v>
      </c>
      <c r="H2959" s="8" t="s">
        <v>25</v>
      </c>
      <c r="I2959" s="8" t="s">
        <v>23</v>
      </c>
      <c r="J2959" s="8" t="s">
        <v>12511</v>
      </c>
      <c r="K2959" s="8" t="s">
        <v>12513</v>
      </c>
      <c r="L2959" s="8" t="s">
        <v>19</v>
      </c>
      <c r="M2959" s="8">
        <v>1532</v>
      </c>
      <c r="N2959" s="8" t="s">
        <v>1399</v>
      </c>
      <c r="O2959" s="8">
        <v>353</v>
      </c>
      <c r="P2959" s="8" t="s">
        <v>12512</v>
      </c>
      <c r="Q2959" s="8" t="s">
        <v>4262</v>
      </c>
      <c r="R2959" s="8">
        <v>0.25600000000000001</v>
      </c>
      <c r="S2959" s="8">
        <v>133587424</v>
      </c>
      <c r="T2959" s="8" t="s">
        <v>24</v>
      </c>
      <c r="U2959" s="8" t="s">
        <v>25</v>
      </c>
    </row>
    <row r="2960" spans="1:21">
      <c r="A2960" s="8" t="s">
        <v>10349</v>
      </c>
      <c r="B2960" s="8" t="s">
        <v>3467</v>
      </c>
      <c r="C2960" s="8">
        <v>54477</v>
      </c>
      <c r="D2960" s="8" t="s">
        <v>104</v>
      </c>
      <c r="E2960" s="8">
        <v>19473517</v>
      </c>
      <c r="F2960" s="8">
        <v>19473517</v>
      </c>
      <c r="G2960" s="8" t="s">
        <v>24</v>
      </c>
      <c r="H2960" s="8" t="s">
        <v>25</v>
      </c>
      <c r="I2960" s="8" t="s">
        <v>23</v>
      </c>
      <c r="J2960" s="8" t="s">
        <v>6159</v>
      </c>
      <c r="K2960" s="8" t="s">
        <v>6161</v>
      </c>
      <c r="L2960" s="8" t="s">
        <v>19</v>
      </c>
      <c r="M2960" s="8">
        <v>2149</v>
      </c>
      <c r="N2960" s="8" t="s">
        <v>536</v>
      </c>
      <c r="O2960" s="8">
        <v>681</v>
      </c>
      <c r="P2960" s="8" t="s">
        <v>12514</v>
      </c>
      <c r="Q2960" s="8" t="s">
        <v>4262</v>
      </c>
      <c r="R2960" s="8">
        <v>0.11700000000000001</v>
      </c>
      <c r="S2960" s="8">
        <v>19473517</v>
      </c>
      <c r="T2960" s="8" t="s">
        <v>24</v>
      </c>
      <c r="U2960" s="8" t="s">
        <v>25</v>
      </c>
    </row>
    <row r="2961" spans="1:21">
      <c r="A2961" s="8" t="s">
        <v>10349</v>
      </c>
      <c r="B2961" s="8" t="s">
        <v>1790</v>
      </c>
      <c r="C2961" s="8">
        <v>28234</v>
      </c>
      <c r="D2961" s="8" t="s">
        <v>104</v>
      </c>
      <c r="E2961" s="8">
        <v>21033867</v>
      </c>
      <c r="F2961" s="8">
        <v>21033867</v>
      </c>
      <c r="G2961" s="8" t="s">
        <v>24</v>
      </c>
      <c r="H2961" s="8" t="s">
        <v>25</v>
      </c>
      <c r="I2961" s="8" t="s">
        <v>23</v>
      </c>
      <c r="J2961" s="8" t="s">
        <v>12515</v>
      </c>
      <c r="K2961" s="8" t="s">
        <v>12517</v>
      </c>
      <c r="L2961" s="8" t="s">
        <v>76</v>
      </c>
      <c r="M2961" s="8">
        <v>1536</v>
      </c>
      <c r="N2961" s="8" t="s">
        <v>716</v>
      </c>
      <c r="O2961" s="8">
        <v>470</v>
      </c>
      <c r="P2961" s="8" t="s">
        <v>12516</v>
      </c>
      <c r="Q2961" s="8" t="s">
        <v>4262</v>
      </c>
      <c r="R2961" s="8">
        <v>0.17</v>
      </c>
      <c r="S2961" s="8">
        <v>21033867</v>
      </c>
      <c r="T2961" s="8" t="s">
        <v>24</v>
      </c>
      <c r="U2961" s="8" t="s">
        <v>25</v>
      </c>
    </row>
    <row r="2962" spans="1:21">
      <c r="A2962" s="8" t="s">
        <v>10349</v>
      </c>
      <c r="B2962" s="8" t="s">
        <v>12518</v>
      </c>
      <c r="C2962" s="8">
        <v>6660</v>
      </c>
      <c r="D2962" s="8" t="s">
        <v>104</v>
      </c>
      <c r="E2962" s="8">
        <v>23687203</v>
      </c>
      <c r="F2962" s="8">
        <v>23687203</v>
      </c>
      <c r="G2962" s="8" t="s">
        <v>46</v>
      </c>
      <c r="H2962" s="8" t="s">
        <v>41</v>
      </c>
      <c r="I2962" s="8" t="s">
        <v>23</v>
      </c>
      <c r="J2962" s="8" t="s">
        <v>12519</v>
      </c>
      <c r="K2962" s="8" t="s">
        <v>12521</v>
      </c>
      <c r="L2962" s="8" t="s">
        <v>19</v>
      </c>
      <c r="M2962" s="8">
        <v>2344</v>
      </c>
      <c r="N2962" s="8" t="s">
        <v>322</v>
      </c>
      <c r="O2962" s="8">
        <v>748</v>
      </c>
      <c r="P2962" s="8" t="s">
        <v>12520</v>
      </c>
      <c r="Q2962" s="8" t="s">
        <v>4262</v>
      </c>
      <c r="R2962" s="8">
        <v>0.13700000000000001</v>
      </c>
      <c r="S2962" s="8">
        <v>23687203</v>
      </c>
      <c r="T2962" s="8" t="s">
        <v>46</v>
      </c>
      <c r="U2962" s="8" t="s">
        <v>41</v>
      </c>
    </row>
    <row r="2963" spans="1:21">
      <c r="A2963" s="8" t="s">
        <v>10349</v>
      </c>
      <c r="B2963" s="8" t="s">
        <v>1448</v>
      </c>
      <c r="C2963" s="8">
        <v>55259</v>
      </c>
      <c r="D2963" s="8" t="s">
        <v>104</v>
      </c>
      <c r="E2963" s="8">
        <v>25302582</v>
      </c>
      <c r="F2963" s="8">
        <v>25302582</v>
      </c>
      <c r="G2963" s="8" t="s">
        <v>46</v>
      </c>
      <c r="H2963" s="8" t="s">
        <v>41</v>
      </c>
      <c r="I2963" s="8" t="s">
        <v>23</v>
      </c>
      <c r="J2963" s="8" t="s">
        <v>12522</v>
      </c>
      <c r="K2963" s="8" t="s">
        <v>12524</v>
      </c>
      <c r="L2963" s="8" t="s">
        <v>19</v>
      </c>
      <c r="M2963" s="8">
        <v>647</v>
      </c>
      <c r="N2963" s="8" t="s">
        <v>155</v>
      </c>
      <c r="O2963" s="8">
        <v>189</v>
      </c>
      <c r="P2963" s="8" t="s">
        <v>12523</v>
      </c>
      <c r="Q2963" s="8" t="s">
        <v>4262</v>
      </c>
      <c r="R2963" s="8">
        <v>0.14599999999999999</v>
      </c>
      <c r="S2963" s="8">
        <v>25302582</v>
      </c>
      <c r="T2963" s="8" t="s">
        <v>46</v>
      </c>
      <c r="U2963" s="8" t="s">
        <v>41</v>
      </c>
    </row>
    <row r="2964" spans="1:21">
      <c r="A2964" s="8" t="s">
        <v>10349</v>
      </c>
      <c r="B2964" s="8" t="s">
        <v>2004</v>
      </c>
      <c r="C2964" s="8">
        <v>83857</v>
      </c>
      <c r="D2964" s="8" t="s">
        <v>104</v>
      </c>
      <c r="E2964" s="8">
        <v>29908768</v>
      </c>
      <c r="F2964" s="8">
        <v>29908768</v>
      </c>
      <c r="G2964" s="8" t="s">
        <v>24</v>
      </c>
      <c r="H2964" s="8" t="s">
        <v>25</v>
      </c>
      <c r="I2964" s="8" t="s">
        <v>23</v>
      </c>
      <c r="J2964" s="8" t="s">
        <v>12525</v>
      </c>
      <c r="K2964" s="8" t="s">
        <v>12527</v>
      </c>
      <c r="L2964" s="8" t="s">
        <v>19</v>
      </c>
      <c r="M2964" s="8">
        <v>664</v>
      </c>
      <c r="N2964" s="8" t="s">
        <v>333</v>
      </c>
      <c r="O2964" s="8">
        <v>202</v>
      </c>
      <c r="P2964" s="8" t="s">
        <v>12526</v>
      </c>
      <c r="Q2964" s="8" t="s">
        <v>4262</v>
      </c>
      <c r="R2964" s="8">
        <v>0.32400000000000001</v>
      </c>
      <c r="S2964" s="8">
        <v>29908768</v>
      </c>
      <c r="T2964" s="8" t="s">
        <v>24</v>
      </c>
      <c r="U2964" s="8" t="s">
        <v>25</v>
      </c>
    </row>
    <row r="2965" spans="1:21">
      <c r="A2965" s="8" t="s">
        <v>10349</v>
      </c>
      <c r="B2965" s="8"/>
      <c r="C2965" s="8">
        <v>144203</v>
      </c>
      <c r="D2965" s="8" t="s">
        <v>104</v>
      </c>
      <c r="E2965" s="8">
        <v>31297961</v>
      </c>
      <c r="F2965" s="8">
        <v>31297961</v>
      </c>
      <c r="G2965" s="8" t="s">
        <v>46</v>
      </c>
      <c r="H2965" s="8" t="s">
        <v>41</v>
      </c>
      <c r="I2965" s="8" t="s">
        <v>23</v>
      </c>
      <c r="J2965" s="8" t="s">
        <v>12528</v>
      </c>
      <c r="K2965" s="8" t="s">
        <v>12530</v>
      </c>
      <c r="L2965" s="8" t="s">
        <v>19</v>
      </c>
      <c r="M2965" s="8">
        <v>1669</v>
      </c>
      <c r="N2965" s="8" t="s">
        <v>536</v>
      </c>
      <c r="O2965" s="8">
        <v>557</v>
      </c>
      <c r="P2965" s="8" t="s">
        <v>12529</v>
      </c>
      <c r="Q2965" s="8" t="s">
        <v>4262</v>
      </c>
      <c r="R2965" s="8">
        <v>0.192</v>
      </c>
      <c r="S2965" s="8">
        <v>31297961</v>
      </c>
      <c r="T2965" s="8" t="s">
        <v>46</v>
      </c>
      <c r="U2965" s="8" t="s">
        <v>41</v>
      </c>
    </row>
    <row r="2966" spans="1:21">
      <c r="A2966" s="8" t="s">
        <v>10349</v>
      </c>
      <c r="B2966" s="8" t="s">
        <v>1744</v>
      </c>
      <c r="C2966" s="8">
        <v>636</v>
      </c>
      <c r="D2966" s="8" t="s">
        <v>104</v>
      </c>
      <c r="E2966" s="8">
        <v>32490701</v>
      </c>
      <c r="F2966" s="8">
        <v>32490701</v>
      </c>
      <c r="G2966" s="8" t="s">
        <v>24</v>
      </c>
      <c r="H2966" s="8" t="s">
        <v>25</v>
      </c>
      <c r="I2966" s="8" t="s">
        <v>23</v>
      </c>
      <c r="J2966" s="8" t="s">
        <v>12531</v>
      </c>
      <c r="K2966" s="8" t="s">
        <v>12533</v>
      </c>
      <c r="L2966" s="8" t="s">
        <v>19</v>
      </c>
      <c r="M2966" s="8">
        <v>2602</v>
      </c>
      <c r="N2966" s="8" t="s">
        <v>536</v>
      </c>
      <c r="O2966" s="8">
        <v>841</v>
      </c>
      <c r="P2966" s="8" t="s">
        <v>12532</v>
      </c>
      <c r="Q2966" s="8" t="s">
        <v>4262</v>
      </c>
      <c r="R2966" s="8">
        <v>0.26700000000000002</v>
      </c>
      <c r="S2966" s="8">
        <v>32490701</v>
      </c>
      <c r="T2966" s="8" t="s">
        <v>24</v>
      </c>
      <c r="U2966" s="8" t="s">
        <v>25</v>
      </c>
    </row>
    <row r="2967" spans="1:21">
      <c r="A2967" s="8" t="s">
        <v>10349</v>
      </c>
      <c r="B2967" s="8" t="s">
        <v>2489</v>
      </c>
      <c r="C2967" s="8">
        <v>1272</v>
      </c>
      <c r="D2967" s="8" t="s">
        <v>104</v>
      </c>
      <c r="E2967" s="8">
        <v>41387032</v>
      </c>
      <c r="F2967" s="8">
        <v>41387032</v>
      </c>
      <c r="G2967" s="8" t="s">
        <v>46</v>
      </c>
      <c r="H2967" s="8" t="s">
        <v>41</v>
      </c>
      <c r="I2967" s="8" t="s">
        <v>23</v>
      </c>
      <c r="J2967" s="8" t="s">
        <v>12534</v>
      </c>
      <c r="K2967" s="8" t="s">
        <v>12536</v>
      </c>
      <c r="L2967" s="8" t="s">
        <v>19</v>
      </c>
      <c r="M2967" s="8">
        <v>2187</v>
      </c>
      <c r="N2967" s="8" t="s">
        <v>2400</v>
      </c>
      <c r="O2967" s="8">
        <v>692</v>
      </c>
      <c r="P2967" s="8" t="s">
        <v>12535</v>
      </c>
      <c r="Q2967" s="8" t="s">
        <v>4262</v>
      </c>
      <c r="R2967" s="8">
        <v>0.33300000000000002</v>
      </c>
      <c r="S2967" s="8">
        <v>41387032</v>
      </c>
      <c r="T2967" s="8" t="s">
        <v>46</v>
      </c>
      <c r="U2967" s="8" t="s">
        <v>41</v>
      </c>
    </row>
    <row r="2968" spans="1:21">
      <c r="A2968" s="8" t="s">
        <v>10349</v>
      </c>
      <c r="B2968" s="8" t="s">
        <v>12537</v>
      </c>
      <c r="C2968" s="8">
        <v>80070</v>
      </c>
      <c r="D2968" s="8" t="s">
        <v>104</v>
      </c>
      <c r="E2968" s="8">
        <v>43770353</v>
      </c>
      <c r="F2968" s="8">
        <v>43770353</v>
      </c>
      <c r="G2968" s="8" t="s">
        <v>24</v>
      </c>
      <c r="H2968" s="8" t="s">
        <v>25</v>
      </c>
      <c r="I2968" s="8" t="s">
        <v>23</v>
      </c>
      <c r="J2968" s="8" t="s">
        <v>12538</v>
      </c>
      <c r="K2968" s="8" t="s">
        <v>12540</v>
      </c>
      <c r="L2968" s="8" t="s">
        <v>19</v>
      </c>
      <c r="M2968" s="8">
        <v>5099</v>
      </c>
      <c r="N2968" s="8" t="s">
        <v>389</v>
      </c>
      <c r="O2968" s="8">
        <v>1700</v>
      </c>
      <c r="P2968" s="8" t="s">
        <v>12539</v>
      </c>
      <c r="Q2968" s="8" t="s">
        <v>4262</v>
      </c>
      <c r="R2968" s="8">
        <v>0.157</v>
      </c>
      <c r="S2968" s="8">
        <v>43770353</v>
      </c>
      <c r="T2968" s="8" t="s">
        <v>24</v>
      </c>
      <c r="U2968" s="8" t="s">
        <v>25</v>
      </c>
    </row>
    <row r="2969" spans="1:21">
      <c r="A2969" s="8" t="s">
        <v>10349</v>
      </c>
      <c r="B2969" s="8" t="s">
        <v>6162</v>
      </c>
      <c r="C2969" s="8">
        <v>196528</v>
      </c>
      <c r="D2969" s="8" t="s">
        <v>104</v>
      </c>
      <c r="E2969" s="8">
        <v>46245364</v>
      </c>
      <c r="F2969" s="8">
        <v>46245364</v>
      </c>
      <c r="G2969" s="8" t="s">
        <v>24</v>
      </c>
      <c r="H2969" s="8" t="s">
        <v>25</v>
      </c>
      <c r="I2969" s="8" t="s">
        <v>23</v>
      </c>
      <c r="J2969" s="8" t="s">
        <v>6163</v>
      </c>
      <c r="K2969" s="8" t="s">
        <v>6164</v>
      </c>
      <c r="L2969" s="8" t="s">
        <v>19</v>
      </c>
      <c r="M2969" s="8">
        <v>3458</v>
      </c>
      <c r="N2969" s="8" t="s">
        <v>796</v>
      </c>
      <c r="O2969" s="8">
        <v>1153</v>
      </c>
      <c r="P2969" s="8" t="s">
        <v>12541</v>
      </c>
      <c r="Q2969" s="8" t="s">
        <v>4262</v>
      </c>
      <c r="R2969" s="8">
        <v>0.25700000000000001</v>
      </c>
      <c r="S2969" s="8">
        <v>46245364</v>
      </c>
      <c r="T2969" s="8" t="s">
        <v>24</v>
      </c>
      <c r="U2969" s="8" t="s">
        <v>25</v>
      </c>
    </row>
    <row r="2970" spans="1:21">
      <c r="A2970" s="8" t="s">
        <v>10349</v>
      </c>
      <c r="B2970" s="8" t="s">
        <v>12542</v>
      </c>
      <c r="C2970" s="8">
        <v>10635</v>
      </c>
      <c r="D2970" s="8" t="s">
        <v>104</v>
      </c>
      <c r="E2970" s="8">
        <v>4668098</v>
      </c>
      <c r="F2970" s="8">
        <v>4668098</v>
      </c>
      <c r="G2970" s="8" t="s">
        <v>24</v>
      </c>
      <c r="H2970" s="8" t="s">
        <v>25</v>
      </c>
      <c r="I2970" s="8" t="s">
        <v>23</v>
      </c>
      <c r="J2970" s="8" t="s">
        <v>12543</v>
      </c>
      <c r="K2970" s="8" t="s">
        <v>12545</v>
      </c>
      <c r="L2970" s="8" t="s">
        <v>19</v>
      </c>
      <c r="M2970" s="8">
        <v>1103</v>
      </c>
      <c r="N2970" s="8" t="s">
        <v>73</v>
      </c>
      <c r="O2970" s="8">
        <v>316</v>
      </c>
      <c r="P2970" s="8" t="s">
        <v>12544</v>
      </c>
      <c r="Q2970" s="8" t="s">
        <v>4262</v>
      </c>
      <c r="R2970" s="8">
        <v>0.16</v>
      </c>
      <c r="S2970" s="8">
        <v>4668098</v>
      </c>
      <c r="T2970" s="8" t="s">
        <v>24</v>
      </c>
      <c r="U2970" s="8" t="s">
        <v>25</v>
      </c>
    </row>
    <row r="2971" spans="1:21">
      <c r="A2971" s="8" t="s">
        <v>10349</v>
      </c>
      <c r="B2971" s="8" t="s">
        <v>12546</v>
      </c>
      <c r="C2971" s="8">
        <v>1280</v>
      </c>
      <c r="D2971" s="8" t="s">
        <v>104</v>
      </c>
      <c r="E2971" s="8">
        <v>48390359</v>
      </c>
      <c r="F2971" s="8">
        <v>48390359</v>
      </c>
      <c r="G2971" s="8" t="s">
        <v>24</v>
      </c>
      <c r="H2971" s="8" t="s">
        <v>25</v>
      </c>
      <c r="I2971" s="8" t="s">
        <v>23</v>
      </c>
      <c r="J2971" s="8" t="s">
        <v>12547</v>
      </c>
      <c r="K2971" s="8" t="s">
        <v>12549</v>
      </c>
      <c r="L2971" s="8" t="s">
        <v>19</v>
      </c>
      <c r="M2971" s="8">
        <v>762</v>
      </c>
      <c r="N2971" s="8" t="s">
        <v>1421</v>
      </c>
      <c r="O2971" s="8">
        <v>194</v>
      </c>
      <c r="P2971" s="8" t="s">
        <v>12548</v>
      </c>
      <c r="Q2971" s="8" t="s">
        <v>4262</v>
      </c>
      <c r="R2971" s="8">
        <v>0.17399999999999999</v>
      </c>
      <c r="S2971" s="8">
        <v>48390359</v>
      </c>
      <c r="T2971" s="8" t="s">
        <v>24</v>
      </c>
      <c r="U2971" s="8" t="s">
        <v>25</v>
      </c>
    </row>
    <row r="2972" spans="1:21">
      <c r="A2972" s="8" t="s">
        <v>10349</v>
      </c>
      <c r="B2972" s="8" t="s">
        <v>12550</v>
      </c>
      <c r="C2972" s="8">
        <v>121275</v>
      </c>
      <c r="D2972" s="8" t="s">
        <v>104</v>
      </c>
      <c r="E2972" s="8">
        <v>48596799</v>
      </c>
      <c r="F2972" s="8">
        <v>48596799</v>
      </c>
      <c r="G2972" s="8" t="s">
        <v>46</v>
      </c>
      <c r="H2972" s="8" t="s">
        <v>25</v>
      </c>
      <c r="I2972" s="8" t="s">
        <v>23</v>
      </c>
      <c r="J2972" s="8" t="s">
        <v>12551</v>
      </c>
      <c r="K2972" s="8" t="s">
        <v>12553</v>
      </c>
      <c r="L2972" s="8" t="s">
        <v>19</v>
      </c>
      <c r="M2972" s="8">
        <v>277</v>
      </c>
      <c r="N2972" s="8" t="s">
        <v>162</v>
      </c>
      <c r="O2972" s="8">
        <v>93</v>
      </c>
      <c r="P2972" s="8" t="s">
        <v>12552</v>
      </c>
      <c r="Q2972" s="8" t="s">
        <v>4262</v>
      </c>
      <c r="R2972" s="8">
        <v>0.3</v>
      </c>
      <c r="S2972" s="8">
        <v>48596799</v>
      </c>
      <c r="T2972" s="8" t="s">
        <v>46</v>
      </c>
      <c r="U2972" s="8" t="s">
        <v>25</v>
      </c>
    </row>
    <row r="2973" spans="1:21">
      <c r="A2973" s="8" t="s">
        <v>10349</v>
      </c>
      <c r="B2973" s="8" t="s">
        <v>12554</v>
      </c>
      <c r="C2973" s="8">
        <v>23519</v>
      </c>
      <c r="D2973" s="8" t="s">
        <v>104</v>
      </c>
      <c r="E2973" s="8">
        <v>48866734</v>
      </c>
      <c r="F2973" s="8">
        <v>48866734</v>
      </c>
      <c r="G2973" s="8" t="s">
        <v>24</v>
      </c>
      <c r="H2973" s="8" t="s">
        <v>25</v>
      </c>
      <c r="I2973" s="8" t="s">
        <v>23</v>
      </c>
      <c r="J2973" s="8" t="s">
        <v>12555</v>
      </c>
      <c r="K2973" s="8" t="s">
        <v>12557</v>
      </c>
      <c r="L2973" s="8" t="s">
        <v>19</v>
      </c>
      <c r="M2973" s="8">
        <v>287</v>
      </c>
      <c r="N2973" s="8" t="s">
        <v>2664</v>
      </c>
      <c r="O2973" s="8">
        <v>96</v>
      </c>
      <c r="P2973" s="8" t="s">
        <v>12556</v>
      </c>
      <c r="Q2973" s="8" t="s">
        <v>4262</v>
      </c>
      <c r="R2973" s="8">
        <v>0.246</v>
      </c>
      <c r="S2973" s="8">
        <v>48866734</v>
      </c>
      <c r="T2973" s="8" t="s">
        <v>24</v>
      </c>
      <c r="U2973" s="8" t="s">
        <v>25</v>
      </c>
    </row>
    <row r="2974" spans="1:21">
      <c r="A2974" s="8" t="s">
        <v>10349</v>
      </c>
      <c r="B2974" s="8" t="s">
        <v>676</v>
      </c>
      <c r="C2974" s="8">
        <v>121273</v>
      </c>
      <c r="D2974" s="8" t="s">
        <v>104</v>
      </c>
      <c r="E2974" s="8">
        <v>48888637</v>
      </c>
      <c r="F2974" s="8">
        <v>48888637</v>
      </c>
      <c r="G2974" s="8" t="s">
        <v>24</v>
      </c>
      <c r="H2974" s="8" t="s">
        <v>25</v>
      </c>
      <c r="I2974" s="8" t="s">
        <v>23</v>
      </c>
      <c r="J2974" s="8" t="s">
        <v>677</v>
      </c>
      <c r="K2974" s="8" t="s">
        <v>12559</v>
      </c>
      <c r="L2974" s="8" t="s">
        <v>19</v>
      </c>
      <c r="M2974" s="8">
        <v>430</v>
      </c>
      <c r="N2974" s="8" t="s">
        <v>708</v>
      </c>
      <c r="O2974" s="8">
        <v>100</v>
      </c>
      <c r="P2974" s="8" t="s">
        <v>12558</v>
      </c>
      <c r="Q2974" s="8" t="s">
        <v>4262</v>
      </c>
      <c r="R2974" s="8">
        <v>0.17899999999999999</v>
      </c>
      <c r="S2974" s="8">
        <v>48888637</v>
      </c>
      <c r="T2974" s="8" t="s">
        <v>24</v>
      </c>
      <c r="U2974" s="8" t="s">
        <v>25</v>
      </c>
    </row>
    <row r="2975" spans="1:21">
      <c r="A2975" s="8" t="s">
        <v>10349</v>
      </c>
      <c r="B2975" s="8" t="s">
        <v>2490</v>
      </c>
      <c r="C2975" s="8">
        <v>341568</v>
      </c>
      <c r="D2975" s="8" t="s">
        <v>104</v>
      </c>
      <c r="E2975" s="8">
        <v>48919769</v>
      </c>
      <c r="F2975" s="8">
        <v>48919769</v>
      </c>
      <c r="G2975" s="8" t="s">
        <v>24</v>
      </c>
      <c r="H2975" s="8" t="s">
        <v>25</v>
      </c>
      <c r="I2975" s="8" t="s">
        <v>23</v>
      </c>
      <c r="J2975" s="8" t="s">
        <v>2491</v>
      </c>
      <c r="K2975" s="8" t="s">
        <v>12561</v>
      </c>
      <c r="L2975" s="8" t="s">
        <v>19</v>
      </c>
      <c r="M2975" s="8">
        <v>355</v>
      </c>
      <c r="N2975" s="8" t="s">
        <v>155</v>
      </c>
      <c r="O2975" s="8">
        <v>119</v>
      </c>
      <c r="P2975" s="8" t="s">
        <v>12560</v>
      </c>
      <c r="Q2975" s="8" t="s">
        <v>4262</v>
      </c>
      <c r="R2975" s="8">
        <v>0.21099999999999999</v>
      </c>
      <c r="S2975" s="8">
        <v>48919769</v>
      </c>
      <c r="T2975" s="8" t="s">
        <v>24</v>
      </c>
      <c r="U2975" s="8" t="s">
        <v>25</v>
      </c>
    </row>
    <row r="2976" spans="1:21">
      <c r="A2976" s="8" t="s">
        <v>10349</v>
      </c>
      <c r="B2976" s="8" t="s">
        <v>2490</v>
      </c>
      <c r="C2976" s="8">
        <v>341568</v>
      </c>
      <c r="D2976" s="8" t="s">
        <v>104</v>
      </c>
      <c r="E2976" s="8">
        <v>48921764</v>
      </c>
      <c r="F2976" s="8">
        <v>48921764</v>
      </c>
      <c r="G2976" s="8" t="s">
        <v>46</v>
      </c>
      <c r="H2976" s="8" t="s">
        <v>41</v>
      </c>
      <c r="I2976" s="8" t="s">
        <v>23</v>
      </c>
      <c r="J2976" s="8" t="s">
        <v>2491</v>
      </c>
      <c r="K2976" s="8" t="s">
        <v>12561</v>
      </c>
      <c r="L2976" s="8" t="s">
        <v>19</v>
      </c>
      <c r="M2976" s="8">
        <v>958</v>
      </c>
      <c r="N2976" s="8" t="s">
        <v>423</v>
      </c>
      <c r="O2976" s="8">
        <v>320</v>
      </c>
      <c r="P2976" s="8" t="s">
        <v>12562</v>
      </c>
      <c r="Q2976" s="8" t="s">
        <v>4262</v>
      </c>
      <c r="R2976" s="8">
        <v>0.5</v>
      </c>
      <c r="S2976" s="8">
        <v>48921764</v>
      </c>
      <c r="T2976" s="8" t="s">
        <v>46</v>
      </c>
      <c r="U2976" s="8" t="s">
        <v>41</v>
      </c>
    </row>
    <row r="2977" spans="1:21">
      <c r="A2977" s="8" t="s">
        <v>10349</v>
      </c>
      <c r="B2977" s="8" t="s">
        <v>12563</v>
      </c>
      <c r="C2977" s="8">
        <v>9416</v>
      </c>
      <c r="D2977" s="8" t="s">
        <v>104</v>
      </c>
      <c r="E2977" s="8">
        <v>49230707</v>
      </c>
      <c r="F2977" s="8">
        <v>49230707</v>
      </c>
      <c r="G2977" s="8" t="s">
        <v>46</v>
      </c>
      <c r="H2977" s="8" t="s">
        <v>41</v>
      </c>
      <c r="I2977" s="8" t="s">
        <v>23</v>
      </c>
      <c r="J2977" s="8" t="s">
        <v>12564</v>
      </c>
      <c r="K2977" s="8" t="s">
        <v>12566</v>
      </c>
      <c r="L2977" s="8" t="s">
        <v>19</v>
      </c>
      <c r="M2977" s="8">
        <v>1071</v>
      </c>
      <c r="N2977" s="8" t="s">
        <v>2483</v>
      </c>
      <c r="O2977" s="8">
        <v>327</v>
      </c>
      <c r="P2977" s="8" t="s">
        <v>12565</v>
      </c>
      <c r="Q2977" s="8" t="s">
        <v>4262</v>
      </c>
      <c r="R2977" s="8">
        <v>0.188</v>
      </c>
      <c r="S2977" s="8">
        <v>49230707</v>
      </c>
      <c r="T2977" s="8" t="s">
        <v>46</v>
      </c>
      <c r="U2977" s="8" t="s">
        <v>41</v>
      </c>
    </row>
    <row r="2978" spans="1:21">
      <c r="A2978" s="8" t="s">
        <v>10349</v>
      </c>
      <c r="B2978" s="8" t="s">
        <v>2492</v>
      </c>
      <c r="C2978" s="8">
        <v>84790</v>
      </c>
      <c r="D2978" s="8" t="s">
        <v>104</v>
      </c>
      <c r="E2978" s="8">
        <v>49666123</v>
      </c>
      <c r="F2978" s="8">
        <v>49666123</v>
      </c>
      <c r="G2978" s="8" t="s">
        <v>24</v>
      </c>
      <c r="H2978" s="8" t="s">
        <v>25</v>
      </c>
      <c r="I2978" s="8" t="s">
        <v>23</v>
      </c>
      <c r="J2978" s="8" t="s">
        <v>2493</v>
      </c>
      <c r="K2978" s="8" t="s">
        <v>12568</v>
      </c>
      <c r="L2978" s="8" t="s">
        <v>19</v>
      </c>
      <c r="M2978" s="8">
        <v>563</v>
      </c>
      <c r="N2978" s="8" t="s">
        <v>758</v>
      </c>
      <c r="O2978" s="8">
        <v>155</v>
      </c>
      <c r="P2978" s="8" t="s">
        <v>12567</v>
      </c>
      <c r="Q2978" s="8" t="s">
        <v>4262</v>
      </c>
      <c r="R2978" s="8">
        <v>0.31</v>
      </c>
      <c r="S2978" s="8">
        <v>49666123</v>
      </c>
      <c r="T2978" s="8" t="s">
        <v>24</v>
      </c>
      <c r="U2978" s="8" t="s">
        <v>25</v>
      </c>
    </row>
    <row r="2979" spans="1:21">
      <c r="A2979" s="8" t="s">
        <v>10349</v>
      </c>
      <c r="B2979" s="8" t="s">
        <v>12569</v>
      </c>
      <c r="C2979" s="8">
        <v>440138</v>
      </c>
      <c r="D2979" s="8" t="s">
        <v>339</v>
      </c>
      <c r="E2979" s="8">
        <v>52598446</v>
      </c>
      <c r="F2979" s="8">
        <v>52598446</v>
      </c>
      <c r="G2979" s="8" t="s">
        <v>24</v>
      </c>
      <c r="H2979" s="8" t="s">
        <v>25</v>
      </c>
      <c r="I2979" s="8" t="s">
        <v>23</v>
      </c>
      <c r="J2979" s="8" t="s">
        <v>12570</v>
      </c>
      <c r="K2979" s="8" t="s">
        <v>12572</v>
      </c>
      <c r="L2979" s="8" t="s">
        <v>19</v>
      </c>
      <c r="M2979" s="8">
        <v>612</v>
      </c>
      <c r="N2979" s="8" t="s">
        <v>1364</v>
      </c>
      <c r="O2979" s="8">
        <v>194</v>
      </c>
      <c r="P2979" s="8" t="s">
        <v>12571</v>
      </c>
      <c r="Q2979" s="8" t="s">
        <v>4262</v>
      </c>
      <c r="R2979" s="8">
        <v>0.17499999999999999</v>
      </c>
      <c r="S2979" s="8">
        <v>52598446</v>
      </c>
      <c r="T2979" s="8" t="s">
        <v>24</v>
      </c>
      <c r="U2979" s="8" t="s">
        <v>25</v>
      </c>
    </row>
    <row r="2980" spans="1:21">
      <c r="A2980" s="8" t="s">
        <v>10349</v>
      </c>
      <c r="B2980" s="8" t="s">
        <v>12573</v>
      </c>
      <c r="C2980" s="8">
        <v>10562</v>
      </c>
      <c r="D2980" s="8" t="s">
        <v>339</v>
      </c>
      <c r="E2980" s="8">
        <v>53624500</v>
      </c>
      <c r="F2980" s="8">
        <v>53624500</v>
      </c>
      <c r="G2980" s="8" t="s">
        <v>46</v>
      </c>
      <c r="H2980" s="8" t="s">
        <v>41</v>
      </c>
      <c r="I2980" s="8" t="s">
        <v>23</v>
      </c>
      <c r="J2980" s="8" t="s">
        <v>12574</v>
      </c>
      <c r="K2980" s="8" t="s">
        <v>12575</v>
      </c>
      <c r="L2980" s="8" t="s">
        <v>19</v>
      </c>
      <c r="M2980" s="8">
        <v>1223</v>
      </c>
      <c r="N2980" s="8" t="s">
        <v>389</v>
      </c>
      <c r="O2980" s="8">
        <v>376</v>
      </c>
      <c r="P2980" s="8" t="s">
        <v>11898</v>
      </c>
      <c r="Q2980" s="8" t="s">
        <v>4262</v>
      </c>
      <c r="R2980" s="8">
        <v>0.224</v>
      </c>
      <c r="S2980" s="8">
        <v>53624500</v>
      </c>
      <c r="T2980" s="8" t="s">
        <v>46</v>
      </c>
      <c r="U2980" s="8" t="s">
        <v>41</v>
      </c>
    </row>
    <row r="2981" spans="1:21">
      <c r="A2981" s="8" t="s">
        <v>10349</v>
      </c>
      <c r="B2981" s="8" t="s">
        <v>12576</v>
      </c>
      <c r="C2981" s="8">
        <v>81624</v>
      </c>
      <c r="D2981" s="8" t="s">
        <v>339</v>
      </c>
      <c r="E2981" s="8">
        <v>60240857</v>
      </c>
      <c r="F2981" s="8">
        <v>60240857</v>
      </c>
      <c r="G2981" s="8" t="s">
        <v>46</v>
      </c>
      <c r="H2981" s="8" t="s">
        <v>41</v>
      </c>
      <c r="I2981" s="8" t="s">
        <v>23</v>
      </c>
      <c r="J2981" s="8" t="s">
        <v>12577</v>
      </c>
      <c r="K2981" s="8" t="s">
        <v>12579</v>
      </c>
      <c r="L2981" s="8" t="s">
        <v>19</v>
      </c>
      <c r="M2981" s="8">
        <v>3662</v>
      </c>
      <c r="N2981" s="8" t="s">
        <v>2483</v>
      </c>
      <c r="O2981" s="8">
        <v>1148</v>
      </c>
      <c r="P2981" s="8" t="s">
        <v>12578</v>
      </c>
      <c r="Q2981" s="8" t="s">
        <v>4262</v>
      </c>
      <c r="R2981" s="8">
        <v>0.2</v>
      </c>
      <c r="S2981" s="8">
        <v>60240857</v>
      </c>
      <c r="T2981" s="8" t="s">
        <v>46</v>
      </c>
      <c r="U2981" s="8" t="s">
        <v>41</v>
      </c>
    </row>
    <row r="2982" spans="1:21">
      <c r="A2982" s="8" t="s">
        <v>10349</v>
      </c>
      <c r="B2982" s="8" t="s">
        <v>12580</v>
      </c>
      <c r="C2982" s="8">
        <v>57626</v>
      </c>
      <c r="D2982" s="8" t="s">
        <v>339</v>
      </c>
      <c r="E2982" s="8">
        <v>70314620</v>
      </c>
      <c r="F2982" s="8">
        <v>70314620</v>
      </c>
      <c r="G2982" s="8" t="s">
        <v>46</v>
      </c>
      <c r="H2982" s="8" t="s">
        <v>41</v>
      </c>
      <c r="I2982" s="8" t="s">
        <v>23</v>
      </c>
      <c r="J2982" s="8" t="s">
        <v>12581</v>
      </c>
      <c r="K2982" s="8" t="s">
        <v>12583</v>
      </c>
      <c r="L2982" s="8" t="s">
        <v>19</v>
      </c>
      <c r="M2982" s="8">
        <v>2502</v>
      </c>
      <c r="N2982" s="8" t="s">
        <v>171</v>
      </c>
      <c r="O2982" s="8">
        <v>570</v>
      </c>
      <c r="P2982" s="8" t="s">
        <v>12582</v>
      </c>
      <c r="Q2982" s="8" t="s">
        <v>4262</v>
      </c>
      <c r="R2982" s="8">
        <v>0.14299999999999999</v>
      </c>
      <c r="S2982" s="8">
        <v>70314620</v>
      </c>
      <c r="T2982" s="8" t="s">
        <v>46</v>
      </c>
      <c r="U2982" s="8" t="s">
        <v>41</v>
      </c>
    </row>
    <row r="2983" spans="1:21">
      <c r="A2983" s="8" t="s">
        <v>10349</v>
      </c>
      <c r="B2983" s="8" t="s">
        <v>12584</v>
      </c>
      <c r="C2983" s="8">
        <v>7347</v>
      </c>
      <c r="D2983" s="8" t="s">
        <v>339</v>
      </c>
      <c r="E2983" s="8">
        <v>76134945</v>
      </c>
      <c r="F2983" s="8">
        <v>76134945</v>
      </c>
      <c r="G2983" s="8" t="s">
        <v>24</v>
      </c>
      <c r="H2983" s="8" t="s">
        <v>25</v>
      </c>
      <c r="I2983" s="8" t="s">
        <v>23</v>
      </c>
      <c r="J2983" s="8" t="s">
        <v>12585</v>
      </c>
      <c r="K2983" s="8" t="s">
        <v>12587</v>
      </c>
      <c r="L2983" s="8" t="s">
        <v>19</v>
      </c>
      <c r="M2983" s="8">
        <v>141</v>
      </c>
      <c r="N2983" s="8" t="s">
        <v>2439</v>
      </c>
      <c r="O2983" s="8">
        <v>37</v>
      </c>
      <c r="P2983" s="8" t="s">
        <v>12586</v>
      </c>
      <c r="Q2983" s="8" t="s">
        <v>4262</v>
      </c>
      <c r="R2983" s="8">
        <v>0.217</v>
      </c>
      <c r="S2983" s="8">
        <v>76134945</v>
      </c>
      <c r="T2983" s="8" t="s">
        <v>24</v>
      </c>
      <c r="U2983" s="8" t="s">
        <v>25</v>
      </c>
    </row>
    <row r="2984" spans="1:21">
      <c r="A2984" s="8" t="s">
        <v>10349</v>
      </c>
      <c r="B2984" s="8" t="s">
        <v>12588</v>
      </c>
      <c r="C2984" s="8">
        <v>4008</v>
      </c>
      <c r="D2984" s="8" t="s">
        <v>339</v>
      </c>
      <c r="E2984" s="8">
        <v>76417053</v>
      </c>
      <c r="F2984" s="8">
        <v>76417053</v>
      </c>
      <c r="G2984" s="8" t="s">
        <v>24</v>
      </c>
      <c r="H2984" s="8" t="s">
        <v>25</v>
      </c>
      <c r="I2984" s="8" t="s">
        <v>23</v>
      </c>
      <c r="J2984" s="8" t="s">
        <v>12589</v>
      </c>
      <c r="K2984" s="8" t="s">
        <v>12590</v>
      </c>
      <c r="L2984" s="8" t="s">
        <v>68</v>
      </c>
      <c r="M2984" s="8">
        <v>0</v>
      </c>
      <c r="N2984" s="8" t="s">
        <v>35</v>
      </c>
      <c r="O2984" s="8">
        <v>0</v>
      </c>
      <c r="P2984" s="8" t="s">
        <v>35</v>
      </c>
      <c r="Q2984" s="8" t="s">
        <v>4262</v>
      </c>
      <c r="R2984" s="8">
        <v>0.17499999999999999</v>
      </c>
      <c r="S2984" s="8">
        <v>76417053</v>
      </c>
      <c r="T2984" s="8" t="s">
        <v>24</v>
      </c>
      <c r="U2984" s="8" t="s">
        <v>25</v>
      </c>
    </row>
    <row r="2985" spans="1:21">
      <c r="A2985" s="8" t="s">
        <v>10349</v>
      </c>
      <c r="B2985" s="8"/>
      <c r="C2985" s="8">
        <v>729420</v>
      </c>
      <c r="D2985" s="8" t="s">
        <v>339</v>
      </c>
      <c r="E2985" s="8">
        <v>76447853</v>
      </c>
      <c r="F2985" s="8">
        <v>76447853</v>
      </c>
      <c r="G2985" s="8" t="s">
        <v>24</v>
      </c>
      <c r="H2985" s="8" t="s">
        <v>25</v>
      </c>
      <c r="I2985" s="8" t="s">
        <v>23</v>
      </c>
      <c r="J2985" s="8" t="s">
        <v>12591</v>
      </c>
      <c r="K2985" s="8" t="s">
        <v>12593</v>
      </c>
      <c r="L2985" s="8" t="s">
        <v>19</v>
      </c>
      <c r="M2985" s="8">
        <v>267</v>
      </c>
      <c r="N2985" s="8" t="s">
        <v>878</v>
      </c>
      <c r="O2985" s="8">
        <v>60</v>
      </c>
      <c r="P2985" s="8" t="s">
        <v>12592</v>
      </c>
      <c r="Q2985" s="8" t="s">
        <v>4262</v>
      </c>
      <c r="R2985" s="8">
        <v>0.26100000000000001</v>
      </c>
      <c r="S2985" s="8">
        <v>76447853</v>
      </c>
      <c r="T2985" s="8" t="s">
        <v>24</v>
      </c>
      <c r="U2985" s="8" t="s">
        <v>25</v>
      </c>
    </row>
    <row r="2986" spans="1:21">
      <c r="A2986" s="8" t="s">
        <v>10349</v>
      </c>
      <c r="B2986" s="8" t="s">
        <v>4105</v>
      </c>
      <c r="C2986" s="8">
        <v>10257</v>
      </c>
      <c r="D2986" s="8" t="s">
        <v>339</v>
      </c>
      <c r="E2986" s="8">
        <v>95858919</v>
      </c>
      <c r="F2986" s="8">
        <v>95858919</v>
      </c>
      <c r="G2986" s="8" t="s">
        <v>46</v>
      </c>
      <c r="H2986" s="8" t="s">
        <v>41</v>
      </c>
      <c r="I2986" s="8" t="s">
        <v>23</v>
      </c>
      <c r="J2986" s="8" t="s">
        <v>12594</v>
      </c>
      <c r="K2986" s="8" t="s">
        <v>12596</v>
      </c>
      <c r="L2986" s="8" t="s">
        <v>19</v>
      </c>
      <c r="M2986" s="8">
        <v>1147</v>
      </c>
      <c r="N2986" s="8" t="s">
        <v>205</v>
      </c>
      <c r="O2986" s="8">
        <v>343</v>
      </c>
      <c r="P2986" s="8" t="s">
        <v>12595</v>
      </c>
      <c r="Q2986" s="8" t="s">
        <v>4262</v>
      </c>
      <c r="R2986" s="8">
        <v>0.192</v>
      </c>
      <c r="S2986" s="8">
        <v>95858919</v>
      </c>
      <c r="T2986" s="8" t="s">
        <v>46</v>
      </c>
      <c r="U2986" s="8" t="s">
        <v>41</v>
      </c>
    </row>
    <row r="2987" spans="1:21">
      <c r="A2987" s="8" t="s">
        <v>10349</v>
      </c>
      <c r="B2987" s="8" t="s">
        <v>12597</v>
      </c>
      <c r="C2987" s="8">
        <v>22873</v>
      </c>
      <c r="D2987" s="8" t="s">
        <v>339</v>
      </c>
      <c r="E2987" s="8">
        <v>96246341</v>
      </c>
      <c r="F2987" s="8">
        <v>96246341</v>
      </c>
      <c r="G2987" s="8" t="s">
        <v>46</v>
      </c>
      <c r="H2987" s="8" t="s">
        <v>41</v>
      </c>
      <c r="I2987" s="8" t="s">
        <v>23</v>
      </c>
      <c r="J2987" s="8" t="s">
        <v>12598</v>
      </c>
      <c r="K2987" s="8" t="s">
        <v>12599</v>
      </c>
      <c r="L2987" s="8" t="s">
        <v>68</v>
      </c>
      <c r="M2987" s="8">
        <v>0</v>
      </c>
      <c r="N2987" s="8" t="s">
        <v>35</v>
      </c>
      <c r="O2987" s="8">
        <v>0</v>
      </c>
      <c r="P2987" s="8" t="s">
        <v>35</v>
      </c>
      <c r="Q2987" s="8" t="s">
        <v>4262</v>
      </c>
      <c r="R2987" s="8">
        <v>0.25</v>
      </c>
      <c r="S2987" s="8">
        <v>96246341</v>
      </c>
      <c r="T2987" s="8" t="s">
        <v>46</v>
      </c>
      <c r="U2987" s="8" t="s">
        <v>41</v>
      </c>
    </row>
    <row r="2988" spans="1:21">
      <c r="A2988" s="8" t="s">
        <v>10349</v>
      </c>
      <c r="B2988" s="8" t="s">
        <v>1919</v>
      </c>
      <c r="C2988" s="8">
        <v>3843</v>
      </c>
      <c r="D2988" s="8" t="s">
        <v>339</v>
      </c>
      <c r="E2988" s="8">
        <v>98654769</v>
      </c>
      <c r="F2988" s="8">
        <v>98654769</v>
      </c>
      <c r="G2988" s="8" t="s">
        <v>24</v>
      </c>
      <c r="H2988" s="8" t="s">
        <v>25</v>
      </c>
      <c r="I2988" s="8" t="s">
        <v>23</v>
      </c>
      <c r="J2988" s="8" t="s">
        <v>12600</v>
      </c>
      <c r="K2988" s="8" t="s">
        <v>12602</v>
      </c>
      <c r="L2988" s="8" t="s">
        <v>19</v>
      </c>
      <c r="M2988" s="8">
        <v>1391</v>
      </c>
      <c r="N2988" s="8" t="s">
        <v>796</v>
      </c>
      <c r="O2988" s="8">
        <v>404</v>
      </c>
      <c r="P2988" s="8" t="s">
        <v>12601</v>
      </c>
      <c r="Q2988" s="8" t="s">
        <v>4262</v>
      </c>
      <c r="R2988" s="8">
        <v>0.26200000000000001</v>
      </c>
      <c r="S2988" s="8">
        <v>98654769</v>
      </c>
      <c r="T2988" s="8" t="s">
        <v>24</v>
      </c>
      <c r="U2988" s="8" t="s">
        <v>25</v>
      </c>
    </row>
    <row r="2989" spans="1:21">
      <c r="A2989" s="8" t="s">
        <v>10349</v>
      </c>
      <c r="B2989" s="8" t="s">
        <v>1919</v>
      </c>
      <c r="C2989" s="8">
        <v>3843</v>
      </c>
      <c r="D2989" s="8" t="s">
        <v>339</v>
      </c>
      <c r="E2989" s="8">
        <v>98654983</v>
      </c>
      <c r="F2989" s="8">
        <v>98654983</v>
      </c>
      <c r="G2989" s="8" t="s">
        <v>24</v>
      </c>
      <c r="H2989" s="8" t="s">
        <v>25</v>
      </c>
      <c r="I2989" s="8" t="s">
        <v>23</v>
      </c>
      <c r="J2989" s="8" t="s">
        <v>12600</v>
      </c>
      <c r="K2989" s="8" t="s">
        <v>12602</v>
      </c>
      <c r="L2989" s="8" t="s">
        <v>19</v>
      </c>
      <c r="M2989" s="8">
        <v>1513</v>
      </c>
      <c r="N2989" s="8" t="s">
        <v>768</v>
      </c>
      <c r="O2989" s="8">
        <v>445</v>
      </c>
      <c r="P2989" s="8" t="s">
        <v>11752</v>
      </c>
      <c r="Q2989" s="8" t="s">
        <v>4262</v>
      </c>
      <c r="R2989" s="8">
        <v>0.219</v>
      </c>
      <c r="S2989" s="8">
        <v>98654983</v>
      </c>
      <c r="T2989" s="8" t="s">
        <v>24</v>
      </c>
      <c r="U2989" s="8" t="s">
        <v>25</v>
      </c>
    </row>
    <row r="2990" spans="1:21">
      <c r="A2990" s="8" t="s">
        <v>10349</v>
      </c>
      <c r="B2990" s="8" t="s">
        <v>12603</v>
      </c>
      <c r="C2990" s="8">
        <v>23348</v>
      </c>
      <c r="D2990" s="8" t="s">
        <v>339</v>
      </c>
      <c r="E2990" s="8">
        <v>99534162</v>
      </c>
      <c r="F2990" s="8">
        <v>99534162</v>
      </c>
      <c r="G2990" s="8" t="s">
        <v>46</v>
      </c>
      <c r="H2990" s="8" t="s">
        <v>41</v>
      </c>
      <c r="I2990" s="8" t="s">
        <v>23</v>
      </c>
      <c r="J2990" s="8" t="s">
        <v>12604</v>
      </c>
      <c r="K2990" s="8" t="s">
        <v>12606</v>
      </c>
      <c r="L2990" s="8" t="s">
        <v>19</v>
      </c>
      <c r="M2990" s="8">
        <v>2717</v>
      </c>
      <c r="N2990" s="8" t="s">
        <v>941</v>
      </c>
      <c r="O2990" s="8">
        <v>888</v>
      </c>
      <c r="P2990" s="8" t="s">
        <v>12605</v>
      </c>
      <c r="Q2990" s="8" t="s">
        <v>4262</v>
      </c>
      <c r="R2990" s="8">
        <v>0.13700000000000001</v>
      </c>
      <c r="S2990" s="8">
        <v>99534162</v>
      </c>
      <c r="T2990" s="8" t="s">
        <v>46</v>
      </c>
      <c r="U2990" s="8" t="s">
        <v>41</v>
      </c>
    </row>
    <row r="2991" spans="1:21">
      <c r="A2991" s="8" t="s">
        <v>10349</v>
      </c>
      <c r="B2991" s="8" t="s">
        <v>12603</v>
      </c>
      <c r="C2991" s="8">
        <v>23348</v>
      </c>
      <c r="D2991" s="8" t="s">
        <v>339</v>
      </c>
      <c r="E2991" s="8">
        <v>99534243</v>
      </c>
      <c r="F2991" s="8">
        <v>99534243</v>
      </c>
      <c r="G2991" s="8" t="s">
        <v>46</v>
      </c>
      <c r="H2991" s="8" t="s">
        <v>41</v>
      </c>
      <c r="I2991" s="8" t="s">
        <v>23</v>
      </c>
      <c r="J2991" s="8" t="s">
        <v>12604</v>
      </c>
      <c r="K2991" s="8" t="s">
        <v>12606</v>
      </c>
      <c r="L2991" s="8" t="s">
        <v>19</v>
      </c>
      <c r="M2991" s="8">
        <v>2636</v>
      </c>
      <c r="N2991" s="8" t="s">
        <v>536</v>
      </c>
      <c r="O2991" s="8">
        <v>861</v>
      </c>
      <c r="P2991" s="8" t="s">
        <v>12607</v>
      </c>
      <c r="Q2991" s="8" t="s">
        <v>4262</v>
      </c>
      <c r="R2991" s="8">
        <v>0.193</v>
      </c>
      <c r="S2991" s="8">
        <v>99534243</v>
      </c>
      <c r="T2991" s="8" t="s">
        <v>46</v>
      </c>
      <c r="U2991" s="8" t="s">
        <v>41</v>
      </c>
    </row>
    <row r="2992" spans="1:21">
      <c r="A2992" s="8" t="s">
        <v>10349</v>
      </c>
      <c r="B2992" s="8" t="s">
        <v>12608</v>
      </c>
      <c r="C2992" s="8">
        <v>9358</v>
      </c>
      <c r="D2992" s="8" t="s">
        <v>339</v>
      </c>
      <c r="E2992" s="8">
        <v>102359205</v>
      </c>
      <c r="F2992" s="8">
        <v>102359205</v>
      </c>
      <c r="G2992" s="8" t="s">
        <v>24</v>
      </c>
      <c r="H2992" s="8" t="s">
        <v>25</v>
      </c>
      <c r="I2992" s="8" t="s">
        <v>23</v>
      </c>
      <c r="J2992" s="8" t="s">
        <v>12609</v>
      </c>
      <c r="K2992" s="8" t="s">
        <v>12611</v>
      </c>
      <c r="L2992" s="8" t="s">
        <v>19</v>
      </c>
      <c r="M2992" s="8">
        <v>1451</v>
      </c>
      <c r="N2992" s="8" t="s">
        <v>708</v>
      </c>
      <c r="O2992" s="8">
        <v>411</v>
      </c>
      <c r="P2992" s="8" t="s">
        <v>12610</v>
      </c>
      <c r="Q2992" s="8" t="s">
        <v>4262</v>
      </c>
      <c r="R2992" s="8">
        <v>0.121</v>
      </c>
      <c r="S2992" s="8">
        <v>102359205</v>
      </c>
      <c r="T2992" s="8" t="s">
        <v>24</v>
      </c>
      <c r="U2992" s="8" t="s">
        <v>25</v>
      </c>
    </row>
    <row r="2993" spans="1:21">
      <c r="A2993" s="8" t="s">
        <v>10349</v>
      </c>
      <c r="B2993" s="8" t="s">
        <v>5360</v>
      </c>
      <c r="C2993" s="8">
        <v>100533467</v>
      </c>
      <c r="D2993" s="8" t="s">
        <v>339</v>
      </c>
      <c r="E2993" s="8">
        <v>103473472</v>
      </c>
      <c r="F2993" s="8">
        <v>103473472</v>
      </c>
      <c r="G2993" s="8" t="s">
        <v>24</v>
      </c>
      <c r="H2993" s="8" t="s">
        <v>25</v>
      </c>
      <c r="I2993" s="8" t="s">
        <v>23</v>
      </c>
      <c r="J2993" s="8" t="s">
        <v>5361</v>
      </c>
      <c r="K2993" s="8" t="s">
        <v>5363</v>
      </c>
      <c r="L2993" s="8" t="s">
        <v>19</v>
      </c>
      <c r="M2993" s="8">
        <v>813</v>
      </c>
      <c r="N2993" s="8" t="s">
        <v>1364</v>
      </c>
      <c r="O2993" s="8">
        <v>231</v>
      </c>
      <c r="P2993" s="8" t="s">
        <v>12612</v>
      </c>
      <c r="Q2993" s="8" t="s">
        <v>4262</v>
      </c>
      <c r="R2993" s="8">
        <v>0.154</v>
      </c>
      <c r="S2993" s="8">
        <v>103473472</v>
      </c>
      <c r="T2993" s="8" t="s">
        <v>24</v>
      </c>
      <c r="U2993" s="8" t="s">
        <v>25</v>
      </c>
    </row>
    <row r="2994" spans="1:21">
      <c r="A2994" s="8" t="s">
        <v>10349</v>
      </c>
      <c r="B2994" s="8" t="s">
        <v>4867</v>
      </c>
      <c r="C2994" s="8">
        <v>1282</v>
      </c>
      <c r="D2994" s="8" t="s">
        <v>339</v>
      </c>
      <c r="E2994" s="8">
        <v>110829354</v>
      </c>
      <c r="F2994" s="8">
        <v>110829354</v>
      </c>
      <c r="G2994" s="8" t="s">
        <v>24</v>
      </c>
      <c r="H2994" s="8" t="s">
        <v>25</v>
      </c>
      <c r="I2994" s="8" t="s">
        <v>23</v>
      </c>
      <c r="J2994" s="8" t="s">
        <v>4868</v>
      </c>
      <c r="K2994" s="8" t="s">
        <v>4870</v>
      </c>
      <c r="L2994" s="8" t="s">
        <v>19</v>
      </c>
      <c r="M2994" s="8">
        <v>2869</v>
      </c>
      <c r="N2994" s="8" t="s">
        <v>333</v>
      </c>
      <c r="O2994" s="8">
        <v>916</v>
      </c>
      <c r="P2994" s="8" t="s">
        <v>12613</v>
      </c>
      <c r="Q2994" s="8" t="s">
        <v>4262</v>
      </c>
      <c r="R2994" s="8">
        <v>0.23499999999999999</v>
      </c>
      <c r="S2994" s="8">
        <v>110829354</v>
      </c>
      <c r="T2994" s="8" t="s">
        <v>24</v>
      </c>
      <c r="U2994" s="8" t="s">
        <v>25</v>
      </c>
    </row>
    <row r="2995" spans="1:21">
      <c r="A2995" s="8" t="s">
        <v>10349</v>
      </c>
      <c r="B2995" s="8" t="s">
        <v>12614</v>
      </c>
      <c r="C2995" s="8">
        <v>10804</v>
      </c>
      <c r="D2995" s="8" t="s">
        <v>339</v>
      </c>
      <c r="E2995" s="8">
        <v>20797617</v>
      </c>
      <c r="F2995" s="8">
        <v>20797617</v>
      </c>
      <c r="G2995" s="8" t="s">
        <v>46</v>
      </c>
      <c r="H2995" s="8" t="s">
        <v>41</v>
      </c>
      <c r="I2995" s="8" t="s">
        <v>23</v>
      </c>
      <c r="J2995" s="8" t="s">
        <v>12615</v>
      </c>
      <c r="K2995" s="8" t="s">
        <v>12616</v>
      </c>
      <c r="L2995" s="8" t="s">
        <v>19</v>
      </c>
      <c r="M2995" s="8">
        <v>390</v>
      </c>
      <c r="N2995" s="8" t="s">
        <v>2439</v>
      </c>
      <c r="O2995" s="8">
        <v>1</v>
      </c>
      <c r="P2995" s="8" t="s">
        <v>9946</v>
      </c>
      <c r="Q2995" s="8" t="s">
        <v>4262</v>
      </c>
      <c r="R2995" s="8">
        <v>9.2999999999999999E-2</v>
      </c>
      <c r="S2995" s="8">
        <v>20797617</v>
      </c>
      <c r="T2995" s="8" t="s">
        <v>46</v>
      </c>
      <c r="U2995" s="8" t="s">
        <v>41</v>
      </c>
    </row>
    <row r="2996" spans="1:21">
      <c r="A2996" s="8" t="s">
        <v>10349</v>
      </c>
      <c r="B2996" s="8" t="s">
        <v>2866</v>
      </c>
      <c r="C2996" s="8">
        <v>479</v>
      </c>
      <c r="D2996" s="8" t="s">
        <v>339</v>
      </c>
      <c r="E2996" s="8">
        <v>25262568</v>
      </c>
      <c r="F2996" s="8">
        <v>25262568</v>
      </c>
      <c r="G2996" s="8" t="s">
        <v>24</v>
      </c>
      <c r="H2996" s="8" t="s">
        <v>25</v>
      </c>
      <c r="I2996" s="8" t="s">
        <v>23</v>
      </c>
      <c r="J2996" s="8" t="s">
        <v>12617</v>
      </c>
      <c r="K2996" s="8" t="s">
        <v>12619</v>
      </c>
      <c r="L2996" s="8" t="s">
        <v>19</v>
      </c>
      <c r="M2996" s="8">
        <v>673</v>
      </c>
      <c r="N2996" s="8" t="s">
        <v>28</v>
      </c>
      <c r="O2996" s="8">
        <v>114</v>
      </c>
      <c r="P2996" s="8" t="s">
        <v>12618</v>
      </c>
      <c r="Q2996" s="8" t="s">
        <v>4262</v>
      </c>
      <c r="R2996" s="8">
        <v>0.161</v>
      </c>
      <c r="S2996" s="8">
        <v>25262568</v>
      </c>
      <c r="T2996" s="8" t="s">
        <v>24</v>
      </c>
      <c r="U2996" s="8" t="s">
        <v>25</v>
      </c>
    </row>
    <row r="2997" spans="1:21">
      <c r="A2997" s="8" t="s">
        <v>10349</v>
      </c>
      <c r="B2997" s="8" t="s">
        <v>12620</v>
      </c>
      <c r="C2997" s="8">
        <v>2321</v>
      </c>
      <c r="D2997" s="8" t="s">
        <v>339</v>
      </c>
      <c r="E2997" s="8">
        <v>29012443</v>
      </c>
      <c r="F2997" s="8">
        <v>29012443</v>
      </c>
      <c r="G2997" s="8" t="s">
        <v>24</v>
      </c>
      <c r="H2997" s="8" t="s">
        <v>25</v>
      </c>
      <c r="I2997" s="8" t="s">
        <v>23</v>
      </c>
      <c r="J2997" s="8" t="s">
        <v>12621</v>
      </c>
      <c r="K2997" s="8" t="s">
        <v>12623</v>
      </c>
      <c r="L2997" s="8" t="s">
        <v>19</v>
      </c>
      <c r="M2997" s="8">
        <v>713</v>
      </c>
      <c r="N2997" s="8" t="s">
        <v>333</v>
      </c>
      <c r="O2997" s="8">
        <v>143</v>
      </c>
      <c r="P2997" s="8" t="s">
        <v>12622</v>
      </c>
      <c r="Q2997" s="8" t="s">
        <v>4262</v>
      </c>
      <c r="R2997" s="8">
        <v>0.33300000000000002</v>
      </c>
      <c r="S2997" s="8">
        <v>29012443</v>
      </c>
      <c r="T2997" s="8" t="s">
        <v>24</v>
      </c>
      <c r="U2997" s="8" t="s">
        <v>25</v>
      </c>
    </row>
    <row r="2998" spans="1:21">
      <c r="A2998" s="8" t="s">
        <v>10349</v>
      </c>
      <c r="B2998" s="8" t="s">
        <v>2499</v>
      </c>
      <c r="C2998" s="8">
        <v>23281</v>
      </c>
      <c r="D2998" s="8" t="s">
        <v>339</v>
      </c>
      <c r="E2998" s="8">
        <v>29855915</v>
      </c>
      <c r="F2998" s="8">
        <v>29855915</v>
      </c>
      <c r="G2998" s="8" t="s">
        <v>24</v>
      </c>
      <c r="H2998" s="8" t="s">
        <v>25</v>
      </c>
      <c r="I2998" s="8" t="s">
        <v>23</v>
      </c>
      <c r="J2998" s="8" t="s">
        <v>2500</v>
      </c>
      <c r="K2998" s="8" t="s">
        <v>4872</v>
      </c>
      <c r="L2998" s="8" t="s">
        <v>19</v>
      </c>
      <c r="M2998" s="8">
        <v>2807</v>
      </c>
      <c r="N2998" s="8" t="s">
        <v>536</v>
      </c>
      <c r="O2998" s="8">
        <v>917</v>
      </c>
      <c r="P2998" s="8" t="s">
        <v>12624</v>
      </c>
      <c r="Q2998" s="8" t="s">
        <v>4262</v>
      </c>
      <c r="R2998" s="8">
        <v>0.28599999999999998</v>
      </c>
      <c r="S2998" s="8">
        <v>29855915</v>
      </c>
      <c r="T2998" s="8" t="s">
        <v>24</v>
      </c>
      <c r="U2998" s="8" t="s">
        <v>25</v>
      </c>
    </row>
    <row r="2999" spans="1:21">
      <c r="A2999" s="8" t="s">
        <v>10349</v>
      </c>
      <c r="B2999" s="8" t="s">
        <v>12625</v>
      </c>
      <c r="C2999" s="8">
        <v>10443</v>
      </c>
      <c r="D2999" s="8" t="s">
        <v>339</v>
      </c>
      <c r="E2999" s="8">
        <v>33096318</v>
      </c>
      <c r="F2999" s="8">
        <v>33096318</v>
      </c>
      <c r="G2999" s="8" t="s">
        <v>46</v>
      </c>
      <c r="H2999" s="8" t="s">
        <v>41</v>
      </c>
      <c r="I2999" s="8" t="s">
        <v>23</v>
      </c>
      <c r="J2999" s="8" t="s">
        <v>12626</v>
      </c>
      <c r="K2999" s="8" t="s">
        <v>12627</v>
      </c>
      <c r="L2999" s="8" t="s">
        <v>68</v>
      </c>
      <c r="M2999" s="8">
        <v>0</v>
      </c>
      <c r="N2999" s="8" t="s">
        <v>35</v>
      </c>
      <c r="O2999" s="8">
        <v>0</v>
      </c>
      <c r="P2999" s="8" t="s">
        <v>35</v>
      </c>
      <c r="Q2999" s="8" t="s">
        <v>4262</v>
      </c>
      <c r="R2999" s="8">
        <v>8.8999999999999996E-2</v>
      </c>
      <c r="S2999" s="8">
        <v>33096318</v>
      </c>
      <c r="T2999" s="8" t="s">
        <v>46</v>
      </c>
      <c r="U2999" s="8" t="s">
        <v>41</v>
      </c>
    </row>
    <row r="3000" spans="1:21">
      <c r="A3000" s="8" t="s">
        <v>10349</v>
      </c>
      <c r="B3000" s="8" t="s">
        <v>1899</v>
      </c>
      <c r="C3000" s="8">
        <v>23047</v>
      </c>
      <c r="D3000" s="8" t="s">
        <v>339</v>
      </c>
      <c r="E3000" s="8">
        <v>33306275</v>
      </c>
      <c r="F3000" s="8">
        <v>33306275</v>
      </c>
      <c r="G3000" s="8" t="s">
        <v>24</v>
      </c>
      <c r="H3000" s="8" t="s">
        <v>25</v>
      </c>
      <c r="I3000" s="8" t="s">
        <v>23</v>
      </c>
      <c r="J3000" s="8" t="s">
        <v>12628</v>
      </c>
      <c r="K3000" s="8" t="s">
        <v>12630</v>
      </c>
      <c r="L3000" s="8" t="s">
        <v>19</v>
      </c>
      <c r="M3000" s="8">
        <v>2347</v>
      </c>
      <c r="N3000" s="8" t="s">
        <v>1364</v>
      </c>
      <c r="O3000" s="8">
        <v>721</v>
      </c>
      <c r="P3000" s="8" t="s">
        <v>12629</v>
      </c>
      <c r="Q3000" s="8" t="s">
        <v>4262</v>
      </c>
      <c r="R3000" s="8">
        <v>0.121</v>
      </c>
      <c r="S3000" s="8">
        <v>33306275</v>
      </c>
      <c r="T3000" s="8" t="s">
        <v>24</v>
      </c>
      <c r="U3000" s="8" t="s">
        <v>25</v>
      </c>
    </row>
    <row r="3001" spans="1:21">
      <c r="A3001" s="8" t="s">
        <v>10349</v>
      </c>
      <c r="B3001" s="8" t="s">
        <v>2501</v>
      </c>
      <c r="C3001" s="8">
        <v>26960</v>
      </c>
      <c r="D3001" s="8" t="s">
        <v>339</v>
      </c>
      <c r="E3001" s="8">
        <v>35624491</v>
      </c>
      <c r="F3001" s="8">
        <v>35624491</v>
      </c>
      <c r="G3001" s="8" t="s">
        <v>24</v>
      </c>
      <c r="H3001" s="8" t="s">
        <v>25</v>
      </c>
      <c r="I3001" s="8" t="s">
        <v>23</v>
      </c>
      <c r="J3001" s="8" t="s">
        <v>2502</v>
      </c>
      <c r="K3001" s="8" t="s">
        <v>7554</v>
      </c>
      <c r="L3001" s="8" t="s">
        <v>19</v>
      </c>
      <c r="M3001" s="8">
        <v>1465</v>
      </c>
      <c r="N3001" s="8" t="s">
        <v>878</v>
      </c>
      <c r="O3001" s="8">
        <v>311</v>
      </c>
      <c r="P3001" s="8" t="s">
        <v>12631</v>
      </c>
      <c r="Q3001" s="8" t="s">
        <v>4262</v>
      </c>
      <c r="R3001" s="8">
        <v>0.27300000000000002</v>
      </c>
      <c r="S3001" s="8">
        <v>35624491</v>
      </c>
      <c r="T3001" s="8" t="s">
        <v>24</v>
      </c>
      <c r="U3001" s="8" t="s">
        <v>25</v>
      </c>
    </row>
    <row r="3002" spans="1:21">
      <c r="A3002" s="8" t="s">
        <v>10349</v>
      </c>
      <c r="B3002" s="8" t="s">
        <v>2503</v>
      </c>
      <c r="C3002" s="8">
        <v>4081</v>
      </c>
      <c r="D3002" s="8" t="s">
        <v>339</v>
      </c>
      <c r="E3002" s="8">
        <v>36050091</v>
      </c>
      <c r="F3002" s="8">
        <v>36050091</v>
      </c>
      <c r="G3002" s="8" t="s">
        <v>46</v>
      </c>
      <c r="H3002" s="8" t="s">
        <v>41</v>
      </c>
      <c r="I3002" s="8" t="s">
        <v>23</v>
      </c>
      <c r="J3002" s="8" t="s">
        <v>2504</v>
      </c>
      <c r="K3002" s="8" t="s">
        <v>12633</v>
      </c>
      <c r="L3002" s="8" t="s">
        <v>19</v>
      </c>
      <c r="M3002" s="8">
        <v>742</v>
      </c>
      <c r="N3002" s="8" t="s">
        <v>73</v>
      </c>
      <c r="O3002" s="8">
        <v>62</v>
      </c>
      <c r="P3002" s="8" t="s">
        <v>12632</v>
      </c>
      <c r="Q3002" s="8" t="s">
        <v>4262</v>
      </c>
      <c r="R3002" s="8">
        <v>0.20499999999999999</v>
      </c>
      <c r="S3002" s="8">
        <v>36050091</v>
      </c>
      <c r="T3002" s="8" t="s">
        <v>46</v>
      </c>
      <c r="U3002" s="8" t="s">
        <v>41</v>
      </c>
    </row>
    <row r="3003" spans="1:21">
      <c r="A3003" s="8" t="s">
        <v>10349</v>
      </c>
      <c r="B3003" s="8" t="s">
        <v>12634</v>
      </c>
      <c r="C3003" s="8">
        <v>7223</v>
      </c>
      <c r="D3003" s="8" t="s">
        <v>339</v>
      </c>
      <c r="E3003" s="8">
        <v>38320360</v>
      </c>
      <c r="F3003" s="8">
        <v>38320360</v>
      </c>
      <c r="G3003" s="8" t="s">
        <v>24</v>
      </c>
      <c r="H3003" s="8" t="s">
        <v>25</v>
      </c>
      <c r="I3003" s="8" t="s">
        <v>23</v>
      </c>
      <c r="J3003" s="8" t="s">
        <v>12635</v>
      </c>
      <c r="K3003" s="8" t="s">
        <v>12637</v>
      </c>
      <c r="L3003" s="8" t="s">
        <v>19</v>
      </c>
      <c r="M3003" s="8">
        <v>846</v>
      </c>
      <c r="N3003" s="8" t="s">
        <v>1421</v>
      </c>
      <c r="O3003" s="8">
        <v>204</v>
      </c>
      <c r="P3003" s="8" t="s">
        <v>12636</v>
      </c>
      <c r="Q3003" s="8" t="s">
        <v>4262</v>
      </c>
      <c r="R3003" s="8">
        <v>0.32100000000000001</v>
      </c>
      <c r="S3003" s="8">
        <v>38320360</v>
      </c>
      <c r="T3003" s="8" t="s">
        <v>24</v>
      </c>
      <c r="U3003" s="8" t="s">
        <v>25</v>
      </c>
    </row>
    <row r="3004" spans="1:21">
      <c r="A3004" s="8" t="s">
        <v>10349</v>
      </c>
      <c r="B3004" s="8" t="s">
        <v>2010</v>
      </c>
      <c r="C3004" s="8">
        <v>341640</v>
      </c>
      <c r="D3004" s="8" t="s">
        <v>339</v>
      </c>
      <c r="E3004" s="8">
        <v>39454511</v>
      </c>
      <c r="F3004" s="8">
        <v>39454511</v>
      </c>
      <c r="G3004" s="8" t="s">
        <v>24</v>
      </c>
      <c r="H3004" s="8" t="s">
        <v>25</v>
      </c>
      <c r="I3004" s="8" t="s">
        <v>23</v>
      </c>
      <c r="J3004" s="8" t="s">
        <v>2932</v>
      </c>
      <c r="K3004" s="8" t="s">
        <v>9984</v>
      </c>
      <c r="L3004" s="8" t="s">
        <v>19</v>
      </c>
      <c r="M3004" s="8">
        <v>9406</v>
      </c>
      <c r="N3004" s="8" t="s">
        <v>166</v>
      </c>
      <c r="O3004" s="8">
        <v>3033</v>
      </c>
      <c r="P3004" s="8" t="s">
        <v>12638</v>
      </c>
      <c r="Q3004" s="8" t="s">
        <v>4262</v>
      </c>
      <c r="R3004" s="8">
        <v>0.17</v>
      </c>
      <c r="S3004" s="8">
        <v>39454511</v>
      </c>
      <c r="T3004" s="8" t="s">
        <v>24</v>
      </c>
      <c r="U3004" s="8" t="s">
        <v>25</v>
      </c>
    </row>
    <row r="3005" spans="1:21">
      <c r="A3005" s="8" t="s">
        <v>10349</v>
      </c>
      <c r="B3005" s="8" t="s">
        <v>2010</v>
      </c>
      <c r="C3005" s="8">
        <v>341640</v>
      </c>
      <c r="D3005" s="8" t="s">
        <v>339</v>
      </c>
      <c r="E3005" s="8">
        <v>39454590</v>
      </c>
      <c r="F3005" s="8">
        <v>39454590</v>
      </c>
      <c r="G3005" s="8" t="s">
        <v>46</v>
      </c>
      <c r="H3005" s="8" t="s">
        <v>41</v>
      </c>
      <c r="I3005" s="8" t="s">
        <v>23</v>
      </c>
      <c r="J3005" s="8" t="s">
        <v>2932</v>
      </c>
      <c r="K3005" s="8" t="s">
        <v>9984</v>
      </c>
      <c r="L3005" s="8" t="s">
        <v>19</v>
      </c>
      <c r="M3005" s="8">
        <v>9485</v>
      </c>
      <c r="N3005" s="8" t="s">
        <v>333</v>
      </c>
      <c r="O3005" s="8">
        <v>3059</v>
      </c>
      <c r="P3005" s="8" t="s">
        <v>12639</v>
      </c>
      <c r="Q3005" s="8" t="s">
        <v>4262</v>
      </c>
      <c r="R3005" s="8">
        <v>0.20499999999999999</v>
      </c>
      <c r="S3005" s="8">
        <v>39454590</v>
      </c>
      <c r="T3005" s="8" t="s">
        <v>46</v>
      </c>
      <c r="U3005" s="8" t="s">
        <v>41</v>
      </c>
    </row>
    <row r="3006" spans="1:21">
      <c r="A3006" s="8" t="s">
        <v>10349</v>
      </c>
      <c r="B3006" s="8" t="s">
        <v>12640</v>
      </c>
      <c r="C3006" s="8">
        <v>80209</v>
      </c>
      <c r="D3006" s="8" t="s">
        <v>339</v>
      </c>
      <c r="E3006" s="8">
        <v>39587111</v>
      </c>
      <c r="F3006" s="8">
        <v>39587111</v>
      </c>
      <c r="G3006" s="8" t="s">
        <v>46</v>
      </c>
      <c r="H3006" s="8" t="s">
        <v>41</v>
      </c>
      <c r="I3006" s="8" t="s">
        <v>23</v>
      </c>
      <c r="J3006" s="8" t="s">
        <v>12641</v>
      </c>
      <c r="K3006" s="8" t="s">
        <v>12643</v>
      </c>
      <c r="L3006" s="8" t="s">
        <v>19</v>
      </c>
      <c r="M3006" s="8">
        <v>3151</v>
      </c>
      <c r="N3006" s="8" t="s">
        <v>1070</v>
      </c>
      <c r="O3006" s="8">
        <v>760</v>
      </c>
      <c r="P3006" s="8" t="s">
        <v>12642</v>
      </c>
      <c r="Q3006" s="8" t="s">
        <v>4262</v>
      </c>
      <c r="R3006" s="8">
        <v>0.20399999999999999</v>
      </c>
      <c r="S3006" s="8">
        <v>39587111</v>
      </c>
      <c r="T3006" s="8" t="s">
        <v>46</v>
      </c>
      <c r="U3006" s="8" t="s">
        <v>41</v>
      </c>
    </row>
    <row r="3007" spans="1:21">
      <c r="A3007" s="8" t="s">
        <v>10349</v>
      </c>
      <c r="B3007" s="8" t="s">
        <v>1047</v>
      </c>
      <c r="C3007" s="8">
        <v>160851</v>
      </c>
      <c r="D3007" s="8" t="s">
        <v>339</v>
      </c>
      <c r="E3007" s="8">
        <v>42763415</v>
      </c>
      <c r="F3007" s="8">
        <v>42763415</v>
      </c>
      <c r="G3007" s="8" t="s">
        <v>24</v>
      </c>
      <c r="H3007" s="8" t="s">
        <v>25</v>
      </c>
      <c r="I3007" s="8" t="s">
        <v>23</v>
      </c>
      <c r="J3007" s="8" t="s">
        <v>9227</v>
      </c>
      <c r="K3007" s="8" t="s">
        <v>9229</v>
      </c>
      <c r="L3007" s="8" t="s">
        <v>19</v>
      </c>
      <c r="M3007" s="8">
        <v>1949</v>
      </c>
      <c r="N3007" s="8" t="s">
        <v>171</v>
      </c>
      <c r="O3007" s="8">
        <v>628</v>
      </c>
      <c r="P3007" s="8" t="s">
        <v>12644</v>
      </c>
      <c r="Q3007" s="8" t="s">
        <v>4262</v>
      </c>
      <c r="R3007" s="8">
        <v>0.20599999999999999</v>
      </c>
      <c r="S3007" s="8">
        <v>42763415</v>
      </c>
      <c r="T3007" s="8" t="s">
        <v>24</v>
      </c>
      <c r="U3007" s="8" t="s">
        <v>25</v>
      </c>
    </row>
    <row r="3008" spans="1:21">
      <c r="A3008" s="8" t="s">
        <v>10349</v>
      </c>
      <c r="B3008" s="8" t="s">
        <v>5088</v>
      </c>
      <c r="C3008" s="8">
        <v>23091</v>
      </c>
      <c r="D3008" s="8" t="s">
        <v>339</v>
      </c>
      <c r="E3008" s="8">
        <v>46616298</v>
      </c>
      <c r="F3008" s="8">
        <v>46616298</v>
      </c>
      <c r="G3008" s="8" t="s">
        <v>46</v>
      </c>
      <c r="H3008" s="8" t="s">
        <v>41</v>
      </c>
      <c r="I3008" s="8" t="s">
        <v>23</v>
      </c>
      <c r="J3008" s="8" t="s">
        <v>5089</v>
      </c>
      <c r="K3008" s="8" t="s">
        <v>5091</v>
      </c>
      <c r="L3008" s="8" t="s">
        <v>68</v>
      </c>
      <c r="M3008" s="8">
        <v>0</v>
      </c>
      <c r="N3008" s="8" t="s">
        <v>35</v>
      </c>
      <c r="O3008" s="8">
        <v>0</v>
      </c>
      <c r="P3008" s="8" t="s">
        <v>35</v>
      </c>
      <c r="Q3008" s="8" t="s">
        <v>4262</v>
      </c>
      <c r="R3008" s="8">
        <v>0.184</v>
      </c>
      <c r="S3008" s="8">
        <v>46616298</v>
      </c>
      <c r="T3008" s="8" t="s">
        <v>46</v>
      </c>
      <c r="U3008" s="8" t="s">
        <v>41</v>
      </c>
    </row>
    <row r="3009" spans="1:21">
      <c r="A3009" s="8" t="s">
        <v>10349</v>
      </c>
      <c r="B3009" s="8" t="s">
        <v>12645</v>
      </c>
      <c r="C3009" s="8">
        <v>51062</v>
      </c>
      <c r="D3009" s="8" t="s">
        <v>118</v>
      </c>
      <c r="E3009" s="8">
        <v>51094971</v>
      </c>
      <c r="F3009" s="8">
        <v>51094971</v>
      </c>
      <c r="G3009" s="8" t="s">
        <v>46</v>
      </c>
      <c r="H3009" s="8" t="s">
        <v>41</v>
      </c>
      <c r="I3009" s="8" t="s">
        <v>23</v>
      </c>
      <c r="J3009" s="8" t="s">
        <v>12646</v>
      </c>
      <c r="K3009" s="8" t="s">
        <v>12648</v>
      </c>
      <c r="L3009" s="8" t="s">
        <v>19</v>
      </c>
      <c r="M3009" s="8">
        <v>1767</v>
      </c>
      <c r="N3009" s="8" t="s">
        <v>423</v>
      </c>
      <c r="O3009" s="8">
        <v>448</v>
      </c>
      <c r="P3009" s="8" t="s">
        <v>12647</v>
      </c>
      <c r="Q3009" s="8" t="s">
        <v>4262</v>
      </c>
      <c r="R3009" s="8">
        <v>0.13200000000000001</v>
      </c>
      <c r="S3009" s="8">
        <v>51094971</v>
      </c>
      <c r="T3009" s="8" t="s">
        <v>46</v>
      </c>
      <c r="U3009" s="8" t="s">
        <v>41</v>
      </c>
    </row>
    <row r="3010" spans="1:21">
      <c r="A3010" s="8" t="s">
        <v>10349</v>
      </c>
      <c r="B3010" s="8" t="s">
        <v>12649</v>
      </c>
      <c r="C3010" s="8">
        <v>3895</v>
      </c>
      <c r="D3010" s="8" t="s">
        <v>118</v>
      </c>
      <c r="E3010" s="8">
        <v>56133963</v>
      </c>
      <c r="F3010" s="8">
        <v>56133963</v>
      </c>
      <c r="G3010" s="8" t="s">
        <v>24</v>
      </c>
      <c r="H3010" s="8" t="s">
        <v>25</v>
      </c>
      <c r="I3010" s="8" t="s">
        <v>23</v>
      </c>
      <c r="J3010" s="8" t="s">
        <v>12650</v>
      </c>
      <c r="K3010" s="8" t="s">
        <v>12652</v>
      </c>
      <c r="L3010" s="8" t="s">
        <v>19</v>
      </c>
      <c r="M3010" s="8">
        <v>3360</v>
      </c>
      <c r="N3010" s="8" t="s">
        <v>2483</v>
      </c>
      <c r="O3010" s="8">
        <v>1061</v>
      </c>
      <c r="P3010" s="8" t="s">
        <v>12651</v>
      </c>
      <c r="Q3010" s="8" t="s">
        <v>4262</v>
      </c>
      <c r="R3010" s="8">
        <v>0.158</v>
      </c>
      <c r="S3010" s="8">
        <v>56133963</v>
      </c>
      <c r="T3010" s="8" t="s">
        <v>24</v>
      </c>
      <c r="U3010" s="8" t="s">
        <v>25</v>
      </c>
    </row>
    <row r="3011" spans="1:21">
      <c r="A3011" s="8" t="s">
        <v>10349</v>
      </c>
      <c r="B3011" s="8" t="s">
        <v>12653</v>
      </c>
      <c r="C3011" s="8">
        <v>145407</v>
      </c>
      <c r="D3011" s="8" t="s">
        <v>118</v>
      </c>
      <c r="E3011" s="8">
        <v>58605010</v>
      </c>
      <c r="F3011" s="8">
        <v>58605010</v>
      </c>
      <c r="G3011" s="8" t="s">
        <v>46</v>
      </c>
      <c r="H3011" s="8" t="s">
        <v>41</v>
      </c>
      <c r="I3011" s="8" t="s">
        <v>23</v>
      </c>
      <c r="J3011" s="8" t="s">
        <v>12654</v>
      </c>
      <c r="K3011" s="8" t="s">
        <v>12656</v>
      </c>
      <c r="L3011" s="8" t="s">
        <v>19</v>
      </c>
      <c r="M3011" s="8">
        <v>1178</v>
      </c>
      <c r="N3011" s="8" t="s">
        <v>205</v>
      </c>
      <c r="O3011" s="8">
        <v>356</v>
      </c>
      <c r="P3011" s="8" t="s">
        <v>12655</v>
      </c>
      <c r="Q3011" s="8" t="s">
        <v>4262</v>
      </c>
      <c r="R3011" s="8">
        <v>0.20399999999999999</v>
      </c>
      <c r="S3011" s="8">
        <v>58605010</v>
      </c>
      <c r="T3011" s="8" t="s">
        <v>46</v>
      </c>
      <c r="U3011" s="8" t="s">
        <v>41</v>
      </c>
    </row>
    <row r="3012" spans="1:21">
      <c r="A3012" s="8" t="s">
        <v>10349</v>
      </c>
      <c r="B3012" s="8" t="s">
        <v>12657</v>
      </c>
      <c r="C3012" s="8">
        <v>317761</v>
      </c>
      <c r="D3012" s="8" t="s">
        <v>118</v>
      </c>
      <c r="E3012" s="8">
        <v>60928080</v>
      </c>
      <c r="F3012" s="8">
        <v>60928080</v>
      </c>
      <c r="G3012" s="8" t="s">
        <v>46</v>
      </c>
      <c r="H3012" s="8" t="s">
        <v>41</v>
      </c>
      <c r="I3012" s="8" t="s">
        <v>23</v>
      </c>
      <c r="J3012" s="8" t="s">
        <v>12658</v>
      </c>
      <c r="K3012" s="8" t="s">
        <v>12660</v>
      </c>
      <c r="L3012" s="8" t="s">
        <v>19</v>
      </c>
      <c r="M3012" s="8">
        <v>1219</v>
      </c>
      <c r="N3012" s="8" t="s">
        <v>1399</v>
      </c>
      <c r="O3012" s="8">
        <v>370</v>
      </c>
      <c r="P3012" s="8" t="s">
        <v>12659</v>
      </c>
      <c r="Q3012" s="8" t="s">
        <v>4262</v>
      </c>
      <c r="R3012" s="8">
        <v>0.17399999999999999</v>
      </c>
      <c r="S3012" s="8">
        <v>60928080</v>
      </c>
      <c r="T3012" s="8" t="s">
        <v>46</v>
      </c>
      <c r="U3012" s="8" t="s">
        <v>41</v>
      </c>
    </row>
    <row r="3013" spans="1:21">
      <c r="A3013" s="8" t="s">
        <v>10349</v>
      </c>
      <c r="B3013" s="8" t="s">
        <v>2507</v>
      </c>
      <c r="C3013" s="8">
        <v>6710</v>
      </c>
      <c r="D3013" s="8" t="s">
        <v>118</v>
      </c>
      <c r="E3013" s="8">
        <v>65246460</v>
      </c>
      <c r="F3013" s="8">
        <v>65246460</v>
      </c>
      <c r="G3013" s="8" t="s">
        <v>46</v>
      </c>
      <c r="H3013" s="8" t="s">
        <v>41</v>
      </c>
      <c r="I3013" s="8" t="s">
        <v>23</v>
      </c>
      <c r="J3013" s="8" t="s">
        <v>12661</v>
      </c>
      <c r="K3013" s="8" t="s">
        <v>12663</v>
      </c>
      <c r="L3013" s="8" t="s">
        <v>19</v>
      </c>
      <c r="M3013" s="8">
        <v>4510</v>
      </c>
      <c r="N3013" s="8" t="s">
        <v>485</v>
      </c>
      <c r="O3013" s="8">
        <v>1486</v>
      </c>
      <c r="P3013" s="8" t="s">
        <v>12662</v>
      </c>
      <c r="Q3013" s="8" t="s">
        <v>4262</v>
      </c>
      <c r="R3013" s="8">
        <v>0.219</v>
      </c>
      <c r="S3013" s="8">
        <v>65246460</v>
      </c>
      <c r="T3013" s="8" t="s">
        <v>46</v>
      </c>
      <c r="U3013" s="8" t="s">
        <v>41</v>
      </c>
    </row>
    <row r="3014" spans="1:21">
      <c r="A3014" s="8" t="s">
        <v>10349</v>
      </c>
      <c r="B3014" s="8" t="s">
        <v>12664</v>
      </c>
      <c r="C3014" s="8">
        <v>87</v>
      </c>
      <c r="D3014" s="8" t="s">
        <v>118</v>
      </c>
      <c r="E3014" s="8">
        <v>69371454</v>
      </c>
      <c r="F3014" s="8">
        <v>69371454</v>
      </c>
      <c r="G3014" s="8" t="s">
        <v>46</v>
      </c>
      <c r="H3014" s="8" t="s">
        <v>41</v>
      </c>
      <c r="I3014" s="8" t="s">
        <v>23</v>
      </c>
      <c r="J3014" s="8" t="s">
        <v>12665</v>
      </c>
      <c r="K3014" s="8" t="s">
        <v>12666</v>
      </c>
      <c r="L3014" s="8" t="s">
        <v>68</v>
      </c>
      <c r="M3014" s="8">
        <v>0</v>
      </c>
      <c r="N3014" s="8" t="s">
        <v>35</v>
      </c>
      <c r="O3014" s="8">
        <v>0</v>
      </c>
      <c r="P3014" s="8" t="s">
        <v>35</v>
      </c>
      <c r="Q3014" s="8" t="s">
        <v>4262</v>
      </c>
      <c r="R3014" s="8">
        <v>0.20699999999999999</v>
      </c>
      <c r="S3014" s="8">
        <v>69371454</v>
      </c>
      <c r="T3014" s="8" t="s">
        <v>46</v>
      </c>
      <c r="U3014" s="8" t="s">
        <v>41</v>
      </c>
    </row>
    <row r="3015" spans="1:21">
      <c r="A3015" s="8" t="s">
        <v>10349</v>
      </c>
      <c r="B3015" s="8" t="s">
        <v>12667</v>
      </c>
      <c r="C3015" s="8">
        <v>8816</v>
      </c>
      <c r="D3015" s="8" t="s">
        <v>118</v>
      </c>
      <c r="E3015" s="8">
        <v>69542061</v>
      </c>
      <c r="F3015" s="8">
        <v>69542061</v>
      </c>
      <c r="G3015" s="8" t="s">
        <v>46</v>
      </c>
      <c r="H3015" s="8" t="s">
        <v>41</v>
      </c>
      <c r="I3015" s="8" t="s">
        <v>23</v>
      </c>
      <c r="J3015" s="8" t="s">
        <v>12668</v>
      </c>
      <c r="K3015" s="8" t="s">
        <v>12669</v>
      </c>
      <c r="L3015" s="8" t="s">
        <v>68</v>
      </c>
      <c r="M3015" s="8">
        <v>0</v>
      </c>
      <c r="N3015" s="8" t="s">
        <v>35</v>
      </c>
      <c r="O3015" s="8">
        <v>0</v>
      </c>
      <c r="P3015" s="8" t="s">
        <v>35</v>
      </c>
      <c r="Q3015" s="8" t="s">
        <v>4262</v>
      </c>
      <c r="R3015" s="8">
        <v>0.2</v>
      </c>
      <c r="S3015" s="8">
        <v>69542061</v>
      </c>
      <c r="T3015" s="8" t="s">
        <v>46</v>
      </c>
      <c r="U3015" s="8" t="s">
        <v>41</v>
      </c>
    </row>
    <row r="3016" spans="1:21">
      <c r="A3016" s="8" t="s">
        <v>10349</v>
      </c>
      <c r="B3016" s="8" t="s">
        <v>12670</v>
      </c>
      <c r="C3016" s="8">
        <v>6547</v>
      </c>
      <c r="D3016" s="8" t="s">
        <v>118</v>
      </c>
      <c r="E3016" s="8">
        <v>70634326</v>
      </c>
      <c r="F3016" s="8">
        <v>70634326</v>
      </c>
      <c r="G3016" s="8" t="s">
        <v>46</v>
      </c>
      <c r="H3016" s="8" t="s">
        <v>41</v>
      </c>
      <c r="I3016" s="8" t="s">
        <v>23</v>
      </c>
      <c r="J3016" s="8" t="s">
        <v>12671</v>
      </c>
      <c r="K3016" s="8" t="s">
        <v>12673</v>
      </c>
      <c r="L3016" s="8" t="s">
        <v>19</v>
      </c>
      <c r="M3016" s="8">
        <v>1568</v>
      </c>
      <c r="N3016" s="8" t="s">
        <v>1364</v>
      </c>
      <c r="O3016" s="8">
        <v>272</v>
      </c>
      <c r="P3016" s="8" t="s">
        <v>12672</v>
      </c>
      <c r="Q3016" s="8" t="s">
        <v>4262</v>
      </c>
      <c r="R3016" s="8">
        <v>0.19</v>
      </c>
      <c r="S3016" s="8">
        <v>70634326</v>
      </c>
      <c r="T3016" s="8" t="s">
        <v>46</v>
      </c>
      <c r="U3016" s="8" t="s">
        <v>41</v>
      </c>
    </row>
    <row r="3017" spans="1:21">
      <c r="A3017" s="8" t="s">
        <v>10349</v>
      </c>
      <c r="B3017" s="8" t="s">
        <v>3246</v>
      </c>
      <c r="C3017" s="8">
        <v>9628</v>
      </c>
      <c r="D3017" s="8" t="s">
        <v>118</v>
      </c>
      <c r="E3017" s="8">
        <v>72932478</v>
      </c>
      <c r="F3017" s="8">
        <v>72932478</v>
      </c>
      <c r="G3017" s="8" t="s">
        <v>24</v>
      </c>
      <c r="H3017" s="8" t="s">
        <v>25</v>
      </c>
      <c r="I3017" s="8" t="s">
        <v>23</v>
      </c>
      <c r="J3017" s="8" t="s">
        <v>9230</v>
      </c>
      <c r="K3017" s="8" t="s">
        <v>9232</v>
      </c>
      <c r="L3017" s="8" t="s">
        <v>19</v>
      </c>
      <c r="M3017" s="8">
        <v>930</v>
      </c>
      <c r="N3017" s="8" t="s">
        <v>618</v>
      </c>
      <c r="O3017" s="8">
        <v>136</v>
      </c>
      <c r="P3017" s="8" t="s">
        <v>12674</v>
      </c>
      <c r="Q3017" s="8" t="s">
        <v>4262</v>
      </c>
      <c r="R3017" s="8">
        <v>0.19400000000000001</v>
      </c>
      <c r="S3017" s="8">
        <v>72932478</v>
      </c>
      <c r="T3017" s="8" t="s">
        <v>24</v>
      </c>
      <c r="U3017" s="8" t="s">
        <v>25</v>
      </c>
    </row>
    <row r="3018" spans="1:21">
      <c r="A3018" s="8" t="s">
        <v>10349</v>
      </c>
      <c r="B3018" s="8" t="s">
        <v>12675</v>
      </c>
      <c r="C3018" s="8">
        <v>91750</v>
      </c>
      <c r="D3018" s="8" t="s">
        <v>118</v>
      </c>
      <c r="E3018" s="8">
        <v>74562662</v>
      </c>
      <c r="F3018" s="8">
        <v>74562662</v>
      </c>
      <c r="G3018" s="8" t="s">
        <v>24</v>
      </c>
      <c r="H3018" s="8" t="s">
        <v>25</v>
      </c>
      <c r="I3018" s="8" t="s">
        <v>23</v>
      </c>
      <c r="J3018" s="8" t="s">
        <v>12676</v>
      </c>
      <c r="K3018" s="8" t="s">
        <v>12677</v>
      </c>
      <c r="L3018" s="8" t="s">
        <v>19</v>
      </c>
      <c r="M3018" s="8">
        <v>128</v>
      </c>
      <c r="N3018" s="8" t="s">
        <v>768</v>
      </c>
      <c r="O3018" s="8">
        <v>40</v>
      </c>
      <c r="P3018" s="8" t="s">
        <v>6581</v>
      </c>
      <c r="Q3018" s="8" t="s">
        <v>4262</v>
      </c>
      <c r="R3018" s="8">
        <v>0.26700000000000002</v>
      </c>
      <c r="S3018" s="8">
        <v>74562662</v>
      </c>
      <c r="T3018" s="8" t="s">
        <v>24</v>
      </c>
      <c r="U3018" s="8" t="s">
        <v>25</v>
      </c>
    </row>
    <row r="3019" spans="1:21">
      <c r="A3019" s="8" t="s">
        <v>10349</v>
      </c>
      <c r="B3019" s="8" t="s">
        <v>12678</v>
      </c>
      <c r="C3019" s="8">
        <v>56252</v>
      </c>
      <c r="D3019" s="8" t="s">
        <v>118</v>
      </c>
      <c r="E3019" s="8">
        <v>75265520</v>
      </c>
      <c r="F3019" s="8">
        <v>75265520</v>
      </c>
      <c r="G3019" s="8" t="s">
        <v>24</v>
      </c>
      <c r="H3019" s="8" t="s">
        <v>25</v>
      </c>
      <c r="I3019" s="8" t="s">
        <v>23</v>
      </c>
      <c r="J3019" s="8" t="s">
        <v>12679</v>
      </c>
      <c r="K3019" s="8" t="s">
        <v>12681</v>
      </c>
      <c r="L3019" s="8" t="s">
        <v>19</v>
      </c>
      <c r="M3019" s="8">
        <v>3644</v>
      </c>
      <c r="N3019" s="8" t="s">
        <v>1364</v>
      </c>
      <c r="O3019" s="8">
        <v>1174</v>
      </c>
      <c r="P3019" s="8" t="s">
        <v>12680</v>
      </c>
      <c r="Q3019" s="8" t="s">
        <v>4262</v>
      </c>
      <c r="R3019" s="8">
        <v>0.224</v>
      </c>
      <c r="S3019" s="8">
        <v>75265520</v>
      </c>
      <c r="T3019" s="8" t="s">
        <v>24</v>
      </c>
      <c r="U3019" s="8" t="s">
        <v>25</v>
      </c>
    </row>
    <row r="3020" spans="1:21">
      <c r="A3020" s="8" t="s">
        <v>10349</v>
      </c>
      <c r="B3020" s="8" t="s">
        <v>3249</v>
      </c>
      <c r="C3020" s="8">
        <v>283571</v>
      </c>
      <c r="D3020" s="8" t="s">
        <v>118</v>
      </c>
      <c r="E3020" s="8">
        <v>75323616</v>
      </c>
      <c r="F3020" s="8">
        <v>75323616</v>
      </c>
      <c r="G3020" s="8" t="s">
        <v>24</v>
      </c>
      <c r="H3020" s="8" t="s">
        <v>25</v>
      </c>
      <c r="I3020" s="8" t="s">
        <v>23</v>
      </c>
      <c r="J3020" s="8" t="s">
        <v>9234</v>
      </c>
      <c r="K3020" s="8" t="s">
        <v>9236</v>
      </c>
      <c r="L3020" s="8" t="s">
        <v>19</v>
      </c>
      <c r="M3020" s="8">
        <v>1496</v>
      </c>
      <c r="N3020" s="8" t="s">
        <v>1421</v>
      </c>
      <c r="O3020" s="8">
        <v>499</v>
      </c>
      <c r="P3020" s="8" t="s">
        <v>12682</v>
      </c>
      <c r="Q3020" s="8" t="s">
        <v>4262</v>
      </c>
      <c r="R3020" s="8">
        <v>0.184</v>
      </c>
      <c r="S3020" s="8">
        <v>75323616</v>
      </c>
      <c r="T3020" s="8" t="s">
        <v>24</v>
      </c>
      <c r="U3020" s="8" t="s">
        <v>25</v>
      </c>
    </row>
    <row r="3021" spans="1:21">
      <c r="A3021" s="8" t="s">
        <v>10349</v>
      </c>
      <c r="B3021" s="8" t="s">
        <v>12683</v>
      </c>
      <c r="C3021" s="8">
        <v>123016</v>
      </c>
      <c r="D3021" s="8" t="s">
        <v>118</v>
      </c>
      <c r="E3021" s="8">
        <v>89336543</v>
      </c>
      <c r="F3021" s="8">
        <v>89336543</v>
      </c>
      <c r="G3021" s="8" t="s">
        <v>24</v>
      </c>
      <c r="H3021" s="8" t="s">
        <v>25</v>
      </c>
      <c r="I3021" s="8" t="s">
        <v>23</v>
      </c>
      <c r="J3021" s="8" t="s">
        <v>12684</v>
      </c>
      <c r="K3021" s="8" t="s">
        <v>12685</v>
      </c>
      <c r="L3021" s="8" t="s">
        <v>68</v>
      </c>
      <c r="M3021" s="8">
        <v>0</v>
      </c>
      <c r="N3021" s="8" t="s">
        <v>35</v>
      </c>
      <c r="O3021" s="8">
        <v>0</v>
      </c>
      <c r="P3021" s="8" t="s">
        <v>35</v>
      </c>
      <c r="Q3021" s="8" t="s">
        <v>4262</v>
      </c>
      <c r="R3021" s="8">
        <v>0.22600000000000001</v>
      </c>
      <c r="S3021" s="8">
        <v>89336543</v>
      </c>
      <c r="T3021" s="8" t="s">
        <v>24</v>
      </c>
      <c r="U3021" s="8" t="s">
        <v>25</v>
      </c>
    </row>
    <row r="3022" spans="1:21">
      <c r="A3022" s="8" t="s">
        <v>10349</v>
      </c>
      <c r="B3022" s="8" t="s">
        <v>12686</v>
      </c>
      <c r="C3022" s="8">
        <v>56659</v>
      </c>
      <c r="D3022" s="8" t="s">
        <v>118</v>
      </c>
      <c r="E3022" s="8">
        <v>90650613</v>
      </c>
      <c r="F3022" s="8">
        <v>90650613</v>
      </c>
      <c r="G3022" s="8" t="s">
        <v>46</v>
      </c>
      <c r="H3022" s="8" t="s">
        <v>41</v>
      </c>
      <c r="I3022" s="8" t="s">
        <v>23</v>
      </c>
      <c r="J3022" s="8" t="s">
        <v>12687</v>
      </c>
      <c r="K3022" s="8" t="s">
        <v>12689</v>
      </c>
      <c r="L3022" s="8" t="s">
        <v>19</v>
      </c>
      <c r="M3022" s="8">
        <v>935</v>
      </c>
      <c r="N3022" s="8" t="s">
        <v>58</v>
      </c>
      <c r="O3022" s="8">
        <v>165</v>
      </c>
      <c r="P3022" s="8" t="s">
        <v>12688</v>
      </c>
      <c r="Q3022" s="8" t="s">
        <v>4262</v>
      </c>
      <c r="R3022" s="8">
        <v>0.2</v>
      </c>
      <c r="S3022" s="8">
        <v>90650613</v>
      </c>
      <c r="T3022" s="8" t="s">
        <v>46</v>
      </c>
      <c r="U3022" s="8" t="s">
        <v>41</v>
      </c>
    </row>
    <row r="3023" spans="1:21">
      <c r="A3023" s="8" t="s">
        <v>10349</v>
      </c>
      <c r="B3023" s="8" t="s">
        <v>2508</v>
      </c>
      <c r="C3023" s="8">
        <v>79890</v>
      </c>
      <c r="D3023" s="8" t="s">
        <v>118</v>
      </c>
      <c r="E3023" s="8">
        <v>93118053</v>
      </c>
      <c r="F3023" s="8">
        <v>93118053</v>
      </c>
      <c r="G3023" s="8" t="s">
        <v>46</v>
      </c>
      <c r="H3023" s="8" t="s">
        <v>41</v>
      </c>
      <c r="I3023" s="8" t="s">
        <v>23</v>
      </c>
      <c r="J3023" s="8" t="s">
        <v>2509</v>
      </c>
      <c r="K3023" s="8" t="s">
        <v>12691</v>
      </c>
      <c r="L3023" s="8" t="s">
        <v>19</v>
      </c>
      <c r="M3023" s="8">
        <v>811</v>
      </c>
      <c r="N3023" s="8" t="s">
        <v>1421</v>
      </c>
      <c r="O3023" s="8">
        <v>220</v>
      </c>
      <c r="P3023" s="8" t="s">
        <v>12690</v>
      </c>
      <c r="Q3023" s="8" t="s">
        <v>4262</v>
      </c>
      <c r="R3023" s="8">
        <v>0.39500000000000002</v>
      </c>
      <c r="S3023" s="8">
        <v>93118053</v>
      </c>
      <c r="T3023" s="8" t="s">
        <v>46</v>
      </c>
      <c r="U3023" s="8" t="s">
        <v>41</v>
      </c>
    </row>
    <row r="3024" spans="1:21">
      <c r="A3024" s="8" t="s">
        <v>10349</v>
      </c>
      <c r="B3024" s="8" t="s">
        <v>12692</v>
      </c>
      <c r="C3024" s="8">
        <v>57062</v>
      </c>
      <c r="D3024" s="8" t="s">
        <v>118</v>
      </c>
      <c r="E3024" s="8">
        <v>94528806</v>
      </c>
      <c r="F3024" s="8">
        <v>94528806</v>
      </c>
      <c r="G3024" s="8" t="s">
        <v>46</v>
      </c>
      <c r="H3024" s="8" t="s">
        <v>41</v>
      </c>
      <c r="I3024" s="8" t="s">
        <v>23</v>
      </c>
      <c r="J3024" s="8" t="s">
        <v>12693</v>
      </c>
      <c r="K3024" s="8" t="s">
        <v>12695</v>
      </c>
      <c r="L3024" s="8" t="s">
        <v>19</v>
      </c>
      <c r="M3024" s="8">
        <v>979</v>
      </c>
      <c r="N3024" s="8" t="s">
        <v>166</v>
      </c>
      <c r="O3024" s="8">
        <v>294</v>
      </c>
      <c r="P3024" s="8" t="s">
        <v>12694</v>
      </c>
      <c r="Q3024" s="8" t="s">
        <v>4262</v>
      </c>
      <c r="R3024" s="8">
        <v>0.35699999999999998</v>
      </c>
      <c r="S3024" s="8">
        <v>94528806</v>
      </c>
      <c r="T3024" s="8" t="s">
        <v>46</v>
      </c>
      <c r="U3024" s="8" t="s">
        <v>41</v>
      </c>
    </row>
    <row r="3025" spans="1:21">
      <c r="A3025" s="8" t="s">
        <v>10349</v>
      </c>
      <c r="B3025" s="8" t="s">
        <v>12696</v>
      </c>
      <c r="C3025" s="8">
        <v>327657</v>
      </c>
      <c r="D3025" s="8" t="s">
        <v>118</v>
      </c>
      <c r="E3025" s="8">
        <v>94935582</v>
      </c>
      <c r="F3025" s="8">
        <v>94935582</v>
      </c>
      <c r="G3025" s="8" t="s">
        <v>24</v>
      </c>
      <c r="H3025" s="8" t="s">
        <v>25</v>
      </c>
      <c r="I3025" s="8" t="s">
        <v>23</v>
      </c>
      <c r="J3025" s="8" t="s">
        <v>12697</v>
      </c>
      <c r="K3025" s="8" t="s">
        <v>12699</v>
      </c>
      <c r="L3025" s="8" t="s">
        <v>19</v>
      </c>
      <c r="M3025" s="8">
        <v>811</v>
      </c>
      <c r="N3025" s="8" t="s">
        <v>1421</v>
      </c>
      <c r="O3025" s="8">
        <v>217</v>
      </c>
      <c r="P3025" s="8" t="s">
        <v>12698</v>
      </c>
      <c r="Q3025" s="8" t="s">
        <v>4262</v>
      </c>
      <c r="R3025" s="8">
        <v>0.193</v>
      </c>
      <c r="S3025" s="8">
        <v>94935582</v>
      </c>
      <c r="T3025" s="8" t="s">
        <v>24</v>
      </c>
      <c r="U3025" s="8" t="s">
        <v>25</v>
      </c>
    </row>
    <row r="3026" spans="1:21">
      <c r="A3026" s="8" t="s">
        <v>10349</v>
      </c>
      <c r="B3026" s="8" t="s">
        <v>12700</v>
      </c>
      <c r="C3026" s="8">
        <v>79446</v>
      </c>
      <c r="D3026" s="8" t="s">
        <v>118</v>
      </c>
      <c r="E3026" s="8">
        <v>100847901</v>
      </c>
      <c r="F3026" s="8">
        <v>100847901</v>
      </c>
      <c r="G3026" s="8" t="s">
        <v>24</v>
      </c>
      <c r="H3026" s="8" t="s">
        <v>25</v>
      </c>
      <c r="I3026" s="8" t="s">
        <v>23</v>
      </c>
      <c r="J3026" s="8" t="s">
        <v>12701</v>
      </c>
      <c r="K3026" s="8" t="s">
        <v>12703</v>
      </c>
      <c r="L3026" s="8" t="s">
        <v>19</v>
      </c>
      <c r="M3026" s="8">
        <v>864</v>
      </c>
      <c r="N3026" s="8" t="s">
        <v>536</v>
      </c>
      <c r="O3026" s="8">
        <v>214</v>
      </c>
      <c r="P3026" s="8" t="s">
        <v>12702</v>
      </c>
      <c r="Q3026" s="8" t="s">
        <v>4262</v>
      </c>
      <c r="R3026" s="8">
        <v>0.24099999999999999</v>
      </c>
      <c r="S3026" s="8">
        <v>100847901</v>
      </c>
      <c r="T3026" s="8" t="s">
        <v>24</v>
      </c>
      <c r="U3026" s="8" t="s">
        <v>25</v>
      </c>
    </row>
    <row r="3027" spans="1:21">
      <c r="A3027" s="8" t="s">
        <v>10349</v>
      </c>
      <c r="B3027" s="8" t="s">
        <v>688</v>
      </c>
      <c r="C3027" s="8">
        <v>9578</v>
      </c>
      <c r="D3027" s="8" t="s">
        <v>118</v>
      </c>
      <c r="E3027" s="8">
        <v>103416133</v>
      </c>
      <c r="F3027" s="8">
        <v>103416133</v>
      </c>
      <c r="G3027" s="8" t="s">
        <v>46</v>
      </c>
      <c r="H3027" s="8" t="s">
        <v>41</v>
      </c>
      <c r="I3027" s="8" t="s">
        <v>23</v>
      </c>
      <c r="J3027" s="8" t="s">
        <v>689</v>
      </c>
      <c r="K3027" s="8" t="s">
        <v>12705</v>
      </c>
      <c r="L3027" s="8" t="s">
        <v>19</v>
      </c>
      <c r="M3027" s="8">
        <v>3650</v>
      </c>
      <c r="N3027" s="8" t="s">
        <v>878</v>
      </c>
      <c r="O3027" s="8">
        <v>1140</v>
      </c>
      <c r="P3027" s="8" t="s">
        <v>12704</v>
      </c>
      <c r="Q3027" s="8" t="s">
        <v>4262</v>
      </c>
      <c r="R3027" s="8">
        <v>0.121</v>
      </c>
      <c r="S3027" s="8">
        <v>103416133</v>
      </c>
      <c r="T3027" s="8" t="s">
        <v>46</v>
      </c>
      <c r="U3027" s="8" t="s">
        <v>41</v>
      </c>
    </row>
    <row r="3028" spans="1:21">
      <c r="A3028" s="8" t="s">
        <v>10349</v>
      </c>
      <c r="B3028" s="8" t="s">
        <v>12706</v>
      </c>
      <c r="C3028" s="8">
        <v>122402</v>
      </c>
      <c r="D3028" s="8" t="s">
        <v>118</v>
      </c>
      <c r="E3028" s="8">
        <v>104457505</v>
      </c>
      <c r="F3028" s="8">
        <v>104457505</v>
      </c>
      <c r="G3028" s="8" t="s">
        <v>46</v>
      </c>
      <c r="H3028" s="8" t="s">
        <v>41</v>
      </c>
      <c r="I3028" s="8" t="s">
        <v>23</v>
      </c>
      <c r="J3028" s="8" t="s">
        <v>12707</v>
      </c>
      <c r="K3028" s="8" t="s">
        <v>12709</v>
      </c>
      <c r="L3028" s="8" t="s">
        <v>19</v>
      </c>
      <c r="M3028" s="8">
        <v>1154</v>
      </c>
      <c r="N3028" s="8" t="s">
        <v>389</v>
      </c>
      <c r="O3028" s="8">
        <v>375</v>
      </c>
      <c r="P3028" s="8" t="s">
        <v>12708</v>
      </c>
      <c r="Q3028" s="8" t="s">
        <v>4262</v>
      </c>
      <c r="R3028" s="8">
        <v>0.11700000000000001</v>
      </c>
      <c r="S3028" s="8">
        <v>104457505</v>
      </c>
      <c r="T3028" s="8" t="s">
        <v>46</v>
      </c>
      <c r="U3028" s="8" t="s">
        <v>41</v>
      </c>
    </row>
    <row r="3029" spans="1:21">
      <c r="A3029" s="8" t="s">
        <v>10349</v>
      </c>
      <c r="B3029" s="8" t="s">
        <v>12706</v>
      </c>
      <c r="C3029" s="8">
        <v>122402</v>
      </c>
      <c r="D3029" s="8" t="s">
        <v>118</v>
      </c>
      <c r="E3029" s="8">
        <v>104492444</v>
      </c>
      <c r="F3029" s="8">
        <v>104492444</v>
      </c>
      <c r="G3029" s="8" t="s">
        <v>46</v>
      </c>
      <c r="H3029" s="8" t="s">
        <v>41</v>
      </c>
      <c r="I3029" s="8" t="s">
        <v>23</v>
      </c>
      <c r="J3029" s="8" t="s">
        <v>12707</v>
      </c>
      <c r="K3029" s="8" t="s">
        <v>12709</v>
      </c>
      <c r="L3029" s="8" t="s">
        <v>19</v>
      </c>
      <c r="M3029" s="8">
        <v>3022</v>
      </c>
      <c r="N3029" s="8" t="s">
        <v>2400</v>
      </c>
      <c r="O3029" s="8">
        <v>998</v>
      </c>
      <c r="P3029" s="8" t="s">
        <v>12710</v>
      </c>
      <c r="Q3029" s="8" t="s">
        <v>4262</v>
      </c>
      <c r="R3029" s="8">
        <v>0.19500000000000001</v>
      </c>
      <c r="S3029" s="8">
        <v>104492444</v>
      </c>
      <c r="T3029" s="8" t="s">
        <v>46</v>
      </c>
      <c r="U3029" s="8" t="s">
        <v>41</v>
      </c>
    </row>
    <row r="3030" spans="1:21">
      <c r="A3030" s="8" t="s">
        <v>10349</v>
      </c>
      <c r="B3030" s="8" t="s">
        <v>691</v>
      </c>
      <c r="C3030" s="8">
        <v>113146</v>
      </c>
      <c r="D3030" s="8" t="s">
        <v>118</v>
      </c>
      <c r="E3030" s="8">
        <v>105413659</v>
      </c>
      <c r="F3030" s="8">
        <v>105413659</v>
      </c>
      <c r="G3030" s="8" t="s">
        <v>46</v>
      </c>
      <c r="H3030" s="8" t="s">
        <v>41</v>
      </c>
      <c r="I3030" s="8" t="s">
        <v>23</v>
      </c>
      <c r="J3030" s="8" t="s">
        <v>692</v>
      </c>
      <c r="K3030" s="8" t="s">
        <v>8253</v>
      </c>
      <c r="L3030" s="8" t="s">
        <v>19</v>
      </c>
      <c r="M3030" s="8">
        <v>8249</v>
      </c>
      <c r="N3030" s="8" t="s">
        <v>205</v>
      </c>
      <c r="O3030" s="8">
        <v>2710</v>
      </c>
      <c r="P3030" s="8" t="s">
        <v>12711</v>
      </c>
      <c r="Q3030" s="8" t="s">
        <v>4262</v>
      </c>
      <c r="R3030" s="8">
        <v>0.158</v>
      </c>
      <c r="S3030" s="8">
        <v>105413659</v>
      </c>
      <c r="T3030" s="8" t="s">
        <v>46</v>
      </c>
      <c r="U3030" s="8" t="s">
        <v>41</v>
      </c>
    </row>
    <row r="3031" spans="1:21">
      <c r="A3031" s="8" t="s">
        <v>10349</v>
      </c>
      <c r="B3031" s="8" t="s">
        <v>12712</v>
      </c>
      <c r="C3031" s="8">
        <v>100653084</v>
      </c>
      <c r="D3031" s="8" t="s">
        <v>118</v>
      </c>
      <c r="E3031" s="8">
        <v>106926457</v>
      </c>
      <c r="F3031" s="8">
        <v>106926457</v>
      </c>
      <c r="G3031" s="8" t="s">
        <v>46</v>
      </c>
      <c r="H3031" s="8" t="s">
        <v>41</v>
      </c>
      <c r="I3031" s="8" t="s">
        <v>23</v>
      </c>
      <c r="J3031" s="8" t="s">
        <v>12713</v>
      </c>
      <c r="K3031" s="8" t="s">
        <v>12715</v>
      </c>
      <c r="L3031" s="8" t="s">
        <v>19</v>
      </c>
      <c r="M3031" s="8">
        <v>85</v>
      </c>
      <c r="N3031" s="8" t="s">
        <v>21</v>
      </c>
      <c r="O3031" s="8">
        <v>29</v>
      </c>
      <c r="P3031" s="8" t="s">
        <v>12714</v>
      </c>
      <c r="Q3031" s="8" t="s">
        <v>4262</v>
      </c>
      <c r="R3031" s="8">
        <v>0.188</v>
      </c>
      <c r="S3031" s="8">
        <v>106926457</v>
      </c>
      <c r="T3031" s="8" t="s">
        <v>46</v>
      </c>
      <c r="U3031" s="8" t="s">
        <v>41</v>
      </c>
    </row>
    <row r="3032" spans="1:21">
      <c r="A3032" s="8" t="s">
        <v>10349</v>
      </c>
      <c r="B3032" s="8" t="s">
        <v>4873</v>
      </c>
      <c r="C3032" s="8">
        <v>390431</v>
      </c>
      <c r="D3032" s="8" t="s">
        <v>118</v>
      </c>
      <c r="E3032" s="8">
        <v>20344446</v>
      </c>
      <c r="F3032" s="8">
        <v>20344446</v>
      </c>
      <c r="G3032" s="8" t="s">
        <v>46</v>
      </c>
      <c r="H3032" s="8" t="s">
        <v>41</v>
      </c>
      <c r="I3032" s="8" t="s">
        <v>23</v>
      </c>
      <c r="J3032" s="8" t="s">
        <v>4874</v>
      </c>
      <c r="K3032" s="8" t="s">
        <v>4876</v>
      </c>
      <c r="L3032" s="8" t="s">
        <v>19</v>
      </c>
      <c r="M3032" s="8">
        <v>20</v>
      </c>
      <c r="N3032" s="8" t="s">
        <v>117</v>
      </c>
      <c r="O3032" s="8">
        <v>7</v>
      </c>
      <c r="P3032" s="8" t="s">
        <v>12716</v>
      </c>
      <c r="Q3032" s="8" t="s">
        <v>4262</v>
      </c>
      <c r="R3032" s="8">
        <v>8.2000000000000003E-2</v>
      </c>
      <c r="S3032" s="8">
        <v>20344446</v>
      </c>
      <c r="T3032" s="8" t="s">
        <v>46</v>
      </c>
      <c r="U3032" s="8" t="s">
        <v>41</v>
      </c>
    </row>
    <row r="3033" spans="1:21">
      <c r="A3033" s="8" t="s">
        <v>10349</v>
      </c>
      <c r="B3033" s="8" t="s">
        <v>12717</v>
      </c>
      <c r="C3033" s="8">
        <v>79317</v>
      </c>
      <c r="D3033" s="8" t="s">
        <v>118</v>
      </c>
      <c r="E3033" s="8">
        <v>20389094</v>
      </c>
      <c r="F3033" s="8">
        <v>20389094</v>
      </c>
      <c r="G3033" s="8" t="s">
        <v>24</v>
      </c>
      <c r="H3033" s="8" t="s">
        <v>25</v>
      </c>
      <c r="I3033" s="8" t="s">
        <v>23</v>
      </c>
      <c r="J3033" s="8" t="s">
        <v>12718</v>
      </c>
      <c r="K3033" s="8" t="s">
        <v>12720</v>
      </c>
      <c r="L3033" s="8" t="s">
        <v>19</v>
      </c>
      <c r="M3033" s="8">
        <v>329</v>
      </c>
      <c r="N3033" s="8" t="s">
        <v>1399</v>
      </c>
      <c r="O3033" s="8">
        <v>110</v>
      </c>
      <c r="P3033" s="8" t="s">
        <v>12719</v>
      </c>
      <c r="Q3033" s="8" t="s">
        <v>4262</v>
      </c>
      <c r="R3033" s="8">
        <v>8.2000000000000003E-2</v>
      </c>
      <c r="S3033" s="8">
        <v>20389094</v>
      </c>
      <c r="T3033" s="8" t="s">
        <v>24</v>
      </c>
      <c r="U3033" s="8" t="s">
        <v>25</v>
      </c>
    </row>
    <row r="3034" spans="1:21">
      <c r="A3034" s="8" t="s">
        <v>10349</v>
      </c>
      <c r="B3034" s="8" t="s">
        <v>12721</v>
      </c>
      <c r="C3034" s="8">
        <v>122651</v>
      </c>
      <c r="D3034" s="8" t="s">
        <v>118</v>
      </c>
      <c r="E3034" s="8">
        <v>21052377</v>
      </c>
      <c r="F3034" s="8">
        <v>21052377</v>
      </c>
      <c r="G3034" s="8" t="s">
        <v>24</v>
      </c>
      <c r="H3034" s="8" t="s">
        <v>25</v>
      </c>
      <c r="I3034" s="8" t="s">
        <v>23</v>
      </c>
      <c r="J3034" s="8" t="s">
        <v>12722</v>
      </c>
      <c r="K3034" s="8" t="s">
        <v>12724</v>
      </c>
      <c r="L3034" s="8" t="s">
        <v>19</v>
      </c>
      <c r="M3034" s="8">
        <v>441</v>
      </c>
      <c r="N3034" s="8" t="s">
        <v>333</v>
      </c>
      <c r="O3034" s="8">
        <v>86</v>
      </c>
      <c r="P3034" s="8" t="s">
        <v>12723</v>
      </c>
      <c r="Q3034" s="8" t="s">
        <v>4262</v>
      </c>
      <c r="R3034" s="8">
        <v>0.2</v>
      </c>
      <c r="S3034" s="8">
        <v>21052377</v>
      </c>
      <c r="T3034" s="8" t="s">
        <v>24</v>
      </c>
      <c r="U3034" s="8" t="s">
        <v>25</v>
      </c>
    </row>
    <row r="3035" spans="1:21">
      <c r="A3035" s="8" t="s">
        <v>10349</v>
      </c>
      <c r="B3035" s="8" t="s">
        <v>6989</v>
      </c>
      <c r="C3035" s="8">
        <v>10278</v>
      </c>
      <c r="D3035" s="8" t="s">
        <v>118</v>
      </c>
      <c r="E3035" s="8">
        <v>23828587</v>
      </c>
      <c r="F3035" s="8">
        <v>23828587</v>
      </c>
      <c r="G3035" s="8" t="s">
        <v>46</v>
      </c>
      <c r="H3035" s="8" t="s">
        <v>41</v>
      </c>
      <c r="I3035" s="8" t="s">
        <v>23</v>
      </c>
      <c r="J3035" s="8" t="s">
        <v>6990</v>
      </c>
      <c r="K3035" s="8" t="s">
        <v>6992</v>
      </c>
      <c r="L3035" s="8" t="s">
        <v>19</v>
      </c>
      <c r="M3035" s="8">
        <v>1708</v>
      </c>
      <c r="N3035" s="8" t="s">
        <v>494</v>
      </c>
      <c r="O3035" s="8">
        <v>367</v>
      </c>
      <c r="P3035" s="8" t="s">
        <v>12725</v>
      </c>
      <c r="Q3035" s="8" t="s">
        <v>4262</v>
      </c>
      <c r="R3035" s="8">
        <v>0.22900000000000001</v>
      </c>
      <c r="S3035" s="8">
        <v>23828587</v>
      </c>
      <c r="T3035" s="8" t="s">
        <v>46</v>
      </c>
      <c r="U3035" s="8" t="s">
        <v>41</v>
      </c>
    </row>
    <row r="3036" spans="1:21">
      <c r="A3036" s="8" t="s">
        <v>10349</v>
      </c>
      <c r="B3036" s="8" t="s">
        <v>4199</v>
      </c>
      <c r="C3036" s="8">
        <v>9362</v>
      </c>
      <c r="D3036" s="8" t="s">
        <v>118</v>
      </c>
      <c r="E3036" s="8">
        <v>24542843</v>
      </c>
      <c r="F3036" s="8">
        <v>24542843</v>
      </c>
      <c r="G3036" s="8" t="s">
        <v>46</v>
      </c>
      <c r="H3036" s="8" t="s">
        <v>41</v>
      </c>
      <c r="I3036" s="8" t="s">
        <v>23</v>
      </c>
      <c r="J3036" s="8" t="s">
        <v>12726</v>
      </c>
      <c r="K3036" s="8" t="s">
        <v>12728</v>
      </c>
      <c r="L3036" s="8" t="s">
        <v>76</v>
      </c>
      <c r="M3036" s="8">
        <v>403</v>
      </c>
      <c r="N3036" s="8" t="s">
        <v>103</v>
      </c>
      <c r="O3036" s="8">
        <v>102</v>
      </c>
      <c r="P3036" s="8" t="s">
        <v>12727</v>
      </c>
      <c r="Q3036" s="8" t="s">
        <v>4262</v>
      </c>
      <c r="R3036" s="8">
        <v>0.23499999999999999</v>
      </c>
      <c r="S3036" s="8">
        <v>24542843</v>
      </c>
      <c r="T3036" s="8" t="s">
        <v>46</v>
      </c>
      <c r="U3036" s="8" t="s">
        <v>41</v>
      </c>
    </row>
    <row r="3037" spans="1:21">
      <c r="A3037" s="8" t="s">
        <v>10349</v>
      </c>
      <c r="B3037" s="8" t="s">
        <v>2505</v>
      </c>
      <c r="C3037" s="8">
        <v>57523</v>
      </c>
      <c r="D3037" s="8" t="s">
        <v>118</v>
      </c>
      <c r="E3037" s="8">
        <v>24885001</v>
      </c>
      <c r="F3037" s="8">
        <v>24885001</v>
      </c>
      <c r="G3037" s="8" t="s">
        <v>46</v>
      </c>
      <c r="H3037" s="8" t="s">
        <v>41</v>
      </c>
      <c r="I3037" s="8" t="s">
        <v>23</v>
      </c>
      <c r="J3037" s="8" t="s">
        <v>2506</v>
      </c>
      <c r="K3037" s="8" t="s">
        <v>12730</v>
      </c>
      <c r="L3037" s="8" t="s">
        <v>19</v>
      </c>
      <c r="M3037" s="8">
        <v>4364</v>
      </c>
      <c r="N3037" s="8" t="s">
        <v>741</v>
      </c>
      <c r="O3037" s="8">
        <v>1349</v>
      </c>
      <c r="P3037" s="8" t="s">
        <v>12729</v>
      </c>
      <c r="Q3037" s="8" t="s">
        <v>4262</v>
      </c>
      <c r="R3037" s="8">
        <v>0.185</v>
      </c>
      <c r="S3037" s="8">
        <v>24885001</v>
      </c>
      <c r="T3037" s="8" t="s">
        <v>46</v>
      </c>
      <c r="U3037" s="8" t="s">
        <v>41</v>
      </c>
    </row>
    <row r="3038" spans="1:21">
      <c r="A3038" s="8" t="s">
        <v>10349</v>
      </c>
      <c r="B3038" s="8" t="s">
        <v>1920</v>
      </c>
      <c r="C3038" s="8">
        <v>394</v>
      </c>
      <c r="D3038" s="8" t="s">
        <v>118</v>
      </c>
      <c r="E3038" s="8">
        <v>32561033</v>
      </c>
      <c r="F3038" s="8">
        <v>32561033</v>
      </c>
      <c r="G3038" s="8" t="s">
        <v>24</v>
      </c>
      <c r="H3038" s="8" t="s">
        <v>25</v>
      </c>
      <c r="I3038" s="8" t="s">
        <v>23</v>
      </c>
      <c r="J3038" s="8" t="s">
        <v>12731</v>
      </c>
      <c r="K3038" s="8" t="s">
        <v>12733</v>
      </c>
      <c r="L3038" s="8" t="s">
        <v>76</v>
      </c>
      <c r="M3038" s="8">
        <v>1473</v>
      </c>
      <c r="N3038" s="8" t="s">
        <v>716</v>
      </c>
      <c r="O3038" s="8">
        <v>386</v>
      </c>
      <c r="P3038" s="8" t="s">
        <v>12732</v>
      </c>
      <c r="Q3038" s="8" t="s">
        <v>4262</v>
      </c>
      <c r="R3038" s="8">
        <v>0.21099999999999999</v>
      </c>
      <c r="S3038" s="8">
        <v>32561033</v>
      </c>
      <c r="T3038" s="8" t="s">
        <v>24</v>
      </c>
      <c r="U3038" s="8" t="s">
        <v>25</v>
      </c>
    </row>
    <row r="3039" spans="1:21">
      <c r="A3039" s="8" t="s">
        <v>10349</v>
      </c>
      <c r="B3039" s="8" t="s">
        <v>3731</v>
      </c>
      <c r="C3039" s="8">
        <v>4253</v>
      </c>
      <c r="D3039" s="8" t="s">
        <v>118</v>
      </c>
      <c r="E3039" s="8">
        <v>39818062</v>
      </c>
      <c r="F3039" s="8">
        <v>39818062</v>
      </c>
      <c r="G3039" s="8" t="s">
        <v>24</v>
      </c>
      <c r="H3039" s="8" t="s">
        <v>25</v>
      </c>
      <c r="I3039" s="8" t="s">
        <v>23</v>
      </c>
      <c r="J3039" s="8" t="s">
        <v>5092</v>
      </c>
      <c r="K3039" s="8" t="s">
        <v>5094</v>
      </c>
      <c r="L3039" s="8" t="s">
        <v>19</v>
      </c>
      <c r="M3039" s="8">
        <v>2465</v>
      </c>
      <c r="N3039" s="8" t="s">
        <v>205</v>
      </c>
      <c r="O3039" s="8">
        <v>710</v>
      </c>
      <c r="P3039" s="8" t="s">
        <v>12734</v>
      </c>
      <c r="Q3039" s="8" t="s">
        <v>4262</v>
      </c>
      <c r="R3039" s="8">
        <v>0.246</v>
      </c>
      <c r="S3039" s="8">
        <v>39818062</v>
      </c>
      <c r="T3039" s="8" t="s">
        <v>24</v>
      </c>
      <c r="U3039" s="8" t="s">
        <v>25</v>
      </c>
    </row>
    <row r="3040" spans="1:21">
      <c r="A3040" s="8" t="s">
        <v>10349</v>
      </c>
      <c r="B3040" s="8" t="s">
        <v>3245</v>
      </c>
      <c r="C3040" s="8">
        <v>161357</v>
      </c>
      <c r="D3040" s="8" t="s">
        <v>118</v>
      </c>
      <c r="E3040" s="8">
        <v>47351407</v>
      </c>
      <c r="F3040" s="8">
        <v>47351407</v>
      </c>
      <c r="G3040" s="8" t="s">
        <v>46</v>
      </c>
      <c r="H3040" s="8" t="s">
        <v>41</v>
      </c>
      <c r="I3040" s="8" t="s">
        <v>23</v>
      </c>
      <c r="J3040" s="8" t="s">
        <v>12735</v>
      </c>
      <c r="K3040" s="8" t="s">
        <v>12737</v>
      </c>
      <c r="L3040" s="8" t="s">
        <v>76</v>
      </c>
      <c r="M3040" s="8">
        <v>2414</v>
      </c>
      <c r="N3040" s="8" t="s">
        <v>716</v>
      </c>
      <c r="O3040" s="8">
        <v>752</v>
      </c>
      <c r="P3040" s="8" t="s">
        <v>12736</v>
      </c>
      <c r="Q3040" s="8" t="s">
        <v>4262</v>
      </c>
      <c r="R3040" s="8">
        <v>0.188</v>
      </c>
      <c r="S3040" s="8">
        <v>47351407</v>
      </c>
      <c r="T3040" s="8" t="s">
        <v>46</v>
      </c>
      <c r="U3040" s="8" t="s">
        <v>41</v>
      </c>
    </row>
    <row r="3041" spans="1:21">
      <c r="A3041" s="8" t="s">
        <v>10349</v>
      </c>
      <c r="B3041" s="8" t="s">
        <v>2516</v>
      </c>
      <c r="C3041" s="8">
        <v>54822</v>
      </c>
      <c r="D3041" s="8" t="s">
        <v>120</v>
      </c>
      <c r="E3041" s="8">
        <v>50926711</v>
      </c>
      <c r="F3041" s="8">
        <v>50926711</v>
      </c>
      <c r="G3041" s="8" t="s">
        <v>46</v>
      </c>
      <c r="H3041" s="8" t="s">
        <v>41</v>
      </c>
      <c r="I3041" s="8" t="s">
        <v>23</v>
      </c>
      <c r="J3041" s="8" t="s">
        <v>2517</v>
      </c>
      <c r="K3041" s="8" t="s">
        <v>12739</v>
      </c>
      <c r="L3041" s="8" t="s">
        <v>19</v>
      </c>
      <c r="M3041" s="8">
        <v>1157</v>
      </c>
      <c r="N3041" s="8" t="s">
        <v>796</v>
      </c>
      <c r="O3041" s="8">
        <v>292</v>
      </c>
      <c r="P3041" s="8" t="s">
        <v>12738</v>
      </c>
      <c r="Q3041" s="8" t="s">
        <v>4262</v>
      </c>
      <c r="R3041" s="8">
        <v>0.38100000000000001</v>
      </c>
      <c r="S3041" s="8">
        <v>50926711</v>
      </c>
      <c r="T3041" s="8" t="s">
        <v>46</v>
      </c>
      <c r="U3041" s="8" t="s">
        <v>41</v>
      </c>
    </row>
    <row r="3042" spans="1:21">
      <c r="A3042" s="8" t="s">
        <v>10349</v>
      </c>
      <c r="B3042" s="8" t="s">
        <v>2518</v>
      </c>
      <c r="C3042" s="8">
        <v>84888</v>
      </c>
      <c r="D3042" s="8" t="s">
        <v>120</v>
      </c>
      <c r="E3042" s="8">
        <v>51041885</v>
      </c>
      <c r="F3042" s="8">
        <v>51041885</v>
      </c>
      <c r="G3042" s="8" t="s">
        <v>46</v>
      </c>
      <c r="H3042" s="8" t="s">
        <v>41</v>
      </c>
      <c r="I3042" s="8" t="s">
        <v>23</v>
      </c>
      <c r="J3042" s="8" t="s">
        <v>2519</v>
      </c>
      <c r="K3042" s="8" t="s">
        <v>12741</v>
      </c>
      <c r="L3042" s="8" t="s">
        <v>19</v>
      </c>
      <c r="M3042" s="8">
        <v>305</v>
      </c>
      <c r="N3042" s="8" t="s">
        <v>732</v>
      </c>
      <c r="O3042" s="8">
        <v>42</v>
      </c>
      <c r="P3042" s="8" t="s">
        <v>12740</v>
      </c>
      <c r="Q3042" s="8" t="s">
        <v>4262</v>
      </c>
      <c r="R3042" s="8">
        <v>0.186</v>
      </c>
      <c r="S3042" s="8">
        <v>51041885</v>
      </c>
      <c r="T3042" s="8" t="s">
        <v>46</v>
      </c>
      <c r="U3042" s="8" t="s">
        <v>41</v>
      </c>
    </row>
    <row r="3043" spans="1:21">
      <c r="A3043" s="8" t="s">
        <v>10349</v>
      </c>
      <c r="B3043" s="8" t="s">
        <v>2520</v>
      </c>
      <c r="C3043" s="8">
        <v>23431</v>
      </c>
      <c r="D3043" s="8" t="s">
        <v>120</v>
      </c>
      <c r="E3043" s="8">
        <v>51285799</v>
      </c>
      <c r="F3043" s="8">
        <v>51285799</v>
      </c>
      <c r="G3043" s="8" t="s">
        <v>24</v>
      </c>
      <c r="H3043" s="8" t="s">
        <v>25</v>
      </c>
      <c r="I3043" s="8" t="s">
        <v>23</v>
      </c>
      <c r="J3043" s="8" t="s">
        <v>12742</v>
      </c>
      <c r="K3043" s="8" t="s">
        <v>12744</v>
      </c>
      <c r="L3043" s="8" t="s">
        <v>19</v>
      </c>
      <c r="M3043" s="8">
        <v>2353</v>
      </c>
      <c r="N3043" s="8" t="s">
        <v>1364</v>
      </c>
      <c r="O3043" s="8">
        <v>775</v>
      </c>
      <c r="P3043" s="8" t="s">
        <v>12743</v>
      </c>
      <c r="Q3043" s="8" t="s">
        <v>4262</v>
      </c>
      <c r="R3043" s="8">
        <v>0.29699999999999999</v>
      </c>
      <c r="S3043" s="8">
        <v>51285799</v>
      </c>
      <c r="T3043" s="8" t="s">
        <v>24</v>
      </c>
      <c r="U3043" s="8" t="s">
        <v>25</v>
      </c>
    </row>
    <row r="3044" spans="1:21">
      <c r="A3044" s="8" t="s">
        <v>10349</v>
      </c>
      <c r="B3044" s="8" t="s">
        <v>12745</v>
      </c>
      <c r="C3044" s="8">
        <v>55930</v>
      </c>
      <c r="D3044" s="8" t="s">
        <v>120</v>
      </c>
      <c r="E3044" s="8">
        <v>52521343</v>
      </c>
      <c r="F3044" s="8">
        <v>52521343</v>
      </c>
      <c r="G3044" s="8" t="s">
        <v>46</v>
      </c>
      <c r="H3044" s="8" t="s">
        <v>41</v>
      </c>
      <c r="I3044" s="8" t="s">
        <v>23</v>
      </c>
      <c r="J3044" s="8" t="s">
        <v>12746</v>
      </c>
      <c r="K3044" s="8" t="s">
        <v>12748</v>
      </c>
      <c r="L3044" s="8" t="s">
        <v>19</v>
      </c>
      <c r="M3044" s="8">
        <v>3356</v>
      </c>
      <c r="N3044" s="8" t="s">
        <v>708</v>
      </c>
      <c r="O3044" s="8">
        <v>1065</v>
      </c>
      <c r="P3044" s="8" t="s">
        <v>12747</v>
      </c>
      <c r="Q3044" s="8" t="s">
        <v>4262</v>
      </c>
      <c r="R3044" s="8">
        <v>0.2</v>
      </c>
      <c r="S3044" s="8">
        <v>52521343</v>
      </c>
      <c r="T3044" s="8" t="s">
        <v>46</v>
      </c>
      <c r="U3044" s="8" t="s">
        <v>41</v>
      </c>
    </row>
    <row r="3045" spans="1:21">
      <c r="A3045" s="8" t="s">
        <v>10349</v>
      </c>
      <c r="B3045" s="8" t="s">
        <v>2020</v>
      </c>
      <c r="C3045" s="8">
        <v>440279</v>
      </c>
      <c r="D3045" s="8" t="s">
        <v>120</v>
      </c>
      <c r="E3045" s="8">
        <v>54305585</v>
      </c>
      <c r="F3045" s="8">
        <v>54305585</v>
      </c>
      <c r="G3045" s="8" t="s">
        <v>46</v>
      </c>
      <c r="H3045" s="8" t="s">
        <v>41</v>
      </c>
      <c r="I3045" s="8" t="s">
        <v>23</v>
      </c>
      <c r="J3045" s="8" t="s">
        <v>3254</v>
      </c>
      <c r="K3045" s="8" t="s">
        <v>6189</v>
      </c>
      <c r="L3045" s="8" t="s">
        <v>19</v>
      </c>
      <c r="M3045" s="8">
        <v>485</v>
      </c>
      <c r="N3045" s="8" t="s">
        <v>333</v>
      </c>
      <c r="O3045" s="8">
        <v>162</v>
      </c>
      <c r="P3045" s="8" t="s">
        <v>12749</v>
      </c>
      <c r="Q3045" s="8" t="s">
        <v>4262</v>
      </c>
      <c r="R3045" s="8">
        <v>0.21299999999999999</v>
      </c>
      <c r="S3045" s="8">
        <v>54305585</v>
      </c>
      <c r="T3045" s="8" t="s">
        <v>46</v>
      </c>
      <c r="U3045" s="8" t="s">
        <v>41</v>
      </c>
    </row>
    <row r="3046" spans="1:21">
      <c r="A3046" s="8" t="s">
        <v>10349</v>
      </c>
      <c r="B3046" s="8" t="s">
        <v>2020</v>
      </c>
      <c r="C3046" s="8">
        <v>440279</v>
      </c>
      <c r="D3046" s="8" t="s">
        <v>120</v>
      </c>
      <c r="E3046" s="8">
        <v>54305761</v>
      </c>
      <c r="F3046" s="8">
        <v>54305761</v>
      </c>
      <c r="G3046" s="8" t="s">
        <v>46</v>
      </c>
      <c r="H3046" s="8" t="s">
        <v>41</v>
      </c>
      <c r="I3046" s="8" t="s">
        <v>23</v>
      </c>
      <c r="J3046" s="8" t="s">
        <v>3254</v>
      </c>
      <c r="K3046" s="8" t="s">
        <v>6189</v>
      </c>
      <c r="L3046" s="8" t="s">
        <v>19</v>
      </c>
      <c r="M3046" s="8">
        <v>661</v>
      </c>
      <c r="N3046" s="8" t="s">
        <v>423</v>
      </c>
      <c r="O3046" s="8">
        <v>221</v>
      </c>
      <c r="P3046" s="8" t="s">
        <v>11364</v>
      </c>
      <c r="Q3046" s="8" t="s">
        <v>4262</v>
      </c>
      <c r="R3046" s="8">
        <v>8.6999999999999994E-2</v>
      </c>
      <c r="S3046" s="8">
        <v>54305761</v>
      </c>
      <c r="T3046" s="8" t="s">
        <v>46</v>
      </c>
      <c r="U3046" s="8" t="s">
        <v>41</v>
      </c>
    </row>
    <row r="3047" spans="1:21">
      <c r="A3047" s="8" t="s">
        <v>10349</v>
      </c>
      <c r="B3047" s="8" t="s">
        <v>12750</v>
      </c>
      <c r="C3047" s="8">
        <v>9236</v>
      </c>
      <c r="D3047" s="8" t="s">
        <v>120</v>
      </c>
      <c r="E3047" s="8">
        <v>55664155</v>
      </c>
      <c r="F3047" s="8">
        <v>55664155</v>
      </c>
      <c r="G3047" s="8" t="s">
        <v>46</v>
      </c>
      <c r="H3047" s="8" t="s">
        <v>41</v>
      </c>
      <c r="I3047" s="8" t="s">
        <v>23</v>
      </c>
      <c r="J3047" s="8" t="s">
        <v>12751</v>
      </c>
      <c r="K3047" s="8" t="s">
        <v>12752</v>
      </c>
      <c r="L3047" s="8" t="s">
        <v>19</v>
      </c>
      <c r="M3047" s="8">
        <v>841</v>
      </c>
      <c r="N3047" s="8" t="s">
        <v>2483</v>
      </c>
      <c r="O3047" s="8">
        <v>181</v>
      </c>
      <c r="P3047" s="8" t="s">
        <v>9607</v>
      </c>
      <c r="Q3047" s="8" t="s">
        <v>4262</v>
      </c>
      <c r="R3047" s="8">
        <v>0.308</v>
      </c>
      <c r="S3047" s="8">
        <v>55664155</v>
      </c>
      <c r="T3047" s="8" t="s">
        <v>46</v>
      </c>
      <c r="U3047" s="8" t="s">
        <v>41</v>
      </c>
    </row>
    <row r="3048" spans="1:21">
      <c r="A3048" s="8" t="s">
        <v>10349</v>
      </c>
      <c r="B3048" s="8" t="s">
        <v>2521</v>
      </c>
      <c r="C3048" s="8">
        <v>4734</v>
      </c>
      <c r="D3048" s="8" t="s">
        <v>120</v>
      </c>
      <c r="E3048" s="8">
        <v>56207945</v>
      </c>
      <c r="F3048" s="8">
        <v>56207945</v>
      </c>
      <c r="G3048" s="8" t="s">
        <v>46</v>
      </c>
      <c r="H3048" s="8" t="s">
        <v>41</v>
      </c>
      <c r="I3048" s="8" t="s">
        <v>23</v>
      </c>
      <c r="J3048" s="8" t="s">
        <v>2522</v>
      </c>
      <c r="K3048" s="8" t="s">
        <v>12754</v>
      </c>
      <c r="L3048" s="8" t="s">
        <v>19</v>
      </c>
      <c r="M3048" s="8">
        <v>1385</v>
      </c>
      <c r="N3048" s="8" t="s">
        <v>736</v>
      </c>
      <c r="O3048" s="8">
        <v>362</v>
      </c>
      <c r="P3048" s="8" t="s">
        <v>12753</v>
      </c>
      <c r="Q3048" s="8" t="s">
        <v>4262</v>
      </c>
      <c r="R3048" s="8">
        <v>0.28599999999999998</v>
      </c>
      <c r="S3048" s="8">
        <v>56207945</v>
      </c>
      <c r="T3048" s="8" t="s">
        <v>46</v>
      </c>
      <c r="U3048" s="8" t="s">
        <v>41</v>
      </c>
    </row>
    <row r="3049" spans="1:21">
      <c r="A3049" s="8" t="s">
        <v>10349</v>
      </c>
      <c r="B3049" s="8" t="s">
        <v>12755</v>
      </c>
      <c r="C3049" s="8">
        <v>9245</v>
      </c>
      <c r="D3049" s="8" t="s">
        <v>120</v>
      </c>
      <c r="E3049" s="8">
        <v>59911093</v>
      </c>
      <c r="F3049" s="8">
        <v>59911093</v>
      </c>
      <c r="G3049" s="8" t="s">
        <v>46</v>
      </c>
      <c r="H3049" s="8" t="s">
        <v>41</v>
      </c>
      <c r="I3049" s="8" t="s">
        <v>23</v>
      </c>
      <c r="J3049" s="8" t="s">
        <v>12756</v>
      </c>
      <c r="K3049" s="8" t="s">
        <v>12758</v>
      </c>
      <c r="L3049" s="8" t="s">
        <v>19</v>
      </c>
      <c r="M3049" s="8">
        <v>1105</v>
      </c>
      <c r="N3049" s="8" t="s">
        <v>365</v>
      </c>
      <c r="O3049" s="8">
        <v>219</v>
      </c>
      <c r="P3049" s="8" t="s">
        <v>12757</v>
      </c>
      <c r="Q3049" s="8" t="s">
        <v>4262</v>
      </c>
      <c r="R3049" s="8">
        <v>0.186</v>
      </c>
      <c r="S3049" s="8">
        <v>59911093</v>
      </c>
      <c r="T3049" s="8" t="s">
        <v>46</v>
      </c>
      <c r="U3049" s="8" t="s">
        <v>41</v>
      </c>
    </row>
    <row r="3050" spans="1:21">
      <c r="A3050" s="8" t="s">
        <v>10349</v>
      </c>
      <c r="B3050" s="8" t="s">
        <v>2936</v>
      </c>
      <c r="C3050" s="8">
        <v>8925</v>
      </c>
      <c r="D3050" s="8" t="s">
        <v>120</v>
      </c>
      <c r="E3050" s="8">
        <v>64066930</v>
      </c>
      <c r="F3050" s="8">
        <v>64066930</v>
      </c>
      <c r="G3050" s="8" t="s">
        <v>46</v>
      </c>
      <c r="H3050" s="8" t="s">
        <v>41</v>
      </c>
      <c r="I3050" s="8" t="s">
        <v>23</v>
      </c>
      <c r="J3050" s="8" t="s">
        <v>2937</v>
      </c>
      <c r="K3050" s="8" t="s">
        <v>6503</v>
      </c>
      <c r="L3050" s="8" t="s">
        <v>19</v>
      </c>
      <c r="M3050" s="8">
        <v>1041</v>
      </c>
      <c r="N3050" s="8" t="s">
        <v>732</v>
      </c>
      <c r="O3050" s="8">
        <v>298</v>
      </c>
      <c r="P3050" s="8" t="s">
        <v>12759</v>
      </c>
      <c r="Q3050" s="8" t="s">
        <v>4262</v>
      </c>
      <c r="R3050" s="8">
        <v>0.156</v>
      </c>
      <c r="S3050" s="8">
        <v>64066930</v>
      </c>
      <c r="T3050" s="8" t="s">
        <v>46</v>
      </c>
      <c r="U3050" s="8" t="s">
        <v>41</v>
      </c>
    </row>
    <row r="3051" spans="1:21">
      <c r="A3051" s="8" t="s">
        <v>10349</v>
      </c>
      <c r="B3051" s="8" t="s">
        <v>12760</v>
      </c>
      <c r="C3051" s="8">
        <v>26035</v>
      </c>
      <c r="D3051" s="8" t="s">
        <v>120</v>
      </c>
      <c r="E3051" s="8">
        <v>69561329</v>
      </c>
      <c r="F3051" s="8">
        <v>69561329</v>
      </c>
      <c r="G3051" s="8" t="s">
        <v>24</v>
      </c>
      <c r="H3051" s="8" t="s">
        <v>25</v>
      </c>
      <c r="I3051" s="8" t="s">
        <v>23</v>
      </c>
      <c r="J3051" s="8" t="s">
        <v>12761</v>
      </c>
      <c r="K3051" s="8" t="s">
        <v>12763</v>
      </c>
      <c r="L3051" s="8" t="s">
        <v>19</v>
      </c>
      <c r="M3051" s="8">
        <v>1828</v>
      </c>
      <c r="N3051" s="8" t="s">
        <v>1070</v>
      </c>
      <c r="O3051" s="8">
        <v>534</v>
      </c>
      <c r="P3051" s="8" t="s">
        <v>12762</v>
      </c>
      <c r="Q3051" s="8" t="s">
        <v>4262</v>
      </c>
      <c r="R3051" s="8">
        <v>0.113</v>
      </c>
      <c r="S3051" s="8">
        <v>69561329</v>
      </c>
      <c r="T3051" s="8" t="s">
        <v>24</v>
      </c>
      <c r="U3051" s="8" t="s">
        <v>25</v>
      </c>
    </row>
    <row r="3052" spans="1:21">
      <c r="A3052" s="8" t="s">
        <v>10349</v>
      </c>
      <c r="B3052" s="8" t="s">
        <v>12764</v>
      </c>
      <c r="C3052" s="8">
        <v>83440</v>
      </c>
      <c r="D3052" s="8" t="s">
        <v>120</v>
      </c>
      <c r="E3052" s="8">
        <v>73048789</v>
      </c>
      <c r="F3052" s="8">
        <v>73048789</v>
      </c>
      <c r="G3052" s="8" t="s">
        <v>46</v>
      </c>
      <c r="H3052" s="8" t="s">
        <v>41</v>
      </c>
      <c r="I3052" s="8" t="s">
        <v>23</v>
      </c>
      <c r="J3052" s="8" t="s">
        <v>12765</v>
      </c>
      <c r="K3052" s="8" t="s">
        <v>12766</v>
      </c>
      <c r="L3052" s="8" t="s">
        <v>68</v>
      </c>
      <c r="M3052" s="8">
        <v>0</v>
      </c>
      <c r="N3052" s="8" t="s">
        <v>35</v>
      </c>
      <c r="O3052" s="8">
        <v>0</v>
      </c>
      <c r="P3052" s="8" t="s">
        <v>35</v>
      </c>
      <c r="Q3052" s="8" t="s">
        <v>4262</v>
      </c>
      <c r="R3052" s="8">
        <v>0.21099999999999999</v>
      </c>
      <c r="S3052" s="8">
        <v>73048789</v>
      </c>
      <c r="T3052" s="8" t="s">
        <v>46</v>
      </c>
      <c r="U3052" s="8" t="s">
        <v>41</v>
      </c>
    </row>
    <row r="3053" spans="1:21">
      <c r="A3053" s="8" t="s">
        <v>10349</v>
      </c>
      <c r="B3053" s="8" t="s">
        <v>2211</v>
      </c>
      <c r="C3053" s="8">
        <v>25942</v>
      </c>
      <c r="D3053" s="8" t="s">
        <v>120</v>
      </c>
      <c r="E3053" s="8">
        <v>75684855</v>
      </c>
      <c r="F3053" s="8">
        <v>75684855</v>
      </c>
      <c r="G3053" s="8" t="s">
        <v>46</v>
      </c>
      <c r="H3053" s="8" t="s">
        <v>41</v>
      </c>
      <c r="I3053" s="8" t="s">
        <v>23</v>
      </c>
      <c r="J3053" s="8" t="s">
        <v>12767</v>
      </c>
      <c r="K3053" s="8" t="s">
        <v>12769</v>
      </c>
      <c r="L3053" s="8" t="s">
        <v>19</v>
      </c>
      <c r="M3053" s="8">
        <v>2838</v>
      </c>
      <c r="N3053" s="8" t="s">
        <v>2664</v>
      </c>
      <c r="O3053" s="8">
        <v>860</v>
      </c>
      <c r="P3053" s="8" t="s">
        <v>12768</v>
      </c>
      <c r="Q3053" s="8" t="s">
        <v>4262</v>
      </c>
      <c r="R3053" s="8">
        <v>0.18</v>
      </c>
      <c r="S3053" s="8">
        <v>75684855</v>
      </c>
      <c r="T3053" s="8" t="s">
        <v>46</v>
      </c>
      <c r="U3053" s="8" t="s">
        <v>41</v>
      </c>
    </row>
    <row r="3054" spans="1:21">
      <c r="A3054" s="8" t="s">
        <v>10349</v>
      </c>
      <c r="B3054" s="8" t="s">
        <v>12770</v>
      </c>
      <c r="C3054" s="8">
        <v>10073</v>
      </c>
      <c r="D3054" s="8" t="s">
        <v>120</v>
      </c>
      <c r="E3054" s="8">
        <v>75899582</v>
      </c>
      <c r="F3054" s="8">
        <v>75899582</v>
      </c>
      <c r="G3054" s="8" t="s">
        <v>46</v>
      </c>
      <c r="H3054" s="8" t="s">
        <v>41</v>
      </c>
      <c r="I3054" s="8" t="s">
        <v>23</v>
      </c>
      <c r="J3054" s="8" t="s">
        <v>12771</v>
      </c>
      <c r="K3054" s="8" t="s">
        <v>12773</v>
      </c>
      <c r="L3054" s="8" t="s">
        <v>19</v>
      </c>
      <c r="M3054" s="8">
        <v>720</v>
      </c>
      <c r="N3054" s="8" t="s">
        <v>61</v>
      </c>
      <c r="O3054" s="8">
        <v>192</v>
      </c>
      <c r="P3054" s="8" t="s">
        <v>12772</v>
      </c>
      <c r="Q3054" s="8" t="s">
        <v>4262</v>
      </c>
      <c r="R3054" s="8">
        <v>0.24299999999999999</v>
      </c>
      <c r="S3054" s="8">
        <v>75899582</v>
      </c>
      <c r="T3054" s="8" t="s">
        <v>46</v>
      </c>
      <c r="U3054" s="8" t="s">
        <v>41</v>
      </c>
    </row>
    <row r="3055" spans="1:21">
      <c r="A3055" s="8" t="s">
        <v>10349</v>
      </c>
      <c r="B3055" s="8" t="s">
        <v>3539</v>
      </c>
      <c r="C3055" s="8">
        <v>3603</v>
      </c>
      <c r="D3055" s="8" t="s">
        <v>120</v>
      </c>
      <c r="E3055" s="8">
        <v>81552188</v>
      </c>
      <c r="F3055" s="8">
        <v>81552188</v>
      </c>
      <c r="G3055" s="8" t="s">
        <v>24</v>
      </c>
      <c r="H3055" s="8" t="s">
        <v>25</v>
      </c>
      <c r="I3055" s="8" t="s">
        <v>23</v>
      </c>
      <c r="J3055" s="8" t="s">
        <v>12774</v>
      </c>
      <c r="K3055" s="8" t="s">
        <v>12776</v>
      </c>
      <c r="L3055" s="8" t="s">
        <v>19</v>
      </c>
      <c r="M3055" s="8">
        <v>489</v>
      </c>
      <c r="N3055" s="8" t="s">
        <v>155</v>
      </c>
      <c r="O3055" s="8">
        <v>130</v>
      </c>
      <c r="P3055" s="8" t="s">
        <v>12775</v>
      </c>
      <c r="Q3055" s="8" t="s">
        <v>4262</v>
      </c>
      <c r="R3055" s="8">
        <v>0.222</v>
      </c>
      <c r="S3055" s="8">
        <v>81552188</v>
      </c>
      <c r="T3055" s="8" t="s">
        <v>24</v>
      </c>
      <c r="U3055" s="8" t="s">
        <v>25</v>
      </c>
    </row>
    <row r="3056" spans="1:21">
      <c r="A3056" s="8" t="s">
        <v>10349</v>
      </c>
      <c r="B3056" s="8" t="s">
        <v>12777</v>
      </c>
      <c r="C3056" s="8">
        <v>80765</v>
      </c>
      <c r="D3056" s="8" t="s">
        <v>120</v>
      </c>
      <c r="E3056" s="8">
        <v>81605734</v>
      </c>
      <c r="F3056" s="8">
        <v>81605734</v>
      </c>
      <c r="G3056" s="8" t="s">
        <v>41</v>
      </c>
      <c r="H3056" s="8" t="s">
        <v>46</v>
      </c>
      <c r="I3056" s="8" t="s">
        <v>23</v>
      </c>
      <c r="J3056" s="8" t="s">
        <v>12778</v>
      </c>
      <c r="K3056" s="8" t="s">
        <v>12780</v>
      </c>
      <c r="L3056" s="8" t="s">
        <v>19</v>
      </c>
      <c r="M3056" s="8">
        <v>589</v>
      </c>
      <c r="N3056" s="8" t="s">
        <v>5485</v>
      </c>
      <c r="O3056" s="8">
        <v>169</v>
      </c>
      <c r="P3056" s="8" t="s">
        <v>12779</v>
      </c>
      <c r="Q3056" s="8" t="s">
        <v>4262</v>
      </c>
      <c r="R3056" s="8">
        <v>0.2</v>
      </c>
      <c r="S3056" s="8">
        <v>81605734</v>
      </c>
      <c r="T3056" s="8" t="s">
        <v>41</v>
      </c>
      <c r="U3056" s="8" t="s">
        <v>46</v>
      </c>
    </row>
    <row r="3057" spans="1:21">
      <c r="A3057" s="8" t="s">
        <v>10349</v>
      </c>
      <c r="B3057" s="8" t="s">
        <v>12781</v>
      </c>
      <c r="C3057" s="8">
        <v>3418</v>
      </c>
      <c r="D3057" s="8" t="s">
        <v>120</v>
      </c>
      <c r="E3057" s="8">
        <v>90634803</v>
      </c>
      <c r="F3057" s="8">
        <v>90634803</v>
      </c>
      <c r="G3057" s="8" t="s">
        <v>46</v>
      </c>
      <c r="H3057" s="8" t="s">
        <v>41</v>
      </c>
      <c r="I3057" s="8" t="s">
        <v>23</v>
      </c>
      <c r="J3057" s="8" t="s">
        <v>12782</v>
      </c>
      <c r="K3057" s="8" t="s">
        <v>12784</v>
      </c>
      <c r="L3057" s="8" t="s">
        <v>76</v>
      </c>
      <c r="M3057" s="8">
        <v>275</v>
      </c>
      <c r="N3057" s="8" t="s">
        <v>716</v>
      </c>
      <c r="O3057" s="8">
        <v>63</v>
      </c>
      <c r="P3057" s="8" t="s">
        <v>12783</v>
      </c>
      <c r="Q3057" s="8" t="s">
        <v>4262</v>
      </c>
      <c r="R3057" s="8">
        <v>0.27600000000000002</v>
      </c>
      <c r="S3057" s="8">
        <v>90634803</v>
      </c>
      <c r="T3057" s="8" t="s">
        <v>46</v>
      </c>
      <c r="U3057" s="8" t="s">
        <v>41</v>
      </c>
    </row>
    <row r="3058" spans="1:21">
      <c r="A3058" s="8" t="s">
        <v>10349</v>
      </c>
      <c r="B3058" s="8" t="s">
        <v>2524</v>
      </c>
      <c r="C3058" s="8">
        <v>55898</v>
      </c>
      <c r="D3058" s="8" t="s">
        <v>120</v>
      </c>
      <c r="E3058" s="8">
        <v>91485745</v>
      </c>
      <c r="F3058" s="8">
        <v>91485745</v>
      </c>
      <c r="G3058" s="8" t="s">
        <v>24</v>
      </c>
      <c r="H3058" s="8" t="s">
        <v>25</v>
      </c>
      <c r="I3058" s="8" t="s">
        <v>23</v>
      </c>
      <c r="J3058" s="8" t="s">
        <v>12785</v>
      </c>
      <c r="K3058" s="8" t="s">
        <v>12787</v>
      </c>
      <c r="L3058" s="8" t="s">
        <v>19</v>
      </c>
      <c r="M3058" s="8">
        <v>1106</v>
      </c>
      <c r="N3058" s="8" t="s">
        <v>768</v>
      </c>
      <c r="O3058" s="8">
        <v>256</v>
      </c>
      <c r="P3058" s="8" t="s">
        <v>12786</v>
      </c>
      <c r="Q3058" s="8" t="s">
        <v>4262</v>
      </c>
      <c r="R3058" s="8">
        <v>0.35499999999999998</v>
      </c>
      <c r="S3058" s="8">
        <v>91485745</v>
      </c>
      <c r="T3058" s="8" t="s">
        <v>24</v>
      </c>
      <c r="U3058" s="8" t="s">
        <v>25</v>
      </c>
    </row>
    <row r="3059" spans="1:21">
      <c r="A3059" s="8" t="s">
        <v>10349</v>
      </c>
      <c r="B3059" s="8" t="s">
        <v>3541</v>
      </c>
      <c r="C3059" s="8">
        <v>55784</v>
      </c>
      <c r="D3059" s="8" t="s">
        <v>120</v>
      </c>
      <c r="E3059" s="8">
        <v>94983453</v>
      </c>
      <c r="F3059" s="8">
        <v>94983453</v>
      </c>
      <c r="G3059" s="8" t="s">
        <v>24</v>
      </c>
      <c r="H3059" s="8" t="s">
        <v>25</v>
      </c>
      <c r="I3059" s="8" t="s">
        <v>23</v>
      </c>
      <c r="J3059" s="8" t="s">
        <v>6508</v>
      </c>
      <c r="K3059" s="8" t="s">
        <v>6510</v>
      </c>
      <c r="L3059" s="8" t="s">
        <v>19</v>
      </c>
      <c r="M3059" s="8">
        <v>2199</v>
      </c>
      <c r="N3059" s="8" t="s">
        <v>1070</v>
      </c>
      <c r="O3059" s="8">
        <v>712</v>
      </c>
      <c r="P3059" s="8" t="s">
        <v>12788</v>
      </c>
      <c r="Q3059" s="8" t="s">
        <v>4262</v>
      </c>
      <c r="R3059" s="8">
        <v>0.17499999999999999</v>
      </c>
      <c r="S3059" s="8">
        <v>94983453</v>
      </c>
      <c r="T3059" s="8" t="s">
        <v>24</v>
      </c>
      <c r="U3059" s="8" t="s">
        <v>25</v>
      </c>
    </row>
    <row r="3060" spans="1:21">
      <c r="A3060" s="8" t="s">
        <v>10349</v>
      </c>
      <c r="B3060" s="8" t="s">
        <v>3473</v>
      </c>
      <c r="C3060" s="8">
        <v>204219</v>
      </c>
      <c r="D3060" s="8" t="s">
        <v>120</v>
      </c>
      <c r="E3060" s="8">
        <v>101042005</v>
      </c>
      <c r="F3060" s="8">
        <v>101042005</v>
      </c>
      <c r="G3060" s="8" t="s">
        <v>24</v>
      </c>
      <c r="H3060" s="8" t="s">
        <v>25</v>
      </c>
      <c r="I3060" s="8" t="s">
        <v>23</v>
      </c>
      <c r="J3060" s="8" t="s">
        <v>3474</v>
      </c>
      <c r="K3060" s="8" t="s">
        <v>6198</v>
      </c>
      <c r="L3060" s="8" t="s">
        <v>19</v>
      </c>
      <c r="M3060" s="8">
        <v>474</v>
      </c>
      <c r="N3060" s="8" t="s">
        <v>1140</v>
      </c>
      <c r="O3060" s="8">
        <v>17</v>
      </c>
      <c r="P3060" s="8" t="s">
        <v>12789</v>
      </c>
      <c r="Q3060" s="8" t="s">
        <v>4262</v>
      </c>
      <c r="R3060" s="8">
        <v>0.2</v>
      </c>
      <c r="S3060" s="8">
        <v>101042005</v>
      </c>
      <c r="T3060" s="8" t="s">
        <v>24</v>
      </c>
      <c r="U3060" s="8" t="s">
        <v>25</v>
      </c>
    </row>
    <row r="3061" spans="1:21">
      <c r="A3061" s="8" t="s">
        <v>10349</v>
      </c>
      <c r="B3061" s="8"/>
      <c r="C3061" s="8">
        <v>100272148</v>
      </c>
      <c r="D3061" s="8" t="s">
        <v>120</v>
      </c>
      <c r="E3061" s="8">
        <v>102389410</v>
      </c>
      <c r="F3061" s="8">
        <v>102389410</v>
      </c>
      <c r="G3061" s="8" t="s">
        <v>24</v>
      </c>
      <c r="H3061" s="8" t="s">
        <v>25</v>
      </c>
      <c r="I3061" s="8" t="s">
        <v>23</v>
      </c>
      <c r="J3061" s="8" t="s">
        <v>2510</v>
      </c>
      <c r="K3061" s="8" t="s">
        <v>12791</v>
      </c>
      <c r="L3061" s="8" t="s">
        <v>19</v>
      </c>
      <c r="M3061" s="8">
        <v>937</v>
      </c>
      <c r="N3061" s="8" t="s">
        <v>768</v>
      </c>
      <c r="O3061" s="8">
        <v>149</v>
      </c>
      <c r="P3061" s="8" t="s">
        <v>12790</v>
      </c>
      <c r="Q3061" s="8" t="s">
        <v>4262</v>
      </c>
      <c r="R3061" s="8">
        <v>0.27600000000000002</v>
      </c>
      <c r="S3061" s="8">
        <v>102389410</v>
      </c>
      <c r="T3061" s="8" t="s">
        <v>24</v>
      </c>
      <c r="U3061" s="8" t="s">
        <v>25</v>
      </c>
    </row>
    <row r="3062" spans="1:21">
      <c r="A3062" s="8" t="s">
        <v>10349</v>
      </c>
      <c r="B3062" s="8" t="s">
        <v>12792</v>
      </c>
      <c r="C3062" s="8">
        <v>123606</v>
      </c>
      <c r="D3062" s="8" t="s">
        <v>120</v>
      </c>
      <c r="E3062" s="8">
        <v>23052709</v>
      </c>
      <c r="F3062" s="8">
        <v>23052709</v>
      </c>
      <c r="G3062" s="8" t="s">
        <v>46</v>
      </c>
      <c r="H3062" s="8" t="s">
        <v>41</v>
      </c>
      <c r="I3062" s="8" t="s">
        <v>23</v>
      </c>
      <c r="J3062" s="8" t="s">
        <v>12793</v>
      </c>
      <c r="K3062" s="8" t="s">
        <v>12795</v>
      </c>
      <c r="L3062" s="8" t="s">
        <v>19</v>
      </c>
      <c r="M3062" s="8">
        <v>389</v>
      </c>
      <c r="N3062" s="8" t="s">
        <v>536</v>
      </c>
      <c r="O3062" s="8">
        <v>122</v>
      </c>
      <c r="P3062" s="8" t="s">
        <v>12794</v>
      </c>
      <c r="Q3062" s="8" t="s">
        <v>4262</v>
      </c>
      <c r="R3062" s="8">
        <v>0.23300000000000001</v>
      </c>
      <c r="S3062" s="8">
        <v>23052709</v>
      </c>
      <c r="T3062" s="8" t="s">
        <v>46</v>
      </c>
      <c r="U3062" s="8" t="s">
        <v>41</v>
      </c>
    </row>
    <row r="3063" spans="1:21">
      <c r="A3063" s="8" t="s">
        <v>10349</v>
      </c>
      <c r="B3063" s="8" t="s">
        <v>460</v>
      </c>
      <c r="C3063" s="8">
        <v>283685</v>
      </c>
      <c r="D3063" s="8" t="s">
        <v>120</v>
      </c>
      <c r="E3063" s="8">
        <v>23684740</v>
      </c>
      <c r="F3063" s="8">
        <v>23684740</v>
      </c>
      <c r="G3063" s="8" t="s">
        <v>24</v>
      </c>
      <c r="H3063" s="8" t="s">
        <v>25</v>
      </c>
      <c r="I3063" s="8" t="s">
        <v>23</v>
      </c>
      <c r="J3063" s="8" t="s">
        <v>461</v>
      </c>
      <c r="K3063" s="8" t="s">
        <v>12797</v>
      </c>
      <c r="L3063" s="8" t="s">
        <v>19</v>
      </c>
      <c r="M3063" s="8">
        <v>2056</v>
      </c>
      <c r="N3063" s="8" t="s">
        <v>423</v>
      </c>
      <c r="O3063" s="8">
        <v>686</v>
      </c>
      <c r="P3063" s="8" t="s">
        <v>12796</v>
      </c>
      <c r="Q3063" s="8" t="s">
        <v>4262</v>
      </c>
      <c r="R3063" s="8">
        <v>0.111</v>
      </c>
      <c r="S3063" s="8">
        <v>23684740</v>
      </c>
      <c r="T3063" s="8" t="s">
        <v>24</v>
      </c>
      <c r="U3063" s="8" t="s">
        <v>25</v>
      </c>
    </row>
    <row r="3064" spans="1:21">
      <c r="A3064" s="8" t="s">
        <v>10349</v>
      </c>
      <c r="B3064" s="8" t="s">
        <v>2021</v>
      </c>
      <c r="C3064" s="8">
        <v>321</v>
      </c>
      <c r="D3064" s="8" t="s">
        <v>120</v>
      </c>
      <c r="E3064" s="8">
        <v>29409284</v>
      </c>
      <c r="F3064" s="8">
        <v>29409284</v>
      </c>
      <c r="G3064" s="8" t="s">
        <v>46</v>
      </c>
      <c r="H3064" s="8" t="s">
        <v>41</v>
      </c>
      <c r="I3064" s="8" t="s">
        <v>23</v>
      </c>
      <c r="J3064" s="8" t="s">
        <v>12798</v>
      </c>
      <c r="K3064" s="8" t="s">
        <v>12800</v>
      </c>
      <c r="L3064" s="8" t="s">
        <v>19</v>
      </c>
      <c r="M3064" s="8">
        <v>2405</v>
      </c>
      <c r="N3064" s="8" t="s">
        <v>333</v>
      </c>
      <c r="O3064" s="8">
        <v>733</v>
      </c>
      <c r="P3064" s="8" t="s">
        <v>12799</v>
      </c>
      <c r="Q3064" s="8" t="s">
        <v>4262</v>
      </c>
      <c r="R3064" s="8">
        <v>0.214</v>
      </c>
      <c r="S3064" s="8">
        <v>29409284</v>
      </c>
      <c r="T3064" s="8" t="s">
        <v>46</v>
      </c>
      <c r="U3064" s="8" t="s">
        <v>41</v>
      </c>
    </row>
    <row r="3065" spans="1:21">
      <c r="A3065" s="8" t="s">
        <v>10349</v>
      </c>
      <c r="B3065" s="8" t="s">
        <v>1060</v>
      </c>
      <c r="C3065" s="8">
        <v>254531</v>
      </c>
      <c r="D3065" s="8" t="s">
        <v>120</v>
      </c>
      <c r="E3065" s="8">
        <v>34656213</v>
      </c>
      <c r="F3065" s="8">
        <v>34656213</v>
      </c>
      <c r="G3065" s="8" t="s">
        <v>46</v>
      </c>
      <c r="H3065" s="8" t="s">
        <v>41</v>
      </c>
      <c r="I3065" s="8" t="s">
        <v>23</v>
      </c>
      <c r="J3065" s="8" t="s">
        <v>1061</v>
      </c>
      <c r="K3065" s="8" t="s">
        <v>12801</v>
      </c>
      <c r="L3065" s="8" t="s">
        <v>68</v>
      </c>
      <c r="M3065" s="8">
        <v>0</v>
      </c>
      <c r="N3065" s="8" t="s">
        <v>35</v>
      </c>
      <c r="O3065" s="8">
        <v>0</v>
      </c>
      <c r="P3065" s="8" t="s">
        <v>35</v>
      </c>
      <c r="Q3065" s="8" t="s">
        <v>4262</v>
      </c>
      <c r="R3065" s="8">
        <v>0.16900000000000001</v>
      </c>
      <c r="S3065" s="8">
        <v>34656213</v>
      </c>
      <c r="T3065" s="8" t="s">
        <v>46</v>
      </c>
      <c r="U3065" s="8" t="s">
        <v>41</v>
      </c>
    </row>
    <row r="3066" spans="1:21">
      <c r="A3066" s="8" t="s">
        <v>10349</v>
      </c>
      <c r="B3066" s="8" t="s">
        <v>1066</v>
      </c>
      <c r="C3066" s="8">
        <v>23269</v>
      </c>
      <c r="D3066" s="8" t="s">
        <v>120</v>
      </c>
      <c r="E3066" s="8">
        <v>42054518</v>
      </c>
      <c r="F3066" s="8">
        <v>42054518</v>
      </c>
      <c r="G3066" s="8" t="s">
        <v>24</v>
      </c>
      <c r="H3066" s="8" t="s">
        <v>25</v>
      </c>
      <c r="I3066" s="8" t="s">
        <v>23</v>
      </c>
      <c r="J3066" s="8" t="s">
        <v>7591</v>
      </c>
      <c r="K3066" s="8" t="s">
        <v>7593</v>
      </c>
      <c r="L3066" s="8" t="s">
        <v>19</v>
      </c>
      <c r="M3066" s="8">
        <v>7883</v>
      </c>
      <c r="N3066" s="8" t="s">
        <v>28</v>
      </c>
      <c r="O3066" s="8">
        <v>2568</v>
      </c>
      <c r="P3066" s="8" t="s">
        <v>12802</v>
      </c>
      <c r="Q3066" s="8" t="s">
        <v>4262</v>
      </c>
      <c r="R3066" s="8">
        <v>0.18</v>
      </c>
      <c r="S3066" s="8">
        <v>42054518</v>
      </c>
      <c r="T3066" s="8" t="s">
        <v>24</v>
      </c>
      <c r="U3066" s="8" t="s">
        <v>25</v>
      </c>
    </row>
    <row r="3067" spans="1:21">
      <c r="A3067" s="8" t="s">
        <v>10349</v>
      </c>
      <c r="B3067" s="8" t="s">
        <v>12803</v>
      </c>
      <c r="C3067" s="8">
        <v>2595</v>
      </c>
      <c r="D3067" s="8" t="s">
        <v>120</v>
      </c>
      <c r="E3067" s="8">
        <v>42600419</v>
      </c>
      <c r="F3067" s="8">
        <v>42600419</v>
      </c>
      <c r="G3067" s="8" t="s">
        <v>24</v>
      </c>
      <c r="H3067" s="8" t="s">
        <v>25</v>
      </c>
      <c r="I3067" s="8" t="s">
        <v>23</v>
      </c>
      <c r="J3067" s="8" t="s">
        <v>12804</v>
      </c>
      <c r="K3067" s="8" t="s">
        <v>12805</v>
      </c>
      <c r="L3067" s="8" t="s">
        <v>68</v>
      </c>
      <c r="M3067" s="8">
        <v>0</v>
      </c>
      <c r="N3067" s="8" t="s">
        <v>35</v>
      </c>
      <c r="O3067" s="8">
        <v>0</v>
      </c>
      <c r="P3067" s="8" t="s">
        <v>35</v>
      </c>
      <c r="Q3067" s="8" t="s">
        <v>4262</v>
      </c>
      <c r="R3067" s="8">
        <v>0.182</v>
      </c>
      <c r="S3067" s="8">
        <v>42600419</v>
      </c>
      <c r="T3067" s="8" t="s">
        <v>24</v>
      </c>
      <c r="U3067" s="8" t="s">
        <v>25</v>
      </c>
    </row>
    <row r="3068" spans="1:21">
      <c r="A3068" s="8" t="s">
        <v>10349</v>
      </c>
      <c r="B3068" s="8" t="s">
        <v>2512</v>
      </c>
      <c r="C3068" s="8">
        <v>4130</v>
      </c>
      <c r="D3068" s="8" t="s">
        <v>120</v>
      </c>
      <c r="E3068" s="8">
        <v>43817849</v>
      </c>
      <c r="F3068" s="8">
        <v>43817849</v>
      </c>
      <c r="G3068" s="8" t="s">
        <v>46</v>
      </c>
      <c r="H3068" s="8" t="s">
        <v>41</v>
      </c>
      <c r="I3068" s="8" t="s">
        <v>23</v>
      </c>
      <c r="J3068" s="8" t="s">
        <v>2513</v>
      </c>
      <c r="K3068" s="8" t="s">
        <v>6512</v>
      </c>
      <c r="L3068" s="8" t="s">
        <v>19</v>
      </c>
      <c r="M3068" s="8">
        <v>4645</v>
      </c>
      <c r="N3068" s="8" t="s">
        <v>389</v>
      </c>
      <c r="O3068" s="8">
        <v>1393</v>
      </c>
      <c r="P3068" s="8" t="s">
        <v>12806</v>
      </c>
      <c r="Q3068" s="8" t="s">
        <v>4262</v>
      </c>
      <c r="R3068" s="8">
        <v>0.312</v>
      </c>
      <c r="S3068" s="8">
        <v>43817849</v>
      </c>
      <c r="T3068" s="8" t="s">
        <v>46</v>
      </c>
      <c r="U3068" s="8" t="s">
        <v>41</v>
      </c>
    </row>
    <row r="3069" spans="1:21">
      <c r="A3069" s="8" t="s">
        <v>10349</v>
      </c>
      <c r="B3069" s="8" t="s">
        <v>2514</v>
      </c>
      <c r="C3069" s="8">
        <v>50506</v>
      </c>
      <c r="D3069" s="8" t="s">
        <v>120</v>
      </c>
      <c r="E3069" s="8">
        <v>45399609</v>
      </c>
      <c r="F3069" s="8">
        <v>45399609</v>
      </c>
      <c r="G3069" s="8" t="s">
        <v>46</v>
      </c>
      <c r="H3069" s="8" t="s">
        <v>41</v>
      </c>
      <c r="I3069" s="8" t="s">
        <v>23</v>
      </c>
      <c r="J3069" s="8" t="s">
        <v>2515</v>
      </c>
      <c r="K3069" s="8" t="s">
        <v>12808</v>
      </c>
      <c r="L3069" s="8" t="s">
        <v>19</v>
      </c>
      <c r="M3069" s="8">
        <v>1830</v>
      </c>
      <c r="N3069" s="8" t="s">
        <v>171</v>
      </c>
      <c r="O3069" s="8">
        <v>543</v>
      </c>
      <c r="P3069" s="8" t="s">
        <v>12807</v>
      </c>
      <c r="Q3069" s="8" t="s">
        <v>4262</v>
      </c>
      <c r="R3069" s="8">
        <v>0.13900000000000001</v>
      </c>
      <c r="S3069" s="8">
        <v>45399609</v>
      </c>
      <c r="T3069" s="8" t="s">
        <v>46</v>
      </c>
      <c r="U3069" s="8" t="s">
        <v>41</v>
      </c>
    </row>
    <row r="3070" spans="1:21">
      <c r="A3070" s="8" t="s">
        <v>10349</v>
      </c>
      <c r="B3070" s="8" t="s">
        <v>12809</v>
      </c>
      <c r="C3070" s="8">
        <v>7782</v>
      </c>
      <c r="D3070" s="8" t="s">
        <v>120</v>
      </c>
      <c r="E3070" s="8">
        <v>45814384</v>
      </c>
      <c r="F3070" s="8">
        <v>45814384</v>
      </c>
      <c r="G3070" s="8" t="s">
        <v>46</v>
      </c>
      <c r="H3070" s="8" t="s">
        <v>41</v>
      </c>
      <c r="I3070" s="8" t="s">
        <v>23</v>
      </c>
      <c r="J3070" s="8" t="s">
        <v>12810</v>
      </c>
      <c r="K3070" s="8" t="s">
        <v>12812</v>
      </c>
      <c r="L3070" s="8" t="s">
        <v>19</v>
      </c>
      <c r="M3070" s="8">
        <v>481</v>
      </c>
      <c r="N3070" s="8" t="s">
        <v>155</v>
      </c>
      <c r="O3070" s="8">
        <v>57</v>
      </c>
      <c r="P3070" s="8" t="s">
        <v>12811</v>
      </c>
      <c r="Q3070" s="8" t="s">
        <v>4262</v>
      </c>
      <c r="R3070" s="8">
        <v>0.17599999999999999</v>
      </c>
      <c r="S3070" s="8">
        <v>45814384</v>
      </c>
      <c r="T3070" s="8" t="s">
        <v>46</v>
      </c>
      <c r="U3070" s="8" t="s">
        <v>41</v>
      </c>
    </row>
    <row r="3071" spans="1:21">
      <c r="A3071" s="8" t="s">
        <v>10349</v>
      </c>
      <c r="B3071" s="8" t="s">
        <v>12813</v>
      </c>
      <c r="C3071" s="8">
        <v>9728</v>
      </c>
      <c r="D3071" s="8" t="s">
        <v>120</v>
      </c>
      <c r="E3071" s="8">
        <v>49292056</v>
      </c>
      <c r="F3071" s="8">
        <v>49292056</v>
      </c>
      <c r="G3071" s="8" t="s">
        <v>46</v>
      </c>
      <c r="H3071" s="8" t="s">
        <v>41</v>
      </c>
      <c r="I3071" s="8" t="s">
        <v>23</v>
      </c>
      <c r="J3071" s="8" t="s">
        <v>12814</v>
      </c>
      <c r="K3071" s="8" t="s">
        <v>12816</v>
      </c>
      <c r="L3071" s="8" t="s">
        <v>19</v>
      </c>
      <c r="M3071" s="8">
        <v>2641</v>
      </c>
      <c r="N3071" s="8" t="s">
        <v>1364</v>
      </c>
      <c r="O3071" s="8">
        <v>793</v>
      </c>
      <c r="P3071" s="8" t="s">
        <v>12815</v>
      </c>
      <c r="Q3071" s="8" t="s">
        <v>4262</v>
      </c>
      <c r="R3071" s="8">
        <v>0.20799999999999999</v>
      </c>
      <c r="S3071" s="8">
        <v>49292056</v>
      </c>
      <c r="T3071" s="8" t="s">
        <v>46</v>
      </c>
      <c r="U3071" s="8" t="s">
        <v>41</v>
      </c>
    </row>
    <row r="3072" spans="1:21">
      <c r="A3072" s="8" t="s">
        <v>10349</v>
      </c>
      <c r="B3072" s="8" t="s">
        <v>12813</v>
      </c>
      <c r="C3072" s="8">
        <v>9728</v>
      </c>
      <c r="D3072" s="8" t="s">
        <v>120</v>
      </c>
      <c r="E3072" s="8">
        <v>49292152</v>
      </c>
      <c r="F3072" s="8">
        <v>49292152</v>
      </c>
      <c r="G3072" s="8" t="s">
        <v>46</v>
      </c>
      <c r="H3072" s="8" t="s">
        <v>41</v>
      </c>
      <c r="I3072" s="8" t="s">
        <v>23</v>
      </c>
      <c r="J3072" s="8" t="s">
        <v>12814</v>
      </c>
      <c r="K3072" s="8" t="s">
        <v>12816</v>
      </c>
      <c r="L3072" s="8" t="s">
        <v>19</v>
      </c>
      <c r="M3072" s="8">
        <v>2545</v>
      </c>
      <c r="N3072" s="8" t="s">
        <v>155</v>
      </c>
      <c r="O3072" s="8">
        <v>761</v>
      </c>
      <c r="P3072" s="8" t="s">
        <v>12817</v>
      </c>
      <c r="Q3072" s="8" t="s">
        <v>4262</v>
      </c>
      <c r="R3072" s="8">
        <v>0.22900000000000001</v>
      </c>
      <c r="S3072" s="8">
        <v>49292152</v>
      </c>
      <c r="T3072" s="8" t="s">
        <v>46</v>
      </c>
      <c r="U3072" s="8" t="s">
        <v>41</v>
      </c>
    </row>
    <row r="3073" spans="1:21">
      <c r="A3073" s="8" t="s">
        <v>10349</v>
      </c>
      <c r="B3073" s="8" t="s">
        <v>12818</v>
      </c>
      <c r="C3073" s="8">
        <v>6299</v>
      </c>
      <c r="D3073" s="8" t="s">
        <v>129</v>
      </c>
      <c r="E3073" s="8">
        <v>51173626</v>
      </c>
      <c r="F3073" s="8">
        <v>51173626</v>
      </c>
      <c r="G3073" s="8" t="s">
        <v>46</v>
      </c>
      <c r="H3073" s="8" t="s">
        <v>41</v>
      </c>
      <c r="I3073" s="8" t="s">
        <v>23</v>
      </c>
      <c r="J3073" s="8" t="s">
        <v>12819</v>
      </c>
      <c r="K3073" s="8" t="s">
        <v>12821</v>
      </c>
      <c r="L3073" s="8" t="s">
        <v>19</v>
      </c>
      <c r="M3073" s="8">
        <v>2538</v>
      </c>
      <c r="N3073" s="8" t="s">
        <v>708</v>
      </c>
      <c r="O3073" s="8">
        <v>836</v>
      </c>
      <c r="P3073" s="8" t="s">
        <v>12820</v>
      </c>
      <c r="Q3073" s="8" t="s">
        <v>4262</v>
      </c>
      <c r="R3073" s="8">
        <v>0.23499999999999999</v>
      </c>
      <c r="S3073" s="8">
        <v>51173626</v>
      </c>
      <c r="T3073" s="8" t="s">
        <v>46</v>
      </c>
      <c r="U3073" s="8" t="s">
        <v>41</v>
      </c>
    </row>
    <row r="3074" spans="1:21">
      <c r="A3074" s="8" t="s">
        <v>10349</v>
      </c>
      <c r="B3074" s="8" t="s">
        <v>12818</v>
      </c>
      <c r="C3074" s="8">
        <v>6299</v>
      </c>
      <c r="D3074" s="8" t="s">
        <v>129</v>
      </c>
      <c r="E3074" s="8">
        <v>51173629</v>
      </c>
      <c r="F3074" s="8">
        <v>51173629</v>
      </c>
      <c r="G3074" s="8" t="s">
        <v>46</v>
      </c>
      <c r="H3074" s="8" t="s">
        <v>41</v>
      </c>
      <c r="I3074" s="8" t="s">
        <v>23</v>
      </c>
      <c r="J3074" s="8" t="s">
        <v>12819</v>
      </c>
      <c r="K3074" s="8" t="s">
        <v>12821</v>
      </c>
      <c r="L3074" s="8" t="s">
        <v>19</v>
      </c>
      <c r="M3074" s="8">
        <v>2535</v>
      </c>
      <c r="N3074" s="8" t="s">
        <v>205</v>
      </c>
      <c r="O3074" s="8">
        <v>835</v>
      </c>
      <c r="P3074" s="8" t="s">
        <v>12822</v>
      </c>
      <c r="Q3074" s="8" t="s">
        <v>4262</v>
      </c>
      <c r="R3074" s="8">
        <v>0.125</v>
      </c>
      <c r="S3074" s="8">
        <v>51173629</v>
      </c>
      <c r="T3074" s="8" t="s">
        <v>46</v>
      </c>
      <c r="U3074" s="8" t="s">
        <v>41</v>
      </c>
    </row>
    <row r="3075" spans="1:21">
      <c r="A3075" s="8" t="s">
        <v>10349</v>
      </c>
      <c r="B3075" s="8" t="s">
        <v>2530</v>
      </c>
      <c r="C3075" s="8">
        <v>4501</v>
      </c>
      <c r="D3075" s="8" t="s">
        <v>129</v>
      </c>
      <c r="E3075" s="8">
        <v>56717945</v>
      </c>
      <c r="F3075" s="8">
        <v>56717945</v>
      </c>
      <c r="G3075" s="8" t="s">
        <v>24</v>
      </c>
      <c r="H3075" s="8" t="s">
        <v>25</v>
      </c>
      <c r="I3075" s="8" t="s">
        <v>23</v>
      </c>
      <c r="J3075" s="8" t="s">
        <v>2531</v>
      </c>
      <c r="K3075" s="8" t="s">
        <v>12824</v>
      </c>
      <c r="L3075" s="8" t="s">
        <v>19</v>
      </c>
      <c r="M3075" s="8">
        <v>241</v>
      </c>
      <c r="N3075" s="8" t="s">
        <v>732</v>
      </c>
      <c r="O3075" s="8">
        <v>57</v>
      </c>
      <c r="P3075" s="8" t="s">
        <v>12823</v>
      </c>
      <c r="Q3075" s="8" t="s">
        <v>4262</v>
      </c>
      <c r="R3075" s="8">
        <v>0.24</v>
      </c>
      <c r="S3075" s="8">
        <v>56717945</v>
      </c>
      <c r="T3075" s="8" t="s">
        <v>24</v>
      </c>
      <c r="U3075" s="8" t="s">
        <v>25</v>
      </c>
    </row>
    <row r="3076" spans="1:21">
      <c r="A3076" s="8" t="s">
        <v>10349</v>
      </c>
      <c r="B3076" s="8" t="s">
        <v>12825</v>
      </c>
      <c r="C3076" s="8">
        <v>9709</v>
      </c>
      <c r="D3076" s="8" t="s">
        <v>129</v>
      </c>
      <c r="E3076" s="8">
        <v>56976076</v>
      </c>
      <c r="F3076" s="8">
        <v>56976076</v>
      </c>
      <c r="G3076" s="8" t="s">
        <v>24</v>
      </c>
      <c r="H3076" s="8" t="s">
        <v>25</v>
      </c>
      <c r="I3076" s="8" t="s">
        <v>23</v>
      </c>
      <c r="J3076" s="8" t="s">
        <v>12826</v>
      </c>
      <c r="K3076" s="8" t="s">
        <v>12828</v>
      </c>
      <c r="L3076" s="8" t="s">
        <v>19</v>
      </c>
      <c r="M3076" s="8">
        <v>1347</v>
      </c>
      <c r="N3076" s="8" t="s">
        <v>2483</v>
      </c>
      <c r="O3076" s="8">
        <v>313</v>
      </c>
      <c r="P3076" s="8" t="s">
        <v>12827</v>
      </c>
      <c r="Q3076" s="8" t="s">
        <v>4262</v>
      </c>
      <c r="R3076" s="8">
        <v>0.182</v>
      </c>
      <c r="S3076" s="8">
        <v>56976076</v>
      </c>
      <c r="T3076" s="8" t="s">
        <v>24</v>
      </c>
      <c r="U3076" s="8" t="s">
        <v>25</v>
      </c>
    </row>
    <row r="3077" spans="1:21">
      <c r="A3077" s="8" t="s">
        <v>10349</v>
      </c>
      <c r="B3077" s="8" t="s">
        <v>12829</v>
      </c>
      <c r="C3077" s="8">
        <v>84229</v>
      </c>
      <c r="D3077" s="8" t="s">
        <v>129</v>
      </c>
      <c r="E3077" s="8">
        <v>57734171</v>
      </c>
      <c r="F3077" s="8">
        <v>57734171</v>
      </c>
      <c r="G3077" s="8" t="s">
        <v>46</v>
      </c>
      <c r="H3077" s="8" t="s">
        <v>41</v>
      </c>
      <c r="I3077" s="8" t="s">
        <v>23</v>
      </c>
      <c r="J3077" s="8" t="s">
        <v>12830</v>
      </c>
      <c r="K3077" s="8" t="s">
        <v>12832</v>
      </c>
      <c r="L3077" s="8" t="s">
        <v>19</v>
      </c>
      <c r="M3077" s="8">
        <v>582</v>
      </c>
      <c r="N3077" s="8" t="s">
        <v>415</v>
      </c>
      <c r="O3077" s="8">
        <v>165</v>
      </c>
      <c r="P3077" s="8" t="s">
        <v>12831</v>
      </c>
      <c r="Q3077" s="8" t="s">
        <v>4262</v>
      </c>
      <c r="R3077" s="8">
        <v>0.222</v>
      </c>
      <c r="S3077" s="8">
        <v>57734171</v>
      </c>
      <c r="T3077" s="8" t="s">
        <v>46</v>
      </c>
      <c r="U3077" s="8" t="s">
        <v>41</v>
      </c>
    </row>
    <row r="3078" spans="1:21">
      <c r="A3078" s="8" t="s">
        <v>10349</v>
      </c>
      <c r="B3078" s="8" t="s">
        <v>1469</v>
      </c>
      <c r="C3078" s="8">
        <v>23019</v>
      </c>
      <c r="D3078" s="8" t="s">
        <v>129</v>
      </c>
      <c r="E3078" s="8">
        <v>58581094</v>
      </c>
      <c r="F3078" s="8">
        <v>58581094</v>
      </c>
      <c r="G3078" s="8" t="s">
        <v>46</v>
      </c>
      <c r="H3078" s="8" t="s">
        <v>41</v>
      </c>
      <c r="I3078" s="8" t="s">
        <v>23</v>
      </c>
      <c r="J3078" s="8" t="s">
        <v>12833</v>
      </c>
      <c r="K3078" s="8" t="s">
        <v>12835</v>
      </c>
      <c r="L3078" s="8" t="s">
        <v>19</v>
      </c>
      <c r="M3078" s="8">
        <v>4039</v>
      </c>
      <c r="N3078" s="8" t="s">
        <v>2664</v>
      </c>
      <c r="O3078" s="8">
        <v>1249</v>
      </c>
      <c r="P3078" s="8" t="s">
        <v>12834</v>
      </c>
      <c r="Q3078" s="8" t="s">
        <v>4262</v>
      </c>
      <c r="R3078" s="8">
        <v>0.182</v>
      </c>
      <c r="S3078" s="8">
        <v>58581094</v>
      </c>
      <c r="T3078" s="8" t="s">
        <v>46</v>
      </c>
      <c r="U3078" s="8" t="s">
        <v>41</v>
      </c>
    </row>
    <row r="3079" spans="1:21">
      <c r="A3079" s="8" t="s">
        <v>10349</v>
      </c>
      <c r="B3079" s="8" t="s">
        <v>1469</v>
      </c>
      <c r="C3079" s="8">
        <v>23019</v>
      </c>
      <c r="D3079" s="8" t="s">
        <v>129</v>
      </c>
      <c r="E3079" s="8">
        <v>58612613</v>
      </c>
      <c r="F3079" s="8">
        <v>58612613</v>
      </c>
      <c r="G3079" s="8" t="s">
        <v>46</v>
      </c>
      <c r="H3079" s="8" t="s">
        <v>41</v>
      </c>
      <c r="I3079" s="8" t="s">
        <v>23</v>
      </c>
      <c r="J3079" s="8" t="s">
        <v>12833</v>
      </c>
      <c r="K3079" s="8" t="s">
        <v>12835</v>
      </c>
      <c r="L3079" s="8" t="s">
        <v>76</v>
      </c>
      <c r="M3079" s="8">
        <v>1867</v>
      </c>
      <c r="N3079" s="8" t="s">
        <v>471</v>
      </c>
      <c r="O3079" s="8">
        <v>525</v>
      </c>
      <c r="P3079" s="8" t="s">
        <v>12836</v>
      </c>
      <c r="Q3079" s="8" t="s">
        <v>4262</v>
      </c>
      <c r="R3079" s="8">
        <v>0.24</v>
      </c>
      <c r="S3079" s="8">
        <v>58612613</v>
      </c>
      <c r="T3079" s="8" t="s">
        <v>46</v>
      </c>
      <c r="U3079" s="8" t="s">
        <v>41</v>
      </c>
    </row>
    <row r="3080" spans="1:21">
      <c r="A3080" s="8" t="s">
        <v>10349</v>
      </c>
      <c r="B3080" s="8" t="s">
        <v>12837</v>
      </c>
      <c r="C3080" s="8">
        <v>1003</v>
      </c>
      <c r="D3080" s="8" t="s">
        <v>129</v>
      </c>
      <c r="E3080" s="8">
        <v>66430084</v>
      </c>
      <c r="F3080" s="8">
        <v>66430084</v>
      </c>
      <c r="G3080" s="8" t="s">
        <v>46</v>
      </c>
      <c r="H3080" s="8" t="s">
        <v>41</v>
      </c>
      <c r="I3080" s="8" t="s">
        <v>23</v>
      </c>
      <c r="J3080" s="8" t="s">
        <v>12838</v>
      </c>
      <c r="K3080" s="8" t="s">
        <v>12840</v>
      </c>
      <c r="L3080" s="8" t="s">
        <v>19</v>
      </c>
      <c r="M3080" s="8">
        <v>1496</v>
      </c>
      <c r="N3080" s="8" t="s">
        <v>1421</v>
      </c>
      <c r="O3080" s="8">
        <v>447</v>
      </c>
      <c r="P3080" s="8" t="s">
        <v>12839</v>
      </c>
      <c r="Q3080" s="8" t="s">
        <v>4262</v>
      </c>
      <c r="R3080" s="8">
        <v>0.23300000000000001</v>
      </c>
      <c r="S3080" s="8">
        <v>66430084</v>
      </c>
      <c r="T3080" s="8" t="s">
        <v>46</v>
      </c>
      <c r="U3080" s="8" t="s">
        <v>41</v>
      </c>
    </row>
    <row r="3081" spans="1:21">
      <c r="A3081" s="8" t="s">
        <v>10349</v>
      </c>
      <c r="B3081" s="8" t="s">
        <v>12841</v>
      </c>
      <c r="C3081" s="8">
        <v>123920</v>
      </c>
      <c r="D3081" s="8" t="s">
        <v>129</v>
      </c>
      <c r="E3081" s="8">
        <v>66642308</v>
      </c>
      <c r="F3081" s="8">
        <v>66642308</v>
      </c>
      <c r="G3081" s="8" t="s">
        <v>46</v>
      </c>
      <c r="H3081" s="8" t="s">
        <v>41</v>
      </c>
      <c r="I3081" s="8" t="s">
        <v>23</v>
      </c>
      <c r="J3081" s="8" t="s">
        <v>12842</v>
      </c>
      <c r="K3081" s="8" t="s">
        <v>12844</v>
      </c>
      <c r="L3081" s="8" t="s">
        <v>19</v>
      </c>
      <c r="M3081" s="8">
        <v>550</v>
      </c>
      <c r="N3081" s="8" t="s">
        <v>58</v>
      </c>
      <c r="O3081" s="8">
        <v>82</v>
      </c>
      <c r="P3081" s="8" t="s">
        <v>12843</v>
      </c>
      <c r="Q3081" s="8" t="s">
        <v>4262</v>
      </c>
      <c r="R3081" s="8">
        <v>0.182</v>
      </c>
      <c r="S3081" s="8">
        <v>66642308</v>
      </c>
      <c r="T3081" s="8" t="s">
        <v>46</v>
      </c>
      <c r="U3081" s="8" t="s">
        <v>41</v>
      </c>
    </row>
    <row r="3082" spans="1:21">
      <c r="A3082" s="8" t="s">
        <v>10349</v>
      </c>
      <c r="B3082" s="8" t="s">
        <v>2532</v>
      </c>
      <c r="C3082" s="8">
        <v>1014</v>
      </c>
      <c r="D3082" s="8" t="s">
        <v>129</v>
      </c>
      <c r="E3082" s="8">
        <v>66947067</v>
      </c>
      <c r="F3082" s="8">
        <v>66947067</v>
      </c>
      <c r="G3082" s="8" t="s">
        <v>24</v>
      </c>
      <c r="H3082" s="8" t="s">
        <v>25</v>
      </c>
      <c r="I3082" s="8" t="s">
        <v>23</v>
      </c>
      <c r="J3082" s="8" t="s">
        <v>12845</v>
      </c>
      <c r="K3082" s="8" t="s">
        <v>12847</v>
      </c>
      <c r="L3082" s="8" t="s">
        <v>19</v>
      </c>
      <c r="M3082" s="8">
        <v>1215</v>
      </c>
      <c r="N3082" s="8" t="s">
        <v>2400</v>
      </c>
      <c r="O3082" s="8">
        <v>341</v>
      </c>
      <c r="P3082" s="8" t="s">
        <v>12846</v>
      </c>
      <c r="Q3082" s="8" t="s">
        <v>4262</v>
      </c>
      <c r="R3082" s="8">
        <v>0.17399999999999999</v>
      </c>
      <c r="S3082" s="8">
        <v>66947067</v>
      </c>
      <c r="T3082" s="8" t="s">
        <v>24</v>
      </c>
      <c r="U3082" s="8" t="s">
        <v>25</v>
      </c>
    </row>
    <row r="3083" spans="1:21">
      <c r="A3083" s="8" t="s">
        <v>10349</v>
      </c>
      <c r="B3083" s="8" t="s">
        <v>2533</v>
      </c>
      <c r="C3083" s="8">
        <v>146212</v>
      </c>
      <c r="D3083" s="8" t="s">
        <v>129</v>
      </c>
      <c r="E3083" s="8">
        <v>67333360</v>
      </c>
      <c r="F3083" s="8">
        <v>67333360</v>
      </c>
      <c r="G3083" s="8" t="s">
        <v>24</v>
      </c>
      <c r="H3083" s="8" t="s">
        <v>25</v>
      </c>
      <c r="I3083" s="8" t="s">
        <v>23</v>
      </c>
      <c r="J3083" s="8" t="s">
        <v>2534</v>
      </c>
      <c r="K3083" s="8" t="s">
        <v>12849</v>
      </c>
      <c r="L3083" s="8" t="s">
        <v>19</v>
      </c>
      <c r="M3083" s="8">
        <v>943</v>
      </c>
      <c r="N3083" s="8" t="s">
        <v>2440</v>
      </c>
      <c r="O3083" s="8">
        <v>298</v>
      </c>
      <c r="P3083" s="8" t="s">
        <v>12848</v>
      </c>
      <c r="Q3083" s="8" t="s">
        <v>4262</v>
      </c>
      <c r="R3083" s="8">
        <v>0.26100000000000001</v>
      </c>
      <c r="S3083" s="8">
        <v>67333360</v>
      </c>
      <c r="T3083" s="8" t="s">
        <v>24</v>
      </c>
      <c r="U3083" s="8" t="s">
        <v>25</v>
      </c>
    </row>
    <row r="3084" spans="1:21">
      <c r="A3084" s="8" t="s">
        <v>10349</v>
      </c>
      <c r="B3084" s="8" t="s">
        <v>703</v>
      </c>
      <c r="C3084" s="8">
        <v>10664</v>
      </c>
      <c r="D3084" s="8" t="s">
        <v>129</v>
      </c>
      <c r="E3084" s="8">
        <v>67662310</v>
      </c>
      <c r="F3084" s="8">
        <v>67662310</v>
      </c>
      <c r="G3084" s="8" t="s">
        <v>24</v>
      </c>
      <c r="H3084" s="8" t="s">
        <v>25</v>
      </c>
      <c r="I3084" s="8" t="s">
        <v>23</v>
      </c>
      <c r="J3084" s="8" t="s">
        <v>704</v>
      </c>
      <c r="K3084" s="8" t="s">
        <v>4905</v>
      </c>
      <c r="L3084" s="8" t="s">
        <v>19</v>
      </c>
      <c r="M3084" s="8">
        <v>2000</v>
      </c>
      <c r="N3084" s="8" t="s">
        <v>1399</v>
      </c>
      <c r="O3084" s="8">
        <v>519</v>
      </c>
      <c r="P3084" s="8" t="s">
        <v>12850</v>
      </c>
      <c r="Q3084" s="8" t="s">
        <v>4262</v>
      </c>
      <c r="R3084" s="8">
        <v>0.23100000000000001</v>
      </c>
      <c r="S3084" s="8">
        <v>67662310</v>
      </c>
      <c r="T3084" s="8" t="s">
        <v>24</v>
      </c>
      <c r="U3084" s="8" t="s">
        <v>25</v>
      </c>
    </row>
    <row r="3085" spans="1:21">
      <c r="A3085" s="8" t="s">
        <v>10349</v>
      </c>
      <c r="B3085" s="8" t="s">
        <v>2535</v>
      </c>
      <c r="C3085" s="8">
        <v>1001</v>
      </c>
      <c r="D3085" s="8" t="s">
        <v>129</v>
      </c>
      <c r="E3085" s="8">
        <v>68718703</v>
      </c>
      <c r="F3085" s="8">
        <v>68718703</v>
      </c>
      <c r="G3085" s="8" t="s">
        <v>46</v>
      </c>
      <c r="H3085" s="8" t="s">
        <v>41</v>
      </c>
      <c r="I3085" s="8" t="s">
        <v>23</v>
      </c>
      <c r="J3085" s="8" t="s">
        <v>2536</v>
      </c>
      <c r="K3085" s="8" t="s">
        <v>4907</v>
      </c>
      <c r="L3085" s="8" t="s">
        <v>19</v>
      </c>
      <c r="M3085" s="8">
        <v>2532</v>
      </c>
      <c r="N3085" s="8" t="s">
        <v>1140</v>
      </c>
      <c r="O3085" s="8">
        <v>467</v>
      </c>
      <c r="P3085" s="8" t="s">
        <v>12851</v>
      </c>
      <c r="Q3085" s="8" t="s">
        <v>4262</v>
      </c>
      <c r="R3085" s="8">
        <v>0.224</v>
      </c>
      <c r="S3085" s="8">
        <v>68718703</v>
      </c>
      <c r="T3085" s="8" t="s">
        <v>46</v>
      </c>
      <c r="U3085" s="8" t="s">
        <v>41</v>
      </c>
    </row>
    <row r="3086" spans="1:21">
      <c r="A3086" s="8" t="s">
        <v>10349</v>
      </c>
      <c r="B3086" s="8" t="s">
        <v>901</v>
      </c>
      <c r="C3086" s="8">
        <v>54768</v>
      </c>
      <c r="D3086" s="8" t="s">
        <v>129</v>
      </c>
      <c r="E3086" s="8">
        <v>70916600</v>
      </c>
      <c r="F3086" s="8">
        <v>70916600</v>
      </c>
      <c r="G3086" s="8" t="s">
        <v>46</v>
      </c>
      <c r="H3086" s="8" t="s">
        <v>41</v>
      </c>
      <c r="I3086" s="8" t="s">
        <v>23</v>
      </c>
      <c r="J3086" s="8" t="s">
        <v>902</v>
      </c>
      <c r="K3086" s="8" t="s">
        <v>12853</v>
      </c>
      <c r="L3086" s="8" t="s">
        <v>19</v>
      </c>
      <c r="M3086" s="8">
        <v>10303</v>
      </c>
      <c r="N3086" s="8" t="s">
        <v>618</v>
      </c>
      <c r="O3086" s="8">
        <v>3392</v>
      </c>
      <c r="P3086" s="8" t="s">
        <v>12852</v>
      </c>
      <c r="Q3086" s="8" t="s">
        <v>4262</v>
      </c>
      <c r="R3086" s="8">
        <v>0.16500000000000001</v>
      </c>
      <c r="S3086" s="8">
        <v>70916600</v>
      </c>
      <c r="T3086" s="8" t="s">
        <v>46</v>
      </c>
      <c r="U3086" s="8" t="s">
        <v>41</v>
      </c>
    </row>
    <row r="3087" spans="1:21">
      <c r="A3087" s="8" t="s">
        <v>10349</v>
      </c>
      <c r="B3087" s="8" t="s">
        <v>572</v>
      </c>
      <c r="C3087" s="8">
        <v>23035</v>
      </c>
      <c r="D3087" s="8" t="s">
        <v>129</v>
      </c>
      <c r="E3087" s="8">
        <v>71692624</v>
      </c>
      <c r="F3087" s="8">
        <v>71692624</v>
      </c>
      <c r="G3087" s="8" t="s">
        <v>24</v>
      </c>
      <c r="H3087" s="8" t="s">
        <v>25</v>
      </c>
      <c r="I3087" s="8" t="s">
        <v>23</v>
      </c>
      <c r="J3087" s="8" t="s">
        <v>573</v>
      </c>
      <c r="K3087" s="8" t="s">
        <v>12855</v>
      </c>
      <c r="L3087" s="8" t="s">
        <v>19</v>
      </c>
      <c r="M3087" s="8">
        <v>2086</v>
      </c>
      <c r="N3087" s="8" t="s">
        <v>504</v>
      </c>
      <c r="O3087" s="8">
        <v>694</v>
      </c>
      <c r="P3087" s="8" t="s">
        <v>12854</v>
      </c>
      <c r="Q3087" s="8" t="s">
        <v>4262</v>
      </c>
      <c r="R3087" s="8">
        <v>0.13500000000000001</v>
      </c>
      <c r="S3087" s="8">
        <v>71692624</v>
      </c>
      <c r="T3087" s="8" t="s">
        <v>24</v>
      </c>
      <c r="U3087" s="8" t="s">
        <v>25</v>
      </c>
    </row>
    <row r="3088" spans="1:21">
      <c r="A3088" s="8" t="s">
        <v>10349</v>
      </c>
      <c r="B3088" s="8" t="s">
        <v>12856</v>
      </c>
      <c r="C3088" s="8">
        <v>83449</v>
      </c>
      <c r="D3088" s="8" t="s">
        <v>129</v>
      </c>
      <c r="E3088" s="8">
        <v>72188313</v>
      </c>
      <c r="F3088" s="8">
        <v>72188313</v>
      </c>
      <c r="G3088" s="8" t="s">
        <v>46</v>
      </c>
      <c r="H3088" s="8" t="s">
        <v>41</v>
      </c>
      <c r="I3088" s="8" t="s">
        <v>23</v>
      </c>
      <c r="J3088" s="8" t="s">
        <v>12857</v>
      </c>
      <c r="K3088" s="8" t="s">
        <v>12859</v>
      </c>
      <c r="L3088" s="8" t="s">
        <v>19</v>
      </c>
      <c r="M3088" s="8">
        <v>383</v>
      </c>
      <c r="N3088" s="8" t="s">
        <v>758</v>
      </c>
      <c r="O3088" s="8">
        <v>71</v>
      </c>
      <c r="P3088" s="8" t="s">
        <v>12858</v>
      </c>
      <c r="Q3088" s="8" t="s">
        <v>4262</v>
      </c>
      <c r="R3088" s="8">
        <v>0.188</v>
      </c>
      <c r="S3088" s="8">
        <v>72188313</v>
      </c>
      <c r="T3088" s="8" t="s">
        <v>46</v>
      </c>
      <c r="U3088" s="8" t="s">
        <v>41</v>
      </c>
    </row>
    <row r="3089" spans="1:21">
      <c r="A3089" s="8" t="s">
        <v>10349</v>
      </c>
      <c r="B3089" s="8" t="s">
        <v>12860</v>
      </c>
      <c r="C3089" s="8">
        <v>440387</v>
      </c>
      <c r="D3089" s="8" t="s">
        <v>129</v>
      </c>
      <c r="E3089" s="8">
        <v>75238112</v>
      </c>
      <c r="F3089" s="8">
        <v>75238112</v>
      </c>
      <c r="G3089" s="8" t="s">
        <v>46</v>
      </c>
      <c r="H3089" s="8" t="s">
        <v>41</v>
      </c>
      <c r="I3089" s="8" t="s">
        <v>23</v>
      </c>
      <c r="J3089" s="8" t="s">
        <v>12861</v>
      </c>
      <c r="K3089" s="8" t="s">
        <v>12863</v>
      </c>
      <c r="L3089" s="8" t="s">
        <v>19</v>
      </c>
      <c r="M3089" s="8">
        <v>772</v>
      </c>
      <c r="N3089" s="8" t="s">
        <v>155</v>
      </c>
      <c r="O3089" s="8">
        <v>247</v>
      </c>
      <c r="P3089" s="8" t="s">
        <v>12862</v>
      </c>
      <c r="Q3089" s="8" t="s">
        <v>4262</v>
      </c>
      <c r="R3089" s="8">
        <v>0.26300000000000001</v>
      </c>
      <c r="S3089" s="8">
        <v>75238112</v>
      </c>
      <c r="T3089" s="8" t="s">
        <v>46</v>
      </c>
      <c r="U3089" s="8" t="s">
        <v>41</v>
      </c>
    </row>
    <row r="3090" spans="1:21">
      <c r="A3090" s="8" t="s">
        <v>10349</v>
      </c>
      <c r="B3090" s="8" t="s">
        <v>2539</v>
      </c>
      <c r="C3090" s="8">
        <v>22879</v>
      </c>
      <c r="D3090" s="8" t="s">
        <v>129</v>
      </c>
      <c r="E3090" s="8">
        <v>77232173</v>
      </c>
      <c r="F3090" s="8">
        <v>77232173</v>
      </c>
      <c r="G3090" s="8" t="s">
        <v>24</v>
      </c>
      <c r="H3090" s="8" t="s">
        <v>25</v>
      </c>
      <c r="I3090" s="8" t="s">
        <v>23</v>
      </c>
      <c r="J3090" s="8" t="s">
        <v>2540</v>
      </c>
      <c r="K3090" s="8" t="s">
        <v>12865</v>
      </c>
      <c r="L3090" s="8" t="s">
        <v>19</v>
      </c>
      <c r="M3090" s="8">
        <v>1942</v>
      </c>
      <c r="N3090" s="8" t="s">
        <v>768</v>
      </c>
      <c r="O3090" s="8">
        <v>538</v>
      </c>
      <c r="P3090" s="8" t="s">
        <v>12864</v>
      </c>
      <c r="Q3090" s="8" t="s">
        <v>4262</v>
      </c>
      <c r="R3090" s="8">
        <v>0.25</v>
      </c>
      <c r="S3090" s="8">
        <v>77232173</v>
      </c>
      <c r="T3090" s="8" t="s">
        <v>24</v>
      </c>
      <c r="U3090" s="8" t="s">
        <v>25</v>
      </c>
    </row>
    <row r="3091" spans="1:21">
      <c r="A3091" s="8" t="s">
        <v>10349</v>
      </c>
      <c r="B3091" s="8" t="s">
        <v>9296</v>
      </c>
      <c r="C3091" s="8">
        <v>170692</v>
      </c>
      <c r="D3091" s="8" t="s">
        <v>129</v>
      </c>
      <c r="E3091" s="8">
        <v>77327082</v>
      </c>
      <c r="F3091" s="8">
        <v>77327082</v>
      </c>
      <c r="G3091" s="8" t="s">
        <v>24</v>
      </c>
      <c r="H3091" s="8" t="s">
        <v>25</v>
      </c>
      <c r="I3091" s="8" t="s">
        <v>23</v>
      </c>
      <c r="J3091" s="8" t="s">
        <v>9297</v>
      </c>
      <c r="K3091" s="8" t="s">
        <v>9299</v>
      </c>
      <c r="L3091" s="8" t="s">
        <v>19</v>
      </c>
      <c r="M3091" s="8">
        <v>3499</v>
      </c>
      <c r="N3091" s="8" t="s">
        <v>333</v>
      </c>
      <c r="O3091" s="8">
        <v>1027</v>
      </c>
      <c r="P3091" s="8" t="s">
        <v>12866</v>
      </c>
      <c r="Q3091" s="8" t="s">
        <v>4262</v>
      </c>
      <c r="R3091" s="8">
        <v>0.25900000000000001</v>
      </c>
      <c r="S3091" s="8">
        <v>77327082</v>
      </c>
      <c r="T3091" s="8" t="s">
        <v>24</v>
      </c>
      <c r="U3091" s="8" t="s">
        <v>25</v>
      </c>
    </row>
    <row r="3092" spans="1:21">
      <c r="A3092" s="8" t="s">
        <v>10349</v>
      </c>
      <c r="B3092" s="8" t="s">
        <v>1797</v>
      </c>
      <c r="C3092" s="8">
        <v>54715</v>
      </c>
      <c r="D3092" s="8" t="s">
        <v>129</v>
      </c>
      <c r="E3092" s="8">
        <v>7760650</v>
      </c>
      <c r="F3092" s="8">
        <v>7760650</v>
      </c>
      <c r="G3092" s="8" t="s">
        <v>46</v>
      </c>
      <c r="H3092" s="8" t="s">
        <v>41</v>
      </c>
      <c r="I3092" s="8" t="s">
        <v>23</v>
      </c>
      <c r="J3092" s="8" t="s">
        <v>7936</v>
      </c>
      <c r="K3092" s="8" t="s">
        <v>7938</v>
      </c>
      <c r="L3092" s="8" t="s">
        <v>19</v>
      </c>
      <c r="M3092" s="8">
        <v>1412</v>
      </c>
      <c r="N3092" s="8" t="s">
        <v>1421</v>
      </c>
      <c r="O3092" s="8">
        <v>387</v>
      </c>
      <c r="P3092" s="8" t="s">
        <v>12867</v>
      </c>
      <c r="Q3092" s="8" t="s">
        <v>4262</v>
      </c>
      <c r="R3092" s="8">
        <v>0.30199999999999999</v>
      </c>
      <c r="S3092" s="8">
        <v>7760650</v>
      </c>
      <c r="T3092" s="8" t="s">
        <v>46</v>
      </c>
      <c r="U3092" s="8" t="s">
        <v>41</v>
      </c>
    </row>
    <row r="3093" spans="1:21">
      <c r="A3093" s="8" t="s">
        <v>10349</v>
      </c>
      <c r="B3093" s="8" t="s">
        <v>12868</v>
      </c>
      <c r="C3093" s="8">
        <v>8139</v>
      </c>
      <c r="D3093" s="8" t="s">
        <v>129</v>
      </c>
      <c r="E3093" s="8">
        <v>81388134</v>
      </c>
      <c r="F3093" s="8">
        <v>81388134</v>
      </c>
      <c r="G3093" s="8" t="s">
        <v>24</v>
      </c>
      <c r="H3093" s="8" t="s">
        <v>25</v>
      </c>
      <c r="I3093" s="8" t="s">
        <v>23</v>
      </c>
      <c r="J3093" s="8" t="s">
        <v>12869</v>
      </c>
      <c r="K3093" s="8" t="s">
        <v>12870</v>
      </c>
      <c r="L3093" s="8" t="s">
        <v>19</v>
      </c>
      <c r="M3093" s="8">
        <v>555</v>
      </c>
      <c r="N3093" s="8" t="s">
        <v>796</v>
      </c>
      <c r="O3093" s="8">
        <v>136</v>
      </c>
      <c r="P3093" s="8" t="s">
        <v>11202</v>
      </c>
      <c r="Q3093" s="8" t="s">
        <v>4262</v>
      </c>
      <c r="R3093" s="8">
        <v>0.13</v>
      </c>
      <c r="S3093" s="8">
        <v>81388134</v>
      </c>
      <c r="T3093" s="8" t="s">
        <v>24</v>
      </c>
      <c r="U3093" s="8" t="s">
        <v>25</v>
      </c>
    </row>
    <row r="3094" spans="1:21">
      <c r="A3094" s="8" t="s">
        <v>10349</v>
      </c>
      <c r="B3094" s="8" t="s">
        <v>12871</v>
      </c>
      <c r="C3094" s="8">
        <v>93517</v>
      </c>
      <c r="D3094" s="8" t="s">
        <v>129</v>
      </c>
      <c r="E3094" s="8">
        <v>82033077</v>
      </c>
      <c r="F3094" s="8">
        <v>82033077</v>
      </c>
      <c r="G3094" s="8" t="s">
        <v>46</v>
      </c>
      <c r="H3094" s="8" t="s">
        <v>41</v>
      </c>
      <c r="I3094" s="8" t="s">
        <v>23</v>
      </c>
      <c r="J3094" s="8" t="s">
        <v>12872</v>
      </c>
      <c r="K3094" s="8" t="s">
        <v>12874</v>
      </c>
      <c r="L3094" s="8" t="s">
        <v>19</v>
      </c>
      <c r="M3094" s="8">
        <v>949</v>
      </c>
      <c r="N3094" s="8" t="s">
        <v>205</v>
      </c>
      <c r="O3094" s="8">
        <v>274</v>
      </c>
      <c r="P3094" s="8" t="s">
        <v>12873</v>
      </c>
      <c r="Q3094" s="8" t="s">
        <v>4262</v>
      </c>
      <c r="R3094" s="8">
        <v>0.156</v>
      </c>
      <c r="S3094" s="8">
        <v>82033077</v>
      </c>
      <c r="T3094" s="8" t="s">
        <v>46</v>
      </c>
      <c r="U3094" s="8" t="s">
        <v>41</v>
      </c>
    </row>
    <row r="3095" spans="1:21">
      <c r="A3095" s="8" t="s">
        <v>10349</v>
      </c>
      <c r="B3095" s="8" t="s">
        <v>12875</v>
      </c>
      <c r="C3095" s="8">
        <v>2294</v>
      </c>
      <c r="D3095" s="8" t="s">
        <v>129</v>
      </c>
      <c r="E3095" s="8">
        <v>86544623</v>
      </c>
      <c r="F3095" s="8">
        <v>86544623</v>
      </c>
      <c r="G3095" s="8" t="s">
        <v>24</v>
      </c>
      <c r="H3095" s="8" t="s">
        <v>25</v>
      </c>
      <c r="I3095" s="8" t="s">
        <v>23</v>
      </c>
      <c r="J3095" s="8" t="s">
        <v>12876</v>
      </c>
      <c r="K3095" s="8" t="s">
        <v>12878</v>
      </c>
      <c r="L3095" s="8" t="s">
        <v>19</v>
      </c>
      <c r="M3095" s="8">
        <v>491</v>
      </c>
      <c r="N3095" s="8" t="s">
        <v>941</v>
      </c>
      <c r="O3095" s="8">
        <v>150</v>
      </c>
      <c r="P3095" s="8" t="s">
        <v>12877</v>
      </c>
      <c r="Q3095" s="8" t="s">
        <v>4262</v>
      </c>
      <c r="R3095" s="8">
        <v>0.316</v>
      </c>
      <c r="S3095" s="8">
        <v>86544623</v>
      </c>
      <c r="T3095" s="8" t="s">
        <v>24</v>
      </c>
      <c r="U3095" s="8" t="s">
        <v>25</v>
      </c>
    </row>
    <row r="3096" spans="1:21">
      <c r="A3096" s="8" t="s">
        <v>10349</v>
      </c>
      <c r="B3096" s="8" t="s">
        <v>2542</v>
      </c>
      <c r="C3096" s="8">
        <v>57338</v>
      </c>
      <c r="D3096" s="8" t="s">
        <v>129</v>
      </c>
      <c r="E3096" s="8">
        <v>87678335</v>
      </c>
      <c r="F3096" s="8">
        <v>87678335</v>
      </c>
      <c r="G3096" s="8" t="s">
        <v>46</v>
      </c>
      <c r="H3096" s="8" t="s">
        <v>41</v>
      </c>
      <c r="I3096" s="8" t="s">
        <v>23</v>
      </c>
      <c r="J3096" s="8" t="s">
        <v>2543</v>
      </c>
      <c r="K3096" s="8" t="s">
        <v>12880</v>
      </c>
      <c r="L3096" s="8" t="s">
        <v>19</v>
      </c>
      <c r="M3096" s="8">
        <v>1108</v>
      </c>
      <c r="N3096" s="8" t="s">
        <v>1325</v>
      </c>
      <c r="O3096" s="8">
        <v>285</v>
      </c>
      <c r="P3096" s="8" t="s">
        <v>12879</v>
      </c>
      <c r="Q3096" s="8" t="s">
        <v>4262</v>
      </c>
      <c r="R3096" s="8">
        <v>0.27300000000000002</v>
      </c>
      <c r="S3096" s="8">
        <v>87678335</v>
      </c>
      <c r="T3096" s="8" t="s">
        <v>46</v>
      </c>
      <c r="U3096" s="8" t="s">
        <v>41</v>
      </c>
    </row>
    <row r="3097" spans="1:21">
      <c r="A3097" s="8" t="s">
        <v>10349</v>
      </c>
      <c r="B3097" s="8" t="s">
        <v>1472</v>
      </c>
      <c r="C3097" s="8">
        <v>197322</v>
      </c>
      <c r="D3097" s="8" t="s">
        <v>129</v>
      </c>
      <c r="E3097" s="8">
        <v>89187217</v>
      </c>
      <c r="F3097" s="8">
        <v>89187217</v>
      </c>
      <c r="G3097" s="8" t="s">
        <v>24</v>
      </c>
      <c r="H3097" s="8" t="s">
        <v>25</v>
      </c>
      <c r="I3097" s="8" t="s">
        <v>23</v>
      </c>
      <c r="J3097" s="8" t="s">
        <v>12881</v>
      </c>
      <c r="K3097" s="8" t="s">
        <v>12883</v>
      </c>
      <c r="L3097" s="8" t="s">
        <v>19</v>
      </c>
      <c r="M3097" s="8">
        <v>1306</v>
      </c>
      <c r="N3097" s="8" t="s">
        <v>28</v>
      </c>
      <c r="O3097" s="8">
        <v>379</v>
      </c>
      <c r="P3097" s="8" t="s">
        <v>12882</v>
      </c>
      <c r="Q3097" s="8" t="s">
        <v>4262</v>
      </c>
      <c r="R3097" s="8">
        <v>0.21099999999999999</v>
      </c>
      <c r="S3097" s="8">
        <v>89187217</v>
      </c>
      <c r="T3097" s="8" t="s">
        <v>24</v>
      </c>
      <c r="U3097" s="8" t="s">
        <v>25</v>
      </c>
    </row>
    <row r="3098" spans="1:21">
      <c r="A3098" s="8" t="s">
        <v>10349</v>
      </c>
      <c r="B3098" s="8" t="s">
        <v>3950</v>
      </c>
      <c r="C3098" s="8">
        <v>64285</v>
      </c>
      <c r="D3098" s="8" t="s">
        <v>129</v>
      </c>
      <c r="E3098" s="8">
        <v>112606</v>
      </c>
      <c r="F3098" s="8">
        <v>112606</v>
      </c>
      <c r="G3098" s="8" t="s">
        <v>46</v>
      </c>
      <c r="H3098" s="8" t="s">
        <v>41</v>
      </c>
      <c r="I3098" s="8" t="s">
        <v>23</v>
      </c>
      <c r="J3098" s="8" t="s">
        <v>12884</v>
      </c>
      <c r="K3098" s="8" t="s">
        <v>12886</v>
      </c>
      <c r="L3098" s="8" t="s">
        <v>19</v>
      </c>
      <c r="M3098" s="8">
        <v>1026</v>
      </c>
      <c r="N3098" s="8" t="s">
        <v>1070</v>
      </c>
      <c r="O3098" s="8">
        <v>295</v>
      </c>
      <c r="P3098" s="8" t="s">
        <v>12885</v>
      </c>
      <c r="Q3098" s="8" t="s">
        <v>4262</v>
      </c>
      <c r="R3098" s="8">
        <v>0.23499999999999999</v>
      </c>
      <c r="S3098" s="8">
        <v>112606</v>
      </c>
      <c r="T3098" s="8" t="s">
        <v>46</v>
      </c>
      <c r="U3098" s="8" t="s">
        <v>41</v>
      </c>
    </row>
    <row r="3099" spans="1:21">
      <c r="A3099" s="8" t="s">
        <v>10349</v>
      </c>
      <c r="B3099" s="8" t="s">
        <v>12887</v>
      </c>
      <c r="C3099" s="8">
        <v>4682</v>
      </c>
      <c r="D3099" s="8" t="s">
        <v>129</v>
      </c>
      <c r="E3099" s="8">
        <v>10841065</v>
      </c>
      <c r="F3099" s="8">
        <v>10841065</v>
      </c>
      <c r="G3099" s="8" t="s">
        <v>24</v>
      </c>
      <c r="H3099" s="8" t="s">
        <v>25</v>
      </c>
      <c r="I3099" s="8" t="s">
        <v>23</v>
      </c>
      <c r="J3099" s="8" t="s">
        <v>12888</v>
      </c>
      <c r="K3099" s="8" t="s">
        <v>12890</v>
      </c>
      <c r="L3099" s="8" t="s">
        <v>19</v>
      </c>
      <c r="M3099" s="8">
        <v>213</v>
      </c>
      <c r="N3099" s="8" t="s">
        <v>536</v>
      </c>
      <c r="O3099" s="8">
        <v>64</v>
      </c>
      <c r="P3099" s="8" t="s">
        <v>12889</v>
      </c>
      <c r="Q3099" s="8" t="s">
        <v>4262</v>
      </c>
      <c r="R3099" s="8">
        <v>0.20899999999999999</v>
      </c>
      <c r="S3099" s="8">
        <v>10841065</v>
      </c>
      <c r="T3099" s="8" t="s">
        <v>24</v>
      </c>
      <c r="U3099" s="8" t="s">
        <v>25</v>
      </c>
    </row>
    <row r="3100" spans="1:21">
      <c r="A3100" s="8" t="s">
        <v>10349</v>
      </c>
      <c r="B3100" s="8" t="s">
        <v>12891</v>
      </c>
      <c r="C3100" s="8">
        <v>2072</v>
      </c>
      <c r="D3100" s="8" t="s">
        <v>129</v>
      </c>
      <c r="E3100" s="8">
        <v>14041950</v>
      </c>
      <c r="F3100" s="8">
        <v>14041950</v>
      </c>
      <c r="G3100" s="8" t="s">
        <v>24</v>
      </c>
      <c r="H3100" s="8" t="s">
        <v>25</v>
      </c>
      <c r="I3100" s="8" t="s">
        <v>23</v>
      </c>
      <c r="J3100" s="8" t="s">
        <v>12892</v>
      </c>
      <c r="K3100" s="8" t="s">
        <v>12894</v>
      </c>
      <c r="L3100" s="8" t="s">
        <v>19</v>
      </c>
      <c r="M3100" s="8">
        <v>2506</v>
      </c>
      <c r="N3100" s="8" t="s">
        <v>1070</v>
      </c>
      <c r="O3100" s="8">
        <v>833</v>
      </c>
      <c r="P3100" s="8" t="s">
        <v>12893</v>
      </c>
      <c r="Q3100" s="8" t="s">
        <v>4262</v>
      </c>
      <c r="R3100" s="8">
        <v>0.35299999999999998</v>
      </c>
      <c r="S3100" s="8">
        <v>14041950</v>
      </c>
      <c r="T3100" s="8" t="s">
        <v>24</v>
      </c>
      <c r="U3100" s="8" t="s">
        <v>25</v>
      </c>
    </row>
    <row r="3101" spans="1:21">
      <c r="A3101" s="8" t="s">
        <v>10349</v>
      </c>
      <c r="B3101" s="8" t="s">
        <v>12895</v>
      </c>
      <c r="C3101" s="8">
        <v>54820</v>
      </c>
      <c r="D3101" s="8" t="s">
        <v>129</v>
      </c>
      <c r="E3101" s="8">
        <v>15758661</v>
      </c>
      <c r="F3101" s="8">
        <v>15758661</v>
      </c>
      <c r="G3101" s="8" t="s">
        <v>24</v>
      </c>
      <c r="H3101" s="8" t="s">
        <v>25</v>
      </c>
      <c r="I3101" s="8" t="s">
        <v>23</v>
      </c>
      <c r="J3101" s="8" t="s">
        <v>12896</v>
      </c>
      <c r="K3101" s="8" t="s">
        <v>12898</v>
      </c>
      <c r="L3101" s="8" t="s">
        <v>19</v>
      </c>
      <c r="M3101" s="8">
        <v>138</v>
      </c>
      <c r="N3101" s="8" t="s">
        <v>708</v>
      </c>
      <c r="O3101" s="8">
        <v>9</v>
      </c>
      <c r="P3101" s="8" t="s">
        <v>12897</v>
      </c>
      <c r="Q3101" s="8" t="s">
        <v>4262</v>
      </c>
      <c r="R3101" s="8">
        <v>0.22500000000000001</v>
      </c>
      <c r="S3101" s="8">
        <v>15758661</v>
      </c>
      <c r="T3101" s="8" t="s">
        <v>24</v>
      </c>
      <c r="U3101" s="8" t="s">
        <v>25</v>
      </c>
    </row>
    <row r="3102" spans="1:21">
      <c r="A3102" s="8" t="s">
        <v>10349</v>
      </c>
      <c r="B3102" s="8" t="s">
        <v>2525</v>
      </c>
      <c r="C3102" s="8">
        <v>4629</v>
      </c>
      <c r="D3102" s="8" t="s">
        <v>129</v>
      </c>
      <c r="E3102" s="8">
        <v>15814805</v>
      </c>
      <c r="F3102" s="8">
        <v>15814805</v>
      </c>
      <c r="G3102" s="8" t="s">
        <v>24</v>
      </c>
      <c r="H3102" s="8" t="s">
        <v>25</v>
      </c>
      <c r="I3102" s="8" t="s">
        <v>23</v>
      </c>
      <c r="J3102" s="8" t="s">
        <v>12899</v>
      </c>
      <c r="K3102" s="8" t="s">
        <v>12901</v>
      </c>
      <c r="L3102" s="8" t="s">
        <v>19</v>
      </c>
      <c r="M3102" s="8">
        <v>4810</v>
      </c>
      <c r="N3102" s="8" t="s">
        <v>1421</v>
      </c>
      <c r="O3102" s="8">
        <v>1568</v>
      </c>
      <c r="P3102" s="8" t="s">
        <v>12900</v>
      </c>
      <c r="Q3102" s="8" t="s">
        <v>4262</v>
      </c>
      <c r="R3102" s="8">
        <v>0.3</v>
      </c>
      <c r="S3102" s="8">
        <v>15814805</v>
      </c>
      <c r="T3102" s="8" t="s">
        <v>24</v>
      </c>
      <c r="U3102" s="8" t="s">
        <v>25</v>
      </c>
    </row>
    <row r="3103" spans="1:21">
      <c r="A3103" s="8" t="s">
        <v>10349</v>
      </c>
      <c r="B3103" s="8" t="s">
        <v>12902</v>
      </c>
      <c r="C3103" s="8">
        <v>23049</v>
      </c>
      <c r="D3103" s="8" t="s">
        <v>129</v>
      </c>
      <c r="E3103" s="8">
        <v>18846256</v>
      </c>
      <c r="F3103" s="8">
        <v>18846256</v>
      </c>
      <c r="G3103" s="8" t="s">
        <v>46</v>
      </c>
      <c r="H3103" s="8" t="s">
        <v>41</v>
      </c>
      <c r="I3103" s="8" t="s">
        <v>23</v>
      </c>
      <c r="J3103" s="8" t="s">
        <v>12903</v>
      </c>
      <c r="K3103" s="8" t="s">
        <v>12905</v>
      </c>
      <c r="L3103" s="8" t="s">
        <v>19</v>
      </c>
      <c r="M3103" s="8">
        <v>8651</v>
      </c>
      <c r="N3103" s="8" t="s">
        <v>2664</v>
      </c>
      <c r="O3103" s="8">
        <v>2763</v>
      </c>
      <c r="P3103" s="8" t="s">
        <v>12904</v>
      </c>
      <c r="Q3103" s="8" t="s">
        <v>4262</v>
      </c>
      <c r="R3103" s="8">
        <v>0.186</v>
      </c>
      <c r="S3103" s="8">
        <v>18846256</v>
      </c>
      <c r="T3103" s="8" t="s">
        <v>46</v>
      </c>
      <c r="U3103" s="8" t="s">
        <v>41</v>
      </c>
    </row>
    <row r="3104" spans="1:21">
      <c r="A3104" s="8" t="s">
        <v>10349</v>
      </c>
      <c r="B3104" s="8" t="s">
        <v>12902</v>
      </c>
      <c r="C3104" s="8">
        <v>23049</v>
      </c>
      <c r="D3104" s="8" t="s">
        <v>129</v>
      </c>
      <c r="E3104" s="8">
        <v>18849723</v>
      </c>
      <c r="F3104" s="8">
        <v>18849723</v>
      </c>
      <c r="G3104" s="8" t="s">
        <v>46</v>
      </c>
      <c r="H3104" s="8" t="s">
        <v>41</v>
      </c>
      <c r="I3104" s="8" t="s">
        <v>23</v>
      </c>
      <c r="J3104" s="8" t="s">
        <v>12903</v>
      </c>
      <c r="K3104" s="8" t="s">
        <v>12905</v>
      </c>
      <c r="L3104" s="8" t="s">
        <v>19</v>
      </c>
      <c r="M3104" s="8">
        <v>7513</v>
      </c>
      <c r="N3104" s="8" t="s">
        <v>878</v>
      </c>
      <c r="O3104" s="8">
        <v>2384</v>
      </c>
      <c r="P3104" s="8" t="s">
        <v>12906</v>
      </c>
      <c r="Q3104" s="8" t="s">
        <v>4262</v>
      </c>
      <c r="R3104" s="8">
        <v>9.2999999999999999E-2</v>
      </c>
      <c r="S3104" s="8">
        <v>18849723</v>
      </c>
      <c r="T3104" s="8" t="s">
        <v>46</v>
      </c>
      <c r="U3104" s="8" t="s">
        <v>41</v>
      </c>
    </row>
    <row r="3105" spans="1:21">
      <c r="A3105" s="8" t="s">
        <v>10349</v>
      </c>
      <c r="B3105" s="8" t="s">
        <v>12907</v>
      </c>
      <c r="C3105" s="8">
        <v>79905</v>
      </c>
      <c r="D3105" s="8" t="s">
        <v>129</v>
      </c>
      <c r="E3105" s="8">
        <v>19033055</v>
      </c>
      <c r="F3105" s="8">
        <v>19033055</v>
      </c>
      <c r="G3105" s="8" t="s">
        <v>24</v>
      </c>
      <c r="H3105" s="8" t="s">
        <v>25</v>
      </c>
      <c r="I3105" s="8" t="s">
        <v>23</v>
      </c>
      <c r="J3105" s="8" t="s">
        <v>12908</v>
      </c>
      <c r="K3105" s="8" t="s">
        <v>12910</v>
      </c>
      <c r="L3105" s="8" t="s">
        <v>19</v>
      </c>
      <c r="M3105" s="8">
        <v>695</v>
      </c>
      <c r="N3105" s="8" t="s">
        <v>21</v>
      </c>
      <c r="O3105" s="8">
        <v>189</v>
      </c>
      <c r="P3105" s="8" t="s">
        <v>12909</v>
      </c>
      <c r="Q3105" s="8" t="s">
        <v>4262</v>
      </c>
      <c r="R3105" s="8">
        <v>0.188</v>
      </c>
      <c r="S3105" s="8">
        <v>19033055</v>
      </c>
      <c r="T3105" s="8" t="s">
        <v>24</v>
      </c>
      <c r="U3105" s="8" t="s">
        <v>25</v>
      </c>
    </row>
    <row r="3106" spans="1:21">
      <c r="A3106" s="8" t="s">
        <v>10349</v>
      </c>
      <c r="B3106" s="8" t="s">
        <v>2938</v>
      </c>
      <c r="C3106" s="8">
        <v>57020</v>
      </c>
      <c r="D3106" s="8" t="s">
        <v>129</v>
      </c>
      <c r="E3106" s="8">
        <v>19640014</v>
      </c>
      <c r="F3106" s="8">
        <v>19640014</v>
      </c>
      <c r="G3106" s="8" t="s">
        <v>24</v>
      </c>
      <c r="H3106" s="8" t="s">
        <v>25</v>
      </c>
      <c r="I3106" s="8" t="s">
        <v>23</v>
      </c>
      <c r="J3106" s="8" t="s">
        <v>2939</v>
      </c>
      <c r="K3106" s="8" t="s">
        <v>12912</v>
      </c>
      <c r="L3106" s="8" t="s">
        <v>19</v>
      </c>
      <c r="M3106" s="8">
        <v>1754</v>
      </c>
      <c r="N3106" s="8" t="s">
        <v>2664</v>
      </c>
      <c r="O3106" s="8">
        <v>569</v>
      </c>
      <c r="P3106" s="8" t="s">
        <v>12911</v>
      </c>
      <c r="Q3106" s="8" t="s">
        <v>4262</v>
      </c>
      <c r="R3106" s="8">
        <v>0.19</v>
      </c>
      <c r="S3106" s="8">
        <v>19640014</v>
      </c>
      <c r="T3106" s="8" t="s">
        <v>24</v>
      </c>
      <c r="U3106" s="8" t="s">
        <v>25</v>
      </c>
    </row>
    <row r="3107" spans="1:21">
      <c r="A3107" s="8" t="s">
        <v>10349</v>
      </c>
      <c r="B3107" s="8" t="s">
        <v>2526</v>
      </c>
      <c r="C3107" s="8">
        <v>146177</v>
      </c>
      <c r="D3107" s="8" t="s">
        <v>129</v>
      </c>
      <c r="E3107" s="8">
        <v>22155692</v>
      </c>
      <c r="F3107" s="8">
        <v>22155692</v>
      </c>
      <c r="G3107" s="8" t="s">
        <v>24</v>
      </c>
      <c r="H3107" s="8" t="s">
        <v>25</v>
      </c>
      <c r="I3107" s="8" t="s">
        <v>23</v>
      </c>
      <c r="J3107" s="8" t="s">
        <v>2527</v>
      </c>
      <c r="K3107" s="8" t="s">
        <v>12914</v>
      </c>
      <c r="L3107" s="8" t="s">
        <v>19</v>
      </c>
      <c r="M3107" s="8">
        <v>2813</v>
      </c>
      <c r="N3107" s="8" t="s">
        <v>708</v>
      </c>
      <c r="O3107" s="8">
        <v>906</v>
      </c>
      <c r="P3107" s="8" t="s">
        <v>12913</v>
      </c>
      <c r="Q3107" s="8" t="s">
        <v>4262</v>
      </c>
      <c r="R3107" s="8">
        <v>0.24</v>
      </c>
      <c r="S3107" s="8">
        <v>22155692</v>
      </c>
      <c r="T3107" s="8" t="s">
        <v>24</v>
      </c>
      <c r="U3107" s="8" t="s">
        <v>25</v>
      </c>
    </row>
    <row r="3108" spans="1:21">
      <c r="A3108" s="8" t="s">
        <v>10349</v>
      </c>
      <c r="B3108" s="8" t="s">
        <v>2528</v>
      </c>
      <c r="C3108" s="8">
        <v>5579</v>
      </c>
      <c r="D3108" s="8" t="s">
        <v>129</v>
      </c>
      <c r="E3108" s="8">
        <v>24202450</v>
      </c>
      <c r="F3108" s="8">
        <v>24202450</v>
      </c>
      <c r="G3108" s="8" t="s">
        <v>46</v>
      </c>
      <c r="H3108" s="8" t="s">
        <v>41</v>
      </c>
      <c r="I3108" s="8" t="s">
        <v>23</v>
      </c>
      <c r="J3108" s="8" t="s">
        <v>12915</v>
      </c>
      <c r="K3108" s="8" t="s">
        <v>12917</v>
      </c>
      <c r="L3108" s="8" t="s">
        <v>19</v>
      </c>
      <c r="M3108" s="8">
        <v>1959</v>
      </c>
      <c r="N3108" s="8" t="s">
        <v>415</v>
      </c>
      <c r="O3108" s="8">
        <v>588</v>
      </c>
      <c r="P3108" s="8" t="s">
        <v>12916</v>
      </c>
      <c r="Q3108" s="8" t="s">
        <v>4262</v>
      </c>
      <c r="R3108" s="8">
        <v>0.28899999999999998</v>
      </c>
      <c r="S3108" s="8">
        <v>24202450</v>
      </c>
      <c r="T3108" s="8" t="s">
        <v>46</v>
      </c>
      <c r="U3108" s="8" t="s">
        <v>41</v>
      </c>
    </row>
    <row r="3109" spans="1:21">
      <c r="A3109" s="8" t="s">
        <v>10349</v>
      </c>
      <c r="B3109" s="8" t="s">
        <v>12918</v>
      </c>
      <c r="C3109" s="8">
        <v>27327</v>
      </c>
      <c r="D3109" s="8" t="s">
        <v>129</v>
      </c>
      <c r="E3109" s="8">
        <v>24805936</v>
      </c>
      <c r="F3109" s="8">
        <v>24805936</v>
      </c>
      <c r="G3109" s="8" t="s">
        <v>24</v>
      </c>
      <c r="H3109" s="8" t="s">
        <v>25</v>
      </c>
      <c r="I3109" s="8" t="s">
        <v>23</v>
      </c>
      <c r="J3109" s="8" t="s">
        <v>12919</v>
      </c>
      <c r="K3109" s="8" t="s">
        <v>12921</v>
      </c>
      <c r="L3109" s="8" t="s">
        <v>19</v>
      </c>
      <c r="M3109" s="8">
        <v>3538</v>
      </c>
      <c r="N3109" s="8" t="s">
        <v>758</v>
      </c>
      <c r="O3109" s="8">
        <v>1142</v>
      </c>
      <c r="P3109" s="8" t="s">
        <v>12920</v>
      </c>
      <c r="Q3109" s="8" t="s">
        <v>4262</v>
      </c>
      <c r="R3109" s="8">
        <v>0.20699999999999999</v>
      </c>
      <c r="S3109" s="8">
        <v>24805936</v>
      </c>
      <c r="T3109" s="8" t="s">
        <v>24</v>
      </c>
      <c r="U3109" s="8" t="s">
        <v>25</v>
      </c>
    </row>
    <row r="3110" spans="1:21">
      <c r="A3110" s="8" t="s">
        <v>10349</v>
      </c>
      <c r="B3110" s="8" t="s">
        <v>12922</v>
      </c>
      <c r="C3110" s="8">
        <v>2975</v>
      </c>
      <c r="D3110" s="8" t="s">
        <v>129</v>
      </c>
      <c r="E3110" s="8">
        <v>27512586</v>
      </c>
      <c r="F3110" s="8">
        <v>27512586</v>
      </c>
      <c r="G3110" s="8" t="s">
        <v>46</v>
      </c>
      <c r="H3110" s="8" t="s">
        <v>41</v>
      </c>
      <c r="I3110" s="8" t="s">
        <v>23</v>
      </c>
      <c r="J3110" s="8" t="s">
        <v>12923</v>
      </c>
      <c r="K3110" s="8" t="s">
        <v>12925</v>
      </c>
      <c r="L3110" s="8" t="s">
        <v>19</v>
      </c>
      <c r="M3110" s="8">
        <v>2027</v>
      </c>
      <c r="N3110" s="8" t="s">
        <v>171</v>
      </c>
      <c r="O3110" s="8">
        <v>663</v>
      </c>
      <c r="P3110" s="8" t="s">
        <v>12924</v>
      </c>
      <c r="Q3110" s="8" t="s">
        <v>4262</v>
      </c>
      <c r="R3110" s="8">
        <v>0.19600000000000001</v>
      </c>
      <c r="S3110" s="8">
        <v>27512586</v>
      </c>
      <c r="T3110" s="8" t="s">
        <v>46</v>
      </c>
      <c r="U3110" s="8" t="s">
        <v>41</v>
      </c>
    </row>
    <row r="3111" spans="1:21">
      <c r="A3111" s="8" t="s">
        <v>10349</v>
      </c>
      <c r="B3111" s="8" t="s">
        <v>7608</v>
      </c>
      <c r="C3111" s="8">
        <v>3681</v>
      </c>
      <c r="D3111" s="8" t="s">
        <v>129</v>
      </c>
      <c r="E3111" s="8">
        <v>31414833</v>
      </c>
      <c r="F3111" s="8">
        <v>31414833</v>
      </c>
      <c r="G3111" s="8" t="s">
        <v>46</v>
      </c>
      <c r="H3111" s="8" t="s">
        <v>41</v>
      </c>
      <c r="I3111" s="8" t="s">
        <v>23</v>
      </c>
      <c r="J3111" s="8" t="s">
        <v>7609</v>
      </c>
      <c r="K3111" s="8" t="s">
        <v>7611</v>
      </c>
      <c r="L3111" s="8" t="s">
        <v>76</v>
      </c>
      <c r="M3111" s="8">
        <v>620</v>
      </c>
      <c r="N3111" s="8" t="s">
        <v>371</v>
      </c>
      <c r="O3111" s="8">
        <v>191</v>
      </c>
      <c r="P3111" s="8" t="s">
        <v>12926</v>
      </c>
      <c r="Q3111" s="8" t="s">
        <v>4262</v>
      </c>
      <c r="R3111" s="8">
        <v>0.16700000000000001</v>
      </c>
      <c r="S3111" s="8">
        <v>31414833</v>
      </c>
      <c r="T3111" s="8" t="s">
        <v>46</v>
      </c>
      <c r="U3111" s="8" t="s">
        <v>41</v>
      </c>
    </row>
    <row r="3112" spans="1:21">
      <c r="A3112" s="8" t="s">
        <v>10349</v>
      </c>
      <c r="B3112" s="8" t="s">
        <v>12927</v>
      </c>
      <c r="C3112" s="8">
        <v>10308</v>
      </c>
      <c r="D3112" s="8" t="s">
        <v>129</v>
      </c>
      <c r="E3112" s="8">
        <v>31926626</v>
      </c>
      <c r="F3112" s="8">
        <v>31926626</v>
      </c>
      <c r="G3112" s="8" t="s">
        <v>24</v>
      </c>
      <c r="H3112" s="8" t="s">
        <v>25</v>
      </c>
      <c r="I3112" s="8" t="s">
        <v>23</v>
      </c>
      <c r="J3112" s="8" t="s">
        <v>12928</v>
      </c>
      <c r="K3112" s="8" t="s">
        <v>12930</v>
      </c>
      <c r="L3112" s="8" t="s">
        <v>76</v>
      </c>
      <c r="M3112" s="8">
        <v>1265</v>
      </c>
      <c r="N3112" s="8" t="s">
        <v>716</v>
      </c>
      <c r="O3112" s="8">
        <v>352</v>
      </c>
      <c r="P3112" s="8" t="s">
        <v>12929</v>
      </c>
      <c r="Q3112" s="8" t="s">
        <v>4262</v>
      </c>
      <c r="R3112" s="8">
        <v>0.24199999999999999</v>
      </c>
      <c r="S3112" s="8">
        <v>31926626</v>
      </c>
      <c r="T3112" s="8" t="s">
        <v>24</v>
      </c>
      <c r="U3112" s="8" t="s">
        <v>25</v>
      </c>
    </row>
    <row r="3113" spans="1:21">
      <c r="A3113" s="8" t="s">
        <v>10349</v>
      </c>
      <c r="B3113" s="8" t="s">
        <v>3858</v>
      </c>
      <c r="C3113" s="8">
        <v>1387</v>
      </c>
      <c r="D3113" s="8" t="s">
        <v>129</v>
      </c>
      <c r="E3113" s="8">
        <v>3786705</v>
      </c>
      <c r="F3113" s="8">
        <v>3786705</v>
      </c>
      <c r="G3113" s="8" t="s">
        <v>46</v>
      </c>
      <c r="H3113" s="8" t="s">
        <v>41</v>
      </c>
      <c r="I3113" s="8" t="s">
        <v>23</v>
      </c>
      <c r="J3113" s="8" t="s">
        <v>4915</v>
      </c>
      <c r="K3113" s="8" t="s">
        <v>4918</v>
      </c>
      <c r="L3113" s="8" t="s">
        <v>76</v>
      </c>
      <c r="M3113" s="8">
        <v>4710</v>
      </c>
      <c r="N3113" s="8" t="s">
        <v>716</v>
      </c>
      <c r="O3113" s="8">
        <v>1502</v>
      </c>
      <c r="P3113" s="8" t="s">
        <v>12931</v>
      </c>
      <c r="Q3113" s="8" t="s">
        <v>12932</v>
      </c>
      <c r="R3113" s="8">
        <v>0.25</v>
      </c>
      <c r="S3113" s="8">
        <v>3786705</v>
      </c>
      <c r="T3113" s="8" t="s">
        <v>46</v>
      </c>
      <c r="U3113" s="8" t="s">
        <v>41</v>
      </c>
    </row>
    <row r="3114" spans="1:21">
      <c r="A3114" s="8" t="s">
        <v>10349</v>
      </c>
      <c r="B3114" s="13">
        <v>40067</v>
      </c>
      <c r="C3114" s="8">
        <v>124404</v>
      </c>
      <c r="D3114" s="8" t="s">
        <v>129</v>
      </c>
      <c r="E3114" s="8">
        <v>4829742</v>
      </c>
      <c r="F3114" s="8">
        <v>4829742</v>
      </c>
      <c r="G3114" s="8" t="s">
        <v>46</v>
      </c>
      <c r="H3114" s="8" t="s">
        <v>41</v>
      </c>
      <c r="I3114" s="8" t="s">
        <v>23</v>
      </c>
      <c r="J3114" s="8" t="s">
        <v>12933</v>
      </c>
      <c r="K3114" s="8" t="s">
        <v>12935</v>
      </c>
      <c r="L3114" s="8" t="s">
        <v>19</v>
      </c>
      <c r="M3114" s="8">
        <v>913</v>
      </c>
      <c r="N3114" s="8" t="s">
        <v>171</v>
      </c>
      <c r="O3114" s="8">
        <v>258</v>
      </c>
      <c r="P3114" s="8" t="s">
        <v>12934</v>
      </c>
      <c r="Q3114" s="8" t="s">
        <v>4262</v>
      </c>
      <c r="R3114" s="8">
        <v>0.30299999999999999</v>
      </c>
      <c r="S3114" s="8">
        <v>4829742</v>
      </c>
      <c r="T3114" s="8" t="s">
        <v>46</v>
      </c>
      <c r="U3114" s="8" t="s">
        <v>41</v>
      </c>
    </row>
    <row r="3115" spans="1:21">
      <c r="A3115" s="8" t="s">
        <v>10349</v>
      </c>
      <c r="B3115" s="8" t="s">
        <v>4157</v>
      </c>
      <c r="C3115" s="8">
        <v>85320</v>
      </c>
      <c r="D3115" s="8" t="s">
        <v>129</v>
      </c>
      <c r="E3115" s="8">
        <v>48204833</v>
      </c>
      <c r="F3115" s="8">
        <v>48204833</v>
      </c>
      <c r="G3115" s="8" t="s">
        <v>46</v>
      </c>
      <c r="H3115" s="8" t="s">
        <v>41</v>
      </c>
      <c r="I3115" s="8" t="s">
        <v>23</v>
      </c>
      <c r="J3115" s="8" t="s">
        <v>12936</v>
      </c>
      <c r="K3115" s="8" t="s">
        <v>12938</v>
      </c>
      <c r="L3115" s="8" t="s">
        <v>76</v>
      </c>
      <c r="M3115" s="8">
        <v>3808</v>
      </c>
      <c r="N3115" s="8" t="s">
        <v>716</v>
      </c>
      <c r="O3115" s="8">
        <v>1248</v>
      </c>
      <c r="P3115" s="8" t="s">
        <v>12937</v>
      </c>
      <c r="Q3115" s="8" t="s">
        <v>4262</v>
      </c>
      <c r="R3115" s="8">
        <v>0.17199999999999999</v>
      </c>
      <c r="S3115" s="8">
        <v>48204833</v>
      </c>
      <c r="T3115" s="8" t="s">
        <v>46</v>
      </c>
      <c r="U3115" s="8" t="s">
        <v>41</v>
      </c>
    </row>
    <row r="3116" spans="1:21">
      <c r="A3116" s="8" t="s">
        <v>10349</v>
      </c>
      <c r="B3116" s="8" t="s">
        <v>12939</v>
      </c>
      <c r="C3116" s="8">
        <v>9683</v>
      </c>
      <c r="D3116" s="8" t="s">
        <v>129</v>
      </c>
      <c r="E3116" s="8">
        <v>48595700</v>
      </c>
      <c r="F3116" s="8">
        <v>48595700</v>
      </c>
      <c r="G3116" s="8" t="s">
        <v>46</v>
      </c>
      <c r="H3116" s="8" t="s">
        <v>41</v>
      </c>
      <c r="I3116" s="8" t="s">
        <v>23</v>
      </c>
      <c r="J3116" s="8" t="s">
        <v>12940</v>
      </c>
      <c r="K3116" s="8" t="s">
        <v>12942</v>
      </c>
      <c r="L3116" s="8" t="s">
        <v>19</v>
      </c>
      <c r="M3116" s="8">
        <v>1091</v>
      </c>
      <c r="N3116" s="8" t="s">
        <v>2483</v>
      </c>
      <c r="O3116" s="8">
        <v>285</v>
      </c>
      <c r="P3116" s="8" t="s">
        <v>12941</v>
      </c>
      <c r="Q3116" s="8" t="s">
        <v>4262</v>
      </c>
      <c r="R3116" s="8">
        <v>0.17199999999999999</v>
      </c>
      <c r="S3116" s="8">
        <v>48595700</v>
      </c>
      <c r="T3116" s="8" t="s">
        <v>46</v>
      </c>
      <c r="U3116" s="8" t="s">
        <v>41</v>
      </c>
    </row>
    <row r="3117" spans="1:21">
      <c r="A3117" s="8" t="s">
        <v>10349</v>
      </c>
      <c r="B3117" s="8" t="s">
        <v>3482</v>
      </c>
      <c r="C3117" s="8">
        <v>22861</v>
      </c>
      <c r="D3117" s="8" t="s">
        <v>133</v>
      </c>
      <c r="E3117" s="8">
        <v>5463190</v>
      </c>
      <c r="F3117" s="8">
        <v>5463190</v>
      </c>
      <c r="G3117" s="8" t="s">
        <v>24</v>
      </c>
      <c r="H3117" s="8" t="s">
        <v>25</v>
      </c>
      <c r="I3117" s="8" t="s">
        <v>23</v>
      </c>
      <c r="J3117" s="8" t="s">
        <v>6243</v>
      </c>
      <c r="K3117" s="8" t="s">
        <v>6245</v>
      </c>
      <c r="L3117" s="8" t="s">
        <v>76</v>
      </c>
      <c r="M3117" s="8">
        <v>1381</v>
      </c>
      <c r="N3117" s="8" t="s">
        <v>2720</v>
      </c>
      <c r="O3117" s="8">
        <v>276</v>
      </c>
      <c r="P3117" s="8" t="s">
        <v>12943</v>
      </c>
      <c r="Q3117" s="8" t="s">
        <v>4262</v>
      </c>
      <c r="R3117" s="8">
        <v>0.18</v>
      </c>
      <c r="S3117" s="8">
        <v>5463190</v>
      </c>
      <c r="T3117" s="8" t="s">
        <v>24</v>
      </c>
      <c r="U3117" s="8" t="s">
        <v>25</v>
      </c>
    </row>
    <row r="3118" spans="1:21">
      <c r="A3118" s="8" t="s">
        <v>10349</v>
      </c>
      <c r="B3118" s="8" t="s">
        <v>2555</v>
      </c>
      <c r="C3118" s="8">
        <v>7706</v>
      </c>
      <c r="D3118" s="8" t="s">
        <v>133</v>
      </c>
      <c r="E3118" s="8">
        <v>54972731</v>
      </c>
      <c r="F3118" s="8">
        <v>54972731</v>
      </c>
      <c r="G3118" s="8" t="s">
        <v>46</v>
      </c>
      <c r="H3118" s="8" t="s">
        <v>41</v>
      </c>
      <c r="I3118" s="8" t="s">
        <v>23</v>
      </c>
      <c r="J3118" s="8" t="s">
        <v>2556</v>
      </c>
      <c r="K3118" s="8" t="s">
        <v>12945</v>
      </c>
      <c r="L3118" s="8" t="s">
        <v>19</v>
      </c>
      <c r="M3118" s="8">
        <v>1396</v>
      </c>
      <c r="N3118" s="8" t="s">
        <v>155</v>
      </c>
      <c r="O3118" s="8">
        <v>446</v>
      </c>
      <c r="P3118" s="8" t="s">
        <v>12944</v>
      </c>
      <c r="Q3118" s="8" t="s">
        <v>4262</v>
      </c>
      <c r="R3118" s="8">
        <v>0.33300000000000002</v>
      </c>
      <c r="S3118" s="8">
        <v>54972731</v>
      </c>
      <c r="T3118" s="8" t="s">
        <v>46</v>
      </c>
      <c r="U3118" s="8" t="s">
        <v>41</v>
      </c>
    </row>
    <row r="3119" spans="1:21">
      <c r="A3119" s="8" t="s">
        <v>10349</v>
      </c>
      <c r="B3119" s="8" t="s">
        <v>1342</v>
      </c>
      <c r="C3119" s="8">
        <v>8161</v>
      </c>
      <c r="D3119" s="8" t="s">
        <v>133</v>
      </c>
      <c r="E3119" s="8">
        <v>55027926</v>
      </c>
      <c r="F3119" s="8">
        <v>55027926</v>
      </c>
      <c r="G3119" s="8" t="s">
        <v>46</v>
      </c>
      <c r="H3119" s="8" t="s">
        <v>41</v>
      </c>
      <c r="I3119" s="8" t="s">
        <v>23</v>
      </c>
      <c r="J3119" s="8" t="s">
        <v>1343</v>
      </c>
      <c r="K3119" s="8" t="s">
        <v>12947</v>
      </c>
      <c r="L3119" s="8" t="s">
        <v>19</v>
      </c>
      <c r="M3119" s="8">
        <v>708</v>
      </c>
      <c r="N3119" s="8" t="s">
        <v>708</v>
      </c>
      <c r="O3119" s="8">
        <v>226</v>
      </c>
      <c r="P3119" s="8" t="s">
        <v>12946</v>
      </c>
      <c r="Q3119" s="8" t="s">
        <v>4262</v>
      </c>
      <c r="R3119" s="8">
        <v>0.14000000000000001</v>
      </c>
      <c r="S3119" s="8">
        <v>55027926</v>
      </c>
      <c r="T3119" s="8" t="s">
        <v>46</v>
      </c>
      <c r="U3119" s="8" t="s">
        <v>41</v>
      </c>
    </row>
    <row r="3120" spans="1:21">
      <c r="A3120" s="8" t="s">
        <v>10349</v>
      </c>
      <c r="B3120" s="8" t="s">
        <v>12948</v>
      </c>
      <c r="C3120" s="8">
        <v>6198</v>
      </c>
      <c r="D3120" s="8" t="s">
        <v>133</v>
      </c>
      <c r="E3120" s="8">
        <v>58003862</v>
      </c>
      <c r="F3120" s="8">
        <v>58003862</v>
      </c>
      <c r="G3120" s="8" t="s">
        <v>24</v>
      </c>
      <c r="H3120" s="8" t="s">
        <v>25</v>
      </c>
      <c r="I3120" s="8" t="s">
        <v>23</v>
      </c>
      <c r="J3120" s="8" t="s">
        <v>12949</v>
      </c>
      <c r="K3120" s="8" t="s">
        <v>12951</v>
      </c>
      <c r="L3120" s="8" t="s">
        <v>19</v>
      </c>
      <c r="M3120" s="8">
        <v>551</v>
      </c>
      <c r="N3120" s="8" t="s">
        <v>322</v>
      </c>
      <c r="O3120" s="8">
        <v>150</v>
      </c>
      <c r="P3120" s="8" t="s">
        <v>12950</v>
      </c>
      <c r="Q3120" s="8" t="s">
        <v>4262</v>
      </c>
      <c r="R3120" s="8">
        <v>0.185</v>
      </c>
      <c r="S3120" s="8">
        <v>58003862</v>
      </c>
      <c r="T3120" s="8" t="s">
        <v>24</v>
      </c>
      <c r="U3120" s="8" t="s">
        <v>25</v>
      </c>
    </row>
    <row r="3121" spans="1:21">
      <c r="A3121" s="8" t="s">
        <v>10349</v>
      </c>
      <c r="B3121" s="8" t="s">
        <v>2557</v>
      </c>
      <c r="C3121" s="8">
        <v>63897</v>
      </c>
      <c r="D3121" s="8" t="s">
        <v>133</v>
      </c>
      <c r="E3121" s="8">
        <v>58144855</v>
      </c>
      <c r="F3121" s="8">
        <v>58144855</v>
      </c>
      <c r="G3121" s="8" t="s">
        <v>46</v>
      </c>
      <c r="H3121" s="8" t="s">
        <v>41</v>
      </c>
      <c r="I3121" s="8" t="s">
        <v>23</v>
      </c>
      <c r="J3121" s="8" t="s">
        <v>2558</v>
      </c>
      <c r="K3121" s="8" t="s">
        <v>12953</v>
      </c>
      <c r="L3121" s="8" t="s">
        <v>19</v>
      </c>
      <c r="M3121" s="8">
        <v>1195</v>
      </c>
      <c r="N3121" s="8" t="s">
        <v>2483</v>
      </c>
      <c r="O3121" s="8">
        <v>393</v>
      </c>
      <c r="P3121" s="8" t="s">
        <v>12952</v>
      </c>
      <c r="Q3121" s="8" t="s">
        <v>4262</v>
      </c>
      <c r="R3121" s="8">
        <v>0.29599999999999999</v>
      </c>
      <c r="S3121" s="8">
        <v>58144855</v>
      </c>
      <c r="T3121" s="8" t="s">
        <v>46</v>
      </c>
      <c r="U3121" s="8" t="s">
        <v>41</v>
      </c>
    </row>
    <row r="3122" spans="1:21">
      <c r="A3122" s="8" t="s">
        <v>10349</v>
      </c>
      <c r="B3122" s="8" t="s">
        <v>9313</v>
      </c>
      <c r="C3122" s="8">
        <v>9969</v>
      </c>
      <c r="D3122" s="8" t="s">
        <v>133</v>
      </c>
      <c r="E3122" s="8">
        <v>60033699</v>
      </c>
      <c r="F3122" s="8">
        <v>60033699</v>
      </c>
      <c r="G3122" s="8" t="s">
        <v>46</v>
      </c>
      <c r="H3122" s="8" t="s">
        <v>41</v>
      </c>
      <c r="I3122" s="8" t="s">
        <v>23</v>
      </c>
      <c r="J3122" s="8" t="s">
        <v>9314</v>
      </c>
      <c r="K3122" s="8" t="s">
        <v>9316</v>
      </c>
      <c r="L3122" s="8" t="s">
        <v>68</v>
      </c>
      <c r="M3122" s="8">
        <v>0</v>
      </c>
      <c r="N3122" s="8" t="s">
        <v>35</v>
      </c>
      <c r="O3122" s="8">
        <v>0</v>
      </c>
      <c r="P3122" s="8" t="s">
        <v>35</v>
      </c>
      <c r="Q3122" s="8" t="s">
        <v>4262</v>
      </c>
      <c r="R3122" s="8">
        <v>0.2</v>
      </c>
      <c r="S3122" s="8">
        <v>60033699</v>
      </c>
      <c r="T3122" s="8" t="s">
        <v>46</v>
      </c>
      <c r="U3122" s="8" t="s">
        <v>41</v>
      </c>
    </row>
    <row r="3123" spans="1:21">
      <c r="A3123" s="8" t="s">
        <v>10349</v>
      </c>
      <c r="B3123" s="8" t="s">
        <v>2559</v>
      </c>
      <c r="C3123" s="8">
        <v>6329</v>
      </c>
      <c r="D3123" s="8" t="s">
        <v>133</v>
      </c>
      <c r="E3123" s="8">
        <v>62018681</v>
      </c>
      <c r="F3123" s="8">
        <v>62018681</v>
      </c>
      <c r="G3123" s="8" t="s">
        <v>24</v>
      </c>
      <c r="H3123" s="8" t="s">
        <v>25</v>
      </c>
      <c r="I3123" s="8" t="s">
        <v>23</v>
      </c>
      <c r="J3123" s="8" t="s">
        <v>2560</v>
      </c>
      <c r="K3123" s="8" t="s">
        <v>7859</v>
      </c>
      <c r="L3123" s="8" t="s">
        <v>19</v>
      </c>
      <c r="M3123" s="8">
        <v>5038</v>
      </c>
      <c r="N3123" s="8" t="s">
        <v>1421</v>
      </c>
      <c r="O3123" s="8">
        <v>1654</v>
      </c>
      <c r="P3123" s="8" t="s">
        <v>12954</v>
      </c>
      <c r="Q3123" s="8" t="s">
        <v>4262</v>
      </c>
      <c r="R3123" s="8">
        <v>0.222</v>
      </c>
      <c r="S3123" s="8">
        <v>62018681</v>
      </c>
      <c r="T3123" s="8" t="s">
        <v>24</v>
      </c>
      <c r="U3123" s="8" t="s">
        <v>25</v>
      </c>
    </row>
    <row r="3124" spans="1:21">
      <c r="A3124" s="8" t="s">
        <v>10349</v>
      </c>
      <c r="B3124" s="8" t="s">
        <v>8088</v>
      </c>
      <c r="C3124" s="8">
        <v>55852</v>
      </c>
      <c r="D3124" s="8" t="s">
        <v>133</v>
      </c>
      <c r="E3124" s="8">
        <v>62271105</v>
      </c>
      <c r="F3124" s="8">
        <v>62271105</v>
      </c>
      <c r="G3124" s="8" t="s">
        <v>46</v>
      </c>
      <c r="H3124" s="8" t="s">
        <v>41</v>
      </c>
      <c r="I3124" s="8" t="s">
        <v>23</v>
      </c>
      <c r="J3124" s="8" t="s">
        <v>8089</v>
      </c>
      <c r="K3124" s="8" t="s">
        <v>8091</v>
      </c>
      <c r="L3124" s="8" t="s">
        <v>19</v>
      </c>
      <c r="M3124" s="8">
        <v>2141</v>
      </c>
      <c r="N3124" s="8" t="s">
        <v>1364</v>
      </c>
      <c r="O3124" s="8">
        <v>664</v>
      </c>
      <c r="P3124" s="8" t="s">
        <v>12955</v>
      </c>
      <c r="Q3124" s="8" t="s">
        <v>4262</v>
      </c>
      <c r="R3124" s="8">
        <v>0.16700000000000001</v>
      </c>
      <c r="S3124" s="8">
        <v>62271105</v>
      </c>
      <c r="T3124" s="8" t="s">
        <v>46</v>
      </c>
      <c r="U3124" s="8" t="s">
        <v>41</v>
      </c>
    </row>
    <row r="3125" spans="1:21">
      <c r="A3125" s="8" t="s">
        <v>10349</v>
      </c>
      <c r="B3125" s="8" t="s">
        <v>3374</v>
      </c>
      <c r="C3125" s="8">
        <v>9851</v>
      </c>
      <c r="D3125" s="8" t="s">
        <v>133</v>
      </c>
      <c r="E3125" s="8">
        <v>6531787</v>
      </c>
      <c r="F3125" s="8">
        <v>6531787</v>
      </c>
      <c r="G3125" s="8" t="s">
        <v>46</v>
      </c>
      <c r="H3125" s="8" t="s">
        <v>41</v>
      </c>
      <c r="I3125" s="8" t="s">
        <v>23</v>
      </c>
      <c r="J3125" s="8" t="s">
        <v>3375</v>
      </c>
      <c r="K3125" s="8" t="s">
        <v>7618</v>
      </c>
      <c r="L3125" s="8" t="s">
        <v>19</v>
      </c>
      <c r="M3125" s="8">
        <v>727</v>
      </c>
      <c r="N3125" s="8" t="s">
        <v>736</v>
      </c>
      <c r="O3125" s="8">
        <v>123</v>
      </c>
      <c r="P3125" s="8" t="s">
        <v>12956</v>
      </c>
      <c r="Q3125" s="8" t="s">
        <v>4262</v>
      </c>
      <c r="R3125" s="8">
        <v>0.17100000000000001</v>
      </c>
      <c r="S3125" s="8">
        <v>6531787</v>
      </c>
      <c r="T3125" s="8" t="s">
        <v>46</v>
      </c>
      <c r="U3125" s="8" t="s">
        <v>41</v>
      </c>
    </row>
    <row r="3126" spans="1:21">
      <c r="A3126" s="8" t="s">
        <v>10349</v>
      </c>
      <c r="B3126" s="8" t="s">
        <v>12957</v>
      </c>
      <c r="C3126" s="8">
        <v>9931</v>
      </c>
      <c r="D3126" s="8" t="s">
        <v>133</v>
      </c>
      <c r="E3126" s="8">
        <v>65141915</v>
      </c>
      <c r="F3126" s="8">
        <v>65141915</v>
      </c>
      <c r="G3126" s="8" t="s">
        <v>46</v>
      </c>
      <c r="H3126" s="8" t="s">
        <v>41</v>
      </c>
      <c r="I3126" s="8" t="s">
        <v>23</v>
      </c>
      <c r="J3126" s="8" t="s">
        <v>12958</v>
      </c>
      <c r="K3126" s="8" t="s">
        <v>12960</v>
      </c>
      <c r="L3126" s="8" t="s">
        <v>19</v>
      </c>
      <c r="M3126" s="8">
        <v>2900</v>
      </c>
      <c r="N3126" s="8" t="s">
        <v>1070</v>
      </c>
      <c r="O3126" s="8">
        <v>905</v>
      </c>
      <c r="P3126" s="8" t="s">
        <v>12959</v>
      </c>
      <c r="Q3126" s="8" t="s">
        <v>4262</v>
      </c>
      <c r="R3126" s="8">
        <v>0.16300000000000001</v>
      </c>
      <c r="S3126" s="8">
        <v>65141915</v>
      </c>
      <c r="T3126" s="8" t="s">
        <v>46</v>
      </c>
      <c r="U3126" s="8" t="s">
        <v>41</v>
      </c>
    </row>
    <row r="3127" spans="1:21">
      <c r="A3127" s="8" t="s">
        <v>10349</v>
      </c>
      <c r="B3127" s="8" t="s">
        <v>12961</v>
      </c>
      <c r="C3127" s="8">
        <v>9120</v>
      </c>
      <c r="D3127" s="8" t="s">
        <v>133</v>
      </c>
      <c r="E3127" s="8">
        <v>66267372</v>
      </c>
      <c r="F3127" s="8">
        <v>66267372</v>
      </c>
      <c r="G3127" s="8" t="s">
        <v>24</v>
      </c>
      <c r="H3127" s="8" t="s">
        <v>25</v>
      </c>
      <c r="I3127" s="8" t="s">
        <v>23</v>
      </c>
      <c r="J3127" s="8" t="s">
        <v>12962</v>
      </c>
      <c r="K3127" s="8" t="s">
        <v>12964</v>
      </c>
      <c r="L3127" s="8" t="s">
        <v>19</v>
      </c>
      <c r="M3127" s="8">
        <v>1115</v>
      </c>
      <c r="N3127" s="8" t="s">
        <v>417</v>
      </c>
      <c r="O3127" s="8">
        <v>310</v>
      </c>
      <c r="P3127" s="8" t="s">
        <v>12963</v>
      </c>
      <c r="Q3127" s="8" t="s">
        <v>4262</v>
      </c>
      <c r="R3127" s="8">
        <v>0.17899999999999999</v>
      </c>
      <c r="S3127" s="8">
        <v>66267372</v>
      </c>
      <c r="T3127" s="8" t="s">
        <v>24</v>
      </c>
      <c r="U3127" s="8" t="s">
        <v>25</v>
      </c>
    </row>
    <row r="3128" spans="1:21">
      <c r="A3128" s="8" t="s">
        <v>10349</v>
      </c>
      <c r="B3128" s="8" t="s">
        <v>12961</v>
      </c>
      <c r="C3128" s="8">
        <v>9120</v>
      </c>
      <c r="D3128" s="8" t="s">
        <v>133</v>
      </c>
      <c r="E3128" s="8">
        <v>66268786</v>
      </c>
      <c r="F3128" s="8">
        <v>66268786</v>
      </c>
      <c r="G3128" s="8" t="s">
        <v>46</v>
      </c>
      <c r="H3128" s="8" t="s">
        <v>41</v>
      </c>
      <c r="I3128" s="8" t="s">
        <v>23</v>
      </c>
      <c r="J3128" s="8" t="s">
        <v>12962</v>
      </c>
      <c r="K3128" s="8" t="s">
        <v>12964</v>
      </c>
      <c r="L3128" s="8" t="s">
        <v>19</v>
      </c>
      <c r="M3128" s="8">
        <v>685</v>
      </c>
      <c r="N3128" s="8" t="s">
        <v>1070</v>
      </c>
      <c r="O3128" s="8">
        <v>167</v>
      </c>
      <c r="P3128" s="8" t="s">
        <v>12965</v>
      </c>
      <c r="Q3128" s="8" t="s">
        <v>4262</v>
      </c>
      <c r="R3128" s="8">
        <v>0.188</v>
      </c>
      <c r="S3128" s="8">
        <v>66268786</v>
      </c>
      <c r="T3128" s="8" t="s">
        <v>46</v>
      </c>
      <c r="U3128" s="8" t="s">
        <v>41</v>
      </c>
    </row>
    <row r="3129" spans="1:21">
      <c r="A3129" s="8" t="s">
        <v>10349</v>
      </c>
      <c r="B3129" s="8" t="s">
        <v>12966</v>
      </c>
      <c r="C3129" s="8">
        <v>162517</v>
      </c>
      <c r="D3129" s="8" t="s">
        <v>133</v>
      </c>
      <c r="E3129" s="8">
        <v>6683413</v>
      </c>
      <c r="F3129" s="8">
        <v>6683413</v>
      </c>
      <c r="G3129" s="8" t="s">
        <v>24</v>
      </c>
      <c r="H3129" s="8" t="s">
        <v>25</v>
      </c>
      <c r="I3129" s="8" t="s">
        <v>23</v>
      </c>
      <c r="J3129" s="8" t="s">
        <v>12967</v>
      </c>
      <c r="K3129" s="8" t="s">
        <v>12969</v>
      </c>
      <c r="L3129" s="8" t="s">
        <v>19</v>
      </c>
      <c r="M3129" s="8">
        <v>346</v>
      </c>
      <c r="N3129" s="8" t="s">
        <v>166</v>
      </c>
      <c r="O3129" s="8">
        <v>76</v>
      </c>
      <c r="P3129" s="8" t="s">
        <v>12968</v>
      </c>
      <c r="Q3129" s="8" t="s">
        <v>4262</v>
      </c>
      <c r="R3129" s="8">
        <v>0.26700000000000002</v>
      </c>
      <c r="S3129" s="8">
        <v>6683413</v>
      </c>
      <c r="T3129" s="8" t="s">
        <v>24</v>
      </c>
      <c r="U3129" s="8" t="s">
        <v>25</v>
      </c>
    </row>
    <row r="3130" spans="1:21">
      <c r="A3130" s="8" t="s">
        <v>10349</v>
      </c>
      <c r="B3130" s="8" t="s">
        <v>2561</v>
      </c>
      <c r="C3130" s="8">
        <v>23461</v>
      </c>
      <c r="D3130" s="8" t="s">
        <v>133</v>
      </c>
      <c r="E3130" s="8">
        <v>67285368</v>
      </c>
      <c r="F3130" s="8">
        <v>67285368</v>
      </c>
      <c r="G3130" s="8" t="s">
        <v>46</v>
      </c>
      <c r="H3130" s="8" t="s">
        <v>41</v>
      </c>
      <c r="I3130" s="8" t="s">
        <v>23</v>
      </c>
      <c r="J3130" s="8" t="s">
        <v>12970</v>
      </c>
      <c r="K3130" s="8" t="s">
        <v>12972</v>
      </c>
      <c r="L3130" s="8" t="s">
        <v>19</v>
      </c>
      <c r="M3130" s="8">
        <v>1998</v>
      </c>
      <c r="N3130" s="8" t="s">
        <v>878</v>
      </c>
      <c r="O3130" s="8">
        <v>618</v>
      </c>
      <c r="P3130" s="8" t="s">
        <v>12971</v>
      </c>
      <c r="Q3130" s="8" t="s">
        <v>4262</v>
      </c>
      <c r="R3130" s="8">
        <v>0.29199999999999998</v>
      </c>
      <c r="S3130" s="8">
        <v>67285368</v>
      </c>
      <c r="T3130" s="8" t="s">
        <v>46</v>
      </c>
      <c r="U3130" s="8" t="s">
        <v>41</v>
      </c>
    </row>
    <row r="3131" spans="1:21">
      <c r="A3131" s="8" t="s">
        <v>10349</v>
      </c>
      <c r="B3131" s="8" t="s">
        <v>2561</v>
      </c>
      <c r="C3131" s="8">
        <v>23461</v>
      </c>
      <c r="D3131" s="8" t="s">
        <v>133</v>
      </c>
      <c r="E3131" s="8">
        <v>67293482</v>
      </c>
      <c r="F3131" s="8">
        <v>67293482</v>
      </c>
      <c r="G3131" s="8" t="s">
        <v>46</v>
      </c>
      <c r="H3131" s="8" t="s">
        <v>41</v>
      </c>
      <c r="I3131" s="8" t="s">
        <v>23</v>
      </c>
      <c r="J3131" s="8" t="s">
        <v>12970</v>
      </c>
      <c r="K3131" s="8" t="s">
        <v>12972</v>
      </c>
      <c r="L3131" s="8" t="s">
        <v>19</v>
      </c>
      <c r="M3131" s="8">
        <v>1432</v>
      </c>
      <c r="N3131" s="8" t="s">
        <v>736</v>
      </c>
      <c r="O3131" s="8">
        <v>429</v>
      </c>
      <c r="P3131" s="8" t="s">
        <v>12973</v>
      </c>
      <c r="Q3131" s="8" t="s">
        <v>4262</v>
      </c>
      <c r="R3131" s="8">
        <v>0.222</v>
      </c>
      <c r="S3131" s="8">
        <v>67293482</v>
      </c>
      <c r="T3131" s="8" t="s">
        <v>46</v>
      </c>
      <c r="U3131" s="8" t="s">
        <v>41</v>
      </c>
    </row>
    <row r="3132" spans="1:21">
      <c r="A3132" s="8" t="s">
        <v>10349</v>
      </c>
      <c r="B3132" s="8" t="s">
        <v>12974</v>
      </c>
      <c r="C3132" s="8">
        <v>239</v>
      </c>
      <c r="D3132" s="8" t="s">
        <v>133</v>
      </c>
      <c r="E3132" s="8">
        <v>6904990</v>
      </c>
      <c r="F3132" s="8">
        <v>6904990</v>
      </c>
      <c r="G3132" s="8" t="s">
        <v>46</v>
      </c>
      <c r="H3132" s="8" t="s">
        <v>41</v>
      </c>
      <c r="I3132" s="8" t="s">
        <v>23</v>
      </c>
      <c r="J3132" s="8" t="s">
        <v>12975</v>
      </c>
      <c r="K3132" s="8" t="s">
        <v>12977</v>
      </c>
      <c r="L3132" s="8" t="s">
        <v>19</v>
      </c>
      <c r="M3132" s="8">
        <v>1074</v>
      </c>
      <c r="N3132" s="8" t="s">
        <v>58</v>
      </c>
      <c r="O3132" s="8">
        <v>341</v>
      </c>
      <c r="P3132" s="8" t="s">
        <v>12976</v>
      </c>
      <c r="Q3132" s="8" t="s">
        <v>4262</v>
      </c>
      <c r="R3132" s="8">
        <v>0.153</v>
      </c>
      <c r="S3132" s="8">
        <v>6904990</v>
      </c>
      <c r="T3132" s="8" t="s">
        <v>46</v>
      </c>
      <c r="U3132" s="8" t="s">
        <v>41</v>
      </c>
    </row>
    <row r="3133" spans="1:21">
      <c r="A3133" s="8" t="s">
        <v>10349</v>
      </c>
      <c r="B3133" s="8" t="s">
        <v>12978</v>
      </c>
      <c r="C3133" s="8">
        <v>92736</v>
      </c>
      <c r="D3133" s="8" t="s">
        <v>133</v>
      </c>
      <c r="E3133" s="8">
        <v>72921650</v>
      </c>
      <c r="F3133" s="8">
        <v>72921650</v>
      </c>
      <c r="G3133" s="8" t="s">
        <v>24</v>
      </c>
      <c r="H3133" s="8" t="s">
        <v>25</v>
      </c>
      <c r="I3133" s="8" t="s">
        <v>23</v>
      </c>
      <c r="J3133" s="8" t="s">
        <v>12979</v>
      </c>
      <c r="K3133" s="8" t="s">
        <v>12980</v>
      </c>
      <c r="L3133" s="8" t="s">
        <v>68</v>
      </c>
      <c r="M3133" s="8">
        <v>0</v>
      </c>
      <c r="N3133" s="8" t="s">
        <v>35</v>
      </c>
      <c r="O3133" s="8">
        <v>0</v>
      </c>
      <c r="P3133" s="8" t="s">
        <v>35</v>
      </c>
      <c r="Q3133" s="8" t="s">
        <v>4262</v>
      </c>
      <c r="R3133" s="8">
        <v>0.28599999999999998</v>
      </c>
      <c r="S3133" s="8">
        <v>72921650</v>
      </c>
      <c r="T3133" s="8" t="s">
        <v>24</v>
      </c>
      <c r="U3133" s="8" t="s">
        <v>25</v>
      </c>
    </row>
    <row r="3134" spans="1:21">
      <c r="A3134" s="8" t="s">
        <v>10349</v>
      </c>
      <c r="B3134" s="8" t="s">
        <v>12981</v>
      </c>
      <c r="C3134" s="8">
        <v>201243</v>
      </c>
      <c r="D3134" s="8" t="s">
        <v>133</v>
      </c>
      <c r="E3134" s="8">
        <v>7329909</v>
      </c>
      <c r="F3134" s="8">
        <v>7329909</v>
      </c>
      <c r="G3134" s="8" t="s">
        <v>24</v>
      </c>
      <c r="H3134" s="8" t="s">
        <v>25</v>
      </c>
      <c r="I3134" s="8" t="s">
        <v>23</v>
      </c>
      <c r="J3134" s="8" t="s">
        <v>12982</v>
      </c>
      <c r="K3134" s="8" t="s">
        <v>12984</v>
      </c>
      <c r="L3134" s="8" t="s">
        <v>19</v>
      </c>
      <c r="M3134" s="8">
        <v>672</v>
      </c>
      <c r="N3134" s="8" t="s">
        <v>297</v>
      </c>
      <c r="O3134" s="8">
        <v>200</v>
      </c>
      <c r="P3134" s="8" t="s">
        <v>12983</v>
      </c>
      <c r="Q3134" s="8" t="s">
        <v>4262</v>
      </c>
      <c r="R3134" s="8">
        <v>0.14299999999999999</v>
      </c>
      <c r="S3134" s="8">
        <v>7329909</v>
      </c>
      <c r="T3134" s="8" t="s">
        <v>24</v>
      </c>
      <c r="U3134" s="8" t="s">
        <v>25</v>
      </c>
    </row>
    <row r="3135" spans="1:21">
      <c r="A3135" s="8" t="s">
        <v>10349</v>
      </c>
      <c r="B3135" s="8" t="s">
        <v>12985</v>
      </c>
      <c r="C3135" s="8">
        <v>23265</v>
      </c>
      <c r="D3135" s="8" t="s">
        <v>133</v>
      </c>
      <c r="E3135" s="8">
        <v>74087247</v>
      </c>
      <c r="F3135" s="8">
        <v>74087247</v>
      </c>
      <c r="G3135" s="8" t="s">
        <v>46</v>
      </c>
      <c r="H3135" s="8" t="s">
        <v>41</v>
      </c>
      <c r="I3135" s="8" t="s">
        <v>23</v>
      </c>
      <c r="J3135" s="8" t="s">
        <v>12986</v>
      </c>
      <c r="K3135" s="8" t="s">
        <v>12988</v>
      </c>
      <c r="L3135" s="8" t="s">
        <v>19</v>
      </c>
      <c r="M3135" s="8">
        <v>973</v>
      </c>
      <c r="N3135" s="8" t="s">
        <v>205</v>
      </c>
      <c r="O3135" s="8">
        <v>293</v>
      </c>
      <c r="P3135" s="8" t="s">
        <v>12987</v>
      </c>
      <c r="Q3135" s="8" t="s">
        <v>4262</v>
      </c>
      <c r="R3135" s="8">
        <v>0.25</v>
      </c>
      <c r="S3135" s="8">
        <v>74087247</v>
      </c>
      <c r="T3135" s="8" t="s">
        <v>46</v>
      </c>
      <c r="U3135" s="8" t="s">
        <v>41</v>
      </c>
    </row>
    <row r="3136" spans="1:21">
      <c r="A3136" s="8" t="s">
        <v>10349</v>
      </c>
      <c r="B3136" s="8" t="s">
        <v>2563</v>
      </c>
      <c r="C3136" s="8">
        <v>146754</v>
      </c>
      <c r="D3136" s="8" t="s">
        <v>133</v>
      </c>
      <c r="E3136" s="8">
        <v>7643829</v>
      </c>
      <c r="F3136" s="8">
        <v>7643829</v>
      </c>
      <c r="G3136" s="8" t="s">
        <v>46</v>
      </c>
      <c r="H3136" s="8" t="s">
        <v>41</v>
      </c>
      <c r="I3136" s="8" t="s">
        <v>23</v>
      </c>
      <c r="J3136" s="8" t="s">
        <v>2564</v>
      </c>
      <c r="K3136" s="8" t="s">
        <v>12990</v>
      </c>
      <c r="L3136" s="8" t="s">
        <v>19</v>
      </c>
      <c r="M3136" s="8">
        <v>1482</v>
      </c>
      <c r="N3136" s="8" t="s">
        <v>1118</v>
      </c>
      <c r="O3136" s="8">
        <v>490</v>
      </c>
      <c r="P3136" s="8" t="s">
        <v>12989</v>
      </c>
      <c r="Q3136" s="8" t="s">
        <v>4262</v>
      </c>
      <c r="R3136" s="8">
        <v>0.35</v>
      </c>
      <c r="S3136" s="8">
        <v>7643829</v>
      </c>
      <c r="T3136" s="8" t="s">
        <v>46</v>
      </c>
      <c r="U3136" s="8" t="s">
        <v>41</v>
      </c>
    </row>
    <row r="3137" spans="1:21">
      <c r="A3137" s="8" t="s">
        <v>10349</v>
      </c>
      <c r="B3137" s="8" t="s">
        <v>12991</v>
      </c>
      <c r="C3137" s="8">
        <v>57690</v>
      </c>
      <c r="D3137" s="8" t="s">
        <v>133</v>
      </c>
      <c r="E3137" s="8">
        <v>76063865</v>
      </c>
      <c r="F3137" s="8">
        <v>76063865</v>
      </c>
      <c r="G3137" s="8" t="s">
        <v>24</v>
      </c>
      <c r="H3137" s="8" t="s">
        <v>25</v>
      </c>
      <c r="I3137" s="8" t="s">
        <v>23</v>
      </c>
      <c r="J3137" s="8" t="s">
        <v>12992</v>
      </c>
      <c r="K3137" s="8" t="s">
        <v>12994</v>
      </c>
      <c r="L3137" s="8" t="s">
        <v>19</v>
      </c>
      <c r="M3137" s="8">
        <v>3230</v>
      </c>
      <c r="N3137" s="8" t="s">
        <v>205</v>
      </c>
      <c r="O3137" s="8">
        <v>877</v>
      </c>
      <c r="P3137" s="8" t="s">
        <v>12993</v>
      </c>
      <c r="Q3137" s="8" t="s">
        <v>4262</v>
      </c>
      <c r="R3137" s="8">
        <v>0.159</v>
      </c>
      <c r="S3137" s="8">
        <v>76063865</v>
      </c>
      <c r="T3137" s="8" t="s">
        <v>24</v>
      </c>
      <c r="U3137" s="8" t="s">
        <v>25</v>
      </c>
    </row>
    <row r="3138" spans="1:21">
      <c r="A3138" s="8" t="s">
        <v>10349</v>
      </c>
      <c r="B3138" s="8" t="s">
        <v>2563</v>
      </c>
      <c r="C3138" s="8">
        <v>146754</v>
      </c>
      <c r="D3138" s="8" t="s">
        <v>133</v>
      </c>
      <c r="E3138" s="8">
        <v>7684394</v>
      </c>
      <c r="F3138" s="8">
        <v>7684394</v>
      </c>
      <c r="G3138" s="8" t="s">
        <v>46</v>
      </c>
      <c r="H3138" s="8" t="s">
        <v>41</v>
      </c>
      <c r="I3138" s="8" t="s">
        <v>23</v>
      </c>
      <c r="J3138" s="8" t="s">
        <v>2564</v>
      </c>
      <c r="K3138" s="8" t="s">
        <v>12990</v>
      </c>
      <c r="L3138" s="8" t="s">
        <v>19</v>
      </c>
      <c r="M3138" s="8">
        <v>6052</v>
      </c>
      <c r="N3138" s="8" t="s">
        <v>1421</v>
      </c>
      <c r="O3138" s="8">
        <v>2013</v>
      </c>
      <c r="P3138" s="8" t="s">
        <v>12995</v>
      </c>
      <c r="Q3138" s="8" t="s">
        <v>4262</v>
      </c>
      <c r="R3138" s="8">
        <v>0.27800000000000002</v>
      </c>
      <c r="S3138" s="8">
        <v>7684394</v>
      </c>
      <c r="T3138" s="8" t="s">
        <v>46</v>
      </c>
      <c r="U3138" s="8" t="s">
        <v>41</v>
      </c>
    </row>
    <row r="3139" spans="1:21">
      <c r="A3139" s="8" t="s">
        <v>10349</v>
      </c>
      <c r="B3139" s="8"/>
      <c r="C3139" s="8">
        <v>100653515</v>
      </c>
      <c r="D3139" s="8" t="s">
        <v>133</v>
      </c>
      <c r="E3139" s="8">
        <v>76887163</v>
      </c>
      <c r="F3139" s="8">
        <v>76887163</v>
      </c>
      <c r="G3139" s="8" t="s">
        <v>24</v>
      </c>
      <c r="H3139" s="8" t="s">
        <v>25</v>
      </c>
      <c r="I3139" s="8" t="s">
        <v>23</v>
      </c>
      <c r="J3139" s="8" t="s">
        <v>7625</v>
      </c>
      <c r="K3139" s="8" t="s">
        <v>7627</v>
      </c>
      <c r="L3139" s="8" t="s">
        <v>19</v>
      </c>
      <c r="M3139" s="8">
        <v>1605</v>
      </c>
      <c r="N3139" s="8" t="s">
        <v>2400</v>
      </c>
      <c r="O3139" s="8">
        <v>475</v>
      </c>
      <c r="P3139" s="8" t="s">
        <v>12996</v>
      </c>
      <c r="Q3139" s="8" t="s">
        <v>4262</v>
      </c>
      <c r="R3139" s="8">
        <v>0.24</v>
      </c>
      <c r="S3139" s="8">
        <v>76887163</v>
      </c>
      <c r="T3139" s="8" t="s">
        <v>24</v>
      </c>
      <c r="U3139" s="8" t="s">
        <v>25</v>
      </c>
    </row>
    <row r="3140" spans="1:21">
      <c r="A3140" s="8" t="s">
        <v>10349</v>
      </c>
      <c r="B3140" s="8" t="s">
        <v>2563</v>
      </c>
      <c r="C3140" s="8">
        <v>146754</v>
      </c>
      <c r="D3140" s="8" t="s">
        <v>133</v>
      </c>
      <c r="E3140" s="8">
        <v>7708625</v>
      </c>
      <c r="F3140" s="8">
        <v>7708625</v>
      </c>
      <c r="G3140" s="8" t="s">
        <v>46</v>
      </c>
      <c r="H3140" s="8" t="s">
        <v>41</v>
      </c>
      <c r="I3140" s="8" t="s">
        <v>23</v>
      </c>
      <c r="J3140" s="8" t="s">
        <v>2564</v>
      </c>
      <c r="K3140" s="8" t="s">
        <v>12990</v>
      </c>
      <c r="L3140" s="8" t="s">
        <v>19</v>
      </c>
      <c r="M3140" s="8">
        <v>9370</v>
      </c>
      <c r="N3140" s="8" t="s">
        <v>333</v>
      </c>
      <c r="O3140" s="8">
        <v>3119</v>
      </c>
      <c r="P3140" s="8" t="s">
        <v>12997</v>
      </c>
      <c r="Q3140" s="8" t="s">
        <v>4262</v>
      </c>
      <c r="R3140" s="8">
        <v>0.222</v>
      </c>
      <c r="S3140" s="8">
        <v>7708625</v>
      </c>
      <c r="T3140" s="8" t="s">
        <v>46</v>
      </c>
      <c r="U3140" s="8" t="s">
        <v>41</v>
      </c>
    </row>
    <row r="3141" spans="1:21">
      <c r="A3141" s="8" t="s">
        <v>10349</v>
      </c>
      <c r="B3141" s="8" t="s">
        <v>2563</v>
      </c>
      <c r="C3141" s="8">
        <v>146754</v>
      </c>
      <c r="D3141" s="8" t="s">
        <v>133</v>
      </c>
      <c r="E3141" s="8">
        <v>7727981</v>
      </c>
      <c r="F3141" s="8">
        <v>7727981</v>
      </c>
      <c r="G3141" s="8" t="s">
        <v>46</v>
      </c>
      <c r="H3141" s="8" t="s">
        <v>41</v>
      </c>
      <c r="I3141" s="8" t="s">
        <v>23</v>
      </c>
      <c r="J3141" s="8" t="s">
        <v>2564</v>
      </c>
      <c r="K3141" s="8" t="s">
        <v>12990</v>
      </c>
      <c r="L3141" s="8" t="s">
        <v>19</v>
      </c>
      <c r="M3141" s="8">
        <v>11803</v>
      </c>
      <c r="N3141" s="8" t="s">
        <v>333</v>
      </c>
      <c r="O3141" s="8">
        <v>3930</v>
      </c>
      <c r="P3141" s="8" t="s">
        <v>12998</v>
      </c>
      <c r="Q3141" s="8" t="s">
        <v>4262</v>
      </c>
      <c r="R3141" s="8">
        <v>0.20599999999999999</v>
      </c>
      <c r="S3141" s="8">
        <v>7727981</v>
      </c>
      <c r="T3141" s="8" t="s">
        <v>46</v>
      </c>
      <c r="U3141" s="8" t="s">
        <v>41</v>
      </c>
    </row>
    <row r="3142" spans="1:21">
      <c r="A3142" s="8" t="s">
        <v>10349</v>
      </c>
      <c r="B3142" s="8" t="s">
        <v>2565</v>
      </c>
      <c r="C3142" s="8">
        <v>79092</v>
      </c>
      <c r="D3142" s="8" t="s">
        <v>133</v>
      </c>
      <c r="E3142" s="8">
        <v>78166324</v>
      </c>
      <c r="F3142" s="8">
        <v>78166324</v>
      </c>
      <c r="G3142" s="8" t="s">
        <v>24</v>
      </c>
      <c r="H3142" s="8" t="s">
        <v>25</v>
      </c>
      <c r="I3142" s="8" t="s">
        <v>23</v>
      </c>
      <c r="J3142" s="8" t="s">
        <v>12999</v>
      </c>
      <c r="K3142" s="8" t="s">
        <v>13001</v>
      </c>
      <c r="L3142" s="8" t="s">
        <v>19</v>
      </c>
      <c r="M3142" s="8">
        <v>1456</v>
      </c>
      <c r="N3142" s="8" t="s">
        <v>2483</v>
      </c>
      <c r="O3142" s="8">
        <v>421</v>
      </c>
      <c r="P3142" s="8" t="s">
        <v>13000</v>
      </c>
      <c r="Q3142" s="8" t="s">
        <v>4262</v>
      </c>
      <c r="R3142" s="8">
        <v>0.222</v>
      </c>
      <c r="S3142" s="8">
        <v>78166324</v>
      </c>
      <c r="T3142" s="8" t="s">
        <v>24</v>
      </c>
      <c r="U3142" s="8" t="s">
        <v>25</v>
      </c>
    </row>
    <row r="3143" spans="1:21">
      <c r="A3143" s="8" t="s">
        <v>10349</v>
      </c>
      <c r="B3143" s="8" t="s">
        <v>2566</v>
      </c>
      <c r="C3143" s="8">
        <v>22899</v>
      </c>
      <c r="D3143" s="8" t="s">
        <v>133</v>
      </c>
      <c r="E3143" s="8">
        <v>8222221</v>
      </c>
      <c r="F3143" s="8">
        <v>8222221</v>
      </c>
      <c r="G3143" s="8" t="s">
        <v>46</v>
      </c>
      <c r="H3143" s="8" t="s">
        <v>41</v>
      </c>
      <c r="I3143" s="8" t="s">
        <v>23</v>
      </c>
      <c r="J3143" s="8" t="s">
        <v>4921</v>
      </c>
      <c r="K3143" s="8" t="s">
        <v>4923</v>
      </c>
      <c r="L3143" s="8" t="s">
        <v>19</v>
      </c>
      <c r="M3143" s="8">
        <v>2181</v>
      </c>
      <c r="N3143" s="8" t="s">
        <v>415</v>
      </c>
      <c r="O3143" s="8">
        <v>676</v>
      </c>
      <c r="P3143" s="8" t="s">
        <v>13002</v>
      </c>
      <c r="Q3143" s="8" t="s">
        <v>4262</v>
      </c>
      <c r="R3143" s="8">
        <v>0.27900000000000003</v>
      </c>
      <c r="S3143" s="8">
        <v>8222221</v>
      </c>
      <c r="T3143" s="8" t="s">
        <v>46</v>
      </c>
      <c r="U3143" s="8" t="s">
        <v>41</v>
      </c>
    </row>
    <row r="3144" spans="1:21">
      <c r="A3144" s="8" t="s">
        <v>10349</v>
      </c>
      <c r="B3144" s="8" t="s">
        <v>4924</v>
      </c>
      <c r="C3144" s="8">
        <v>4626</v>
      </c>
      <c r="D3144" s="8" t="s">
        <v>133</v>
      </c>
      <c r="E3144" s="8">
        <v>10303843</v>
      </c>
      <c r="F3144" s="8">
        <v>10303843</v>
      </c>
      <c r="G3144" s="8" t="s">
        <v>24</v>
      </c>
      <c r="H3144" s="8" t="s">
        <v>25</v>
      </c>
      <c r="I3144" s="8" t="s">
        <v>23</v>
      </c>
      <c r="J3144" s="8" t="s">
        <v>4925</v>
      </c>
      <c r="K3144" s="8" t="s">
        <v>4927</v>
      </c>
      <c r="L3144" s="8" t="s">
        <v>19</v>
      </c>
      <c r="M3144" s="8">
        <v>3694</v>
      </c>
      <c r="N3144" s="8" t="s">
        <v>417</v>
      </c>
      <c r="O3144" s="8">
        <v>1200</v>
      </c>
      <c r="P3144" s="8" t="s">
        <v>13003</v>
      </c>
      <c r="Q3144" s="8" t="s">
        <v>4262</v>
      </c>
      <c r="R3144" s="8">
        <v>0.158</v>
      </c>
      <c r="S3144" s="8">
        <v>10303843</v>
      </c>
      <c r="T3144" s="8" t="s">
        <v>24</v>
      </c>
      <c r="U3144" s="8" t="s">
        <v>25</v>
      </c>
    </row>
    <row r="3145" spans="1:21">
      <c r="A3145" s="8" t="s">
        <v>10349</v>
      </c>
      <c r="B3145" s="8" t="s">
        <v>13004</v>
      </c>
      <c r="C3145" s="8">
        <v>4622</v>
      </c>
      <c r="D3145" s="8" t="s">
        <v>133</v>
      </c>
      <c r="E3145" s="8">
        <v>10352275</v>
      </c>
      <c r="F3145" s="8">
        <v>10352275</v>
      </c>
      <c r="G3145" s="8" t="s">
        <v>46</v>
      </c>
      <c r="H3145" s="8" t="s">
        <v>41</v>
      </c>
      <c r="I3145" s="8" t="s">
        <v>23</v>
      </c>
      <c r="J3145" s="8" t="s">
        <v>13005</v>
      </c>
      <c r="K3145" s="8" t="s">
        <v>13007</v>
      </c>
      <c r="L3145" s="8" t="s">
        <v>19</v>
      </c>
      <c r="M3145" s="8">
        <v>4382</v>
      </c>
      <c r="N3145" s="8" t="s">
        <v>2483</v>
      </c>
      <c r="O3145" s="8">
        <v>1424</v>
      </c>
      <c r="P3145" s="8" t="s">
        <v>13006</v>
      </c>
      <c r="Q3145" s="8" t="s">
        <v>4262</v>
      </c>
      <c r="R3145" s="8">
        <v>0.182</v>
      </c>
      <c r="S3145" s="8">
        <v>10352275</v>
      </c>
      <c r="T3145" s="8" t="s">
        <v>46</v>
      </c>
      <c r="U3145" s="8" t="s">
        <v>41</v>
      </c>
    </row>
    <row r="3146" spans="1:21">
      <c r="A3146" s="8" t="s">
        <v>10349</v>
      </c>
      <c r="B3146" s="8" t="s">
        <v>709</v>
      </c>
      <c r="C3146" s="8">
        <v>4620</v>
      </c>
      <c r="D3146" s="8" t="s">
        <v>133</v>
      </c>
      <c r="E3146" s="8">
        <v>10450836</v>
      </c>
      <c r="F3146" s="8">
        <v>10450836</v>
      </c>
      <c r="G3146" s="8" t="s">
        <v>46</v>
      </c>
      <c r="H3146" s="8" t="s">
        <v>41</v>
      </c>
      <c r="I3146" s="8" t="s">
        <v>23</v>
      </c>
      <c r="J3146" s="8" t="s">
        <v>1245</v>
      </c>
      <c r="K3146" s="8" t="s">
        <v>13009</v>
      </c>
      <c r="L3146" s="8" t="s">
        <v>19</v>
      </c>
      <c r="M3146" s="8">
        <v>432</v>
      </c>
      <c r="N3146" s="8" t="s">
        <v>171</v>
      </c>
      <c r="O3146" s="8">
        <v>102</v>
      </c>
      <c r="P3146" s="8" t="s">
        <v>13008</v>
      </c>
      <c r="Q3146" s="8" t="s">
        <v>4262</v>
      </c>
      <c r="R3146" s="8">
        <v>0.184</v>
      </c>
      <c r="S3146" s="8">
        <v>10450836</v>
      </c>
      <c r="T3146" s="8" t="s">
        <v>46</v>
      </c>
      <c r="U3146" s="8" t="s">
        <v>41</v>
      </c>
    </row>
    <row r="3147" spans="1:21">
      <c r="A3147" s="8" t="s">
        <v>10349</v>
      </c>
      <c r="B3147" s="8" t="s">
        <v>2544</v>
      </c>
      <c r="C3147" s="8">
        <v>100652851</v>
      </c>
      <c r="D3147" s="8" t="s">
        <v>133</v>
      </c>
      <c r="E3147" s="8">
        <v>15878076</v>
      </c>
      <c r="F3147" s="8">
        <v>15878076</v>
      </c>
      <c r="G3147" s="8" t="s">
        <v>46</v>
      </c>
      <c r="H3147" s="8" t="s">
        <v>41</v>
      </c>
      <c r="I3147" s="8" t="s">
        <v>23</v>
      </c>
      <c r="J3147" s="8" t="s">
        <v>13010</v>
      </c>
      <c r="K3147" s="8" t="s">
        <v>13012</v>
      </c>
      <c r="L3147" s="8" t="s">
        <v>76</v>
      </c>
      <c r="M3147" s="8">
        <v>542</v>
      </c>
      <c r="N3147" s="8" t="s">
        <v>471</v>
      </c>
      <c r="O3147" s="8">
        <v>92</v>
      </c>
      <c r="P3147" s="8" t="s">
        <v>13011</v>
      </c>
      <c r="Q3147" s="8" t="s">
        <v>4262</v>
      </c>
      <c r="R3147" s="8">
        <v>0.188</v>
      </c>
      <c r="S3147" s="8">
        <v>15878076</v>
      </c>
      <c r="T3147" s="8" t="s">
        <v>46</v>
      </c>
      <c r="U3147" s="8" t="s">
        <v>41</v>
      </c>
    </row>
    <row r="3148" spans="1:21">
      <c r="A3148" s="8" t="s">
        <v>10349</v>
      </c>
      <c r="B3148" s="8" t="s">
        <v>13013</v>
      </c>
      <c r="C3148" s="8">
        <v>9720</v>
      </c>
      <c r="D3148" s="8" t="s">
        <v>133</v>
      </c>
      <c r="E3148" s="8">
        <v>16612144</v>
      </c>
      <c r="F3148" s="8">
        <v>16612144</v>
      </c>
      <c r="G3148" s="8" t="s">
        <v>24</v>
      </c>
      <c r="H3148" s="8" t="s">
        <v>25</v>
      </c>
      <c r="I3148" s="8" t="s">
        <v>23</v>
      </c>
      <c r="J3148" s="8" t="s">
        <v>13014</v>
      </c>
      <c r="K3148" s="8" t="s">
        <v>13016</v>
      </c>
      <c r="L3148" s="8" t="s">
        <v>19</v>
      </c>
      <c r="M3148" s="8">
        <v>849</v>
      </c>
      <c r="N3148" s="8" t="s">
        <v>732</v>
      </c>
      <c r="O3148" s="8">
        <v>258</v>
      </c>
      <c r="P3148" s="8" t="s">
        <v>13015</v>
      </c>
      <c r="Q3148" s="8" t="s">
        <v>4262</v>
      </c>
      <c r="R3148" s="8">
        <v>0.13200000000000001</v>
      </c>
      <c r="S3148" s="8">
        <v>16612144</v>
      </c>
      <c r="T3148" s="8" t="s">
        <v>24</v>
      </c>
      <c r="U3148" s="8" t="s">
        <v>25</v>
      </c>
    </row>
    <row r="3149" spans="1:21">
      <c r="A3149" s="8" t="s">
        <v>10349</v>
      </c>
      <c r="B3149" s="8" t="s">
        <v>13017</v>
      </c>
      <c r="C3149" s="8">
        <v>23293</v>
      </c>
      <c r="D3149" s="8" t="s">
        <v>133</v>
      </c>
      <c r="E3149" s="8">
        <v>2202411</v>
      </c>
      <c r="F3149" s="8">
        <v>2202411</v>
      </c>
      <c r="G3149" s="8" t="s">
        <v>46</v>
      </c>
      <c r="H3149" s="8" t="s">
        <v>41</v>
      </c>
      <c r="I3149" s="8" t="s">
        <v>23</v>
      </c>
      <c r="J3149" s="8" t="s">
        <v>13018</v>
      </c>
      <c r="K3149" s="8" t="s">
        <v>13020</v>
      </c>
      <c r="L3149" s="8" t="s">
        <v>19</v>
      </c>
      <c r="M3149" s="8">
        <v>1691</v>
      </c>
      <c r="N3149" s="8" t="s">
        <v>536</v>
      </c>
      <c r="O3149" s="8">
        <v>546</v>
      </c>
      <c r="P3149" s="8" t="s">
        <v>13019</v>
      </c>
      <c r="Q3149" s="8" t="s">
        <v>4262</v>
      </c>
      <c r="R3149" s="8">
        <v>0.16500000000000001</v>
      </c>
      <c r="S3149" s="8">
        <v>2202411</v>
      </c>
      <c r="T3149" s="8" t="s">
        <v>46</v>
      </c>
      <c r="U3149" s="8" t="s">
        <v>41</v>
      </c>
    </row>
    <row r="3150" spans="1:21">
      <c r="A3150" s="8" t="s">
        <v>10349</v>
      </c>
      <c r="B3150" s="8" t="s">
        <v>2545</v>
      </c>
      <c r="C3150" s="8">
        <v>79066</v>
      </c>
      <c r="D3150" s="8" t="s">
        <v>133</v>
      </c>
      <c r="E3150" s="8">
        <v>2323545</v>
      </c>
      <c r="F3150" s="8">
        <v>2323545</v>
      </c>
      <c r="G3150" s="8" t="s">
        <v>46</v>
      </c>
      <c r="H3150" s="8" t="s">
        <v>41</v>
      </c>
      <c r="I3150" s="8" t="s">
        <v>23</v>
      </c>
      <c r="J3150" s="8" t="s">
        <v>2546</v>
      </c>
      <c r="K3150" s="8" t="s">
        <v>13022</v>
      </c>
      <c r="L3150" s="8" t="s">
        <v>19</v>
      </c>
      <c r="M3150" s="8">
        <v>1556</v>
      </c>
      <c r="N3150" s="8" t="s">
        <v>758</v>
      </c>
      <c r="O3150" s="8">
        <v>470</v>
      </c>
      <c r="P3150" s="8" t="s">
        <v>13021</v>
      </c>
      <c r="Q3150" s="8" t="s">
        <v>4262</v>
      </c>
      <c r="R3150" s="8">
        <v>0.25</v>
      </c>
      <c r="S3150" s="8">
        <v>2323545</v>
      </c>
      <c r="T3150" s="8" t="s">
        <v>46</v>
      </c>
      <c r="U3150" s="8" t="s">
        <v>41</v>
      </c>
    </row>
    <row r="3151" spans="1:21">
      <c r="A3151" s="8" t="s">
        <v>10349</v>
      </c>
      <c r="B3151" s="8" t="s">
        <v>13023</v>
      </c>
      <c r="C3151" s="8">
        <v>4843</v>
      </c>
      <c r="D3151" s="8" t="s">
        <v>133</v>
      </c>
      <c r="E3151" s="8">
        <v>26115864</v>
      </c>
      <c r="F3151" s="8">
        <v>26115864</v>
      </c>
      <c r="G3151" s="8" t="s">
        <v>24</v>
      </c>
      <c r="H3151" s="8" t="s">
        <v>25</v>
      </c>
      <c r="I3151" s="8" t="s">
        <v>23</v>
      </c>
      <c r="J3151" s="8" t="s">
        <v>13024</v>
      </c>
      <c r="K3151" s="8" t="s">
        <v>13026</v>
      </c>
      <c r="L3151" s="8" t="s">
        <v>76</v>
      </c>
      <c r="M3151" s="8">
        <v>553</v>
      </c>
      <c r="N3151" s="8" t="s">
        <v>2720</v>
      </c>
      <c r="O3151" s="8">
        <v>97</v>
      </c>
      <c r="P3151" s="8" t="s">
        <v>13025</v>
      </c>
      <c r="Q3151" s="8" t="s">
        <v>4262</v>
      </c>
      <c r="R3151" s="8">
        <v>0.20399999999999999</v>
      </c>
      <c r="S3151" s="8">
        <v>26115864</v>
      </c>
      <c r="T3151" s="8" t="s">
        <v>24</v>
      </c>
      <c r="U3151" s="8" t="s">
        <v>25</v>
      </c>
    </row>
    <row r="3152" spans="1:21">
      <c r="A3152" s="8" t="s">
        <v>10349</v>
      </c>
      <c r="B3152" s="8" t="s">
        <v>2229</v>
      </c>
      <c r="C3152" s="8">
        <v>6388</v>
      </c>
      <c r="D3152" s="8" t="s">
        <v>133</v>
      </c>
      <c r="E3152" s="8">
        <v>26988750</v>
      </c>
      <c r="F3152" s="8">
        <v>26988750</v>
      </c>
      <c r="G3152" s="8" t="s">
        <v>46</v>
      </c>
      <c r="H3152" s="8" t="s">
        <v>41</v>
      </c>
      <c r="I3152" s="8" t="s">
        <v>23</v>
      </c>
      <c r="J3152" s="8" t="s">
        <v>2547</v>
      </c>
      <c r="K3152" s="8" t="s">
        <v>13028</v>
      </c>
      <c r="L3152" s="8" t="s">
        <v>19</v>
      </c>
      <c r="M3152" s="8">
        <v>184</v>
      </c>
      <c r="N3152" s="8" t="s">
        <v>28</v>
      </c>
      <c r="O3152" s="8">
        <v>49</v>
      </c>
      <c r="P3152" s="8" t="s">
        <v>13027</v>
      </c>
      <c r="Q3152" s="8" t="s">
        <v>4262</v>
      </c>
      <c r="R3152" s="8">
        <v>0.217</v>
      </c>
      <c r="S3152" s="8">
        <v>26988750</v>
      </c>
      <c r="T3152" s="8" t="s">
        <v>46</v>
      </c>
      <c r="U3152" s="8" t="s">
        <v>41</v>
      </c>
    </row>
    <row r="3153" spans="1:21">
      <c r="A3153" s="8" t="s">
        <v>10349</v>
      </c>
      <c r="B3153" s="8" t="s">
        <v>13029</v>
      </c>
      <c r="C3153" s="8">
        <v>84940</v>
      </c>
      <c r="D3153" s="8" t="s">
        <v>133</v>
      </c>
      <c r="E3153" s="8">
        <v>27946788</v>
      </c>
      <c r="F3153" s="8">
        <v>27946788</v>
      </c>
      <c r="G3153" s="8" t="s">
        <v>46</v>
      </c>
      <c r="H3153" s="8" t="s">
        <v>41</v>
      </c>
      <c r="I3153" s="8" t="s">
        <v>23</v>
      </c>
      <c r="J3153" s="8" t="s">
        <v>13030</v>
      </c>
      <c r="K3153" s="8" t="s">
        <v>13032</v>
      </c>
      <c r="L3153" s="8" t="s">
        <v>19</v>
      </c>
      <c r="M3153" s="8">
        <v>204</v>
      </c>
      <c r="N3153" s="8" t="s">
        <v>28</v>
      </c>
      <c r="O3153" s="8">
        <v>68</v>
      </c>
      <c r="P3153" s="8" t="s">
        <v>13031</v>
      </c>
      <c r="Q3153" s="8" t="s">
        <v>4262</v>
      </c>
      <c r="R3153" s="8">
        <v>0.23100000000000001</v>
      </c>
      <c r="S3153" s="8">
        <v>27946788</v>
      </c>
      <c r="T3153" s="8" t="s">
        <v>46</v>
      </c>
      <c r="U3153" s="8" t="s">
        <v>41</v>
      </c>
    </row>
    <row r="3154" spans="1:21">
      <c r="A3154" s="8" t="s">
        <v>10349</v>
      </c>
      <c r="B3154" s="8" t="s">
        <v>3480</v>
      </c>
      <c r="C3154" s="8">
        <v>84081</v>
      </c>
      <c r="D3154" s="8" t="s">
        <v>133</v>
      </c>
      <c r="E3154" s="8">
        <v>28506210</v>
      </c>
      <c r="F3154" s="8">
        <v>28506210</v>
      </c>
      <c r="G3154" s="8" t="s">
        <v>24</v>
      </c>
      <c r="H3154" s="8" t="s">
        <v>25</v>
      </c>
      <c r="I3154" s="8" t="s">
        <v>23</v>
      </c>
      <c r="J3154" s="8" t="s">
        <v>6274</v>
      </c>
      <c r="K3154" s="8" t="s">
        <v>6276</v>
      </c>
      <c r="L3154" s="8" t="s">
        <v>19</v>
      </c>
      <c r="M3154" s="8">
        <v>431</v>
      </c>
      <c r="N3154" s="8" t="s">
        <v>28</v>
      </c>
      <c r="O3154" s="8">
        <v>135</v>
      </c>
      <c r="P3154" s="8" t="s">
        <v>13033</v>
      </c>
      <c r="Q3154" s="8" t="s">
        <v>4262</v>
      </c>
      <c r="R3154" s="8">
        <v>0.14799999999999999</v>
      </c>
      <c r="S3154" s="8">
        <v>28506210</v>
      </c>
      <c r="T3154" s="8" t="s">
        <v>24</v>
      </c>
      <c r="U3154" s="8" t="s">
        <v>25</v>
      </c>
    </row>
    <row r="3155" spans="1:21">
      <c r="A3155" s="8" t="s">
        <v>10349</v>
      </c>
      <c r="B3155" s="8" t="s">
        <v>13034</v>
      </c>
      <c r="C3155" s="8">
        <v>4763</v>
      </c>
      <c r="D3155" s="8" t="s">
        <v>133</v>
      </c>
      <c r="E3155" s="8">
        <v>29562750</v>
      </c>
      <c r="F3155" s="8">
        <v>29562750</v>
      </c>
      <c r="G3155" s="8" t="s">
        <v>24</v>
      </c>
      <c r="H3155" s="8" t="s">
        <v>25</v>
      </c>
      <c r="I3155" s="8" t="s">
        <v>23</v>
      </c>
      <c r="J3155" s="8" t="s">
        <v>13035</v>
      </c>
      <c r="K3155" s="8" t="s">
        <v>13037</v>
      </c>
      <c r="L3155" s="8" t="s">
        <v>19</v>
      </c>
      <c r="M3155" s="8">
        <v>4213</v>
      </c>
      <c r="N3155" s="8" t="s">
        <v>205</v>
      </c>
      <c r="O3155" s="8">
        <v>1277</v>
      </c>
      <c r="P3155" s="8" t="s">
        <v>13036</v>
      </c>
      <c r="Q3155" s="8" t="s">
        <v>4262</v>
      </c>
      <c r="R3155" s="8">
        <v>0.24399999999999999</v>
      </c>
      <c r="S3155" s="8">
        <v>29562750</v>
      </c>
      <c r="T3155" s="8" t="s">
        <v>24</v>
      </c>
      <c r="U3155" s="8" t="s">
        <v>25</v>
      </c>
    </row>
    <row r="3156" spans="1:21">
      <c r="A3156" s="8" t="s">
        <v>10349</v>
      </c>
      <c r="B3156" s="8" t="s">
        <v>13034</v>
      </c>
      <c r="C3156" s="8">
        <v>4763</v>
      </c>
      <c r="D3156" s="8" t="s">
        <v>133</v>
      </c>
      <c r="E3156" s="8">
        <v>29652932</v>
      </c>
      <c r="F3156" s="8">
        <v>29652932</v>
      </c>
      <c r="G3156" s="8" t="s">
        <v>24</v>
      </c>
      <c r="H3156" s="8" t="s">
        <v>25</v>
      </c>
      <c r="I3156" s="8" t="s">
        <v>23</v>
      </c>
      <c r="J3156" s="8" t="s">
        <v>13035</v>
      </c>
      <c r="K3156" s="8" t="s">
        <v>13037</v>
      </c>
      <c r="L3156" s="8" t="s">
        <v>19</v>
      </c>
      <c r="M3156" s="8">
        <v>5313</v>
      </c>
      <c r="N3156" s="8" t="s">
        <v>485</v>
      </c>
      <c r="O3156" s="8">
        <v>1644</v>
      </c>
      <c r="P3156" s="8" t="s">
        <v>13038</v>
      </c>
      <c r="Q3156" s="8" t="s">
        <v>4262</v>
      </c>
      <c r="R3156" s="8">
        <v>0.155</v>
      </c>
      <c r="S3156" s="8">
        <v>29652932</v>
      </c>
      <c r="T3156" s="8" t="s">
        <v>24</v>
      </c>
      <c r="U3156" s="8" t="s">
        <v>25</v>
      </c>
    </row>
    <row r="3157" spans="1:21">
      <c r="A3157" s="8" t="s">
        <v>10349</v>
      </c>
      <c r="B3157" s="8" t="s">
        <v>13039</v>
      </c>
      <c r="C3157" s="8">
        <v>146857</v>
      </c>
      <c r="D3157" s="8" t="s">
        <v>133</v>
      </c>
      <c r="E3157" s="8">
        <v>33772324</v>
      </c>
      <c r="F3157" s="8">
        <v>33772324</v>
      </c>
      <c r="G3157" s="8" t="s">
        <v>24</v>
      </c>
      <c r="H3157" s="8" t="s">
        <v>25</v>
      </c>
      <c r="I3157" s="8" t="s">
        <v>23</v>
      </c>
      <c r="J3157" s="8" t="s">
        <v>13040</v>
      </c>
      <c r="K3157" s="8" t="s">
        <v>13042</v>
      </c>
      <c r="L3157" s="8" t="s">
        <v>19</v>
      </c>
      <c r="M3157" s="8">
        <v>652</v>
      </c>
      <c r="N3157" s="8" t="s">
        <v>560</v>
      </c>
      <c r="O3157" s="8">
        <v>126</v>
      </c>
      <c r="P3157" s="8" t="s">
        <v>13041</v>
      </c>
      <c r="Q3157" s="8" t="s">
        <v>4262</v>
      </c>
      <c r="R3157" s="8">
        <v>0.182</v>
      </c>
      <c r="S3157" s="8">
        <v>33772324</v>
      </c>
      <c r="T3157" s="8" t="s">
        <v>24</v>
      </c>
      <c r="U3157" s="8" t="s">
        <v>25</v>
      </c>
    </row>
    <row r="3158" spans="1:21">
      <c r="A3158" s="8" t="s">
        <v>10349</v>
      </c>
      <c r="B3158" s="8" t="s">
        <v>13043</v>
      </c>
      <c r="C3158" s="8">
        <v>246176</v>
      </c>
      <c r="D3158" s="8" t="s">
        <v>133</v>
      </c>
      <c r="E3158" s="8">
        <v>34077284</v>
      </c>
      <c r="F3158" s="8">
        <v>34077284</v>
      </c>
      <c r="G3158" s="8" t="s">
        <v>46</v>
      </c>
      <c r="H3158" s="8" t="s">
        <v>41</v>
      </c>
      <c r="I3158" s="8" t="s">
        <v>23</v>
      </c>
      <c r="J3158" s="8" t="s">
        <v>13044</v>
      </c>
      <c r="K3158" s="8" t="s">
        <v>13046</v>
      </c>
      <c r="L3158" s="8" t="s">
        <v>19</v>
      </c>
      <c r="M3158" s="8">
        <v>467</v>
      </c>
      <c r="N3158" s="8" t="s">
        <v>171</v>
      </c>
      <c r="O3158" s="8">
        <v>147</v>
      </c>
      <c r="P3158" s="8" t="s">
        <v>13045</v>
      </c>
      <c r="Q3158" s="8" t="s">
        <v>4262</v>
      </c>
      <c r="R3158" s="8">
        <v>0.16</v>
      </c>
      <c r="S3158" s="8">
        <v>34077284</v>
      </c>
      <c r="T3158" s="8" t="s">
        <v>46</v>
      </c>
      <c r="U3158" s="8" t="s">
        <v>41</v>
      </c>
    </row>
    <row r="3159" spans="1:21">
      <c r="A3159" s="8" t="s">
        <v>10349</v>
      </c>
      <c r="B3159" s="8" t="s">
        <v>13047</v>
      </c>
      <c r="C3159" s="8">
        <v>31</v>
      </c>
      <c r="D3159" s="8" t="s">
        <v>133</v>
      </c>
      <c r="E3159" s="8">
        <v>35487102</v>
      </c>
      <c r="F3159" s="8">
        <v>35487102</v>
      </c>
      <c r="G3159" s="8" t="s">
        <v>46</v>
      </c>
      <c r="H3159" s="8" t="s">
        <v>41</v>
      </c>
      <c r="I3159" s="8" t="s">
        <v>23</v>
      </c>
      <c r="J3159" s="8" t="s">
        <v>13048</v>
      </c>
      <c r="K3159" s="8" t="s">
        <v>13050</v>
      </c>
      <c r="L3159" s="8" t="s">
        <v>19</v>
      </c>
      <c r="M3159" s="8">
        <v>6235</v>
      </c>
      <c r="N3159" s="8" t="s">
        <v>536</v>
      </c>
      <c r="O3159" s="8">
        <v>1908</v>
      </c>
      <c r="P3159" s="8" t="s">
        <v>13049</v>
      </c>
      <c r="Q3159" s="8" t="s">
        <v>4262</v>
      </c>
      <c r="R3159" s="8">
        <v>0.14299999999999999</v>
      </c>
      <c r="S3159" s="8">
        <v>35487102</v>
      </c>
      <c r="T3159" s="8" t="s">
        <v>46</v>
      </c>
      <c r="U3159" s="8" t="s">
        <v>41</v>
      </c>
    </row>
    <row r="3160" spans="1:21">
      <c r="A3160" s="8" t="s">
        <v>10349</v>
      </c>
      <c r="B3160" s="8" t="s">
        <v>13051</v>
      </c>
      <c r="C3160" s="8">
        <v>3682</v>
      </c>
      <c r="D3160" s="8" t="s">
        <v>133</v>
      </c>
      <c r="E3160" s="8">
        <v>3638181</v>
      </c>
      <c r="F3160" s="8">
        <v>3638181</v>
      </c>
      <c r="G3160" s="8" t="s">
        <v>46</v>
      </c>
      <c r="H3160" s="8" t="s">
        <v>41</v>
      </c>
      <c r="I3160" s="8" t="s">
        <v>23</v>
      </c>
      <c r="J3160" s="8" t="s">
        <v>13052</v>
      </c>
      <c r="K3160" s="8" t="s">
        <v>13054</v>
      </c>
      <c r="L3160" s="8" t="s">
        <v>19</v>
      </c>
      <c r="M3160" s="8">
        <v>2684</v>
      </c>
      <c r="N3160" s="8" t="s">
        <v>1399</v>
      </c>
      <c r="O3160" s="8">
        <v>862</v>
      </c>
      <c r="P3160" s="8" t="s">
        <v>13053</v>
      </c>
      <c r="Q3160" s="8" t="s">
        <v>4262</v>
      </c>
      <c r="R3160" s="8">
        <v>0.17499999999999999</v>
      </c>
      <c r="S3160" s="8">
        <v>3638181</v>
      </c>
      <c r="T3160" s="8" t="s">
        <v>46</v>
      </c>
      <c r="U3160" s="8" t="s">
        <v>41</v>
      </c>
    </row>
    <row r="3161" spans="1:21">
      <c r="A3161" s="8" t="s">
        <v>10349</v>
      </c>
      <c r="B3161" s="8" t="s">
        <v>1475</v>
      </c>
      <c r="C3161" s="8">
        <v>30837</v>
      </c>
      <c r="D3161" s="8" t="s">
        <v>133</v>
      </c>
      <c r="E3161" s="8">
        <v>36522269</v>
      </c>
      <c r="F3161" s="8">
        <v>36522269</v>
      </c>
      <c r="G3161" s="8" t="s">
        <v>24</v>
      </c>
      <c r="H3161" s="8" t="s">
        <v>25</v>
      </c>
      <c r="I3161" s="8" t="s">
        <v>23</v>
      </c>
      <c r="J3161" s="8" t="s">
        <v>1476</v>
      </c>
      <c r="K3161" s="8" t="s">
        <v>13056</v>
      </c>
      <c r="L3161" s="8" t="s">
        <v>19</v>
      </c>
      <c r="M3161" s="8">
        <v>1281</v>
      </c>
      <c r="N3161" s="8" t="s">
        <v>708</v>
      </c>
      <c r="O3161" s="8">
        <v>387</v>
      </c>
      <c r="P3161" s="8" t="s">
        <v>13055</v>
      </c>
      <c r="Q3161" s="8" t="s">
        <v>4262</v>
      </c>
      <c r="R3161" s="8">
        <v>0.2</v>
      </c>
      <c r="S3161" s="8">
        <v>36522269</v>
      </c>
      <c r="T3161" s="8" t="s">
        <v>24</v>
      </c>
      <c r="U3161" s="8" t="s">
        <v>25</v>
      </c>
    </row>
    <row r="3162" spans="1:21">
      <c r="A3162" s="8" t="s">
        <v>10349</v>
      </c>
      <c r="B3162" s="8" t="s">
        <v>1475</v>
      </c>
      <c r="C3162" s="8">
        <v>30837</v>
      </c>
      <c r="D3162" s="8" t="s">
        <v>133</v>
      </c>
      <c r="E3162" s="8">
        <v>36523825</v>
      </c>
      <c r="F3162" s="8">
        <v>36523825</v>
      </c>
      <c r="G3162" s="8" t="s">
        <v>46</v>
      </c>
      <c r="H3162" s="8" t="s">
        <v>41</v>
      </c>
      <c r="I3162" s="8" t="s">
        <v>23</v>
      </c>
      <c r="J3162" s="8" t="s">
        <v>1476</v>
      </c>
      <c r="K3162" s="8" t="s">
        <v>13056</v>
      </c>
      <c r="L3162" s="8" t="s">
        <v>19</v>
      </c>
      <c r="M3162" s="8">
        <v>1373</v>
      </c>
      <c r="N3162" s="8" t="s">
        <v>423</v>
      </c>
      <c r="O3162" s="8">
        <v>418</v>
      </c>
      <c r="P3162" s="8" t="s">
        <v>13057</v>
      </c>
      <c r="Q3162" s="8" t="s">
        <v>4262</v>
      </c>
      <c r="R3162" s="8">
        <v>0.20599999999999999</v>
      </c>
      <c r="S3162" s="8">
        <v>36523825</v>
      </c>
      <c r="T3162" s="8" t="s">
        <v>46</v>
      </c>
      <c r="U3162" s="8" t="s">
        <v>41</v>
      </c>
    </row>
    <row r="3163" spans="1:21">
      <c r="A3163" s="8" t="s">
        <v>10349</v>
      </c>
      <c r="B3163" s="8" t="s">
        <v>3709</v>
      </c>
      <c r="C3163" s="8">
        <v>7153</v>
      </c>
      <c r="D3163" s="8" t="s">
        <v>133</v>
      </c>
      <c r="E3163" s="8">
        <v>38556261</v>
      </c>
      <c r="F3163" s="8">
        <v>38556261</v>
      </c>
      <c r="G3163" s="8" t="s">
        <v>46</v>
      </c>
      <c r="H3163" s="8" t="s">
        <v>24</v>
      </c>
      <c r="I3163" s="8" t="s">
        <v>23</v>
      </c>
      <c r="J3163" s="8" t="s">
        <v>3710</v>
      </c>
      <c r="K3163" s="8" t="s">
        <v>5375</v>
      </c>
      <c r="L3163" s="8" t="s">
        <v>19</v>
      </c>
      <c r="M3163" s="8">
        <v>3218</v>
      </c>
      <c r="N3163" s="8" t="s">
        <v>775</v>
      </c>
      <c r="O3163" s="8">
        <v>1020</v>
      </c>
      <c r="P3163" s="8" t="s">
        <v>13058</v>
      </c>
      <c r="Q3163" s="8" t="s">
        <v>4262</v>
      </c>
      <c r="R3163" s="8">
        <v>0.125</v>
      </c>
      <c r="S3163" s="8">
        <v>38556261</v>
      </c>
      <c r="T3163" s="8" t="s">
        <v>46</v>
      </c>
      <c r="U3163" s="8" t="s">
        <v>24</v>
      </c>
    </row>
    <row r="3164" spans="1:21">
      <c r="A3164" s="8" t="s">
        <v>10349</v>
      </c>
      <c r="B3164" s="8" t="s">
        <v>13059</v>
      </c>
      <c r="C3164" s="8">
        <v>3858</v>
      </c>
      <c r="D3164" s="8" t="s">
        <v>133</v>
      </c>
      <c r="E3164" s="8">
        <v>38978260</v>
      </c>
      <c r="F3164" s="8">
        <v>38978260</v>
      </c>
      <c r="G3164" s="8" t="s">
        <v>24</v>
      </c>
      <c r="H3164" s="8" t="s">
        <v>25</v>
      </c>
      <c r="I3164" s="8" t="s">
        <v>23</v>
      </c>
      <c r="J3164" s="8" t="s">
        <v>13060</v>
      </c>
      <c r="K3164" s="8" t="s">
        <v>13062</v>
      </c>
      <c r="L3164" s="8" t="s">
        <v>19</v>
      </c>
      <c r="M3164" s="8">
        <v>604</v>
      </c>
      <c r="N3164" s="8" t="s">
        <v>1140</v>
      </c>
      <c r="O3164" s="8">
        <v>193</v>
      </c>
      <c r="P3164" s="8" t="s">
        <v>13061</v>
      </c>
      <c r="Q3164" s="8" t="s">
        <v>4262</v>
      </c>
      <c r="R3164" s="8">
        <v>0.115</v>
      </c>
      <c r="S3164" s="8">
        <v>38978260</v>
      </c>
      <c r="T3164" s="8" t="s">
        <v>24</v>
      </c>
      <c r="U3164" s="8" t="s">
        <v>25</v>
      </c>
    </row>
    <row r="3165" spans="1:21">
      <c r="A3165" s="8" t="s">
        <v>10349</v>
      </c>
      <c r="B3165" s="8" t="s">
        <v>13063</v>
      </c>
      <c r="C3165" s="8">
        <v>3859</v>
      </c>
      <c r="D3165" s="8" t="s">
        <v>133</v>
      </c>
      <c r="E3165" s="8">
        <v>39023176</v>
      </c>
      <c r="F3165" s="8">
        <v>39023176</v>
      </c>
      <c r="G3165" s="8" t="s">
        <v>24</v>
      </c>
      <c r="H3165" s="8" t="s">
        <v>25</v>
      </c>
      <c r="I3165" s="8" t="s">
        <v>23</v>
      </c>
      <c r="J3165" s="8" t="s">
        <v>13064</v>
      </c>
      <c r="K3165" s="8" t="s">
        <v>13066</v>
      </c>
      <c r="L3165" s="8" t="s">
        <v>19</v>
      </c>
      <c r="M3165" s="8">
        <v>287</v>
      </c>
      <c r="N3165" s="8" t="s">
        <v>1421</v>
      </c>
      <c r="O3165" s="8">
        <v>88</v>
      </c>
      <c r="P3165" s="8" t="s">
        <v>13065</v>
      </c>
      <c r="Q3165" s="8" t="s">
        <v>4262</v>
      </c>
      <c r="R3165" s="8">
        <v>0.188</v>
      </c>
      <c r="S3165" s="8">
        <v>39023176</v>
      </c>
      <c r="T3165" s="8" t="s">
        <v>24</v>
      </c>
      <c r="U3165" s="8" t="s">
        <v>25</v>
      </c>
    </row>
    <row r="3166" spans="1:21">
      <c r="A3166" s="8" t="s">
        <v>10349</v>
      </c>
      <c r="B3166" s="8" t="s">
        <v>2548</v>
      </c>
      <c r="C3166" s="8">
        <v>3860</v>
      </c>
      <c r="D3166" s="8" t="s">
        <v>133</v>
      </c>
      <c r="E3166" s="8">
        <v>39658630</v>
      </c>
      <c r="F3166" s="8">
        <v>39658630</v>
      </c>
      <c r="G3166" s="8" t="s">
        <v>46</v>
      </c>
      <c r="H3166" s="8" t="s">
        <v>41</v>
      </c>
      <c r="I3166" s="8" t="s">
        <v>23</v>
      </c>
      <c r="J3166" s="8" t="s">
        <v>13067</v>
      </c>
      <c r="K3166" s="8" t="s">
        <v>13068</v>
      </c>
      <c r="L3166" s="8" t="s">
        <v>19</v>
      </c>
      <c r="M3166" s="8">
        <v>1303</v>
      </c>
      <c r="N3166" s="8" t="s">
        <v>155</v>
      </c>
      <c r="O3166" s="8">
        <v>414</v>
      </c>
      <c r="P3166" s="8" t="s">
        <v>8426</v>
      </c>
      <c r="Q3166" s="8" t="s">
        <v>4262</v>
      </c>
      <c r="R3166" s="8">
        <v>0.28999999999999998</v>
      </c>
      <c r="S3166" s="8">
        <v>39658630</v>
      </c>
      <c r="T3166" s="8" t="s">
        <v>46</v>
      </c>
      <c r="U3166" s="8" t="s">
        <v>41</v>
      </c>
    </row>
    <row r="3167" spans="1:21">
      <c r="A3167" s="8" t="s">
        <v>10349</v>
      </c>
      <c r="B3167" s="8" t="s">
        <v>13069</v>
      </c>
      <c r="C3167" s="8">
        <v>83538</v>
      </c>
      <c r="D3167" s="8" t="s">
        <v>133</v>
      </c>
      <c r="E3167" s="8">
        <v>40093072</v>
      </c>
      <c r="F3167" s="8">
        <v>40093072</v>
      </c>
      <c r="G3167" s="8" t="s">
        <v>24</v>
      </c>
      <c r="H3167" s="8" t="s">
        <v>25</v>
      </c>
      <c r="I3167" s="8" t="s">
        <v>23</v>
      </c>
      <c r="J3167" s="8" t="s">
        <v>13070</v>
      </c>
      <c r="K3167" s="8" t="s">
        <v>13072</v>
      </c>
      <c r="L3167" s="8" t="s">
        <v>19</v>
      </c>
      <c r="M3167" s="8">
        <v>606</v>
      </c>
      <c r="N3167" s="8" t="s">
        <v>1364</v>
      </c>
      <c r="O3167" s="8">
        <v>173</v>
      </c>
      <c r="P3167" s="8" t="s">
        <v>13071</v>
      </c>
      <c r="Q3167" s="8" t="s">
        <v>4262</v>
      </c>
      <c r="R3167" s="8">
        <v>0.16700000000000001</v>
      </c>
      <c r="S3167" s="8">
        <v>40093072</v>
      </c>
      <c r="T3167" s="8" t="s">
        <v>24</v>
      </c>
      <c r="U3167" s="8" t="s">
        <v>25</v>
      </c>
    </row>
    <row r="3168" spans="1:21">
      <c r="A3168" s="8" t="s">
        <v>10349</v>
      </c>
      <c r="B3168" s="8" t="s">
        <v>13073</v>
      </c>
      <c r="C3168" s="8">
        <v>284071</v>
      </c>
      <c r="D3168" s="8" t="s">
        <v>133</v>
      </c>
      <c r="E3168" s="8">
        <v>42745578</v>
      </c>
      <c r="F3168" s="8">
        <v>42745578</v>
      </c>
      <c r="G3168" s="8" t="s">
        <v>24</v>
      </c>
      <c r="H3168" s="8" t="s">
        <v>25</v>
      </c>
      <c r="I3168" s="8" t="s">
        <v>23</v>
      </c>
      <c r="J3168" s="8" t="s">
        <v>13074</v>
      </c>
      <c r="K3168" s="8" t="s">
        <v>13076</v>
      </c>
      <c r="L3168" s="8" t="s">
        <v>19</v>
      </c>
      <c r="M3168" s="8">
        <v>2519</v>
      </c>
      <c r="N3168" s="8" t="s">
        <v>1070</v>
      </c>
      <c r="O3168" s="8">
        <v>767</v>
      </c>
      <c r="P3168" s="8" t="s">
        <v>13075</v>
      </c>
      <c r="Q3168" s="8" t="s">
        <v>4262</v>
      </c>
      <c r="R3168" s="8">
        <v>0.214</v>
      </c>
      <c r="S3168" s="8">
        <v>42745578</v>
      </c>
      <c r="T3168" s="8" t="s">
        <v>24</v>
      </c>
      <c r="U3168" s="8" t="s">
        <v>25</v>
      </c>
    </row>
    <row r="3169" spans="1:21">
      <c r="A3169" s="8" t="s">
        <v>10349</v>
      </c>
      <c r="B3169" s="8" t="s">
        <v>13077</v>
      </c>
      <c r="C3169" s="8">
        <v>10052</v>
      </c>
      <c r="D3169" s="8" t="s">
        <v>133</v>
      </c>
      <c r="E3169" s="8">
        <v>42883011</v>
      </c>
      <c r="F3169" s="8">
        <v>42883011</v>
      </c>
      <c r="G3169" s="8" t="s">
        <v>46</v>
      </c>
      <c r="H3169" s="8" t="s">
        <v>41</v>
      </c>
      <c r="I3169" s="8" t="s">
        <v>23</v>
      </c>
      <c r="J3169" s="8" t="s">
        <v>13078</v>
      </c>
      <c r="K3169" s="8" t="s">
        <v>13080</v>
      </c>
      <c r="L3169" s="8" t="s">
        <v>19</v>
      </c>
      <c r="M3169" s="8">
        <v>445</v>
      </c>
      <c r="N3169" s="8" t="s">
        <v>536</v>
      </c>
      <c r="O3169" s="8">
        <v>59</v>
      </c>
      <c r="P3169" s="8" t="s">
        <v>13079</v>
      </c>
      <c r="Q3169" s="8" t="s">
        <v>4262</v>
      </c>
      <c r="R3169" s="8">
        <v>0.14299999999999999</v>
      </c>
      <c r="S3169" s="8">
        <v>42883011</v>
      </c>
      <c r="T3169" s="8" t="s">
        <v>46</v>
      </c>
      <c r="U3169" s="8" t="s">
        <v>41</v>
      </c>
    </row>
    <row r="3170" spans="1:21">
      <c r="A3170" s="8" t="s">
        <v>10349</v>
      </c>
      <c r="B3170" s="8" t="s">
        <v>13081</v>
      </c>
      <c r="C3170" s="8">
        <v>752</v>
      </c>
      <c r="D3170" s="8" t="s">
        <v>133</v>
      </c>
      <c r="E3170" s="8">
        <v>43320537</v>
      </c>
      <c r="F3170" s="8">
        <v>43320537</v>
      </c>
      <c r="G3170" s="8" t="s">
        <v>46</v>
      </c>
      <c r="H3170" s="8" t="s">
        <v>41</v>
      </c>
      <c r="I3170" s="8" t="s">
        <v>23</v>
      </c>
      <c r="J3170" s="8" t="s">
        <v>13082</v>
      </c>
      <c r="K3170" s="8" t="s">
        <v>13084</v>
      </c>
      <c r="L3170" s="8" t="s">
        <v>19</v>
      </c>
      <c r="M3170" s="8">
        <v>2263</v>
      </c>
      <c r="N3170" s="8" t="s">
        <v>333</v>
      </c>
      <c r="O3170" s="8">
        <v>688</v>
      </c>
      <c r="P3170" s="8" t="s">
        <v>13083</v>
      </c>
      <c r="Q3170" s="8" t="s">
        <v>4262</v>
      </c>
      <c r="R3170" s="8">
        <v>0.25</v>
      </c>
      <c r="S3170" s="8">
        <v>43320537</v>
      </c>
      <c r="T3170" s="8" t="s">
        <v>46</v>
      </c>
      <c r="U3170" s="8" t="s">
        <v>41</v>
      </c>
    </row>
    <row r="3171" spans="1:21">
      <c r="A3171" s="8" t="s">
        <v>10349</v>
      </c>
      <c r="B3171" s="8" t="s">
        <v>13081</v>
      </c>
      <c r="C3171" s="8">
        <v>752</v>
      </c>
      <c r="D3171" s="8" t="s">
        <v>133</v>
      </c>
      <c r="E3171" s="8">
        <v>43323676</v>
      </c>
      <c r="F3171" s="8">
        <v>43323676</v>
      </c>
      <c r="G3171" s="8" t="s">
        <v>24</v>
      </c>
      <c r="H3171" s="8" t="s">
        <v>25</v>
      </c>
      <c r="I3171" s="8" t="s">
        <v>23</v>
      </c>
      <c r="J3171" s="8" t="s">
        <v>13082</v>
      </c>
      <c r="K3171" s="8" t="s">
        <v>13084</v>
      </c>
      <c r="L3171" s="8" t="s">
        <v>19</v>
      </c>
      <c r="M3171" s="8">
        <v>3390</v>
      </c>
      <c r="N3171" s="8" t="s">
        <v>155</v>
      </c>
      <c r="O3171" s="8">
        <v>1064</v>
      </c>
      <c r="P3171" s="8" t="s">
        <v>13085</v>
      </c>
      <c r="Q3171" s="8" t="s">
        <v>4262</v>
      </c>
      <c r="R3171" s="8">
        <v>0.26100000000000001</v>
      </c>
      <c r="S3171" s="8">
        <v>43323676</v>
      </c>
      <c r="T3171" s="8" t="s">
        <v>24</v>
      </c>
      <c r="U3171" s="8" t="s">
        <v>25</v>
      </c>
    </row>
    <row r="3172" spans="1:21">
      <c r="A3172" s="8" t="s">
        <v>10349</v>
      </c>
      <c r="B3172" s="8" t="s">
        <v>13086</v>
      </c>
      <c r="C3172" s="8">
        <v>9842</v>
      </c>
      <c r="D3172" s="8" t="s">
        <v>133</v>
      </c>
      <c r="E3172" s="8">
        <v>43555480</v>
      </c>
      <c r="F3172" s="8">
        <v>43555480</v>
      </c>
      <c r="G3172" s="8" t="s">
        <v>46</v>
      </c>
      <c r="H3172" s="8" t="s">
        <v>41</v>
      </c>
      <c r="I3172" s="8" t="s">
        <v>23</v>
      </c>
      <c r="J3172" s="8" t="s">
        <v>13087</v>
      </c>
      <c r="K3172" s="8" t="s">
        <v>13089</v>
      </c>
      <c r="L3172" s="8" t="s">
        <v>19</v>
      </c>
      <c r="M3172" s="8">
        <v>252</v>
      </c>
      <c r="N3172" s="8" t="s">
        <v>155</v>
      </c>
      <c r="O3172" s="8">
        <v>28</v>
      </c>
      <c r="P3172" s="8" t="s">
        <v>13088</v>
      </c>
      <c r="Q3172" s="8" t="s">
        <v>4262</v>
      </c>
      <c r="R3172" s="8">
        <v>0.28899999999999998</v>
      </c>
      <c r="S3172" s="8">
        <v>43555480</v>
      </c>
      <c r="T3172" s="8" t="s">
        <v>46</v>
      </c>
      <c r="U3172" s="8" t="s">
        <v>41</v>
      </c>
    </row>
    <row r="3173" spans="1:21">
      <c r="A3173" s="8" t="s">
        <v>10349</v>
      </c>
      <c r="B3173" s="8" t="s">
        <v>13090</v>
      </c>
      <c r="C3173" s="8">
        <v>284076</v>
      </c>
      <c r="D3173" s="8" t="s">
        <v>133</v>
      </c>
      <c r="E3173" s="8">
        <v>46847132</v>
      </c>
      <c r="F3173" s="8">
        <v>46847132</v>
      </c>
      <c r="G3173" s="8" t="s">
        <v>24</v>
      </c>
      <c r="H3173" s="8" t="s">
        <v>25</v>
      </c>
      <c r="I3173" s="8" t="s">
        <v>23</v>
      </c>
      <c r="J3173" s="8" t="s">
        <v>13091</v>
      </c>
      <c r="K3173" s="8" t="s">
        <v>13093</v>
      </c>
      <c r="L3173" s="8" t="s">
        <v>19</v>
      </c>
      <c r="M3173" s="8">
        <v>2403</v>
      </c>
      <c r="N3173" s="8" t="s">
        <v>423</v>
      </c>
      <c r="O3173" s="8">
        <v>790</v>
      </c>
      <c r="P3173" s="8" t="s">
        <v>13092</v>
      </c>
      <c r="Q3173" s="8" t="s">
        <v>4262</v>
      </c>
      <c r="R3173" s="8">
        <v>0.30399999999999999</v>
      </c>
      <c r="S3173" s="8">
        <v>46847132</v>
      </c>
      <c r="T3173" s="8" t="s">
        <v>24</v>
      </c>
      <c r="U3173" s="8" t="s">
        <v>25</v>
      </c>
    </row>
    <row r="3174" spans="1:21">
      <c r="A3174" s="8" t="s">
        <v>10349</v>
      </c>
      <c r="B3174" s="8" t="s">
        <v>2551</v>
      </c>
      <c r="C3174" s="8">
        <v>10642</v>
      </c>
      <c r="D3174" s="8" t="s">
        <v>133</v>
      </c>
      <c r="E3174" s="8">
        <v>47075210</v>
      </c>
      <c r="F3174" s="8">
        <v>47075210</v>
      </c>
      <c r="G3174" s="8" t="s">
        <v>24</v>
      </c>
      <c r="H3174" s="8" t="s">
        <v>25</v>
      </c>
      <c r="I3174" s="8" t="s">
        <v>23</v>
      </c>
      <c r="J3174" s="8" t="s">
        <v>8425</v>
      </c>
      <c r="K3174" s="8" t="s">
        <v>8427</v>
      </c>
      <c r="L3174" s="8" t="s">
        <v>19</v>
      </c>
      <c r="M3174" s="8">
        <v>437</v>
      </c>
      <c r="N3174" s="8" t="s">
        <v>21</v>
      </c>
      <c r="O3174" s="8">
        <v>35</v>
      </c>
      <c r="P3174" s="8" t="s">
        <v>13094</v>
      </c>
      <c r="Q3174" s="8" t="s">
        <v>4262</v>
      </c>
      <c r="R3174" s="8">
        <v>0.28000000000000003</v>
      </c>
      <c r="S3174" s="8">
        <v>47075210</v>
      </c>
      <c r="T3174" s="8" t="s">
        <v>24</v>
      </c>
      <c r="U3174" s="8" t="s">
        <v>25</v>
      </c>
    </row>
    <row r="3175" spans="1:21">
      <c r="A3175" s="8" t="s">
        <v>10349</v>
      </c>
      <c r="B3175" s="8" t="s">
        <v>2551</v>
      </c>
      <c r="C3175" s="8">
        <v>10642</v>
      </c>
      <c r="D3175" s="8" t="s">
        <v>133</v>
      </c>
      <c r="E3175" s="8">
        <v>47117401</v>
      </c>
      <c r="F3175" s="8">
        <v>47117401</v>
      </c>
      <c r="G3175" s="8" t="s">
        <v>24</v>
      </c>
      <c r="H3175" s="8" t="s">
        <v>25</v>
      </c>
      <c r="I3175" s="8" t="s">
        <v>23</v>
      </c>
      <c r="J3175" s="8" t="s">
        <v>8425</v>
      </c>
      <c r="K3175" s="8" t="s">
        <v>8427</v>
      </c>
      <c r="L3175" s="8" t="s">
        <v>19</v>
      </c>
      <c r="M3175" s="8">
        <v>1100</v>
      </c>
      <c r="N3175" s="8" t="s">
        <v>768</v>
      </c>
      <c r="O3175" s="8">
        <v>256</v>
      </c>
      <c r="P3175" s="8" t="s">
        <v>12786</v>
      </c>
      <c r="Q3175" s="8" t="s">
        <v>4262</v>
      </c>
      <c r="R3175" s="8">
        <v>0.16900000000000001</v>
      </c>
      <c r="S3175" s="8">
        <v>47117401</v>
      </c>
      <c r="T3175" s="8" t="s">
        <v>24</v>
      </c>
      <c r="U3175" s="8" t="s">
        <v>25</v>
      </c>
    </row>
    <row r="3176" spans="1:21">
      <c r="A3176" s="8" t="s">
        <v>10349</v>
      </c>
      <c r="B3176" s="8" t="s">
        <v>2552</v>
      </c>
      <c r="C3176" s="8">
        <v>8714</v>
      </c>
      <c r="D3176" s="8" t="s">
        <v>133</v>
      </c>
      <c r="E3176" s="8">
        <v>48750905</v>
      </c>
      <c r="F3176" s="8">
        <v>48750905</v>
      </c>
      <c r="G3176" s="8" t="s">
        <v>24</v>
      </c>
      <c r="H3176" s="8" t="s">
        <v>25</v>
      </c>
      <c r="I3176" s="8" t="s">
        <v>23</v>
      </c>
      <c r="J3176" s="8" t="s">
        <v>2553</v>
      </c>
      <c r="K3176" s="8" t="s">
        <v>4945</v>
      </c>
      <c r="L3176" s="8" t="s">
        <v>19</v>
      </c>
      <c r="M3176" s="8">
        <v>2565</v>
      </c>
      <c r="N3176" s="8" t="s">
        <v>171</v>
      </c>
      <c r="O3176" s="8">
        <v>829</v>
      </c>
      <c r="P3176" s="8" t="s">
        <v>13095</v>
      </c>
      <c r="Q3176" s="8" t="s">
        <v>4262</v>
      </c>
      <c r="R3176" s="8">
        <v>0.14699999999999999</v>
      </c>
      <c r="S3176" s="8">
        <v>48750905</v>
      </c>
      <c r="T3176" s="8" t="s">
        <v>24</v>
      </c>
      <c r="U3176" s="8" t="s">
        <v>25</v>
      </c>
    </row>
    <row r="3177" spans="1:21">
      <c r="A3177" s="8" t="s">
        <v>10349</v>
      </c>
      <c r="B3177" s="8" t="s">
        <v>2554</v>
      </c>
      <c r="C3177" s="8">
        <v>9043</v>
      </c>
      <c r="D3177" s="8" t="s">
        <v>133</v>
      </c>
      <c r="E3177" s="8">
        <v>49068006</v>
      </c>
      <c r="F3177" s="8">
        <v>49068006</v>
      </c>
      <c r="G3177" s="8" t="s">
        <v>46</v>
      </c>
      <c r="H3177" s="8" t="s">
        <v>41</v>
      </c>
      <c r="I3177" s="8" t="s">
        <v>23</v>
      </c>
      <c r="J3177" s="8" t="s">
        <v>6758</v>
      </c>
      <c r="K3177" s="8" t="s">
        <v>6760</v>
      </c>
      <c r="L3177" s="8" t="s">
        <v>19</v>
      </c>
      <c r="M3177" s="8">
        <v>2631</v>
      </c>
      <c r="N3177" s="8" t="s">
        <v>1070</v>
      </c>
      <c r="O3177" s="8">
        <v>808</v>
      </c>
      <c r="P3177" s="8" t="s">
        <v>13096</v>
      </c>
      <c r="Q3177" s="8" t="s">
        <v>4262</v>
      </c>
      <c r="R3177" s="8">
        <v>0.33300000000000002</v>
      </c>
      <c r="S3177" s="8">
        <v>49068006</v>
      </c>
      <c r="T3177" s="8" t="s">
        <v>46</v>
      </c>
      <c r="U3177" s="8" t="s">
        <v>41</v>
      </c>
    </row>
    <row r="3178" spans="1:21">
      <c r="A3178" s="8" t="s">
        <v>10349</v>
      </c>
      <c r="B3178" s="8" t="s">
        <v>13097</v>
      </c>
      <c r="C3178" s="8">
        <v>6925</v>
      </c>
      <c r="D3178" s="8" t="s">
        <v>135</v>
      </c>
      <c r="E3178" s="8">
        <v>52921804</v>
      </c>
      <c r="F3178" s="8">
        <v>52921804</v>
      </c>
      <c r="G3178" s="8" t="s">
        <v>24</v>
      </c>
      <c r="H3178" s="8" t="s">
        <v>25</v>
      </c>
      <c r="I3178" s="8" t="s">
        <v>23</v>
      </c>
      <c r="J3178" s="8" t="s">
        <v>13098</v>
      </c>
      <c r="K3178" s="8" t="s">
        <v>13100</v>
      </c>
      <c r="L3178" s="8" t="s">
        <v>19</v>
      </c>
      <c r="M3178" s="8">
        <v>1640</v>
      </c>
      <c r="N3178" s="8" t="s">
        <v>117</v>
      </c>
      <c r="O3178" s="8">
        <v>527</v>
      </c>
      <c r="P3178" s="8" t="s">
        <v>13099</v>
      </c>
      <c r="Q3178" s="8" t="s">
        <v>4262</v>
      </c>
      <c r="R3178" s="8">
        <v>0.23100000000000001</v>
      </c>
      <c r="S3178" s="8">
        <v>52921804</v>
      </c>
      <c r="T3178" s="8" t="s">
        <v>24</v>
      </c>
      <c r="U3178" s="8" t="s">
        <v>25</v>
      </c>
    </row>
    <row r="3179" spans="1:21">
      <c r="A3179" s="8" t="s">
        <v>10349</v>
      </c>
      <c r="B3179" s="8" t="s">
        <v>3976</v>
      </c>
      <c r="C3179" s="8">
        <v>23335</v>
      </c>
      <c r="D3179" s="8" t="s">
        <v>135</v>
      </c>
      <c r="E3179" s="8">
        <v>54606614</v>
      </c>
      <c r="F3179" s="8">
        <v>54606614</v>
      </c>
      <c r="G3179" s="8" t="s">
        <v>24</v>
      </c>
      <c r="H3179" s="8" t="s">
        <v>25</v>
      </c>
      <c r="I3179" s="8" t="s">
        <v>23</v>
      </c>
      <c r="J3179" s="8" t="s">
        <v>13101</v>
      </c>
      <c r="K3179" s="8" t="s">
        <v>13103</v>
      </c>
      <c r="L3179" s="8" t="s">
        <v>19</v>
      </c>
      <c r="M3179" s="8">
        <v>4265</v>
      </c>
      <c r="N3179" s="8" t="s">
        <v>155</v>
      </c>
      <c r="O3179" s="8">
        <v>1352</v>
      </c>
      <c r="P3179" s="8" t="s">
        <v>13102</v>
      </c>
      <c r="Q3179" s="8" t="s">
        <v>4262</v>
      </c>
      <c r="R3179" s="8">
        <v>0.33300000000000002</v>
      </c>
      <c r="S3179" s="8">
        <v>54606614</v>
      </c>
      <c r="T3179" s="8" t="s">
        <v>24</v>
      </c>
      <c r="U3179" s="8" t="s">
        <v>25</v>
      </c>
    </row>
    <row r="3180" spans="1:21">
      <c r="A3180" s="8" t="s">
        <v>10349</v>
      </c>
      <c r="B3180" s="8" t="s">
        <v>3636</v>
      </c>
      <c r="C3180" s="8">
        <v>147372</v>
      </c>
      <c r="D3180" s="8" t="s">
        <v>135</v>
      </c>
      <c r="E3180" s="8">
        <v>57106779</v>
      </c>
      <c r="F3180" s="8">
        <v>57106779</v>
      </c>
      <c r="G3180" s="8" t="s">
        <v>24</v>
      </c>
      <c r="H3180" s="8" t="s">
        <v>25</v>
      </c>
      <c r="I3180" s="8" t="s">
        <v>23</v>
      </c>
      <c r="J3180" s="8" t="s">
        <v>3637</v>
      </c>
      <c r="K3180" s="8" t="s">
        <v>5824</v>
      </c>
      <c r="L3180" s="8" t="s">
        <v>19</v>
      </c>
      <c r="M3180" s="8">
        <v>1017</v>
      </c>
      <c r="N3180" s="8" t="s">
        <v>117</v>
      </c>
      <c r="O3180" s="8">
        <v>316</v>
      </c>
      <c r="P3180" s="8" t="s">
        <v>13104</v>
      </c>
      <c r="Q3180" s="8" t="s">
        <v>4262</v>
      </c>
      <c r="R3180" s="8">
        <v>0.21</v>
      </c>
      <c r="S3180" s="8">
        <v>57106779</v>
      </c>
      <c r="T3180" s="8" t="s">
        <v>24</v>
      </c>
      <c r="U3180" s="8" t="s">
        <v>25</v>
      </c>
    </row>
    <row r="3181" spans="1:21">
      <c r="A3181" s="8" t="s">
        <v>10349</v>
      </c>
      <c r="B3181" s="8" t="s">
        <v>13105</v>
      </c>
      <c r="C3181" s="8">
        <v>23556</v>
      </c>
      <c r="D3181" s="8" t="s">
        <v>135</v>
      </c>
      <c r="E3181" s="8">
        <v>59780550</v>
      </c>
      <c r="F3181" s="8">
        <v>59780550</v>
      </c>
      <c r="G3181" s="8" t="s">
        <v>46</v>
      </c>
      <c r="H3181" s="8" t="s">
        <v>41</v>
      </c>
      <c r="I3181" s="8" t="s">
        <v>23</v>
      </c>
      <c r="J3181" s="8" t="s">
        <v>13106</v>
      </c>
      <c r="K3181" s="8" t="s">
        <v>13107</v>
      </c>
      <c r="L3181" s="8" t="s">
        <v>68</v>
      </c>
      <c r="M3181" s="8">
        <v>0</v>
      </c>
      <c r="N3181" s="8" t="s">
        <v>35</v>
      </c>
      <c r="O3181" s="8">
        <v>0</v>
      </c>
      <c r="P3181" s="8" t="s">
        <v>35</v>
      </c>
      <c r="Q3181" s="8" t="s">
        <v>4262</v>
      </c>
      <c r="R3181" s="8">
        <v>0.2</v>
      </c>
      <c r="S3181" s="8">
        <v>59780550</v>
      </c>
      <c r="T3181" s="8" t="s">
        <v>46</v>
      </c>
      <c r="U3181" s="8" t="s">
        <v>41</v>
      </c>
    </row>
    <row r="3182" spans="1:21">
      <c r="A3182" s="8" t="s">
        <v>10349</v>
      </c>
      <c r="B3182" s="8" t="s">
        <v>1346</v>
      </c>
      <c r="C3182" s="8">
        <v>284217</v>
      </c>
      <c r="D3182" s="8" t="s">
        <v>135</v>
      </c>
      <c r="E3182" s="8">
        <v>7010368</v>
      </c>
      <c r="F3182" s="8">
        <v>7010368</v>
      </c>
      <c r="G3182" s="8" t="s">
        <v>46</v>
      </c>
      <c r="H3182" s="8" t="s">
        <v>41</v>
      </c>
      <c r="I3182" s="8" t="s">
        <v>23</v>
      </c>
      <c r="J3182" s="8" t="s">
        <v>1347</v>
      </c>
      <c r="K3182" s="8" t="s">
        <v>5377</v>
      </c>
      <c r="L3182" s="8" t="s">
        <v>19</v>
      </c>
      <c r="M3182" s="8">
        <v>3798</v>
      </c>
      <c r="N3182" s="8" t="s">
        <v>205</v>
      </c>
      <c r="O3182" s="8">
        <v>1235</v>
      </c>
      <c r="P3182" s="8" t="s">
        <v>13108</v>
      </c>
      <c r="Q3182" s="8" t="s">
        <v>4262</v>
      </c>
      <c r="R3182" s="8">
        <v>0.22900000000000001</v>
      </c>
      <c r="S3182" s="8">
        <v>7010368</v>
      </c>
      <c r="T3182" s="8" t="s">
        <v>46</v>
      </c>
      <c r="U3182" s="8" t="s">
        <v>41</v>
      </c>
    </row>
    <row r="3183" spans="1:21">
      <c r="A3183" s="8" t="s">
        <v>10349</v>
      </c>
      <c r="B3183" s="8" t="s">
        <v>13109</v>
      </c>
      <c r="C3183" s="8">
        <v>23253</v>
      </c>
      <c r="D3183" s="8" t="s">
        <v>135</v>
      </c>
      <c r="E3183" s="8">
        <v>9257064</v>
      </c>
      <c r="F3183" s="8">
        <v>9257064</v>
      </c>
      <c r="G3183" s="8" t="s">
        <v>24</v>
      </c>
      <c r="H3183" s="8" t="s">
        <v>25</v>
      </c>
      <c r="I3183" s="8" t="s">
        <v>23</v>
      </c>
      <c r="J3183" s="8" t="s">
        <v>13110</v>
      </c>
      <c r="K3183" s="8" t="s">
        <v>13112</v>
      </c>
      <c r="L3183" s="8" t="s">
        <v>19</v>
      </c>
      <c r="M3183" s="8">
        <v>4063</v>
      </c>
      <c r="N3183" s="8" t="s">
        <v>768</v>
      </c>
      <c r="O3183" s="8">
        <v>1267</v>
      </c>
      <c r="P3183" s="8" t="s">
        <v>13111</v>
      </c>
      <c r="Q3183" s="8" t="s">
        <v>4262</v>
      </c>
      <c r="R3183" s="8">
        <v>0.26100000000000001</v>
      </c>
      <c r="S3183" s="8">
        <v>9257064</v>
      </c>
      <c r="T3183" s="8" t="s">
        <v>24</v>
      </c>
      <c r="U3183" s="8" t="s">
        <v>25</v>
      </c>
    </row>
    <row r="3184" spans="1:21">
      <c r="A3184" s="8" t="s">
        <v>10349</v>
      </c>
      <c r="B3184" s="8" t="s">
        <v>2567</v>
      </c>
      <c r="C3184" s="8">
        <v>8774</v>
      </c>
      <c r="D3184" s="8" t="s">
        <v>135</v>
      </c>
      <c r="E3184" s="8">
        <v>10548972</v>
      </c>
      <c r="F3184" s="8">
        <v>10548972</v>
      </c>
      <c r="G3184" s="8" t="s">
        <v>24</v>
      </c>
      <c r="H3184" s="8" t="s">
        <v>25</v>
      </c>
      <c r="I3184" s="8" t="s">
        <v>23</v>
      </c>
      <c r="J3184" s="8" t="s">
        <v>2568</v>
      </c>
      <c r="K3184" s="8" t="s">
        <v>13114</v>
      </c>
      <c r="L3184" s="8" t="s">
        <v>19</v>
      </c>
      <c r="M3184" s="8">
        <v>901</v>
      </c>
      <c r="N3184" s="8" t="s">
        <v>1399</v>
      </c>
      <c r="O3184" s="8">
        <v>225</v>
      </c>
      <c r="P3184" s="8" t="s">
        <v>13113</v>
      </c>
      <c r="Q3184" s="8" t="s">
        <v>4262</v>
      </c>
      <c r="R3184" s="8">
        <v>0.155</v>
      </c>
      <c r="S3184" s="8">
        <v>10548972</v>
      </c>
      <c r="T3184" s="8" t="s">
        <v>24</v>
      </c>
      <c r="U3184" s="8" t="s">
        <v>25</v>
      </c>
    </row>
    <row r="3185" spans="1:21">
      <c r="A3185" s="8" t="s">
        <v>10349</v>
      </c>
      <c r="B3185" s="8" t="s">
        <v>13115</v>
      </c>
      <c r="C3185" s="8">
        <v>57132</v>
      </c>
      <c r="D3185" s="8" t="s">
        <v>135</v>
      </c>
      <c r="E3185" s="8">
        <v>11851899</v>
      </c>
      <c r="F3185" s="8">
        <v>11851899</v>
      </c>
      <c r="G3185" s="8" t="s">
        <v>25</v>
      </c>
      <c r="H3185" s="8" t="s">
        <v>24</v>
      </c>
      <c r="I3185" s="8" t="s">
        <v>23</v>
      </c>
      <c r="J3185" s="8" t="s">
        <v>13116</v>
      </c>
      <c r="K3185" s="8" t="s">
        <v>13118</v>
      </c>
      <c r="L3185" s="8" t="s">
        <v>19</v>
      </c>
      <c r="M3185" s="8">
        <v>511</v>
      </c>
      <c r="N3185" s="8" t="s">
        <v>386</v>
      </c>
      <c r="O3185" s="8">
        <v>130</v>
      </c>
      <c r="P3185" s="8" t="s">
        <v>13117</v>
      </c>
      <c r="Q3185" s="8" t="s">
        <v>4262</v>
      </c>
      <c r="R3185" s="8">
        <v>0.17599999999999999</v>
      </c>
      <c r="S3185" s="8">
        <v>11851899</v>
      </c>
      <c r="T3185" s="8" t="s">
        <v>25</v>
      </c>
      <c r="U3185" s="8" t="s">
        <v>24</v>
      </c>
    </row>
    <row r="3186" spans="1:21">
      <c r="A3186" s="8" t="s">
        <v>10349</v>
      </c>
      <c r="B3186" s="8" t="s">
        <v>13119</v>
      </c>
      <c r="C3186" s="8">
        <v>4161</v>
      </c>
      <c r="D3186" s="8" t="s">
        <v>135</v>
      </c>
      <c r="E3186" s="8">
        <v>13826629</v>
      </c>
      <c r="F3186" s="8">
        <v>13826629</v>
      </c>
      <c r="G3186" s="8" t="s">
        <v>24</v>
      </c>
      <c r="H3186" s="8" t="s">
        <v>25</v>
      </c>
      <c r="I3186" s="8" t="s">
        <v>23</v>
      </c>
      <c r="J3186" s="8" t="s">
        <v>13120</v>
      </c>
      <c r="K3186" s="8" t="s">
        <v>13122</v>
      </c>
      <c r="L3186" s="8" t="s">
        <v>19</v>
      </c>
      <c r="M3186" s="8">
        <v>1087</v>
      </c>
      <c r="N3186" s="8" t="s">
        <v>171</v>
      </c>
      <c r="O3186" s="8">
        <v>289</v>
      </c>
      <c r="P3186" s="8" t="s">
        <v>13121</v>
      </c>
      <c r="Q3186" s="8" t="s">
        <v>4262</v>
      </c>
      <c r="R3186" s="8">
        <v>0.17499999999999999</v>
      </c>
      <c r="S3186" s="8">
        <v>13826629</v>
      </c>
      <c r="T3186" s="8" t="s">
        <v>24</v>
      </c>
      <c r="U3186" s="8" t="s">
        <v>25</v>
      </c>
    </row>
    <row r="3187" spans="1:21">
      <c r="A3187" s="8" t="s">
        <v>10349</v>
      </c>
      <c r="B3187" s="8" t="s">
        <v>9364</v>
      </c>
      <c r="C3187" s="8">
        <v>59340</v>
      </c>
      <c r="D3187" s="8" t="s">
        <v>135</v>
      </c>
      <c r="E3187" s="8">
        <v>22056796</v>
      </c>
      <c r="F3187" s="8">
        <v>22056796</v>
      </c>
      <c r="G3187" s="8" t="s">
        <v>24</v>
      </c>
      <c r="H3187" s="8" t="s">
        <v>25</v>
      </c>
      <c r="I3187" s="8" t="s">
        <v>23</v>
      </c>
      <c r="J3187" s="8" t="s">
        <v>9365</v>
      </c>
      <c r="K3187" s="8" t="s">
        <v>9367</v>
      </c>
      <c r="L3187" s="8" t="s">
        <v>19</v>
      </c>
      <c r="M3187" s="8">
        <v>543</v>
      </c>
      <c r="N3187" s="8" t="s">
        <v>1399</v>
      </c>
      <c r="O3187" s="8">
        <v>148</v>
      </c>
      <c r="P3187" s="8" t="s">
        <v>13123</v>
      </c>
      <c r="Q3187" s="8" t="s">
        <v>4262</v>
      </c>
      <c r="R3187" s="8">
        <v>0.182</v>
      </c>
      <c r="S3187" s="8">
        <v>22056796</v>
      </c>
      <c r="T3187" s="8" t="s">
        <v>24</v>
      </c>
      <c r="U3187" s="8" t="s">
        <v>25</v>
      </c>
    </row>
    <row r="3188" spans="1:21">
      <c r="A3188" s="8" t="s">
        <v>10349</v>
      </c>
      <c r="B3188" s="8" t="s">
        <v>2320</v>
      </c>
      <c r="C3188" s="8">
        <v>25925</v>
      </c>
      <c r="D3188" s="8" t="s">
        <v>135</v>
      </c>
      <c r="E3188" s="8">
        <v>22805100</v>
      </c>
      <c r="F3188" s="8">
        <v>22805100</v>
      </c>
      <c r="G3188" s="8" t="s">
        <v>46</v>
      </c>
      <c r="H3188" s="8" t="s">
        <v>41</v>
      </c>
      <c r="I3188" s="8" t="s">
        <v>23</v>
      </c>
      <c r="J3188" s="8" t="s">
        <v>2569</v>
      </c>
      <c r="K3188" s="8" t="s">
        <v>13125</v>
      </c>
      <c r="L3188" s="8" t="s">
        <v>19</v>
      </c>
      <c r="M3188" s="8">
        <v>3029</v>
      </c>
      <c r="N3188" s="8" t="s">
        <v>28</v>
      </c>
      <c r="O3188" s="8">
        <v>928</v>
      </c>
      <c r="P3188" s="8" t="s">
        <v>13124</v>
      </c>
      <c r="Q3188" s="8" t="s">
        <v>4262</v>
      </c>
      <c r="R3188" s="8">
        <v>0.40500000000000003</v>
      </c>
      <c r="S3188" s="8">
        <v>22805100</v>
      </c>
      <c r="T3188" s="8" t="s">
        <v>46</v>
      </c>
      <c r="U3188" s="8" t="s">
        <v>41</v>
      </c>
    </row>
    <row r="3189" spans="1:21">
      <c r="A3189" s="8" t="s">
        <v>10349</v>
      </c>
      <c r="B3189" s="8" t="s">
        <v>2320</v>
      </c>
      <c r="C3189" s="8">
        <v>25925</v>
      </c>
      <c r="D3189" s="8" t="s">
        <v>135</v>
      </c>
      <c r="E3189" s="8">
        <v>22902035</v>
      </c>
      <c r="F3189" s="8">
        <v>22902035</v>
      </c>
      <c r="G3189" s="8" t="s">
        <v>24</v>
      </c>
      <c r="H3189" s="8" t="s">
        <v>25</v>
      </c>
      <c r="I3189" s="8" t="s">
        <v>23</v>
      </c>
      <c r="J3189" s="8" t="s">
        <v>2569</v>
      </c>
      <c r="K3189" s="8" t="s">
        <v>13125</v>
      </c>
      <c r="L3189" s="8" t="s">
        <v>19</v>
      </c>
      <c r="M3189" s="8">
        <v>404</v>
      </c>
      <c r="N3189" s="8" t="s">
        <v>58</v>
      </c>
      <c r="O3189" s="8">
        <v>53</v>
      </c>
      <c r="P3189" s="8" t="s">
        <v>13126</v>
      </c>
      <c r="Q3189" s="8" t="s">
        <v>4262</v>
      </c>
      <c r="R3189" s="8">
        <v>0.35199999999999998</v>
      </c>
      <c r="S3189" s="8">
        <v>22902035</v>
      </c>
      <c r="T3189" s="8" t="s">
        <v>24</v>
      </c>
      <c r="U3189" s="8" t="s">
        <v>25</v>
      </c>
    </row>
    <row r="3190" spans="1:21">
      <c r="A3190" s="8" t="s">
        <v>10349</v>
      </c>
      <c r="B3190" s="8" t="s">
        <v>13127</v>
      </c>
      <c r="C3190" s="8">
        <v>1000</v>
      </c>
      <c r="D3190" s="8" t="s">
        <v>135</v>
      </c>
      <c r="E3190" s="8">
        <v>25572692</v>
      </c>
      <c r="F3190" s="8">
        <v>25572692</v>
      </c>
      <c r="G3190" s="8" t="s">
        <v>46</v>
      </c>
      <c r="H3190" s="8" t="s">
        <v>41</v>
      </c>
      <c r="I3190" s="8" t="s">
        <v>23</v>
      </c>
      <c r="J3190" s="8" t="s">
        <v>13128</v>
      </c>
      <c r="K3190" s="8" t="s">
        <v>13130</v>
      </c>
      <c r="L3190" s="8" t="s">
        <v>19</v>
      </c>
      <c r="M3190" s="8">
        <v>1730</v>
      </c>
      <c r="N3190" s="8" t="s">
        <v>205</v>
      </c>
      <c r="O3190" s="8">
        <v>424</v>
      </c>
      <c r="P3190" s="8" t="s">
        <v>13129</v>
      </c>
      <c r="Q3190" s="8" t="s">
        <v>4262</v>
      </c>
      <c r="R3190" s="8">
        <v>0.188</v>
      </c>
      <c r="S3190" s="8">
        <v>25572692</v>
      </c>
      <c r="T3190" s="8" t="s">
        <v>46</v>
      </c>
      <c r="U3190" s="8" t="s">
        <v>41</v>
      </c>
    </row>
    <row r="3191" spans="1:21">
      <c r="A3191" s="8" t="s">
        <v>10349</v>
      </c>
      <c r="B3191" s="8" t="s">
        <v>13127</v>
      </c>
      <c r="C3191" s="8">
        <v>1000</v>
      </c>
      <c r="D3191" s="8" t="s">
        <v>135</v>
      </c>
      <c r="E3191" s="8">
        <v>25585845</v>
      </c>
      <c r="F3191" s="8">
        <v>25585845</v>
      </c>
      <c r="G3191" s="8" t="s">
        <v>46</v>
      </c>
      <c r="H3191" s="8" t="s">
        <v>41</v>
      </c>
      <c r="I3191" s="8" t="s">
        <v>23</v>
      </c>
      <c r="J3191" s="8" t="s">
        <v>13128</v>
      </c>
      <c r="K3191" s="8" t="s">
        <v>13130</v>
      </c>
      <c r="L3191" s="8" t="s">
        <v>76</v>
      </c>
      <c r="M3191" s="8">
        <v>1274</v>
      </c>
      <c r="N3191" s="8" t="s">
        <v>471</v>
      </c>
      <c r="O3191" s="8">
        <v>272</v>
      </c>
      <c r="P3191" s="8" t="s">
        <v>13131</v>
      </c>
      <c r="Q3191" s="8" t="s">
        <v>4262</v>
      </c>
      <c r="R3191" s="8">
        <v>0.152</v>
      </c>
      <c r="S3191" s="8">
        <v>25585845</v>
      </c>
      <c r="T3191" s="8" t="s">
        <v>46</v>
      </c>
      <c r="U3191" s="8" t="s">
        <v>41</v>
      </c>
    </row>
    <row r="3192" spans="1:21">
      <c r="A3192" s="8" t="s">
        <v>10349</v>
      </c>
      <c r="B3192" s="8" t="s">
        <v>3376</v>
      </c>
      <c r="C3192" s="8">
        <v>23347</v>
      </c>
      <c r="D3192" s="8" t="s">
        <v>135</v>
      </c>
      <c r="E3192" s="8">
        <v>2688656</v>
      </c>
      <c r="F3192" s="8">
        <v>2688656</v>
      </c>
      <c r="G3192" s="8" t="s">
        <v>24</v>
      </c>
      <c r="H3192" s="8" t="s">
        <v>25</v>
      </c>
      <c r="I3192" s="8" t="s">
        <v>23</v>
      </c>
      <c r="J3192" s="8" t="s">
        <v>3377</v>
      </c>
      <c r="K3192" s="8" t="s">
        <v>7660</v>
      </c>
      <c r="L3192" s="8" t="s">
        <v>19</v>
      </c>
      <c r="M3192" s="8">
        <v>973</v>
      </c>
      <c r="N3192" s="8" t="s">
        <v>1440</v>
      </c>
      <c r="O3192" s="8">
        <v>262</v>
      </c>
      <c r="P3192" s="8" t="s">
        <v>13132</v>
      </c>
      <c r="Q3192" s="8" t="s">
        <v>4262</v>
      </c>
      <c r="R3192" s="8">
        <v>0.106</v>
      </c>
      <c r="S3192" s="8">
        <v>2688656</v>
      </c>
      <c r="T3192" s="8" t="s">
        <v>24</v>
      </c>
      <c r="U3192" s="8" t="s">
        <v>25</v>
      </c>
    </row>
    <row r="3193" spans="1:21">
      <c r="A3193" s="8" t="s">
        <v>10349</v>
      </c>
      <c r="B3193" s="8" t="s">
        <v>3376</v>
      </c>
      <c r="C3193" s="8">
        <v>23347</v>
      </c>
      <c r="D3193" s="8" t="s">
        <v>135</v>
      </c>
      <c r="E3193" s="8">
        <v>2722657</v>
      </c>
      <c r="F3193" s="8">
        <v>2722657</v>
      </c>
      <c r="G3193" s="8" t="s">
        <v>24</v>
      </c>
      <c r="H3193" s="8" t="s">
        <v>25</v>
      </c>
      <c r="I3193" s="8" t="s">
        <v>23</v>
      </c>
      <c r="J3193" s="8" t="s">
        <v>3377</v>
      </c>
      <c r="K3193" s="8" t="s">
        <v>7660</v>
      </c>
      <c r="L3193" s="8" t="s">
        <v>19</v>
      </c>
      <c r="M3193" s="8">
        <v>2788</v>
      </c>
      <c r="N3193" s="8" t="s">
        <v>1070</v>
      </c>
      <c r="O3193" s="8">
        <v>867</v>
      </c>
      <c r="P3193" s="8" t="s">
        <v>13133</v>
      </c>
      <c r="Q3193" s="8" t="s">
        <v>4262</v>
      </c>
      <c r="R3193" s="8">
        <v>0.16200000000000001</v>
      </c>
      <c r="S3193" s="8">
        <v>2722657</v>
      </c>
      <c r="T3193" s="8" t="s">
        <v>24</v>
      </c>
      <c r="U3193" s="8" t="s">
        <v>25</v>
      </c>
    </row>
    <row r="3194" spans="1:21">
      <c r="A3194" s="8" t="s">
        <v>10349</v>
      </c>
      <c r="B3194" s="8" t="s">
        <v>3378</v>
      </c>
      <c r="C3194" s="8">
        <v>8736</v>
      </c>
      <c r="D3194" s="8" t="s">
        <v>135</v>
      </c>
      <c r="E3194" s="8">
        <v>3079246</v>
      </c>
      <c r="F3194" s="8">
        <v>3079246</v>
      </c>
      <c r="G3194" s="8" t="s">
        <v>46</v>
      </c>
      <c r="H3194" s="8" t="s">
        <v>41</v>
      </c>
      <c r="I3194" s="8" t="s">
        <v>23</v>
      </c>
      <c r="J3194" s="8" t="s">
        <v>7661</v>
      </c>
      <c r="K3194" s="8" t="s">
        <v>7663</v>
      </c>
      <c r="L3194" s="8" t="s">
        <v>19</v>
      </c>
      <c r="M3194" s="8">
        <v>4913</v>
      </c>
      <c r="N3194" s="8" t="s">
        <v>28</v>
      </c>
      <c r="O3194" s="8">
        <v>1527</v>
      </c>
      <c r="P3194" s="8" t="s">
        <v>13134</v>
      </c>
      <c r="Q3194" s="8" t="s">
        <v>4262</v>
      </c>
      <c r="R3194" s="8">
        <v>0.14099999999999999</v>
      </c>
      <c r="S3194" s="8">
        <v>3079246</v>
      </c>
      <c r="T3194" s="8" t="s">
        <v>46</v>
      </c>
      <c r="U3194" s="8" t="s">
        <v>41</v>
      </c>
    </row>
    <row r="3195" spans="1:21">
      <c r="A3195" s="8" t="s">
        <v>10349</v>
      </c>
      <c r="B3195" s="8" t="s">
        <v>2570</v>
      </c>
      <c r="C3195" s="8">
        <v>9229</v>
      </c>
      <c r="D3195" s="8" t="s">
        <v>135</v>
      </c>
      <c r="E3195" s="8">
        <v>3567513</v>
      </c>
      <c r="F3195" s="8">
        <v>3567513</v>
      </c>
      <c r="G3195" s="8" t="s">
        <v>46</v>
      </c>
      <c r="H3195" s="8" t="s">
        <v>41</v>
      </c>
      <c r="I3195" s="8" t="s">
        <v>23</v>
      </c>
      <c r="J3195" s="8" t="s">
        <v>7664</v>
      </c>
      <c r="K3195" s="8" t="s">
        <v>7665</v>
      </c>
      <c r="L3195" s="8" t="s">
        <v>19</v>
      </c>
      <c r="M3195" s="8">
        <v>2559</v>
      </c>
      <c r="N3195" s="8" t="s">
        <v>1364</v>
      </c>
      <c r="O3195" s="8">
        <v>678</v>
      </c>
      <c r="P3195" s="8" t="s">
        <v>13135</v>
      </c>
      <c r="Q3195" s="8" t="s">
        <v>4262</v>
      </c>
      <c r="R3195" s="8">
        <v>0.24199999999999999</v>
      </c>
      <c r="S3195" s="8">
        <v>3567513</v>
      </c>
      <c r="T3195" s="8" t="s">
        <v>46</v>
      </c>
      <c r="U3195" s="8" t="s">
        <v>41</v>
      </c>
    </row>
    <row r="3196" spans="1:21">
      <c r="A3196" s="8" t="s">
        <v>10349</v>
      </c>
      <c r="B3196" s="8" t="s">
        <v>2318</v>
      </c>
      <c r="C3196" s="8">
        <v>6860</v>
      </c>
      <c r="D3196" s="8" t="s">
        <v>135</v>
      </c>
      <c r="E3196" s="8">
        <v>40854219</v>
      </c>
      <c r="F3196" s="8">
        <v>40854219</v>
      </c>
      <c r="G3196" s="8" t="s">
        <v>46</v>
      </c>
      <c r="H3196" s="8" t="s">
        <v>41</v>
      </c>
      <c r="I3196" s="8" t="s">
        <v>23</v>
      </c>
      <c r="J3196" s="8" t="s">
        <v>2571</v>
      </c>
      <c r="K3196" s="8" t="s">
        <v>13137</v>
      </c>
      <c r="L3196" s="8" t="s">
        <v>19</v>
      </c>
      <c r="M3196" s="8">
        <v>544</v>
      </c>
      <c r="N3196" s="8" t="s">
        <v>1364</v>
      </c>
      <c r="O3196" s="8">
        <v>59</v>
      </c>
      <c r="P3196" s="8" t="s">
        <v>13136</v>
      </c>
      <c r="Q3196" s="8" t="s">
        <v>4262</v>
      </c>
      <c r="R3196" s="8">
        <v>0.2</v>
      </c>
      <c r="S3196" s="8">
        <v>40854219</v>
      </c>
      <c r="T3196" s="8" t="s">
        <v>46</v>
      </c>
      <c r="U3196" s="8" t="s">
        <v>41</v>
      </c>
    </row>
    <row r="3197" spans="1:21">
      <c r="A3197" s="8" t="s">
        <v>10349</v>
      </c>
      <c r="B3197" s="8" t="s">
        <v>13138</v>
      </c>
      <c r="C3197" s="8">
        <v>115106</v>
      </c>
      <c r="D3197" s="8" t="s">
        <v>135</v>
      </c>
      <c r="E3197" s="8">
        <v>43698266</v>
      </c>
      <c r="F3197" s="8">
        <v>43698266</v>
      </c>
      <c r="G3197" s="8" t="s">
        <v>24</v>
      </c>
      <c r="H3197" s="8" t="s">
        <v>25</v>
      </c>
      <c r="I3197" s="8" t="s">
        <v>23</v>
      </c>
      <c r="J3197" s="8" t="s">
        <v>13139</v>
      </c>
      <c r="K3197" s="8" t="s">
        <v>13141</v>
      </c>
      <c r="L3197" s="8" t="s">
        <v>19</v>
      </c>
      <c r="M3197" s="8">
        <v>405</v>
      </c>
      <c r="N3197" s="8" t="s">
        <v>557</v>
      </c>
      <c r="O3197" s="8">
        <v>109</v>
      </c>
      <c r="P3197" s="8" t="s">
        <v>13140</v>
      </c>
      <c r="Q3197" s="8" t="s">
        <v>4262</v>
      </c>
      <c r="R3197" s="8">
        <v>0.13200000000000001</v>
      </c>
      <c r="S3197" s="8">
        <v>43698266</v>
      </c>
      <c r="T3197" s="8" t="s">
        <v>24</v>
      </c>
      <c r="U3197" s="8" t="s">
        <v>25</v>
      </c>
    </row>
    <row r="3198" spans="1:21">
      <c r="A3198" s="8" t="s">
        <v>10349</v>
      </c>
      <c r="B3198" s="8" t="s">
        <v>4959</v>
      </c>
      <c r="C3198" s="8">
        <v>125336</v>
      </c>
      <c r="D3198" s="8" t="s">
        <v>135</v>
      </c>
      <c r="E3198" s="8">
        <v>44149572</v>
      </c>
      <c r="F3198" s="8">
        <v>44149572</v>
      </c>
      <c r="G3198" s="8" t="s">
        <v>46</v>
      </c>
      <c r="H3198" s="8" t="s">
        <v>41</v>
      </c>
      <c r="I3198" s="8" t="s">
        <v>23</v>
      </c>
      <c r="J3198" s="8" t="s">
        <v>4960</v>
      </c>
      <c r="K3198" s="8" t="s">
        <v>4961</v>
      </c>
      <c r="L3198" s="8" t="s">
        <v>19</v>
      </c>
      <c r="M3198" s="8">
        <v>2077</v>
      </c>
      <c r="N3198" s="8" t="s">
        <v>28</v>
      </c>
      <c r="O3198" s="8">
        <v>693</v>
      </c>
      <c r="P3198" s="8" t="s">
        <v>13142</v>
      </c>
      <c r="Q3198" s="8" t="s">
        <v>4262</v>
      </c>
      <c r="R3198" s="8">
        <v>0.16300000000000001</v>
      </c>
      <c r="S3198" s="8">
        <v>44149572</v>
      </c>
      <c r="T3198" s="8" t="s">
        <v>46</v>
      </c>
      <c r="U3198" s="8" t="s">
        <v>41</v>
      </c>
    </row>
    <row r="3199" spans="1:21">
      <c r="A3199" s="8" t="s">
        <v>10349</v>
      </c>
      <c r="B3199" s="8" t="s">
        <v>13143</v>
      </c>
      <c r="C3199" s="8">
        <v>51224</v>
      </c>
      <c r="D3199" s="8" t="s">
        <v>135</v>
      </c>
      <c r="E3199" s="8">
        <v>44559795</v>
      </c>
      <c r="F3199" s="8">
        <v>44559795</v>
      </c>
      <c r="G3199" s="8" t="s">
        <v>24</v>
      </c>
      <c r="H3199" s="8" t="s">
        <v>25</v>
      </c>
      <c r="I3199" s="8" t="s">
        <v>23</v>
      </c>
      <c r="J3199" s="8" t="s">
        <v>13144</v>
      </c>
      <c r="K3199" s="8" t="s">
        <v>13146</v>
      </c>
      <c r="L3199" s="8" t="s">
        <v>19</v>
      </c>
      <c r="M3199" s="8">
        <v>2194</v>
      </c>
      <c r="N3199" s="8" t="s">
        <v>1421</v>
      </c>
      <c r="O3199" s="8">
        <v>614</v>
      </c>
      <c r="P3199" s="8" t="s">
        <v>13145</v>
      </c>
      <c r="Q3199" s="8" t="s">
        <v>4262</v>
      </c>
      <c r="R3199" s="8">
        <v>0.14599999999999999</v>
      </c>
      <c r="S3199" s="8">
        <v>44559795</v>
      </c>
      <c r="T3199" s="8" t="s">
        <v>24</v>
      </c>
      <c r="U3199" s="8" t="s">
        <v>25</v>
      </c>
    </row>
    <row r="3200" spans="1:21">
      <c r="A3200" s="8" t="s">
        <v>10349</v>
      </c>
      <c r="B3200" s="8" t="s">
        <v>13147</v>
      </c>
      <c r="C3200" s="8">
        <v>4092</v>
      </c>
      <c r="D3200" s="8" t="s">
        <v>135</v>
      </c>
      <c r="E3200" s="8">
        <v>46448038</v>
      </c>
      <c r="F3200" s="8">
        <v>46448038</v>
      </c>
      <c r="G3200" s="8" t="s">
        <v>46</v>
      </c>
      <c r="H3200" s="8" t="s">
        <v>41</v>
      </c>
      <c r="I3200" s="8" t="s">
        <v>23</v>
      </c>
      <c r="J3200" s="8" t="s">
        <v>13148</v>
      </c>
      <c r="K3200" s="8" t="s">
        <v>13150</v>
      </c>
      <c r="L3200" s="8" t="s">
        <v>19</v>
      </c>
      <c r="M3200" s="8">
        <v>1272</v>
      </c>
      <c r="N3200" s="8" t="s">
        <v>878</v>
      </c>
      <c r="O3200" s="8">
        <v>329</v>
      </c>
      <c r="P3200" s="8" t="s">
        <v>13149</v>
      </c>
      <c r="Q3200" s="8" t="s">
        <v>4262</v>
      </c>
      <c r="R3200" s="8">
        <v>0.29399999999999998</v>
      </c>
      <c r="S3200" s="8">
        <v>46448038</v>
      </c>
      <c r="T3200" s="8" t="s">
        <v>46</v>
      </c>
      <c r="U3200" s="8" t="s">
        <v>41</v>
      </c>
    </row>
    <row r="3201" spans="1:21">
      <c r="A3201" s="8" t="s">
        <v>10349</v>
      </c>
      <c r="B3201" s="8" t="s">
        <v>13151</v>
      </c>
      <c r="C3201" s="8">
        <v>220134</v>
      </c>
      <c r="D3201" s="8" t="s">
        <v>135</v>
      </c>
      <c r="E3201" s="8">
        <v>47902204</v>
      </c>
      <c r="F3201" s="8">
        <v>47902204</v>
      </c>
      <c r="G3201" s="8" t="s">
        <v>24</v>
      </c>
      <c r="H3201" s="8" t="s">
        <v>25</v>
      </c>
      <c r="I3201" s="8" t="s">
        <v>23</v>
      </c>
      <c r="J3201" s="8" t="s">
        <v>13152</v>
      </c>
      <c r="K3201" s="8" t="s">
        <v>13153</v>
      </c>
      <c r="L3201" s="8" t="s">
        <v>19</v>
      </c>
      <c r="M3201" s="8">
        <v>233</v>
      </c>
      <c r="N3201" s="8" t="s">
        <v>155</v>
      </c>
      <c r="O3201" s="8">
        <v>2</v>
      </c>
      <c r="P3201" s="8" t="s">
        <v>10301</v>
      </c>
      <c r="Q3201" s="8" t="s">
        <v>4262</v>
      </c>
      <c r="R3201" s="8">
        <v>0.13900000000000001</v>
      </c>
      <c r="S3201" s="8">
        <v>47902204</v>
      </c>
      <c r="T3201" s="8" t="s">
        <v>24</v>
      </c>
      <c r="U3201" s="8" t="s">
        <v>25</v>
      </c>
    </row>
    <row r="3202" spans="1:21">
      <c r="A3202" s="8" t="s">
        <v>10349</v>
      </c>
      <c r="B3202" s="8" t="s">
        <v>2596</v>
      </c>
      <c r="C3202" s="8">
        <v>81857</v>
      </c>
      <c r="D3202" s="8" t="s">
        <v>139</v>
      </c>
      <c r="E3202" s="8">
        <v>50322436</v>
      </c>
      <c r="F3202" s="8">
        <v>50322436</v>
      </c>
      <c r="G3202" s="8" t="s">
        <v>24</v>
      </c>
      <c r="H3202" s="8" t="s">
        <v>25</v>
      </c>
      <c r="I3202" s="8" t="s">
        <v>23</v>
      </c>
      <c r="J3202" s="8" t="s">
        <v>2597</v>
      </c>
      <c r="K3202" s="8" t="s">
        <v>13155</v>
      </c>
      <c r="L3202" s="8" t="s">
        <v>19</v>
      </c>
      <c r="M3202" s="8">
        <v>251</v>
      </c>
      <c r="N3202" s="8" t="s">
        <v>1399</v>
      </c>
      <c r="O3202" s="8">
        <v>63</v>
      </c>
      <c r="P3202" s="8" t="s">
        <v>13154</v>
      </c>
      <c r="Q3202" s="8" t="s">
        <v>4262</v>
      </c>
      <c r="R3202" s="8">
        <v>0.192</v>
      </c>
      <c r="S3202" s="8">
        <v>50322436</v>
      </c>
      <c r="T3202" s="8" t="s">
        <v>24</v>
      </c>
      <c r="U3202" s="8" t="s">
        <v>25</v>
      </c>
    </row>
    <row r="3203" spans="1:21">
      <c r="A3203" s="8" t="s">
        <v>10349</v>
      </c>
      <c r="B3203" s="8" t="s">
        <v>2045</v>
      </c>
      <c r="C3203" s="8">
        <v>6320</v>
      </c>
      <c r="D3203" s="8" t="s">
        <v>139</v>
      </c>
      <c r="E3203" s="8">
        <v>51226820</v>
      </c>
      <c r="F3203" s="8">
        <v>51226820</v>
      </c>
      <c r="G3203" s="8" t="s">
        <v>46</v>
      </c>
      <c r="H3203" s="8" t="s">
        <v>41</v>
      </c>
      <c r="I3203" s="8" t="s">
        <v>23</v>
      </c>
      <c r="J3203" s="8" t="s">
        <v>2598</v>
      </c>
      <c r="K3203" s="8" t="s">
        <v>5826</v>
      </c>
      <c r="L3203" s="8" t="s">
        <v>19</v>
      </c>
      <c r="M3203" s="8">
        <v>216</v>
      </c>
      <c r="N3203" s="8" t="s">
        <v>333</v>
      </c>
      <c r="O3203" s="8">
        <v>13</v>
      </c>
      <c r="P3203" s="8" t="s">
        <v>13156</v>
      </c>
      <c r="Q3203" s="8" t="s">
        <v>4262</v>
      </c>
      <c r="R3203" s="8">
        <v>0.38500000000000001</v>
      </c>
      <c r="S3203" s="8">
        <v>51226820</v>
      </c>
      <c r="T3203" s="8" t="s">
        <v>46</v>
      </c>
      <c r="U3203" s="8" t="s">
        <v>41</v>
      </c>
    </row>
    <row r="3204" spans="1:21">
      <c r="A3204" s="8" t="s">
        <v>10349</v>
      </c>
      <c r="B3204" s="8" t="s">
        <v>2599</v>
      </c>
      <c r="C3204" s="8">
        <v>7728</v>
      </c>
      <c r="D3204" s="8" t="s">
        <v>139</v>
      </c>
      <c r="E3204" s="8">
        <v>52084708</v>
      </c>
      <c r="F3204" s="8">
        <v>52084708</v>
      </c>
      <c r="G3204" s="8" t="s">
        <v>46</v>
      </c>
      <c r="H3204" s="8" t="s">
        <v>41</v>
      </c>
      <c r="I3204" s="8" t="s">
        <v>23</v>
      </c>
      <c r="J3204" s="8" t="s">
        <v>2600</v>
      </c>
      <c r="K3204" s="8" t="s">
        <v>13158</v>
      </c>
      <c r="L3204" s="8" t="s">
        <v>19</v>
      </c>
      <c r="M3204" s="8">
        <v>515</v>
      </c>
      <c r="N3204" s="8" t="s">
        <v>1140</v>
      </c>
      <c r="O3204" s="8">
        <v>46</v>
      </c>
      <c r="P3204" s="8" t="s">
        <v>13157</v>
      </c>
      <c r="Q3204" s="8" t="s">
        <v>4262</v>
      </c>
      <c r="R3204" s="8">
        <v>0.30399999999999999</v>
      </c>
      <c r="S3204" s="8">
        <v>52084708</v>
      </c>
      <c r="T3204" s="8" t="s">
        <v>46</v>
      </c>
      <c r="U3204" s="8" t="s">
        <v>41</v>
      </c>
    </row>
    <row r="3205" spans="1:21">
      <c r="A3205" s="8" t="s">
        <v>10349</v>
      </c>
      <c r="B3205" s="8" t="s">
        <v>13159</v>
      </c>
      <c r="C3205" s="8">
        <v>162963</v>
      </c>
      <c r="D3205" s="8" t="s">
        <v>139</v>
      </c>
      <c r="E3205" s="8">
        <v>52869742</v>
      </c>
      <c r="F3205" s="8">
        <v>52869742</v>
      </c>
      <c r="G3205" s="8" t="s">
        <v>46</v>
      </c>
      <c r="H3205" s="8" t="s">
        <v>41</v>
      </c>
      <c r="I3205" s="8" t="s">
        <v>23</v>
      </c>
      <c r="J3205" s="8" t="s">
        <v>13160</v>
      </c>
      <c r="K3205" s="8" t="s">
        <v>13162</v>
      </c>
      <c r="L3205" s="8" t="s">
        <v>19</v>
      </c>
      <c r="M3205" s="8">
        <v>1517</v>
      </c>
      <c r="N3205" s="8" t="s">
        <v>2400</v>
      </c>
      <c r="O3205" s="8">
        <v>371</v>
      </c>
      <c r="P3205" s="8" t="s">
        <v>13161</v>
      </c>
      <c r="Q3205" s="8" t="s">
        <v>4262</v>
      </c>
      <c r="R3205" s="8">
        <v>0.159</v>
      </c>
      <c r="S3205" s="8">
        <v>52869742</v>
      </c>
      <c r="T3205" s="8" t="s">
        <v>46</v>
      </c>
      <c r="U3205" s="8" t="s">
        <v>41</v>
      </c>
    </row>
    <row r="3206" spans="1:21">
      <c r="A3206" s="8" t="s">
        <v>10349</v>
      </c>
      <c r="B3206" s="8" t="s">
        <v>13163</v>
      </c>
      <c r="C3206" s="8">
        <v>162966</v>
      </c>
      <c r="D3206" s="8" t="s">
        <v>139</v>
      </c>
      <c r="E3206" s="8">
        <v>53269499</v>
      </c>
      <c r="F3206" s="8">
        <v>53269499</v>
      </c>
      <c r="G3206" s="8" t="s">
        <v>41</v>
      </c>
      <c r="H3206" s="8" t="s">
        <v>24</v>
      </c>
      <c r="I3206" s="8" t="s">
        <v>23</v>
      </c>
      <c r="J3206" s="8" t="s">
        <v>13164</v>
      </c>
      <c r="K3206" s="8" t="s">
        <v>13166</v>
      </c>
      <c r="L3206" s="8" t="s">
        <v>19</v>
      </c>
      <c r="M3206" s="8">
        <v>1796</v>
      </c>
      <c r="N3206" s="8" t="s">
        <v>3919</v>
      </c>
      <c r="O3206" s="8">
        <v>504</v>
      </c>
      <c r="P3206" s="8" t="s">
        <v>13165</v>
      </c>
      <c r="Q3206" s="8" t="s">
        <v>4262</v>
      </c>
      <c r="R3206" s="8">
        <v>0.23899999999999999</v>
      </c>
      <c r="S3206" s="8">
        <v>53269499</v>
      </c>
      <c r="T3206" s="8" t="s">
        <v>41</v>
      </c>
      <c r="U3206" s="8" t="s">
        <v>24</v>
      </c>
    </row>
    <row r="3207" spans="1:21">
      <c r="A3207" s="8" t="s">
        <v>10349</v>
      </c>
      <c r="B3207" s="8" t="s">
        <v>13167</v>
      </c>
      <c r="C3207" s="8">
        <v>90333</v>
      </c>
      <c r="D3207" s="8" t="s">
        <v>139</v>
      </c>
      <c r="E3207" s="8">
        <v>53344423</v>
      </c>
      <c r="F3207" s="8">
        <v>53344423</v>
      </c>
      <c r="G3207" s="8" t="s">
        <v>46</v>
      </c>
      <c r="H3207" s="8" t="s">
        <v>41</v>
      </c>
      <c r="I3207" s="8" t="s">
        <v>23</v>
      </c>
      <c r="J3207" s="8" t="s">
        <v>13168</v>
      </c>
      <c r="K3207" s="8" t="s">
        <v>13170</v>
      </c>
      <c r="L3207" s="8" t="s">
        <v>19</v>
      </c>
      <c r="M3207" s="8">
        <v>1275</v>
      </c>
      <c r="N3207" s="8" t="s">
        <v>736</v>
      </c>
      <c r="O3207" s="8">
        <v>375</v>
      </c>
      <c r="P3207" s="8" t="s">
        <v>13169</v>
      </c>
      <c r="Q3207" s="8" t="s">
        <v>4262</v>
      </c>
      <c r="R3207" s="8">
        <v>0.16900000000000001</v>
      </c>
      <c r="S3207" s="8">
        <v>53344423</v>
      </c>
      <c r="T3207" s="8" t="s">
        <v>46</v>
      </c>
      <c r="U3207" s="8" t="s">
        <v>41</v>
      </c>
    </row>
    <row r="3208" spans="1:21">
      <c r="A3208" s="8" t="s">
        <v>10349</v>
      </c>
      <c r="B3208" s="8" t="s">
        <v>13171</v>
      </c>
      <c r="C3208" s="8">
        <v>100653070</v>
      </c>
      <c r="D3208" s="8" t="s">
        <v>139</v>
      </c>
      <c r="E3208" s="8">
        <v>54802019</v>
      </c>
      <c r="F3208" s="8">
        <v>54802019</v>
      </c>
      <c r="G3208" s="8" t="s">
        <v>24</v>
      </c>
      <c r="H3208" s="8" t="s">
        <v>25</v>
      </c>
      <c r="I3208" s="8" t="s">
        <v>23</v>
      </c>
      <c r="J3208" s="8" t="s">
        <v>13172</v>
      </c>
      <c r="K3208" s="8" t="s">
        <v>13174</v>
      </c>
      <c r="L3208" s="8" t="s">
        <v>19</v>
      </c>
      <c r="M3208" s="8">
        <v>728</v>
      </c>
      <c r="N3208" s="8" t="s">
        <v>1421</v>
      </c>
      <c r="O3208" s="8">
        <v>243</v>
      </c>
      <c r="P3208" s="8" t="s">
        <v>11899</v>
      </c>
      <c r="Q3208" s="8" t="s">
        <v>13173</v>
      </c>
      <c r="R3208" s="8">
        <v>0.23300000000000001</v>
      </c>
      <c r="S3208" s="8">
        <v>54802019</v>
      </c>
      <c r="T3208" s="8" t="s">
        <v>24</v>
      </c>
      <c r="U3208" s="8" t="s">
        <v>25</v>
      </c>
    </row>
    <row r="3209" spans="1:21">
      <c r="A3209" s="8" t="s">
        <v>10349</v>
      </c>
      <c r="B3209" s="8" t="s">
        <v>2601</v>
      </c>
      <c r="C3209" s="8">
        <v>23547</v>
      </c>
      <c r="D3209" s="8" t="s">
        <v>139</v>
      </c>
      <c r="E3209" s="8">
        <v>54848279</v>
      </c>
      <c r="F3209" s="8">
        <v>54848279</v>
      </c>
      <c r="G3209" s="8" t="s">
        <v>24</v>
      </c>
      <c r="H3209" s="8" t="s">
        <v>25</v>
      </c>
      <c r="I3209" s="8" t="s">
        <v>23</v>
      </c>
      <c r="J3209" s="8" t="s">
        <v>2602</v>
      </c>
      <c r="K3209" s="8" t="s">
        <v>13175</v>
      </c>
      <c r="L3209" s="8" t="s">
        <v>19</v>
      </c>
      <c r="M3209" s="8">
        <v>1145</v>
      </c>
      <c r="N3209" s="8" t="s">
        <v>333</v>
      </c>
      <c r="O3209" s="8">
        <v>363</v>
      </c>
      <c r="P3209" s="8" t="s">
        <v>11080</v>
      </c>
      <c r="Q3209" s="8" t="s">
        <v>4262</v>
      </c>
      <c r="R3209" s="8">
        <v>0.22700000000000001</v>
      </c>
      <c r="S3209" s="8">
        <v>54848279</v>
      </c>
      <c r="T3209" s="8" t="s">
        <v>24</v>
      </c>
      <c r="U3209" s="8" t="s">
        <v>25</v>
      </c>
    </row>
    <row r="3210" spans="1:21">
      <c r="A3210" s="8" t="s">
        <v>10349</v>
      </c>
      <c r="B3210" s="8" t="s">
        <v>13176</v>
      </c>
      <c r="C3210" s="8">
        <v>100653050</v>
      </c>
      <c r="D3210" s="8" t="s">
        <v>139</v>
      </c>
      <c r="E3210" s="8">
        <v>55278752</v>
      </c>
      <c r="F3210" s="8">
        <v>55278752</v>
      </c>
      <c r="G3210" s="8" t="s">
        <v>46</v>
      </c>
      <c r="H3210" s="8" t="s">
        <v>41</v>
      </c>
      <c r="I3210" s="8" t="s">
        <v>23</v>
      </c>
      <c r="J3210" s="8" t="s">
        <v>13177</v>
      </c>
      <c r="K3210" s="8" t="s">
        <v>13179</v>
      </c>
      <c r="L3210" s="8" t="s">
        <v>19</v>
      </c>
      <c r="M3210" s="8">
        <v>1005</v>
      </c>
      <c r="N3210" s="8" t="s">
        <v>423</v>
      </c>
      <c r="O3210" s="8">
        <v>327</v>
      </c>
      <c r="P3210" s="8" t="s">
        <v>13178</v>
      </c>
      <c r="Q3210" s="8" t="s">
        <v>4262</v>
      </c>
      <c r="R3210" s="8">
        <v>0.153</v>
      </c>
      <c r="S3210" s="8">
        <v>55278752</v>
      </c>
      <c r="T3210" s="8" t="s">
        <v>46</v>
      </c>
      <c r="U3210" s="8" t="s">
        <v>41</v>
      </c>
    </row>
    <row r="3211" spans="1:21">
      <c r="A3211" s="8" t="s">
        <v>10349</v>
      </c>
      <c r="B3211" s="8" t="s">
        <v>2603</v>
      </c>
      <c r="C3211" s="8">
        <v>147945</v>
      </c>
      <c r="D3211" s="8" t="s">
        <v>139</v>
      </c>
      <c r="E3211" s="8">
        <v>56379091</v>
      </c>
      <c r="F3211" s="8">
        <v>56379091</v>
      </c>
      <c r="G3211" s="8" t="s">
        <v>46</v>
      </c>
      <c r="H3211" s="8" t="s">
        <v>41</v>
      </c>
      <c r="I3211" s="8" t="s">
        <v>23</v>
      </c>
      <c r="J3211" s="8" t="s">
        <v>2604</v>
      </c>
      <c r="K3211" s="8" t="s">
        <v>13181</v>
      </c>
      <c r="L3211" s="8" t="s">
        <v>19</v>
      </c>
      <c r="M3211" s="8">
        <v>2625</v>
      </c>
      <c r="N3211" s="8" t="s">
        <v>58</v>
      </c>
      <c r="O3211" s="8">
        <v>735</v>
      </c>
      <c r="P3211" s="8" t="s">
        <v>13180</v>
      </c>
      <c r="Q3211" s="8" t="s">
        <v>4262</v>
      </c>
      <c r="R3211" s="8">
        <v>0.25800000000000001</v>
      </c>
      <c r="S3211" s="8">
        <v>56379091</v>
      </c>
      <c r="T3211" s="8" t="s">
        <v>46</v>
      </c>
      <c r="U3211" s="8" t="s">
        <v>41</v>
      </c>
    </row>
    <row r="3212" spans="1:21">
      <c r="A3212" s="8" t="s">
        <v>10349</v>
      </c>
      <c r="B3212" s="8" t="s">
        <v>13182</v>
      </c>
      <c r="C3212" s="8">
        <v>63934</v>
      </c>
      <c r="D3212" s="8" t="s">
        <v>139</v>
      </c>
      <c r="E3212" s="8">
        <v>56953903</v>
      </c>
      <c r="F3212" s="8">
        <v>56953903</v>
      </c>
      <c r="G3212" s="8" t="s">
        <v>46</v>
      </c>
      <c r="H3212" s="8" t="s">
        <v>41</v>
      </c>
      <c r="I3212" s="8" t="s">
        <v>23</v>
      </c>
      <c r="J3212" s="8" t="s">
        <v>13183</v>
      </c>
      <c r="K3212" s="8" t="s">
        <v>13185</v>
      </c>
      <c r="L3212" s="8" t="s">
        <v>19</v>
      </c>
      <c r="M3212" s="8">
        <v>650</v>
      </c>
      <c r="N3212" s="8" t="s">
        <v>2664</v>
      </c>
      <c r="O3212" s="8">
        <v>154</v>
      </c>
      <c r="P3212" s="8" t="s">
        <v>13184</v>
      </c>
      <c r="Q3212" s="8" t="s">
        <v>4262</v>
      </c>
      <c r="R3212" s="8">
        <v>0.10299999999999999</v>
      </c>
      <c r="S3212" s="8">
        <v>56953903</v>
      </c>
      <c r="T3212" s="8" t="s">
        <v>46</v>
      </c>
      <c r="U3212" s="8" t="s">
        <v>41</v>
      </c>
    </row>
    <row r="3213" spans="1:21">
      <c r="A3213" s="8" t="s">
        <v>10349</v>
      </c>
      <c r="B3213" s="8" t="s">
        <v>13186</v>
      </c>
      <c r="C3213" s="8">
        <v>388566</v>
      </c>
      <c r="D3213" s="8" t="s">
        <v>139</v>
      </c>
      <c r="E3213" s="8">
        <v>57089010</v>
      </c>
      <c r="F3213" s="8">
        <v>57089010</v>
      </c>
      <c r="G3213" s="8" t="s">
        <v>24</v>
      </c>
      <c r="H3213" s="8" t="s">
        <v>25</v>
      </c>
      <c r="I3213" s="8" t="s">
        <v>23</v>
      </c>
      <c r="J3213" s="8" t="s">
        <v>13187</v>
      </c>
      <c r="K3213" s="8" t="s">
        <v>13189</v>
      </c>
      <c r="L3213" s="8" t="s">
        <v>19</v>
      </c>
      <c r="M3213" s="8">
        <v>1889</v>
      </c>
      <c r="N3213" s="8" t="s">
        <v>768</v>
      </c>
      <c r="O3213" s="8">
        <v>405</v>
      </c>
      <c r="P3213" s="8" t="s">
        <v>13188</v>
      </c>
      <c r="Q3213" s="8" t="s">
        <v>4262</v>
      </c>
      <c r="R3213" s="8">
        <v>0.20799999999999999</v>
      </c>
      <c r="S3213" s="8">
        <v>57089010</v>
      </c>
      <c r="T3213" s="8" t="s">
        <v>24</v>
      </c>
      <c r="U3213" s="8" t="s">
        <v>25</v>
      </c>
    </row>
    <row r="3214" spans="1:21">
      <c r="A3214" s="8" t="s">
        <v>10349</v>
      </c>
      <c r="B3214" s="8" t="s">
        <v>2605</v>
      </c>
      <c r="C3214" s="8">
        <v>58491</v>
      </c>
      <c r="D3214" s="8" t="s">
        <v>139</v>
      </c>
      <c r="E3214" s="8">
        <v>57133356</v>
      </c>
      <c r="F3214" s="8">
        <v>57133356</v>
      </c>
      <c r="G3214" s="8" t="s">
        <v>24</v>
      </c>
      <c r="H3214" s="8" t="s">
        <v>25</v>
      </c>
      <c r="I3214" s="8" t="s">
        <v>23</v>
      </c>
      <c r="J3214" s="8" t="s">
        <v>2606</v>
      </c>
      <c r="K3214" s="8" t="s">
        <v>13191</v>
      </c>
      <c r="L3214" s="8" t="s">
        <v>19</v>
      </c>
      <c r="M3214" s="8">
        <v>939</v>
      </c>
      <c r="N3214" s="8" t="s">
        <v>61</v>
      </c>
      <c r="O3214" s="8">
        <v>234</v>
      </c>
      <c r="P3214" s="8" t="s">
        <v>13190</v>
      </c>
      <c r="Q3214" s="8" t="s">
        <v>4262</v>
      </c>
      <c r="R3214" s="8">
        <v>0.3</v>
      </c>
      <c r="S3214" s="8">
        <v>57133356</v>
      </c>
      <c r="T3214" s="8" t="s">
        <v>24</v>
      </c>
      <c r="U3214" s="8" t="s">
        <v>25</v>
      </c>
    </row>
    <row r="3215" spans="1:21">
      <c r="A3215" s="8" t="s">
        <v>10349</v>
      </c>
      <c r="B3215" s="8" t="s">
        <v>2607</v>
      </c>
      <c r="C3215" s="8">
        <v>114026</v>
      </c>
      <c r="D3215" s="8" t="s">
        <v>139</v>
      </c>
      <c r="E3215" s="8">
        <v>57646845</v>
      </c>
      <c r="F3215" s="8">
        <v>57646845</v>
      </c>
      <c r="G3215" s="8" t="s">
        <v>24</v>
      </c>
      <c r="H3215" s="8" t="s">
        <v>25</v>
      </c>
      <c r="I3215" s="8" t="s">
        <v>23</v>
      </c>
      <c r="J3215" s="8" t="s">
        <v>2608</v>
      </c>
      <c r="K3215" s="8" t="s">
        <v>13193</v>
      </c>
      <c r="L3215" s="8" t="s">
        <v>19</v>
      </c>
      <c r="M3215" s="8">
        <v>1246</v>
      </c>
      <c r="N3215" s="8" t="s">
        <v>309</v>
      </c>
      <c r="O3215" s="8">
        <v>287</v>
      </c>
      <c r="P3215" s="8" t="s">
        <v>13192</v>
      </c>
      <c r="Q3215" s="8" t="s">
        <v>4262</v>
      </c>
      <c r="R3215" s="8">
        <v>0.247</v>
      </c>
      <c r="S3215" s="8">
        <v>57646845</v>
      </c>
      <c r="T3215" s="8" t="s">
        <v>24</v>
      </c>
      <c r="U3215" s="8" t="s">
        <v>25</v>
      </c>
    </row>
    <row r="3216" spans="1:21">
      <c r="A3216" s="8" t="s">
        <v>10349</v>
      </c>
      <c r="B3216" s="8" t="s">
        <v>163</v>
      </c>
      <c r="C3216" s="8">
        <v>90233</v>
      </c>
      <c r="D3216" s="8" t="s">
        <v>139</v>
      </c>
      <c r="E3216" s="8">
        <v>58199223</v>
      </c>
      <c r="F3216" s="8">
        <v>58199223</v>
      </c>
      <c r="G3216" s="8" t="s">
        <v>24</v>
      </c>
      <c r="H3216" s="8" t="s">
        <v>25</v>
      </c>
      <c r="I3216" s="8" t="s">
        <v>23</v>
      </c>
      <c r="J3216" s="8" t="s">
        <v>164</v>
      </c>
      <c r="K3216" s="8" t="s">
        <v>13195</v>
      </c>
      <c r="L3216" s="8" t="s">
        <v>19</v>
      </c>
      <c r="M3216" s="8">
        <v>1755</v>
      </c>
      <c r="N3216" s="8" t="s">
        <v>205</v>
      </c>
      <c r="O3216" s="8">
        <v>511</v>
      </c>
      <c r="P3216" s="8" t="s">
        <v>13194</v>
      </c>
      <c r="Q3216" s="8" t="s">
        <v>4262</v>
      </c>
      <c r="R3216" s="8">
        <v>0.17</v>
      </c>
      <c r="S3216" s="8">
        <v>58199223</v>
      </c>
      <c r="T3216" s="8" t="s">
        <v>24</v>
      </c>
      <c r="U3216" s="8" t="s">
        <v>25</v>
      </c>
    </row>
    <row r="3217" spans="1:21">
      <c r="A3217" s="8" t="s">
        <v>10349</v>
      </c>
      <c r="B3217" s="8" t="s">
        <v>13196</v>
      </c>
      <c r="C3217" s="8">
        <v>201514</v>
      </c>
      <c r="D3217" s="8" t="s">
        <v>139</v>
      </c>
      <c r="E3217" s="8">
        <v>58928934</v>
      </c>
      <c r="F3217" s="8">
        <v>58928934</v>
      </c>
      <c r="G3217" s="8" t="s">
        <v>24</v>
      </c>
      <c r="H3217" s="8" t="s">
        <v>25</v>
      </c>
      <c r="I3217" s="8" t="s">
        <v>23</v>
      </c>
      <c r="J3217" s="8" t="s">
        <v>13197</v>
      </c>
      <c r="K3217" s="8" t="s">
        <v>13199</v>
      </c>
      <c r="L3217" s="8" t="s">
        <v>19</v>
      </c>
      <c r="M3217" s="8">
        <v>1501</v>
      </c>
      <c r="N3217" s="8" t="s">
        <v>1399</v>
      </c>
      <c r="O3217" s="8">
        <v>350</v>
      </c>
      <c r="P3217" s="8" t="s">
        <v>13198</v>
      </c>
      <c r="Q3217" s="8" t="s">
        <v>4262</v>
      </c>
      <c r="R3217" s="8">
        <v>0.161</v>
      </c>
      <c r="S3217" s="8">
        <v>58928934</v>
      </c>
      <c r="T3217" s="8" t="s">
        <v>24</v>
      </c>
      <c r="U3217" s="8" t="s">
        <v>25</v>
      </c>
    </row>
    <row r="3218" spans="1:21">
      <c r="A3218" s="8" t="s">
        <v>10349</v>
      </c>
      <c r="B3218" s="8" t="s">
        <v>2609</v>
      </c>
      <c r="C3218" s="8">
        <v>10908</v>
      </c>
      <c r="D3218" s="8" t="s">
        <v>139</v>
      </c>
      <c r="E3218" s="8">
        <v>7605568</v>
      </c>
      <c r="F3218" s="8">
        <v>7605568</v>
      </c>
      <c r="G3218" s="8" t="s">
        <v>24</v>
      </c>
      <c r="H3218" s="8" t="s">
        <v>25</v>
      </c>
      <c r="I3218" s="8" t="s">
        <v>23</v>
      </c>
      <c r="J3218" s="8" t="s">
        <v>13200</v>
      </c>
      <c r="K3218" s="8" t="s">
        <v>13202</v>
      </c>
      <c r="L3218" s="8" t="s">
        <v>19</v>
      </c>
      <c r="M3218" s="8">
        <v>1034</v>
      </c>
      <c r="N3218" s="8" t="s">
        <v>708</v>
      </c>
      <c r="O3218" s="8">
        <v>265</v>
      </c>
      <c r="P3218" s="8" t="s">
        <v>13201</v>
      </c>
      <c r="Q3218" s="8" t="s">
        <v>4262</v>
      </c>
      <c r="R3218" s="8">
        <v>0.27600000000000002</v>
      </c>
      <c r="S3218" s="8">
        <v>7605568</v>
      </c>
      <c r="T3218" s="8" t="s">
        <v>24</v>
      </c>
      <c r="U3218" s="8" t="s">
        <v>25</v>
      </c>
    </row>
    <row r="3219" spans="1:21">
      <c r="A3219" s="8" t="s">
        <v>10349</v>
      </c>
      <c r="B3219" s="8" t="s">
        <v>13203</v>
      </c>
      <c r="C3219" s="8">
        <v>284383</v>
      </c>
      <c r="D3219" s="8" t="s">
        <v>139</v>
      </c>
      <c r="E3219" s="8">
        <v>8841961</v>
      </c>
      <c r="F3219" s="8">
        <v>8841961</v>
      </c>
      <c r="G3219" s="8" t="s">
        <v>24</v>
      </c>
      <c r="H3219" s="8" t="s">
        <v>25</v>
      </c>
      <c r="I3219" s="8" t="s">
        <v>23</v>
      </c>
      <c r="J3219" s="8" t="s">
        <v>13204</v>
      </c>
      <c r="K3219" s="8" t="s">
        <v>13206</v>
      </c>
      <c r="L3219" s="8" t="s">
        <v>19</v>
      </c>
      <c r="M3219" s="8">
        <v>571</v>
      </c>
      <c r="N3219" s="8" t="s">
        <v>557</v>
      </c>
      <c r="O3219" s="8">
        <v>191</v>
      </c>
      <c r="P3219" s="8" t="s">
        <v>13205</v>
      </c>
      <c r="Q3219" s="8" t="s">
        <v>4262</v>
      </c>
      <c r="R3219" s="8">
        <v>0.19400000000000001</v>
      </c>
      <c r="S3219" s="8">
        <v>8841961</v>
      </c>
      <c r="T3219" s="8" t="s">
        <v>24</v>
      </c>
      <c r="U3219" s="8" t="s">
        <v>25</v>
      </c>
    </row>
    <row r="3220" spans="1:21">
      <c r="A3220" s="8" t="s">
        <v>10349</v>
      </c>
      <c r="B3220" s="8" t="s">
        <v>1093</v>
      </c>
      <c r="C3220" s="8">
        <v>94025</v>
      </c>
      <c r="D3220" s="8" t="s">
        <v>139</v>
      </c>
      <c r="E3220" s="8">
        <v>9047979</v>
      </c>
      <c r="F3220" s="8">
        <v>9047979</v>
      </c>
      <c r="G3220" s="8" t="s">
        <v>46</v>
      </c>
      <c r="H3220" s="8" t="s">
        <v>41</v>
      </c>
      <c r="I3220" s="8" t="s">
        <v>23</v>
      </c>
      <c r="J3220" s="8" t="s">
        <v>1094</v>
      </c>
      <c r="K3220" s="8" t="s">
        <v>4408</v>
      </c>
      <c r="L3220" s="8" t="s">
        <v>19</v>
      </c>
      <c r="M3220" s="8">
        <v>33856</v>
      </c>
      <c r="N3220" s="8" t="s">
        <v>166</v>
      </c>
      <c r="O3220" s="8">
        <v>11218</v>
      </c>
      <c r="P3220" s="8" t="s">
        <v>13207</v>
      </c>
      <c r="Q3220" s="8" t="s">
        <v>4262</v>
      </c>
      <c r="R3220" s="8">
        <v>0.23699999999999999</v>
      </c>
      <c r="S3220" s="8">
        <v>9047979</v>
      </c>
      <c r="T3220" s="8" t="s">
        <v>46</v>
      </c>
      <c r="U3220" s="8" t="s">
        <v>41</v>
      </c>
    </row>
    <row r="3221" spans="1:21">
      <c r="A3221" s="8" t="s">
        <v>10349</v>
      </c>
      <c r="B3221" s="8" t="s">
        <v>1093</v>
      </c>
      <c r="C3221" s="8">
        <v>94025</v>
      </c>
      <c r="D3221" s="8" t="s">
        <v>139</v>
      </c>
      <c r="E3221" s="8">
        <v>9049746</v>
      </c>
      <c r="F3221" s="8">
        <v>9049746</v>
      </c>
      <c r="G3221" s="8" t="s">
        <v>46</v>
      </c>
      <c r="H3221" s="8" t="s">
        <v>41</v>
      </c>
      <c r="I3221" s="8" t="s">
        <v>23</v>
      </c>
      <c r="J3221" s="8" t="s">
        <v>1094</v>
      </c>
      <c r="K3221" s="8" t="s">
        <v>4408</v>
      </c>
      <c r="L3221" s="8" t="s">
        <v>19</v>
      </c>
      <c r="M3221" s="8">
        <v>32089</v>
      </c>
      <c r="N3221" s="8" t="s">
        <v>155</v>
      </c>
      <c r="O3221" s="8">
        <v>10629</v>
      </c>
      <c r="P3221" s="8" t="s">
        <v>13208</v>
      </c>
      <c r="Q3221" s="8" t="s">
        <v>4262</v>
      </c>
      <c r="R3221" s="8">
        <v>0.13400000000000001</v>
      </c>
      <c r="S3221" s="8">
        <v>9049746</v>
      </c>
      <c r="T3221" s="8" t="s">
        <v>46</v>
      </c>
      <c r="U3221" s="8" t="s">
        <v>41</v>
      </c>
    </row>
    <row r="3222" spans="1:21">
      <c r="A3222" s="8" t="s">
        <v>10349</v>
      </c>
      <c r="B3222" s="8" t="s">
        <v>1093</v>
      </c>
      <c r="C3222" s="8">
        <v>94025</v>
      </c>
      <c r="D3222" s="8" t="s">
        <v>139</v>
      </c>
      <c r="E3222" s="8">
        <v>9050108</v>
      </c>
      <c r="F3222" s="8">
        <v>9050108</v>
      </c>
      <c r="G3222" s="8" t="s">
        <v>24</v>
      </c>
      <c r="H3222" s="8" t="s">
        <v>25</v>
      </c>
      <c r="I3222" s="8" t="s">
        <v>23</v>
      </c>
      <c r="J3222" s="8" t="s">
        <v>1094</v>
      </c>
      <c r="K3222" s="8" t="s">
        <v>4408</v>
      </c>
      <c r="L3222" s="8" t="s">
        <v>19</v>
      </c>
      <c r="M3222" s="8">
        <v>31727</v>
      </c>
      <c r="N3222" s="8" t="s">
        <v>333</v>
      </c>
      <c r="O3222" s="8">
        <v>10508</v>
      </c>
      <c r="P3222" s="8" t="s">
        <v>13209</v>
      </c>
      <c r="Q3222" s="8" t="s">
        <v>4262</v>
      </c>
      <c r="R3222" s="8">
        <v>0.191</v>
      </c>
      <c r="S3222" s="8">
        <v>9050108</v>
      </c>
      <c r="T3222" s="8" t="s">
        <v>24</v>
      </c>
      <c r="U3222" s="8" t="s">
        <v>25</v>
      </c>
    </row>
    <row r="3223" spans="1:21">
      <c r="A3223" s="8" t="s">
        <v>10349</v>
      </c>
      <c r="B3223" s="8" t="s">
        <v>1093</v>
      </c>
      <c r="C3223" s="8">
        <v>94025</v>
      </c>
      <c r="D3223" s="8" t="s">
        <v>139</v>
      </c>
      <c r="E3223" s="8">
        <v>9059394</v>
      </c>
      <c r="F3223" s="8">
        <v>9059394</v>
      </c>
      <c r="G3223" s="8" t="s">
        <v>24</v>
      </c>
      <c r="H3223" s="8" t="s">
        <v>25</v>
      </c>
      <c r="I3223" s="8" t="s">
        <v>23</v>
      </c>
      <c r="J3223" s="8" t="s">
        <v>1094</v>
      </c>
      <c r="K3223" s="8" t="s">
        <v>4408</v>
      </c>
      <c r="L3223" s="8" t="s">
        <v>19</v>
      </c>
      <c r="M3223" s="8">
        <v>28256</v>
      </c>
      <c r="N3223" s="8" t="s">
        <v>96</v>
      </c>
      <c r="O3223" s="8">
        <v>9351</v>
      </c>
      <c r="P3223" s="8" t="s">
        <v>13210</v>
      </c>
      <c r="Q3223" s="8" t="s">
        <v>4262</v>
      </c>
      <c r="R3223" s="8">
        <v>0.27700000000000002</v>
      </c>
      <c r="S3223" s="8">
        <v>9059394</v>
      </c>
      <c r="T3223" s="8" t="s">
        <v>24</v>
      </c>
      <c r="U3223" s="8" t="s">
        <v>25</v>
      </c>
    </row>
    <row r="3224" spans="1:21">
      <c r="A3224" s="8" t="s">
        <v>10349</v>
      </c>
      <c r="B3224" s="8" t="s">
        <v>1093</v>
      </c>
      <c r="C3224" s="8">
        <v>94025</v>
      </c>
      <c r="D3224" s="8" t="s">
        <v>139</v>
      </c>
      <c r="E3224" s="8">
        <v>9061242</v>
      </c>
      <c r="F3224" s="8">
        <v>9061242</v>
      </c>
      <c r="G3224" s="8" t="s">
        <v>46</v>
      </c>
      <c r="H3224" s="8" t="s">
        <v>41</v>
      </c>
      <c r="I3224" s="8" t="s">
        <v>23</v>
      </c>
      <c r="J3224" s="8" t="s">
        <v>1094</v>
      </c>
      <c r="K3224" s="8" t="s">
        <v>4408</v>
      </c>
      <c r="L3224" s="8" t="s">
        <v>19</v>
      </c>
      <c r="M3224" s="8">
        <v>26408</v>
      </c>
      <c r="N3224" s="8" t="s">
        <v>796</v>
      </c>
      <c r="O3224" s="8">
        <v>8735</v>
      </c>
      <c r="P3224" s="8" t="s">
        <v>13211</v>
      </c>
      <c r="Q3224" s="8" t="s">
        <v>4262</v>
      </c>
      <c r="R3224" s="8">
        <v>0.21199999999999999</v>
      </c>
      <c r="S3224" s="8">
        <v>9061242</v>
      </c>
      <c r="T3224" s="8" t="s">
        <v>46</v>
      </c>
      <c r="U3224" s="8" t="s">
        <v>41</v>
      </c>
    </row>
    <row r="3225" spans="1:21">
      <c r="A3225" s="8" t="s">
        <v>10349</v>
      </c>
      <c r="B3225" s="8" t="s">
        <v>1093</v>
      </c>
      <c r="C3225" s="8">
        <v>94025</v>
      </c>
      <c r="D3225" s="8" t="s">
        <v>139</v>
      </c>
      <c r="E3225" s="8">
        <v>9072473</v>
      </c>
      <c r="F3225" s="8">
        <v>9072473</v>
      </c>
      <c r="G3225" s="8" t="s">
        <v>46</v>
      </c>
      <c r="H3225" s="8" t="s">
        <v>41</v>
      </c>
      <c r="I3225" s="8" t="s">
        <v>23</v>
      </c>
      <c r="J3225" s="8" t="s">
        <v>1094</v>
      </c>
      <c r="K3225" s="8" t="s">
        <v>4408</v>
      </c>
      <c r="L3225" s="8" t="s">
        <v>19</v>
      </c>
      <c r="M3225" s="8">
        <v>15177</v>
      </c>
      <c r="N3225" s="8" t="s">
        <v>2439</v>
      </c>
      <c r="O3225" s="8">
        <v>4991</v>
      </c>
      <c r="P3225" s="8" t="s">
        <v>13212</v>
      </c>
      <c r="Q3225" s="8" t="s">
        <v>4262</v>
      </c>
      <c r="R3225" s="8">
        <v>0.183</v>
      </c>
      <c r="S3225" s="8">
        <v>9072473</v>
      </c>
      <c r="T3225" s="8" t="s">
        <v>46</v>
      </c>
      <c r="U3225" s="8" t="s">
        <v>41</v>
      </c>
    </row>
    <row r="3226" spans="1:21">
      <c r="A3226" s="8" t="s">
        <v>10349</v>
      </c>
      <c r="B3226" s="8" t="s">
        <v>1093</v>
      </c>
      <c r="C3226" s="8">
        <v>94025</v>
      </c>
      <c r="D3226" s="8" t="s">
        <v>139</v>
      </c>
      <c r="E3226" s="8">
        <v>9090968</v>
      </c>
      <c r="F3226" s="8">
        <v>9090968</v>
      </c>
      <c r="G3226" s="8" t="s">
        <v>24</v>
      </c>
      <c r="H3226" s="8" t="s">
        <v>25</v>
      </c>
      <c r="I3226" s="8" t="s">
        <v>23</v>
      </c>
      <c r="J3226" s="8" t="s">
        <v>1094</v>
      </c>
      <c r="K3226" s="8" t="s">
        <v>4408</v>
      </c>
      <c r="L3226" s="8" t="s">
        <v>19</v>
      </c>
      <c r="M3226" s="8">
        <v>1051</v>
      </c>
      <c r="N3226" s="8" t="s">
        <v>415</v>
      </c>
      <c r="O3226" s="8">
        <v>283</v>
      </c>
      <c r="P3226" s="8" t="s">
        <v>13213</v>
      </c>
      <c r="Q3226" s="8" t="s">
        <v>4262</v>
      </c>
      <c r="R3226" s="8">
        <v>0.14099999999999999</v>
      </c>
      <c r="S3226" s="8">
        <v>9090968</v>
      </c>
      <c r="T3226" s="8" t="s">
        <v>24</v>
      </c>
      <c r="U3226" s="8" t="s">
        <v>25</v>
      </c>
    </row>
    <row r="3227" spans="1:21">
      <c r="A3227" s="8" t="s">
        <v>10349</v>
      </c>
      <c r="B3227" s="8" t="s">
        <v>13214</v>
      </c>
      <c r="C3227" s="8">
        <v>390883</v>
      </c>
      <c r="D3227" s="8" t="s">
        <v>139</v>
      </c>
      <c r="E3227" s="8">
        <v>9237271</v>
      </c>
      <c r="F3227" s="8">
        <v>9237271</v>
      </c>
      <c r="G3227" s="8" t="s">
        <v>24</v>
      </c>
      <c r="H3227" s="8" t="s">
        <v>25</v>
      </c>
      <c r="I3227" s="8" t="s">
        <v>23</v>
      </c>
      <c r="J3227" s="8" t="s">
        <v>13215</v>
      </c>
      <c r="K3227" s="8" t="s">
        <v>13216</v>
      </c>
      <c r="L3227" s="8" t="s">
        <v>19</v>
      </c>
      <c r="M3227" s="8">
        <v>356</v>
      </c>
      <c r="N3227" s="8" t="s">
        <v>1421</v>
      </c>
      <c r="O3227" s="8">
        <v>119</v>
      </c>
      <c r="P3227" s="8" t="s">
        <v>10656</v>
      </c>
      <c r="Q3227" s="8" t="s">
        <v>4262</v>
      </c>
      <c r="R3227" s="8">
        <v>0.34</v>
      </c>
      <c r="S3227" s="8">
        <v>9237271</v>
      </c>
      <c r="T3227" s="8" t="s">
        <v>24</v>
      </c>
      <c r="U3227" s="8" t="s">
        <v>25</v>
      </c>
    </row>
    <row r="3228" spans="1:21">
      <c r="A3228" s="8" t="s">
        <v>10349</v>
      </c>
      <c r="B3228" s="8" t="s">
        <v>13217</v>
      </c>
      <c r="C3228" s="8">
        <v>162998</v>
      </c>
      <c r="D3228" s="8" t="s">
        <v>139</v>
      </c>
      <c r="E3228" s="8">
        <v>9296648</v>
      </c>
      <c r="F3228" s="8">
        <v>9296648</v>
      </c>
      <c r="G3228" s="8" t="s">
        <v>46</v>
      </c>
      <c r="H3228" s="8" t="s">
        <v>41</v>
      </c>
      <c r="I3228" s="8" t="s">
        <v>23</v>
      </c>
      <c r="J3228" s="8" t="s">
        <v>13218</v>
      </c>
      <c r="K3228" s="8" t="s">
        <v>13220</v>
      </c>
      <c r="L3228" s="8" t="s">
        <v>19</v>
      </c>
      <c r="M3228" s="8">
        <v>379</v>
      </c>
      <c r="N3228" s="8" t="s">
        <v>309</v>
      </c>
      <c r="O3228" s="8">
        <v>64</v>
      </c>
      <c r="P3228" s="8" t="s">
        <v>13219</v>
      </c>
      <c r="Q3228" s="8" t="s">
        <v>4262</v>
      </c>
      <c r="R3228" s="8">
        <v>0.22500000000000001</v>
      </c>
      <c r="S3228" s="8">
        <v>9296648</v>
      </c>
      <c r="T3228" s="8" t="s">
        <v>46</v>
      </c>
      <c r="U3228" s="8" t="s">
        <v>41</v>
      </c>
    </row>
    <row r="3229" spans="1:21">
      <c r="A3229" s="8" t="s">
        <v>10349</v>
      </c>
      <c r="B3229" s="8" t="s">
        <v>13221</v>
      </c>
      <c r="C3229" s="8">
        <v>1786</v>
      </c>
      <c r="D3229" s="8" t="s">
        <v>139</v>
      </c>
      <c r="E3229" s="8">
        <v>10265100</v>
      </c>
      <c r="F3229" s="8">
        <v>10265100</v>
      </c>
      <c r="G3229" s="8" t="s">
        <v>46</v>
      </c>
      <c r="H3229" s="8" t="s">
        <v>41</v>
      </c>
      <c r="I3229" s="8" t="s">
        <v>23</v>
      </c>
      <c r="J3229" s="8" t="s">
        <v>13222</v>
      </c>
      <c r="K3229" s="8" t="s">
        <v>13224</v>
      </c>
      <c r="L3229" s="8" t="s">
        <v>19</v>
      </c>
      <c r="M3229" s="8">
        <v>2068</v>
      </c>
      <c r="N3229" s="8" t="s">
        <v>1364</v>
      </c>
      <c r="O3229" s="8">
        <v>630</v>
      </c>
      <c r="P3229" s="8" t="s">
        <v>13223</v>
      </c>
      <c r="Q3229" s="8" t="s">
        <v>4262</v>
      </c>
      <c r="R3229" s="8">
        <v>0.25</v>
      </c>
      <c r="S3229" s="8">
        <v>10265100</v>
      </c>
      <c r="T3229" s="8" t="s">
        <v>46</v>
      </c>
      <c r="U3229" s="8" t="s">
        <v>41</v>
      </c>
    </row>
    <row r="3230" spans="1:21">
      <c r="A3230" s="8" t="s">
        <v>10349</v>
      </c>
      <c r="B3230" s="8" t="s">
        <v>13225</v>
      </c>
      <c r="C3230" s="8">
        <v>10347</v>
      </c>
      <c r="D3230" s="8" t="s">
        <v>139</v>
      </c>
      <c r="E3230" s="8">
        <v>1062179</v>
      </c>
      <c r="F3230" s="8">
        <v>1062179</v>
      </c>
      <c r="G3230" s="8" t="s">
        <v>24</v>
      </c>
      <c r="H3230" s="8" t="s">
        <v>25</v>
      </c>
      <c r="I3230" s="8" t="s">
        <v>23</v>
      </c>
      <c r="J3230" s="8" t="s">
        <v>13226</v>
      </c>
      <c r="K3230" s="8" t="s">
        <v>13228</v>
      </c>
      <c r="L3230" s="8" t="s">
        <v>19</v>
      </c>
      <c r="M3230" s="8">
        <v>5810</v>
      </c>
      <c r="N3230" s="8" t="s">
        <v>61</v>
      </c>
      <c r="O3230" s="8">
        <v>1860</v>
      </c>
      <c r="P3230" s="8" t="s">
        <v>13227</v>
      </c>
      <c r="Q3230" s="8" t="s">
        <v>4262</v>
      </c>
      <c r="R3230" s="8">
        <v>0.29199999999999998</v>
      </c>
      <c r="S3230" s="8">
        <v>1062179</v>
      </c>
      <c r="T3230" s="8" t="s">
        <v>24</v>
      </c>
      <c r="U3230" s="8" t="s">
        <v>25</v>
      </c>
    </row>
    <row r="3231" spans="1:21">
      <c r="A3231" s="8" t="s">
        <v>10349</v>
      </c>
      <c r="B3231" s="8" t="s">
        <v>2573</v>
      </c>
      <c r="C3231" s="8">
        <v>1995</v>
      </c>
      <c r="D3231" s="8" t="s">
        <v>139</v>
      </c>
      <c r="E3231" s="8">
        <v>11565528</v>
      </c>
      <c r="F3231" s="8">
        <v>11565528</v>
      </c>
      <c r="G3231" s="8" t="s">
        <v>24</v>
      </c>
      <c r="H3231" s="8" t="s">
        <v>25</v>
      </c>
      <c r="I3231" s="8" t="s">
        <v>23</v>
      </c>
      <c r="J3231" s="8" t="s">
        <v>13229</v>
      </c>
      <c r="K3231" s="8" t="s">
        <v>13231</v>
      </c>
      <c r="L3231" s="8" t="s">
        <v>19</v>
      </c>
      <c r="M3231" s="8">
        <v>1297</v>
      </c>
      <c r="N3231" s="8" t="s">
        <v>1140</v>
      </c>
      <c r="O3231" s="8">
        <v>306</v>
      </c>
      <c r="P3231" s="8" t="s">
        <v>13230</v>
      </c>
      <c r="Q3231" s="8" t="s">
        <v>4262</v>
      </c>
      <c r="R3231" s="8">
        <v>0.22</v>
      </c>
      <c r="S3231" s="8">
        <v>11565528</v>
      </c>
      <c r="T3231" s="8" t="s">
        <v>24</v>
      </c>
      <c r="U3231" s="8" t="s">
        <v>25</v>
      </c>
    </row>
    <row r="3232" spans="1:21">
      <c r="A3232" s="8" t="s">
        <v>10349</v>
      </c>
      <c r="B3232" s="8" t="s">
        <v>2574</v>
      </c>
      <c r="C3232" s="8">
        <v>2639</v>
      </c>
      <c r="D3232" s="8" t="s">
        <v>139</v>
      </c>
      <c r="E3232" s="8">
        <v>13004429</v>
      </c>
      <c r="F3232" s="8">
        <v>13004429</v>
      </c>
      <c r="G3232" s="8" t="s">
        <v>24</v>
      </c>
      <c r="H3232" s="8" t="s">
        <v>25</v>
      </c>
      <c r="I3232" s="8" t="s">
        <v>23</v>
      </c>
      <c r="J3232" s="8" t="s">
        <v>13232</v>
      </c>
      <c r="K3232" s="8" t="s">
        <v>13235</v>
      </c>
      <c r="L3232" s="8" t="s">
        <v>19</v>
      </c>
      <c r="M3232" s="8">
        <v>544</v>
      </c>
      <c r="N3232" s="8" t="s">
        <v>205</v>
      </c>
      <c r="O3232" s="8">
        <v>156</v>
      </c>
      <c r="P3232" s="8" t="s">
        <v>13233</v>
      </c>
      <c r="Q3232" s="8" t="s">
        <v>13234</v>
      </c>
      <c r="R3232" s="8">
        <v>0.3</v>
      </c>
      <c r="S3232" s="8">
        <v>13004429</v>
      </c>
      <c r="T3232" s="8" t="s">
        <v>24</v>
      </c>
      <c r="U3232" s="8" t="s">
        <v>25</v>
      </c>
    </row>
    <row r="3233" spans="1:21">
      <c r="A3233" s="8" t="s">
        <v>10349</v>
      </c>
      <c r="B3233" s="8" t="s">
        <v>2575</v>
      </c>
      <c r="C3233" s="8">
        <v>773</v>
      </c>
      <c r="D3233" s="8" t="s">
        <v>139</v>
      </c>
      <c r="E3233" s="8">
        <v>13445211</v>
      </c>
      <c r="F3233" s="8">
        <v>13445211</v>
      </c>
      <c r="G3233" s="8" t="s">
        <v>46</v>
      </c>
      <c r="H3233" s="8" t="s">
        <v>41</v>
      </c>
      <c r="I3233" s="8" t="s">
        <v>23</v>
      </c>
      <c r="J3233" s="8" t="s">
        <v>6769</v>
      </c>
      <c r="K3233" s="8" t="s">
        <v>6771</v>
      </c>
      <c r="L3233" s="8" t="s">
        <v>19</v>
      </c>
      <c r="M3233" s="8">
        <v>1415</v>
      </c>
      <c r="N3233" s="8" t="s">
        <v>2439</v>
      </c>
      <c r="O3233" s="8">
        <v>393</v>
      </c>
      <c r="P3233" s="8" t="s">
        <v>13236</v>
      </c>
      <c r="Q3233" s="8" t="s">
        <v>4262</v>
      </c>
      <c r="R3233" s="8">
        <v>0.17899999999999999</v>
      </c>
      <c r="S3233" s="8">
        <v>13445211</v>
      </c>
      <c r="T3233" s="8" t="s">
        <v>46</v>
      </c>
      <c r="U3233" s="8" t="s">
        <v>41</v>
      </c>
    </row>
    <row r="3234" spans="1:21">
      <c r="A3234" s="8" t="s">
        <v>10349</v>
      </c>
      <c r="B3234" s="8" t="s">
        <v>13237</v>
      </c>
      <c r="C3234" s="8">
        <v>26659</v>
      </c>
      <c r="D3234" s="8" t="s">
        <v>139</v>
      </c>
      <c r="E3234" s="8">
        <v>14938260</v>
      </c>
      <c r="F3234" s="8">
        <v>14938260</v>
      </c>
      <c r="G3234" s="8" t="s">
        <v>24</v>
      </c>
      <c r="H3234" s="8" t="s">
        <v>25</v>
      </c>
      <c r="I3234" s="8" t="s">
        <v>23</v>
      </c>
      <c r="J3234" s="8" t="s">
        <v>13238</v>
      </c>
      <c r="K3234" s="8" t="s">
        <v>13240</v>
      </c>
      <c r="L3234" s="8" t="s">
        <v>19</v>
      </c>
      <c r="M3234" s="8">
        <v>1017</v>
      </c>
      <c r="N3234" s="8" t="s">
        <v>1325</v>
      </c>
      <c r="O3234" s="8">
        <v>265</v>
      </c>
      <c r="P3234" s="8" t="s">
        <v>13239</v>
      </c>
      <c r="Q3234" s="8" t="s">
        <v>4262</v>
      </c>
      <c r="R3234" s="8">
        <v>0.219</v>
      </c>
      <c r="S3234" s="8">
        <v>14938260</v>
      </c>
      <c r="T3234" s="8" t="s">
        <v>24</v>
      </c>
      <c r="U3234" s="8" t="s">
        <v>25</v>
      </c>
    </row>
    <row r="3235" spans="1:21">
      <c r="A3235" s="8" t="s">
        <v>10349</v>
      </c>
      <c r="B3235" s="8" t="s">
        <v>1660</v>
      </c>
      <c r="C3235" s="8">
        <v>390892</v>
      </c>
      <c r="D3235" s="8" t="s">
        <v>139</v>
      </c>
      <c r="E3235" s="8">
        <v>14952455</v>
      </c>
      <c r="F3235" s="8">
        <v>14952455</v>
      </c>
      <c r="G3235" s="8" t="s">
        <v>24</v>
      </c>
      <c r="H3235" s="8" t="s">
        <v>25</v>
      </c>
      <c r="I3235" s="8" t="s">
        <v>23</v>
      </c>
      <c r="J3235" s="8" t="s">
        <v>13241</v>
      </c>
      <c r="K3235" s="8" t="s">
        <v>13243</v>
      </c>
      <c r="L3235" s="8" t="s">
        <v>19</v>
      </c>
      <c r="M3235" s="8">
        <v>235</v>
      </c>
      <c r="N3235" s="8" t="s">
        <v>2440</v>
      </c>
      <c r="O3235" s="8">
        <v>79</v>
      </c>
      <c r="P3235" s="8" t="s">
        <v>13242</v>
      </c>
      <c r="Q3235" s="8" t="s">
        <v>4262</v>
      </c>
      <c r="R3235" s="8">
        <v>0.18099999999999999</v>
      </c>
      <c r="S3235" s="8">
        <v>14952455</v>
      </c>
      <c r="T3235" s="8" t="s">
        <v>24</v>
      </c>
      <c r="U3235" s="8" t="s">
        <v>25</v>
      </c>
    </row>
    <row r="3236" spans="1:21">
      <c r="A3236" s="8" t="s">
        <v>10349</v>
      </c>
      <c r="B3236" s="8" t="s">
        <v>2576</v>
      </c>
      <c r="C3236" s="8">
        <v>126541</v>
      </c>
      <c r="D3236" s="8" t="s">
        <v>139</v>
      </c>
      <c r="E3236" s="8">
        <v>16060272</v>
      </c>
      <c r="F3236" s="8">
        <v>16060272</v>
      </c>
      <c r="G3236" s="8" t="s">
        <v>24</v>
      </c>
      <c r="H3236" s="8" t="s">
        <v>25</v>
      </c>
      <c r="I3236" s="8" t="s">
        <v>23</v>
      </c>
      <c r="J3236" s="8" t="s">
        <v>2577</v>
      </c>
      <c r="K3236" s="8" t="s">
        <v>13245</v>
      </c>
      <c r="L3236" s="8" t="s">
        <v>19</v>
      </c>
      <c r="M3236" s="8">
        <v>455</v>
      </c>
      <c r="N3236" s="8" t="s">
        <v>796</v>
      </c>
      <c r="O3236" s="8">
        <v>152</v>
      </c>
      <c r="P3236" s="8" t="s">
        <v>13244</v>
      </c>
      <c r="Q3236" s="8" t="s">
        <v>4262</v>
      </c>
      <c r="R3236" s="8">
        <v>0.217</v>
      </c>
      <c r="S3236" s="8">
        <v>16060272</v>
      </c>
      <c r="T3236" s="8" t="s">
        <v>24</v>
      </c>
      <c r="U3236" s="8" t="s">
        <v>25</v>
      </c>
    </row>
    <row r="3237" spans="1:21">
      <c r="A3237" s="8" t="s">
        <v>10349</v>
      </c>
      <c r="B3237" s="8" t="s">
        <v>13246</v>
      </c>
      <c r="C3237" s="8">
        <v>4650</v>
      </c>
      <c r="D3237" s="8" t="s">
        <v>139</v>
      </c>
      <c r="E3237" s="8">
        <v>17265124</v>
      </c>
      <c r="F3237" s="8">
        <v>17265124</v>
      </c>
      <c r="G3237" s="8" t="s">
        <v>24</v>
      </c>
      <c r="H3237" s="8" t="s">
        <v>25</v>
      </c>
      <c r="I3237" s="8" t="s">
        <v>23</v>
      </c>
      <c r="J3237" s="8" t="s">
        <v>13247</v>
      </c>
      <c r="K3237" s="8" t="s">
        <v>13248</v>
      </c>
      <c r="L3237" s="8" t="s">
        <v>68</v>
      </c>
      <c r="M3237" s="8">
        <v>0</v>
      </c>
      <c r="N3237" s="8" t="s">
        <v>35</v>
      </c>
      <c r="O3237" s="8">
        <v>0</v>
      </c>
      <c r="P3237" s="8" t="s">
        <v>35</v>
      </c>
      <c r="Q3237" s="8" t="s">
        <v>4262</v>
      </c>
      <c r="R3237" s="8">
        <v>0.189</v>
      </c>
      <c r="S3237" s="8">
        <v>17265124</v>
      </c>
      <c r="T3237" s="8" t="s">
        <v>24</v>
      </c>
      <c r="U3237" s="8" t="s">
        <v>25</v>
      </c>
    </row>
    <row r="3238" spans="1:21">
      <c r="A3238" s="8" t="s">
        <v>10349</v>
      </c>
      <c r="B3238" s="8" t="s">
        <v>2580</v>
      </c>
      <c r="C3238" s="8">
        <v>7594</v>
      </c>
      <c r="D3238" s="8" t="s">
        <v>139</v>
      </c>
      <c r="E3238" s="8">
        <v>21991208</v>
      </c>
      <c r="F3238" s="8">
        <v>21991208</v>
      </c>
      <c r="G3238" s="8" t="s">
        <v>46</v>
      </c>
      <c r="H3238" s="8" t="s">
        <v>41</v>
      </c>
      <c r="I3238" s="8" t="s">
        <v>23</v>
      </c>
      <c r="J3238" s="8" t="s">
        <v>6560</v>
      </c>
      <c r="K3238" s="8" t="s">
        <v>6562</v>
      </c>
      <c r="L3238" s="8" t="s">
        <v>19</v>
      </c>
      <c r="M3238" s="8">
        <v>1761</v>
      </c>
      <c r="N3238" s="8" t="s">
        <v>205</v>
      </c>
      <c r="O3238" s="8">
        <v>544</v>
      </c>
      <c r="P3238" s="8" t="s">
        <v>13249</v>
      </c>
      <c r="Q3238" s="8" t="s">
        <v>4262</v>
      </c>
      <c r="R3238" s="8">
        <v>0.23</v>
      </c>
      <c r="S3238" s="8">
        <v>21991208</v>
      </c>
      <c r="T3238" s="8" t="s">
        <v>46</v>
      </c>
      <c r="U3238" s="8" t="s">
        <v>41</v>
      </c>
    </row>
    <row r="3239" spans="1:21">
      <c r="A3239" s="8" t="s">
        <v>10349</v>
      </c>
      <c r="B3239" s="8" t="s">
        <v>2580</v>
      </c>
      <c r="C3239" s="8">
        <v>7594</v>
      </c>
      <c r="D3239" s="8" t="s">
        <v>139</v>
      </c>
      <c r="E3239" s="8">
        <v>21992283</v>
      </c>
      <c r="F3239" s="8">
        <v>21992283</v>
      </c>
      <c r="G3239" s="8" t="s">
        <v>24</v>
      </c>
      <c r="H3239" s="8" t="s">
        <v>25</v>
      </c>
      <c r="I3239" s="8" t="s">
        <v>23</v>
      </c>
      <c r="J3239" s="8" t="s">
        <v>6560</v>
      </c>
      <c r="K3239" s="8" t="s">
        <v>6562</v>
      </c>
      <c r="L3239" s="8" t="s">
        <v>19</v>
      </c>
      <c r="M3239" s="8">
        <v>686</v>
      </c>
      <c r="N3239" s="8" t="s">
        <v>1118</v>
      </c>
      <c r="O3239" s="8">
        <v>186</v>
      </c>
      <c r="P3239" s="8" t="s">
        <v>13250</v>
      </c>
      <c r="Q3239" s="8" t="s">
        <v>4262</v>
      </c>
      <c r="R3239" s="8">
        <v>0.25</v>
      </c>
      <c r="S3239" s="8">
        <v>21992283</v>
      </c>
      <c r="T3239" s="8" t="s">
        <v>24</v>
      </c>
      <c r="U3239" s="8" t="s">
        <v>25</v>
      </c>
    </row>
    <row r="3240" spans="1:21">
      <c r="A3240" s="8" t="s">
        <v>10349</v>
      </c>
      <c r="B3240" s="8" t="s">
        <v>144</v>
      </c>
      <c r="C3240" s="8">
        <v>113835</v>
      </c>
      <c r="D3240" s="8" t="s">
        <v>139</v>
      </c>
      <c r="E3240" s="8">
        <v>22271568</v>
      </c>
      <c r="F3240" s="8">
        <v>22271568</v>
      </c>
      <c r="G3240" s="8" t="s">
        <v>46</v>
      </c>
      <c r="H3240" s="8" t="s">
        <v>41</v>
      </c>
      <c r="I3240" s="8" t="s">
        <v>23</v>
      </c>
      <c r="J3240" s="8" t="s">
        <v>145</v>
      </c>
      <c r="K3240" s="8" t="s">
        <v>13252</v>
      </c>
      <c r="L3240" s="8" t="s">
        <v>19</v>
      </c>
      <c r="M3240" s="8">
        <v>1185</v>
      </c>
      <c r="N3240" s="8" t="s">
        <v>96</v>
      </c>
      <c r="O3240" s="8">
        <v>339</v>
      </c>
      <c r="P3240" s="8" t="s">
        <v>13251</v>
      </c>
      <c r="Q3240" s="8" t="s">
        <v>4262</v>
      </c>
      <c r="R3240" s="8">
        <v>0.115</v>
      </c>
      <c r="S3240" s="8">
        <v>22271568</v>
      </c>
      <c r="T3240" s="8" t="s">
        <v>46</v>
      </c>
      <c r="U3240" s="8" t="s">
        <v>41</v>
      </c>
    </row>
    <row r="3241" spans="1:21">
      <c r="A3241" s="8" t="s">
        <v>10349</v>
      </c>
      <c r="B3241" s="8" t="s">
        <v>13253</v>
      </c>
      <c r="C3241" s="8">
        <v>148198</v>
      </c>
      <c r="D3241" s="8" t="s">
        <v>139</v>
      </c>
      <c r="E3241" s="8">
        <v>22574683</v>
      </c>
      <c r="F3241" s="8">
        <v>22574683</v>
      </c>
      <c r="G3241" s="8" t="s">
        <v>24</v>
      </c>
      <c r="H3241" s="8" t="s">
        <v>25</v>
      </c>
      <c r="I3241" s="8" t="s">
        <v>23</v>
      </c>
      <c r="J3241" s="8" t="s">
        <v>13254</v>
      </c>
      <c r="K3241" s="8" t="s">
        <v>13256</v>
      </c>
      <c r="L3241" s="8" t="s">
        <v>19</v>
      </c>
      <c r="M3241" s="8">
        <v>1476</v>
      </c>
      <c r="N3241" s="8" t="s">
        <v>2843</v>
      </c>
      <c r="O3241" s="8">
        <v>452</v>
      </c>
      <c r="P3241" s="8" t="s">
        <v>13255</v>
      </c>
      <c r="Q3241" s="8" t="s">
        <v>4262</v>
      </c>
      <c r="R3241" s="8">
        <v>0.16</v>
      </c>
      <c r="S3241" s="8">
        <v>22574683</v>
      </c>
      <c r="T3241" s="8" t="s">
        <v>24</v>
      </c>
      <c r="U3241" s="8" t="s">
        <v>25</v>
      </c>
    </row>
    <row r="3242" spans="1:21">
      <c r="A3242" s="8" t="s">
        <v>10349</v>
      </c>
      <c r="B3242" s="8" t="s">
        <v>13257</v>
      </c>
      <c r="C3242" s="8">
        <v>9534</v>
      </c>
      <c r="D3242" s="8" t="s">
        <v>139</v>
      </c>
      <c r="E3242" s="8">
        <v>24309175</v>
      </c>
      <c r="F3242" s="8">
        <v>24309175</v>
      </c>
      <c r="G3242" s="8" t="s">
        <v>24</v>
      </c>
      <c r="H3242" s="8" t="s">
        <v>25</v>
      </c>
      <c r="I3242" s="8" t="s">
        <v>23</v>
      </c>
      <c r="J3242" s="8" t="s">
        <v>13258</v>
      </c>
      <c r="K3242" s="8" t="s">
        <v>13260</v>
      </c>
      <c r="L3242" s="8" t="s">
        <v>19</v>
      </c>
      <c r="M3242" s="8">
        <v>507</v>
      </c>
      <c r="N3242" s="8" t="s">
        <v>536</v>
      </c>
      <c r="O3242" s="8">
        <v>125</v>
      </c>
      <c r="P3242" s="8" t="s">
        <v>13259</v>
      </c>
      <c r="Q3242" s="8" t="s">
        <v>4262</v>
      </c>
      <c r="R3242" s="8">
        <v>0.184</v>
      </c>
      <c r="S3242" s="8">
        <v>24309175</v>
      </c>
      <c r="T3242" s="8" t="s">
        <v>24</v>
      </c>
      <c r="U3242" s="8" t="s">
        <v>25</v>
      </c>
    </row>
    <row r="3243" spans="1:21">
      <c r="A3243" s="8" t="s">
        <v>10349</v>
      </c>
      <c r="B3243" s="8" t="s">
        <v>2581</v>
      </c>
      <c r="C3243" s="8">
        <v>390916</v>
      </c>
      <c r="D3243" s="8" t="s">
        <v>139</v>
      </c>
      <c r="E3243" s="8">
        <v>33202704</v>
      </c>
      <c r="F3243" s="8">
        <v>33202704</v>
      </c>
      <c r="G3243" s="8" t="s">
        <v>24</v>
      </c>
      <c r="H3243" s="8" t="s">
        <v>25</v>
      </c>
      <c r="I3243" s="8" t="s">
        <v>23</v>
      </c>
      <c r="J3243" s="8" t="s">
        <v>2582</v>
      </c>
      <c r="K3243" s="8" t="s">
        <v>13262</v>
      </c>
      <c r="L3243" s="8" t="s">
        <v>19</v>
      </c>
      <c r="M3243" s="8">
        <v>969</v>
      </c>
      <c r="N3243" s="8" t="s">
        <v>2439</v>
      </c>
      <c r="O3243" s="8">
        <v>323</v>
      </c>
      <c r="P3243" s="8" t="s">
        <v>13261</v>
      </c>
      <c r="Q3243" s="8" t="s">
        <v>4262</v>
      </c>
      <c r="R3243" s="8">
        <v>0.23300000000000001</v>
      </c>
      <c r="S3243" s="8">
        <v>33202704</v>
      </c>
      <c r="T3243" s="8" t="s">
        <v>24</v>
      </c>
      <c r="U3243" s="8" t="s">
        <v>25</v>
      </c>
    </row>
    <row r="3244" spans="1:21">
      <c r="A3244" s="8" t="s">
        <v>10349</v>
      </c>
      <c r="B3244" s="8" t="s">
        <v>13263</v>
      </c>
      <c r="C3244" s="8">
        <v>10054</v>
      </c>
      <c r="D3244" s="8" t="s">
        <v>139</v>
      </c>
      <c r="E3244" s="8">
        <v>34921565</v>
      </c>
      <c r="F3244" s="8">
        <v>34921565</v>
      </c>
      <c r="G3244" s="8" t="s">
        <v>24</v>
      </c>
      <c r="H3244" s="8" t="s">
        <v>25</v>
      </c>
      <c r="I3244" s="8" t="s">
        <v>23</v>
      </c>
      <c r="J3244" s="8" t="s">
        <v>13264</v>
      </c>
      <c r="K3244" s="8" t="s">
        <v>13265</v>
      </c>
      <c r="L3244" s="8" t="s">
        <v>68</v>
      </c>
      <c r="M3244" s="8">
        <v>0</v>
      </c>
      <c r="N3244" s="8" t="s">
        <v>35</v>
      </c>
      <c r="O3244" s="8">
        <v>0</v>
      </c>
      <c r="P3244" s="8" t="s">
        <v>35</v>
      </c>
      <c r="Q3244" s="8" t="s">
        <v>4262</v>
      </c>
      <c r="R3244" s="8">
        <v>0.161</v>
      </c>
      <c r="S3244" s="8">
        <v>34921565</v>
      </c>
      <c r="T3244" s="8" t="s">
        <v>24</v>
      </c>
      <c r="U3244" s="8" t="s">
        <v>25</v>
      </c>
    </row>
    <row r="3245" spans="1:21">
      <c r="A3245" s="8" t="s">
        <v>10349</v>
      </c>
      <c r="B3245" s="8" t="s">
        <v>2585</v>
      </c>
      <c r="C3245" s="8">
        <v>10430</v>
      </c>
      <c r="D3245" s="8" t="s">
        <v>139</v>
      </c>
      <c r="E3245" s="8">
        <v>36037465</v>
      </c>
      <c r="F3245" s="8">
        <v>36037465</v>
      </c>
      <c r="G3245" s="8" t="s">
        <v>24</v>
      </c>
      <c r="H3245" s="8" t="s">
        <v>25</v>
      </c>
      <c r="I3245" s="8" t="s">
        <v>23</v>
      </c>
      <c r="J3245" s="8" t="s">
        <v>13266</v>
      </c>
      <c r="K3245" s="8" t="s">
        <v>13268</v>
      </c>
      <c r="L3245" s="8" t="s">
        <v>19</v>
      </c>
      <c r="M3245" s="8">
        <v>325</v>
      </c>
      <c r="N3245" s="8" t="s">
        <v>205</v>
      </c>
      <c r="O3245" s="8">
        <v>62</v>
      </c>
      <c r="P3245" s="8" t="s">
        <v>13267</v>
      </c>
      <c r="Q3245" s="8" t="s">
        <v>4262</v>
      </c>
      <c r="R3245" s="8">
        <v>0.27300000000000002</v>
      </c>
      <c r="S3245" s="8">
        <v>36037465</v>
      </c>
      <c r="T3245" s="8" t="s">
        <v>24</v>
      </c>
      <c r="U3245" s="8" t="s">
        <v>25</v>
      </c>
    </row>
    <row r="3246" spans="1:21">
      <c r="A3246" s="8" t="s">
        <v>10349</v>
      </c>
      <c r="B3246" s="8" t="s">
        <v>13269</v>
      </c>
      <c r="C3246" s="8">
        <v>1340</v>
      </c>
      <c r="D3246" s="8" t="s">
        <v>139</v>
      </c>
      <c r="E3246" s="8">
        <v>36145493</v>
      </c>
      <c r="F3246" s="8">
        <v>36145493</v>
      </c>
      <c r="G3246" s="8" t="s">
        <v>24</v>
      </c>
      <c r="H3246" s="8" t="s">
        <v>25</v>
      </c>
      <c r="I3246" s="8" t="s">
        <v>23</v>
      </c>
      <c r="J3246" s="8" t="s">
        <v>13270</v>
      </c>
      <c r="K3246" s="8" t="s">
        <v>13272</v>
      </c>
      <c r="L3246" s="8" t="s">
        <v>19</v>
      </c>
      <c r="M3246" s="8">
        <v>319</v>
      </c>
      <c r="N3246" s="8" t="s">
        <v>1070</v>
      </c>
      <c r="O3246" s="8">
        <v>43</v>
      </c>
      <c r="P3246" s="8" t="s">
        <v>13271</v>
      </c>
      <c r="Q3246" s="8" t="s">
        <v>4262</v>
      </c>
      <c r="R3246" s="8">
        <v>7.6999999999999999E-2</v>
      </c>
      <c r="S3246" s="8">
        <v>36145493</v>
      </c>
      <c r="T3246" s="8" t="s">
        <v>24</v>
      </c>
      <c r="U3246" s="8" t="s">
        <v>25</v>
      </c>
    </row>
    <row r="3247" spans="1:21">
      <c r="A3247" s="8" t="s">
        <v>10349</v>
      </c>
      <c r="B3247" s="8"/>
      <c r="C3247" s="8">
        <v>9757</v>
      </c>
      <c r="D3247" s="8" t="s">
        <v>139</v>
      </c>
      <c r="E3247" s="8">
        <v>36221607</v>
      </c>
      <c r="F3247" s="8">
        <v>36221607</v>
      </c>
      <c r="G3247" s="8" t="s">
        <v>24</v>
      </c>
      <c r="H3247" s="8" t="s">
        <v>25</v>
      </c>
      <c r="I3247" s="8" t="s">
        <v>23</v>
      </c>
      <c r="J3247" s="8" t="s">
        <v>13273</v>
      </c>
      <c r="K3247" s="8" t="s">
        <v>13274</v>
      </c>
      <c r="L3247" s="8" t="s">
        <v>68</v>
      </c>
      <c r="M3247" s="8">
        <v>0</v>
      </c>
      <c r="N3247" s="8" t="s">
        <v>35</v>
      </c>
      <c r="O3247" s="8">
        <v>0</v>
      </c>
      <c r="P3247" s="8" t="s">
        <v>35</v>
      </c>
      <c r="Q3247" s="8" t="s">
        <v>4262</v>
      </c>
      <c r="R3247" s="8">
        <v>0.16200000000000001</v>
      </c>
      <c r="S3247" s="8">
        <v>36221607</v>
      </c>
      <c r="T3247" s="8" t="s">
        <v>24</v>
      </c>
      <c r="U3247" s="8" t="s">
        <v>25</v>
      </c>
    </row>
    <row r="3248" spans="1:21">
      <c r="A3248" s="8" t="s">
        <v>10349</v>
      </c>
      <c r="B3248" s="8" t="s">
        <v>2586</v>
      </c>
      <c r="C3248" s="8">
        <v>57677</v>
      </c>
      <c r="D3248" s="8" t="s">
        <v>139</v>
      </c>
      <c r="E3248" s="8">
        <v>36851387</v>
      </c>
      <c r="F3248" s="8">
        <v>36851387</v>
      </c>
      <c r="G3248" s="8" t="s">
        <v>46</v>
      </c>
      <c r="H3248" s="8" t="s">
        <v>41</v>
      </c>
      <c r="I3248" s="8" t="s">
        <v>23</v>
      </c>
      <c r="J3248" s="8" t="s">
        <v>2587</v>
      </c>
      <c r="K3248" s="8" t="s">
        <v>13276</v>
      </c>
      <c r="L3248" s="8" t="s">
        <v>19</v>
      </c>
      <c r="M3248" s="8">
        <v>305</v>
      </c>
      <c r="N3248" s="8" t="s">
        <v>2483</v>
      </c>
      <c r="O3248" s="8">
        <v>62</v>
      </c>
      <c r="P3248" s="8" t="s">
        <v>13275</v>
      </c>
      <c r="Q3248" s="8" t="s">
        <v>4262</v>
      </c>
      <c r="R3248" s="8">
        <v>0.23799999999999999</v>
      </c>
      <c r="S3248" s="8">
        <v>36851387</v>
      </c>
      <c r="T3248" s="8" t="s">
        <v>46</v>
      </c>
      <c r="U3248" s="8" t="s">
        <v>41</v>
      </c>
    </row>
    <row r="3249" spans="1:21">
      <c r="A3249" s="8" t="s">
        <v>10349</v>
      </c>
      <c r="B3249" s="8" t="s">
        <v>13277</v>
      </c>
      <c r="C3249" s="8">
        <v>374900</v>
      </c>
      <c r="D3249" s="8" t="s">
        <v>139</v>
      </c>
      <c r="E3249" s="8">
        <v>37428048</v>
      </c>
      <c r="F3249" s="8">
        <v>37428048</v>
      </c>
      <c r="G3249" s="8" t="s">
        <v>24</v>
      </c>
      <c r="H3249" s="8" t="s">
        <v>25</v>
      </c>
      <c r="I3249" s="8" t="s">
        <v>23</v>
      </c>
      <c r="J3249" s="8" t="s">
        <v>13278</v>
      </c>
      <c r="K3249" s="8" t="s">
        <v>13279</v>
      </c>
      <c r="L3249" s="8" t="s">
        <v>68</v>
      </c>
      <c r="M3249" s="8">
        <v>0</v>
      </c>
      <c r="N3249" s="8" t="s">
        <v>35</v>
      </c>
      <c r="O3249" s="8">
        <v>0</v>
      </c>
      <c r="P3249" s="8" t="s">
        <v>35</v>
      </c>
      <c r="Q3249" s="8" t="s">
        <v>4262</v>
      </c>
      <c r="R3249" s="8">
        <v>0.308</v>
      </c>
      <c r="S3249" s="8">
        <v>37428048</v>
      </c>
      <c r="T3249" s="8" t="s">
        <v>24</v>
      </c>
      <c r="U3249" s="8" t="s">
        <v>25</v>
      </c>
    </row>
    <row r="3250" spans="1:21">
      <c r="A3250" s="8" t="s">
        <v>10349</v>
      </c>
      <c r="B3250" s="8" t="s">
        <v>721</v>
      </c>
      <c r="C3250" s="8">
        <v>83889</v>
      </c>
      <c r="D3250" s="8" t="s">
        <v>139</v>
      </c>
      <c r="E3250" s="8">
        <v>38376855</v>
      </c>
      <c r="F3250" s="8">
        <v>38376855</v>
      </c>
      <c r="G3250" s="8" t="s">
        <v>24</v>
      </c>
      <c r="H3250" s="8" t="s">
        <v>25</v>
      </c>
      <c r="I3250" s="8" t="s">
        <v>23</v>
      </c>
      <c r="J3250" s="8" t="s">
        <v>722</v>
      </c>
      <c r="K3250" s="8" t="s">
        <v>13281</v>
      </c>
      <c r="L3250" s="8" t="s">
        <v>19</v>
      </c>
      <c r="M3250" s="8">
        <v>7564</v>
      </c>
      <c r="N3250" s="8" t="s">
        <v>415</v>
      </c>
      <c r="O3250" s="8">
        <v>2447</v>
      </c>
      <c r="P3250" s="8" t="s">
        <v>13280</v>
      </c>
      <c r="Q3250" s="8" t="s">
        <v>4262</v>
      </c>
      <c r="R3250" s="8">
        <v>0.20799999999999999</v>
      </c>
      <c r="S3250" s="8">
        <v>38376855</v>
      </c>
      <c r="T3250" s="8" t="s">
        <v>24</v>
      </c>
      <c r="U3250" s="8" t="s">
        <v>25</v>
      </c>
    </row>
    <row r="3251" spans="1:21">
      <c r="A3251" s="8" t="s">
        <v>10349</v>
      </c>
      <c r="B3251" s="8" t="s">
        <v>721</v>
      </c>
      <c r="C3251" s="8">
        <v>83889</v>
      </c>
      <c r="D3251" s="8" t="s">
        <v>139</v>
      </c>
      <c r="E3251" s="8">
        <v>38384949</v>
      </c>
      <c r="F3251" s="8">
        <v>38384949</v>
      </c>
      <c r="G3251" s="8" t="s">
        <v>46</v>
      </c>
      <c r="H3251" s="8" t="s">
        <v>41</v>
      </c>
      <c r="I3251" s="8" t="s">
        <v>23</v>
      </c>
      <c r="J3251" s="8" t="s">
        <v>722</v>
      </c>
      <c r="K3251" s="8" t="s">
        <v>13281</v>
      </c>
      <c r="L3251" s="8" t="s">
        <v>19</v>
      </c>
      <c r="M3251" s="8">
        <v>1502</v>
      </c>
      <c r="N3251" s="8" t="s">
        <v>1399</v>
      </c>
      <c r="O3251" s="8">
        <v>426</v>
      </c>
      <c r="P3251" s="8" t="s">
        <v>13282</v>
      </c>
      <c r="Q3251" s="8" t="s">
        <v>4262</v>
      </c>
      <c r="R3251" s="8">
        <v>0.21099999999999999</v>
      </c>
      <c r="S3251" s="8">
        <v>38384949</v>
      </c>
      <c r="T3251" s="8" t="s">
        <v>46</v>
      </c>
      <c r="U3251" s="8" t="s">
        <v>41</v>
      </c>
    </row>
    <row r="3252" spans="1:21">
      <c r="A3252" s="8" t="s">
        <v>10349</v>
      </c>
      <c r="B3252" s="8" t="s">
        <v>2588</v>
      </c>
      <c r="C3252" s="8">
        <v>57828</v>
      </c>
      <c r="D3252" s="8" t="s">
        <v>139</v>
      </c>
      <c r="E3252" s="8">
        <v>38828038</v>
      </c>
      <c r="F3252" s="8">
        <v>38828038</v>
      </c>
      <c r="G3252" s="8" t="s">
        <v>24</v>
      </c>
      <c r="H3252" s="8" t="s">
        <v>25</v>
      </c>
      <c r="I3252" s="8" t="s">
        <v>23</v>
      </c>
      <c r="J3252" s="8" t="s">
        <v>2589</v>
      </c>
      <c r="K3252" s="8" t="s">
        <v>13284</v>
      </c>
      <c r="L3252" s="8" t="s">
        <v>19</v>
      </c>
      <c r="M3252" s="8">
        <v>251</v>
      </c>
      <c r="N3252" s="8" t="s">
        <v>2483</v>
      </c>
      <c r="O3252" s="8">
        <v>55</v>
      </c>
      <c r="P3252" s="8" t="s">
        <v>13283</v>
      </c>
      <c r="Q3252" s="8" t="s">
        <v>4262</v>
      </c>
      <c r="R3252" s="8">
        <v>0.34599999999999997</v>
      </c>
      <c r="S3252" s="8">
        <v>38828038</v>
      </c>
      <c r="T3252" s="8" t="s">
        <v>24</v>
      </c>
      <c r="U3252" s="8" t="s">
        <v>25</v>
      </c>
    </row>
    <row r="3253" spans="1:21">
      <c r="A3253" s="8" t="s">
        <v>10349</v>
      </c>
      <c r="B3253" s="8" t="s">
        <v>13285</v>
      </c>
      <c r="C3253" s="8">
        <v>29124</v>
      </c>
      <c r="D3253" s="8" t="s">
        <v>139</v>
      </c>
      <c r="E3253" s="8">
        <v>40097935</v>
      </c>
      <c r="F3253" s="8">
        <v>40097935</v>
      </c>
      <c r="G3253" s="8" t="s">
        <v>24</v>
      </c>
      <c r="H3253" s="8" t="s">
        <v>25</v>
      </c>
      <c r="I3253" s="8" t="s">
        <v>23</v>
      </c>
      <c r="J3253" s="8" t="s">
        <v>13286</v>
      </c>
      <c r="K3253" s="8" t="s">
        <v>13288</v>
      </c>
      <c r="L3253" s="8" t="s">
        <v>19</v>
      </c>
      <c r="M3253" s="8">
        <v>416</v>
      </c>
      <c r="N3253" s="8" t="s">
        <v>171</v>
      </c>
      <c r="O3253" s="8">
        <v>126</v>
      </c>
      <c r="P3253" s="8" t="s">
        <v>13287</v>
      </c>
      <c r="Q3253" s="8" t="s">
        <v>4262</v>
      </c>
      <c r="R3253" s="8">
        <v>0.214</v>
      </c>
      <c r="S3253" s="8">
        <v>40097935</v>
      </c>
      <c r="T3253" s="8" t="s">
        <v>24</v>
      </c>
      <c r="U3253" s="8" t="s">
        <v>25</v>
      </c>
    </row>
    <row r="3254" spans="1:21">
      <c r="A3254" s="8" t="s">
        <v>10349</v>
      </c>
      <c r="B3254" s="8" t="s">
        <v>13289</v>
      </c>
      <c r="C3254" s="8">
        <v>163131</v>
      </c>
      <c r="D3254" s="8" t="s">
        <v>139</v>
      </c>
      <c r="E3254" s="8">
        <v>40540490</v>
      </c>
      <c r="F3254" s="8">
        <v>40540490</v>
      </c>
      <c r="G3254" s="8" t="s">
        <v>46</v>
      </c>
      <c r="H3254" s="8" t="s">
        <v>41</v>
      </c>
      <c r="I3254" s="8" t="s">
        <v>23</v>
      </c>
      <c r="J3254" s="8" t="s">
        <v>13290</v>
      </c>
      <c r="K3254" s="8" t="s">
        <v>13292</v>
      </c>
      <c r="L3254" s="8" t="s">
        <v>19</v>
      </c>
      <c r="M3254" s="8">
        <v>2341</v>
      </c>
      <c r="N3254" s="8" t="s">
        <v>1399</v>
      </c>
      <c r="O3254" s="8">
        <v>759</v>
      </c>
      <c r="P3254" s="8" t="s">
        <v>13291</v>
      </c>
      <c r="Q3254" s="8" t="s">
        <v>4262</v>
      </c>
      <c r="R3254" s="8">
        <v>0.14899999999999999</v>
      </c>
      <c r="S3254" s="8">
        <v>40540490</v>
      </c>
      <c r="T3254" s="8" t="s">
        <v>46</v>
      </c>
      <c r="U3254" s="8" t="s">
        <v>41</v>
      </c>
    </row>
    <row r="3255" spans="1:21">
      <c r="A3255" s="8" t="s">
        <v>10349</v>
      </c>
      <c r="B3255" s="8" t="s">
        <v>3547</v>
      </c>
      <c r="C3255" s="8">
        <v>1048</v>
      </c>
      <c r="D3255" s="8" t="s">
        <v>139</v>
      </c>
      <c r="E3255" s="8">
        <v>42221502</v>
      </c>
      <c r="F3255" s="8">
        <v>42221502</v>
      </c>
      <c r="G3255" s="8" t="s">
        <v>46</v>
      </c>
      <c r="H3255" s="8" t="s">
        <v>41</v>
      </c>
      <c r="I3255" s="8" t="s">
        <v>23</v>
      </c>
      <c r="J3255" s="8" t="s">
        <v>3548</v>
      </c>
      <c r="K3255" s="8" t="s">
        <v>6567</v>
      </c>
      <c r="L3255" s="8" t="s">
        <v>19</v>
      </c>
      <c r="M3255" s="8">
        <v>1208</v>
      </c>
      <c r="N3255" s="8" t="s">
        <v>58</v>
      </c>
      <c r="O3255" s="8">
        <v>363</v>
      </c>
      <c r="P3255" s="8" t="s">
        <v>13293</v>
      </c>
      <c r="Q3255" s="8" t="s">
        <v>4262</v>
      </c>
      <c r="R3255" s="8">
        <v>0.13300000000000001</v>
      </c>
      <c r="S3255" s="8">
        <v>42221502</v>
      </c>
      <c r="T3255" s="8" t="s">
        <v>46</v>
      </c>
      <c r="U3255" s="8" t="s">
        <v>41</v>
      </c>
    </row>
    <row r="3256" spans="1:21">
      <c r="A3256" s="8" t="s">
        <v>10349</v>
      </c>
      <c r="B3256" s="8" t="s">
        <v>1253</v>
      </c>
      <c r="C3256" s="8">
        <v>5452</v>
      </c>
      <c r="D3256" s="8" t="s">
        <v>139</v>
      </c>
      <c r="E3256" s="8">
        <v>42599943</v>
      </c>
      <c r="F3256" s="8">
        <v>42599943</v>
      </c>
      <c r="G3256" s="8" t="s">
        <v>46</v>
      </c>
      <c r="H3256" s="8" t="s">
        <v>41</v>
      </c>
      <c r="I3256" s="8" t="s">
        <v>23</v>
      </c>
      <c r="J3256" s="8" t="s">
        <v>13294</v>
      </c>
      <c r="K3256" s="8" t="s">
        <v>13296</v>
      </c>
      <c r="L3256" s="8" t="s">
        <v>19</v>
      </c>
      <c r="M3256" s="8">
        <v>864</v>
      </c>
      <c r="N3256" s="8" t="s">
        <v>1070</v>
      </c>
      <c r="O3256" s="8">
        <v>268</v>
      </c>
      <c r="P3256" s="8" t="s">
        <v>13295</v>
      </c>
      <c r="Q3256" s="8" t="s">
        <v>4262</v>
      </c>
      <c r="R3256" s="8">
        <v>0.38500000000000001</v>
      </c>
      <c r="S3256" s="8">
        <v>42599943</v>
      </c>
      <c r="T3256" s="8" t="s">
        <v>46</v>
      </c>
      <c r="U3256" s="8" t="s">
        <v>41</v>
      </c>
    </row>
    <row r="3257" spans="1:21">
      <c r="A3257" s="8" t="s">
        <v>10349</v>
      </c>
      <c r="B3257" s="8" t="s">
        <v>13297</v>
      </c>
      <c r="C3257" s="8">
        <v>23152</v>
      </c>
      <c r="D3257" s="8" t="s">
        <v>139</v>
      </c>
      <c r="E3257" s="8">
        <v>42798872</v>
      </c>
      <c r="F3257" s="8">
        <v>42798872</v>
      </c>
      <c r="G3257" s="8" t="s">
        <v>24</v>
      </c>
      <c r="H3257" s="8" t="s">
        <v>25</v>
      </c>
      <c r="I3257" s="8" t="s">
        <v>23</v>
      </c>
      <c r="J3257" s="8" t="s">
        <v>13298</v>
      </c>
      <c r="K3257" s="8" t="s">
        <v>13300</v>
      </c>
      <c r="L3257" s="8" t="s">
        <v>19</v>
      </c>
      <c r="M3257" s="8">
        <v>4484</v>
      </c>
      <c r="N3257" s="8" t="s">
        <v>536</v>
      </c>
      <c r="O3257" s="8">
        <v>1482</v>
      </c>
      <c r="P3257" s="8" t="s">
        <v>13299</v>
      </c>
      <c r="Q3257" s="8" t="s">
        <v>4262</v>
      </c>
      <c r="R3257" s="8">
        <v>0.182</v>
      </c>
      <c r="S3257" s="8">
        <v>42798872</v>
      </c>
      <c r="T3257" s="8" t="s">
        <v>24</v>
      </c>
      <c r="U3257" s="8" t="s">
        <v>25</v>
      </c>
    </row>
    <row r="3258" spans="1:21">
      <c r="A3258" s="8" t="s">
        <v>10349</v>
      </c>
      <c r="B3258" s="8" t="s">
        <v>13301</v>
      </c>
      <c r="C3258" s="8">
        <v>440533</v>
      </c>
      <c r="D3258" s="8" t="s">
        <v>139</v>
      </c>
      <c r="E3258" s="8">
        <v>43259403</v>
      </c>
      <c r="F3258" s="8">
        <v>43259403</v>
      </c>
      <c r="G3258" s="8" t="s">
        <v>24</v>
      </c>
      <c r="H3258" s="8" t="s">
        <v>25</v>
      </c>
      <c r="I3258" s="8" t="s">
        <v>23</v>
      </c>
      <c r="J3258" s="8" t="s">
        <v>13302</v>
      </c>
      <c r="K3258" s="8" t="s">
        <v>13304</v>
      </c>
      <c r="L3258" s="8" t="s">
        <v>19</v>
      </c>
      <c r="M3258" s="8">
        <v>823</v>
      </c>
      <c r="N3258" s="8" t="s">
        <v>333</v>
      </c>
      <c r="O3258" s="8">
        <v>242</v>
      </c>
      <c r="P3258" s="8" t="s">
        <v>13303</v>
      </c>
      <c r="Q3258" s="8" t="s">
        <v>4262</v>
      </c>
      <c r="R3258" s="8">
        <v>0.16300000000000001</v>
      </c>
      <c r="S3258" s="8">
        <v>43259403</v>
      </c>
      <c r="T3258" s="8" t="s">
        <v>24</v>
      </c>
      <c r="U3258" s="8" t="s">
        <v>25</v>
      </c>
    </row>
    <row r="3259" spans="1:21">
      <c r="A3259" s="8" t="s">
        <v>10349</v>
      </c>
      <c r="B3259" s="8" t="s">
        <v>10010</v>
      </c>
      <c r="C3259" s="8">
        <v>7638</v>
      </c>
      <c r="D3259" s="8" t="s">
        <v>139</v>
      </c>
      <c r="E3259" s="8">
        <v>44471326</v>
      </c>
      <c r="F3259" s="8">
        <v>44471326</v>
      </c>
      <c r="G3259" s="8" t="s">
        <v>24</v>
      </c>
      <c r="H3259" s="8" t="s">
        <v>25</v>
      </c>
      <c r="I3259" s="8" t="s">
        <v>23</v>
      </c>
      <c r="J3259" s="8" t="s">
        <v>10011</v>
      </c>
      <c r="K3259" s="8" t="s">
        <v>10013</v>
      </c>
      <c r="L3259" s="8" t="s">
        <v>19</v>
      </c>
      <c r="M3259" s="8">
        <v>2000</v>
      </c>
      <c r="N3259" s="8" t="s">
        <v>1364</v>
      </c>
      <c r="O3259" s="8">
        <v>558</v>
      </c>
      <c r="P3259" s="8" t="s">
        <v>13305</v>
      </c>
      <c r="Q3259" s="8" t="s">
        <v>4262</v>
      </c>
      <c r="R3259" s="8">
        <v>0.2</v>
      </c>
      <c r="S3259" s="8">
        <v>44471326</v>
      </c>
      <c r="T3259" s="8" t="s">
        <v>24</v>
      </c>
      <c r="U3259" s="8" t="s">
        <v>25</v>
      </c>
    </row>
    <row r="3260" spans="1:21">
      <c r="A3260" s="8" t="s">
        <v>10349</v>
      </c>
      <c r="B3260" s="8" t="s">
        <v>13306</v>
      </c>
      <c r="C3260" s="8">
        <v>7673</v>
      </c>
      <c r="D3260" s="8" t="s">
        <v>139</v>
      </c>
      <c r="E3260" s="8">
        <v>44536789</v>
      </c>
      <c r="F3260" s="8">
        <v>44536789</v>
      </c>
      <c r="G3260" s="8" t="s">
        <v>24</v>
      </c>
      <c r="H3260" s="8" t="s">
        <v>25</v>
      </c>
      <c r="I3260" s="8" t="s">
        <v>23</v>
      </c>
      <c r="J3260" s="8" t="s">
        <v>13307</v>
      </c>
      <c r="K3260" s="8" t="s">
        <v>13309</v>
      </c>
      <c r="L3260" s="8" t="s">
        <v>19</v>
      </c>
      <c r="M3260" s="8">
        <v>1177</v>
      </c>
      <c r="N3260" s="8" t="s">
        <v>708</v>
      </c>
      <c r="O3260" s="8">
        <v>361</v>
      </c>
      <c r="P3260" s="8" t="s">
        <v>13308</v>
      </c>
      <c r="Q3260" s="8" t="s">
        <v>4262</v>
      </c>
      <c r="R3260" s="8">
        <v>0.20899999999999999</v>
      </c>
      <c r="S3260" s="8">
        <v>44536789</v>
      </c>
      <c r="T3260" s="8" t="s">
        <v>24</v>
      </c>
      <c r="U3260" s="8" t="s">
        <v>25</v>
      </c>
    </row>
    <row r="3261" spans="1:21">
      <c r="A3261" s="8" t="s">
        <v>10349</v>
      </c>
      <c r="B3261" s="8" t="s">
        <v>13310</v>
      </c>
      <c r="C3261" s="8">
        <v>9310</v>
      </c>
      <c r="D3261" s="8" t="s">
        <v>139</v>
      </c>
      <c r="E3261" s="8">
        <v>44791702</v>
      </c>
      <c r="F3261" s="8">
        <v>44791702</v>
      </c>
      <c r="G3261" s="8" t="s">
        <v>46</v>
      </c>
      <c r="H3261" s="8" t="s">
        <v>41</v>
      </c>
      <c r="I3261" s="8" t="s">
        <v>23</v>
      </c>
      <c r="J3261" s="8" t="s">
        <v>13311</v>
      </c>
      <c r="K3261" s="8" t="s">
        <v>13313</v>
      </c>
      <c r="L3261" s="8" t="s">
        <v>19</v>
      </c>
      <c r="M3261" s="8">
        <v>1989</v>
      </c>
      <c r="N3261" s="8" t="s">
        <v>618</v>
      </c>
      <c r="O3261" s="8">
        <v>629</v>
      </c>
      <c r="P3261" s="8" t="s">
        <v>13312</v>
      </c>
      <c r="Q3261" s="8" t="s">
        <v>4262</v>
      </c>
      <c r="R3261" s="8">
        <v>0.19500000000000001</v>
      </c>
      <c r="S3261" s="8">
        <v>44791702</v>
      </c>
      <c r="T3261" s="8" t="s">
        <v>46</v>
      </c>
      <c r="U3261" s="8" t="s">
        <v>41</v>
      </c>
    </row>
    <row r="3262" spans="1:21">
      <c r="A3262" s="8" t="s">
        <v>10349</v>
      </c>
      <c r="B3262" s="8" t="s">
        <v>13314</v>
      </c>
      <c r="C3262" s="8">
        <v>7772</v>
      </c>
      <c r="D3262" s="8" t="s">
        <v>139</v>
      </c>
      <c r="E3262" s="8">
        <v>44934595</v>
      </c>
      <c r="F3262" s="8">
        <v>44934595</v>
      </c>
      <c r="G3262" s="8" t="s">
        <v>46</v>
      </c>
      <c r="H3262" s="8" t="s">
        <v>41</v>
      </c>
      <c r="I3262" s="8" t="s">
        <v>23</v>
      </c>
      <c r="J3262" s="8" t="s">
        <v>13315</v>
      </c>
      <c r="K3262" s="8" t="s">
        <v>13317</v>
      </c>
      <c r="L3262" s="8" t="s">
        <v>19</v>
      </c>
      <c r="M3262" s="8">
        <v>795</v>
      </c>
      <c r="N3262" s="8" t="s">
        <v>485</v>
      </c>
      <c r="O3262" s="8">
        <v>121</v>
      </c>
      <c r="P3262" s="8" t="s">
        <v>13316</v>
      </c>
      <c r="Q3262" s="8" t="s">
        <v>4262</v>
      </c>
      <c r="R3262" s="8">
        <v>0.32</v>
      </c>
      <c r="S3262" s="8">
        <v>44934595</v>
      </c>
      <c r="T3262" s="8" t="s">
        <v>46</v>
      </c>
      <c r="U3262" s="8" t="s">
        <v>41</v>
      </c>
    </row>
    <row r="3263" spans="1:21">
      <c r="A3263" s="8" t="s">
        <v>10349</v>
      </c>
      <c r="B3263" s="8" t="s">
        <v>2591</v>
      </c>
      <c r="C3263" s="8">
        <v>6253</v>
      </c>
      <c r="D3263" s="8" t="s">
        <v>139</v>
      </c>
      <c r="E3263" s="8">
        <v>45997610</v>
      </c>
      <c r="F3263" s="8">
        <v>45997610</v>
      </c>
      <c r="G3263" s="8" t="s">
        <v>46</v>
      </c>
      <c r="H3263" s="8" t="s">
        <v>41</v>
      </c>
      <c r="I3263" s="8" t="s">
        <v>23</v>
      </c>
      <c r="J3263" s="8" t="s">
        <v>13318</v>
      </c>
      <c r="K3263" s="8" t="s">
        <v>13320</v>
      </c>
      <c r="L3263" s="8" t="s">
        <v>19</v>
      </c>
      <c r="M3263" s="8">
        <v>858</v>
      </c>
      <c r="N3263" s="8" t="s">
        <v>536</v>
      </c>
      <c r="O3263" s="8">
        <v>210</v>
      </c>
      <c r="P3263" s="8" t="s">
        <v>13319</v>
      </c>
      <c r="Q3263" s="8" t="s">
        <v>4262</v>
      </c>
      <c r="R3263" s="8">
        <v>0.23499999999999999</v>
      </c>
      <c r="S3263" s="8">
        <v>45997610</v>
      </c>
      <c r="T3263" s="8" t="s">
        <v>46</v>
      </c>
      <c r="U3263" s="8" t="s">
        <v>41</v>
      </c>
    </row>
    <row r="3264" spans="1:21">
      <c r="A3264" s="8" t="s">
        <v>10349</v>
      </c>
      <c r="B3264" s="8" t="s">
        <v>13321</v>
      </c>
      <c r="C3264" s="8">
        <v>64344</v>
      </c>
      <c r="D3264" s="8" t="s">
        <v>139</v>
      </c>
      <c r="E3264" s="8">
        <v>46828847</v>
      </c>
      <c r="F3264" s="8">
        <v>46828847</v>
      </c>
      <c r="G3264" s="8" t="s">
        <v>46</v>
      </c>
      <c r="H3264" s="8" t="s">
        <v>41</v>
      </c>
      <c r="I3264" s="8" t="s">
        <v>23</v>
      </c>
      <c r="J3264" s="8" t="s">
        <v>13322</v>
      </c>
      <c r="K3264" s="8" t="s">
        <v>13324</v>
      </c>
      <c r="L3264" s="8" t="s">
        <v>19</v>
      </c>
      <c r="M3264" s="8">
        <v>1422</v>
      </c>
      <c r="N3264" s="8" t="s">
        <v>1325</v>
      </c>
      <c r="O3264" s="8">
        <v>464</v>
      </c>
      <c r="P3264" s="8" t="s">
        <v>13323</v>
      </c>
      <c r="Q3264" s="8" t="s">
        <v>4262</v>
      </c>
      <c r="R3264" s="8">
        <v>8.5999999999999993E-2</v>
      </c>
      <c r="S3264" s="8">
        <v>46828847</v>
      </c>
      <c r="T3264" s="8" t="s">
        <v>46</v>
      </c>
      <c r="U3264" s="8" t="s">
        <v>41</v>
      </c>
    </row>
    <row r="3265" spans="1:21">
      <c r="A3265" s="8" t="s">
        <v>10349</v>
      </c>
      <c r="B3265" s="8" t="s">
        <v>3282</v>
      </c>
      <c r="C3265" s="8">
        <v>83987</v>
      </c>
      <c r="D3265" s="8" t="s">
        <v>139</v>
      </c>
      <c r="E3265" s="8">
        <v>46915077</v>
      </c>
      <c r="F3265" s="8">
        <v>46915077</v>
      </c>
      <c r="G3265" s="8" t="s">
        <v>46</v>
      </c>
      <c r="H3265" s="8" t="s">
        <v>41</v>
      </c>
      <c r="I3265" s="8" t="s">
        <v>23</v>
      </c>
      <c r="J3265" s="8" t="s">
        <v>3283</v>
      </c>
      <c r="K3265" s="8" t="s">
        <v>9429</v>
      </c>
      <c r="L3265" s="8" t="s">
        <v>19</v>
      </c>
      <c r="M3265" s="8">
        <v>1843</v>
      </c>
      <c r="N3265" s="8" t="s">
        <v>768</v>
      </c>
      <c r="O3265" s="8">
        <v>331</v>
      </c>
      <c r="P3265" s="8" t="s">
        <v>13325</v>
      </c>
      <c r="Q3265" s="8" t="s">
        <v>4262</v>
      </c>
      <c r="R3265" s="8">
        <v>0.13800000000000001</v>
      </c>
      <c r="S3265" s="8">
        <v>46915077</v>
      </c>
      <c r="T3265" s="8" t="s">
        <v>46</v>
      </c>
      <c r="U3265" s="8" t="s">
        <v>41</v>
      </c>
    </row>
    <row r="3266" spans="1:21">
      <c r="A3266" s="8" t="s">
        <v>10349</v>
      </c>
      <c r="B3266" s="8" t="s">
        <v>3489</v>
      </c>
      <c r="C3266" s="8">
        <v>2909</v>
      </c>
      <c r="D3266" s="8" t="s">
        <v>139</v>
      </c>
      <c r="E3266" s="8">
        <v>47424849</v>
      </c>
      <c r="F3266" s="8">
        <v>47424849</v>
      </c>
      <c r="G3266" s="8" t="s">
        <v>24</v>
      </c>
      <c r="H3266" s="8" t="s">
        <v>25</v>
      </c>
      <c r="I3266" s="8" t="s">
        <v>23</v>
      </c>
      <c r="J3266" s="8" t="s">
        <v>3490</v>
      </c>
      <c r="K3266" s="8" t="s">
        <v>6307</v>
      </c>
      <c r="L3266" s="8" t="s">
        <v>19</v>
      </c>
      <c r="M3266" s="8">
        <v>2917</v>
      </c>
      <c r="N3266" s="8" t="s">
        <v>1070</v>
      </c>
      <c r="O3266" s="8">
        <v>973</v>
      </c>
      <c r="P3266" s="8" t="s">
        <v>13326</v>
      </c>
      <c r="Q3266" s="8" t="s">
        <v>4262</v>
      </c>
      <c r="R3266" s="8">
        <v>0.154</v>
      </c>
      <c r="S3266" s="8">
        <v>47424849</v>
      </c>
      <c r="T3266" s="8" t="s">
        <v>24</v>
      </c>
      <c r="U3266" s="8" t="s">
        <v>25</v>
      </c>
    </row>
    <row r="3267" spans="1:21">
      <c r="A3267" s="8" t="s">
        <v>10349</v>
      </c>
      <c r="B3267" s="8" t="s">
        <v>13327</v>
      </c>
      <c r="C3267" s="8">
        <v>163071</v>
      </c>
      <c r="D3267" s="8" t="s">
        <v>139</v>
      </c>
      <c r="E3267" s="8">
        <v>48785718</v>
      </c>
      <c r="F3267" s="8">
        <v>48785718</v>
      </c>
      <c r="G3267" s="8" t="s">
        <v>24</v>
      </c>
      <c r="H3267" s="8" t="s">
        <v>25</v>
      </c>
      <c r="I3267" s="8" t="s">
        <v>23</v>
      </c>
      <c r="J3267" s="8" t="s">
        <v>13328</v>
      </c>
      <c r="K3267" s="8" t="s">
        <v>13330</v>
      </c>
      <c r="L3267" s="8" t="s">
        <v>19</v>
      </c>
      <c r="M3267" s="8">
        <v>324</v>
      </c>
      <c r="N3267" s="8" t="s">
        <v>171</v>
      </c>
      <c r="O3267" s="8">
        <v>34</v>
      </c>
      <c r="P3267" s="8" t="s">
        <v>13329</v>
      </c>
      <c r="Q3267" s="8" t="s">
        <v>4262</v>
      </c>
      <c r="R3267" s="8">
        <v>0.20300000000000001</v>
      </c>
      <c r="S3267" s="8">
        <v>48785718</v>
      </c>
      <c r="T3267" s="8" t="s">
        <v>24</v>
      </c>
      <c r="U3267" s="8" t="s">
        <v>25</v>
      </c>
    </row>
    <row r="3268" spans="1:21">
      <c r="A3268" s="8" t="s">
        <v>10349</v>
      </c>
      <c r="B3268" s="8" t="s">
        <v>2592</v>
      </c>
      <c r="C3268" s="8">
        <v>645432</v>
      </c>
      <c r="D3268" s="8" t="s">
        <v>139</v>
      </c>
      <c r="E3268" s="8">
        <v>4902780</v>
      </c>
      <c r="F3268" s="8">
        <v>4902780</v>
      </c>
      <c r="G3268" s="8" t="s">
        <v>46</v>
      </c>
      <c r="H3268" s="8" t="s">
        <v>41</v>
      </c>
      <c r="I3268" s="8" t="s">
        <v>23</v>
      </c>
      <c r="J3268" s="8" t="s">
        <v>2593</v>
      </c>
      <c r="K3268" s="8" t="s">
        <v>13332</v>
      </c>
      <c r="L3268" s="8" t="s">
        <v>19</v>
      </c>
      <c r="M3268" s="8">
        <v>100</v>
      </c>
      <c r="N3268" s="8" t="s">
        <v>536</v>
      </c>
      <c r="O3268" s="8">
        <v>34</v>
      </c>
      <c r="P3268" s="8" t="s">
        <v>13331</v>
      </c>
      <c r="Q3268" s="8" t="s">
        <v>4262</v>
      </c>
      <c r="R3268" s="8">
        <v>0.20300000000000001</v>
      </c>
      <c r="S3268" s="8">
        <v>4902780</v>
      </c>
      <c r="T3268" s="8" t="s">
        <v>46</v>
      </c>
      <c r="U3268" s="8" t="s">
        <v>41</v>
      </c>
    </row>
    <row r="3269" spans="1:21">
      <c r="A3269" s="8" t="s">
        <v>10349</v>
      </c>
      <c r="B3269" s="8" t="s">
        <v>13333</v>
      </c>
      <c r="C3269" s="8">
        <v>581</v>
      </c>
      <c r="D3269" s="8" t="s">
        <v>139</v>
      </c>
      <c r="E3269" s="8">
        <v>49459529</v>
      </c>
      <c r="F3269" s="8">
        <v>49459529</v>
      </c>
      <c r="G3269" s="8" t="s">
        <v>24</v>
      </c>
      <c r="H3269" s="8" t="s">
        <v>25</v>
      </c>
      <c r="I3269" s="8" t="s">
        <v>23</v>
      </c>
      <c r="J3269" s="8" t="s">
        <v>13334</v>
      </c>
      <c r="K3269" s="8" t="s">
        <v>13335</v>
      </c>
      <c r="L3269" s="8" t="s">
        <v>19</v>
      </c>
      <c r="M3269" s="8">
        <v>377</v>
      </c>
      <c r="N3269" s="8" t="s">
        <v>205</v>
      </c>
      <c r="O3269" s="8">
        <v>103</v>
      </c>
      <c r="P3269" s="8" t="s">
        <v>11832</v>
      </c>
      <c r="Q3269" s="8" t="s">
        <v>4262</v>
      </c>
      <c r="R3269" s="8">
        <v>0.2</v>
      </c>
      <c r="S3269" s="8">
        <v>49459529</v>
      </c>
      <c r="T3269" s="8" t="s">
        <v>24</v>
      </c>
      <c r="U3269" s="8" t="s">
        <v>25</v>
      </c>
    </row>
    <row r="3270" spans="1:21">
      <c r="A3270" s="8" t="s">
        <v>10349</v>
      </c>
      <c r="B3270" s="8" t="s">
        <v>2594</v>
      </c>
      <c r="C3270" s="8">
        <v>8541</v>
      </c>
      <c r="D3270" s="8" t="s">
        <v>139</v>
      </c>
      <c r="E3270" s="8">
        <v>49637959</v>
      </c>
      <c r="F3270" s="8">
        <v>49637959</v>
      </c>
      <c r="G3270" s="8" t="s">
        <v>24</v>
      </c>
      <c r="H3270" s="8" t="s">
        <v>25</v>
      </c>
      <c r="I3270" s="8" t="s">
        <v>23</v>
      </c>
      <c r="J3270" s="8" t="s">
        <v>2595</v>
      </c>
      <c r="K3270" s="8" t="s">
        <v>13336</v>
      </c>
      <c r="L3270" s="8" t="s">
        <v>68</v>
      </c>
      <c r="M3270" s="8">
        <v>0</v>
      </c>
      <c r="N3270" s="8" t="s">
        <v>35</v>
      </c>
      <c r="O3270" s="8">
        <v>0</v>
      </c>
      <c r="P3270" s="8" t="s">
        <v>35</v>
      </c>
      <c r="Q3270" s="8" t="s">
        <v>4262</v>
      </c>
      <c r="R3270" s="8">
        <v>0.40699999999999997</v>
      </c>
      <c r="S3270" s="8">
        <v>49637959</v>
      </c>
      <c r="T3270" s="8" t="s">
        <v>24</v>
      </c>
      <c r="U3270" s="8" t="s">
        <v>25</v>
      </c>
    </row>
    <row r="3271" spans="1:21">
      <c r="A3271" s="8" t="s">
        <v>10349</v>
      </c>
      <c r="B3271" s="8" t="s">
        <v>2289</v>
      </c>
      <c r="C3271" s="8">
        <v>22903</v>
      </c>
      <c r="D3271" s="8" t="s">
        <v>188</v>
      </c>
      <c r="E3271" s="8">
        <v>11904279</v>
      </c>
      <c r="F3271" s="8">
        <v>11904279</v>
      </c>
      <c r="G3271" s="8" t="s">
        <v>24</v>
      </c>
      <c r="H3271" s="8" t="s">
        <v>25</v>
      </c>
      <c r="I3271" s="8" t="s">
        <v>23</v>
      </c>
      <c r="J3271" s="8" t="s">
        <v>13337</v>
      </c>
      <c r="K3271" s="8" t="s">
        <v>13340</v>
      </c>
      <c r="L3271" s="8" t="s">
        <v>19</v>
      </c>
      <c r="M3271" s="8">
        <v>1893</v>
      </c>
      <c r="N3271" s="8" t="s">
        <v>1364</v>
      </c>
      <c r="O3271" s="8">
        <v>512</v>
      </c>
      <c r="P3271" s="8" t="s">
        <v>13338</v>
      </c>
      <c r="Q3271" s="8" t="s">
        <v>13339</v>
      </c>
      <c r="R3271" s="8">
        <v>0.33300000000000002</v>
      </c>
      <c r="S3271" s="8">
        <v>11904279</v>
      </c>
      <c r="T3271" s="8" t="s">
        <v>24</v>
      </c>
      <c r="U3271" s="8" t="s">
        <v>25</v>
      </c>
    </row>
    <row r="3272" spans="1:21">
      <c r="A3272" s="8" t="s">
        <v>10349</v>
      </c>
      <c r="B3272" s="8" t="s">
        <v>2640</v>
      </c>
      <c r="C3272" s="8">
        <v>51575</v>
      </c>
      <c r="D3272" s="8" t="s">
        <v>188</v>
      </c>
      <c r="E3272" s="8">
        <v>13755868</v>
      </c>
      <c r="F3272" s="8">
        <v>13755868</v>
      </c>
      <c r="G3272" s="8" t="s">
        <v>46</v>
      </c>
      <c r="H3272" s="8" t="s">
        <v>41</v>
      </c>
      <c r="I3272" s="8" t="s">
        <v>23</v>
      </c>
      <c r="J3272" s="8" t="s">
        <v>2641</v>
      </c>
      <c r="K3272" s="8" t="s">
        <v>9439</v>
      </c>
      <c r="L3272" s="8" t="s">
        <v>19</v>
      </c>
      <c r="M3272" s="8">
        <v>1192</v>
      </c>
      <c r="N3272" s="8" t="s">
        <v>1070</v>
      </c>
      <c r="O3272" s="8">
        <v>362</v>
      </c>
      <c r="P3272" s="8" t="s">
        <v>13341</v>
      </c>
      <c r="Q3272" s="8" t="s">
        <v>4262</v>
      </c>
      <c r="R3272" s="8">
        <v>0.17899999999999999</v>
      </c>
      <c r="S3272" s="8">
        <v>13755868</v>
      </c>
      <c r="T3272" s="8" t="s">
        <v>46</v>
      </c>
      <c r="U3272" s="8" t="s">
        <v>41</v>
      </c>
    </row>
    <row r="3273" spans="1:21">
      <c r="A3273" s="8" t="s">
        <v>10349</v>
      </c>
      <c r="B3273" s="8" t="s">
        <v>2642</v>
      </c>
      <c r="C3273" s="8">
        <v>10483</v>
      </c>
      <c r="D3273" s="8" t="s">
        <v>188</v>
      </c>
      <c r="E3273" s="8">
        <v>18507077</v>
      </c>
      <c r="F3273" s="8">
        <v>18507077</v>
      </c>
      <c r="G3273" s="8" t="s">
        <v>24</v>
      </c>
      <c r="H3273" s="8" t="s">
        <v>25</v>
      </c>
      <c r="I3273" s="8" t="s">
        <v>23</v>
      </c>
      <c r="J3273" s="8" t="s">
        <v>13342</v>
      </c>
      <c r="K3273" s="8" t="s">
        <v>13344</v>
      </c>
      <c r="L3273" s="8" t="s">
        <v>19</v>
      </c>
      <c r="M3273" s="8">
        <v>1035</v>
      </c>
      <c r="N3273" s="8" t="s">
        <v>28</v>
      </c>
      <c r="O3273" s="8">
        <v>299</v>
      </c>
      <c r="P3273" s="8" t="s">
        <v>13343</v>
      </c>
      <c r="Q3273" s="8" t="s">
        <v>4262</v>
      </c>
      <c r="R3273" s="8">
        <v>0.33300000000000002</v>
      </c>
      <c r="S3273" s="8">
        <v>18507077</v>
      </c>
      <c r="T3273" s="8" t="s">
        <v>24</v>
      </c>
      <c r="U3273" s="8" t="s">
        <v>25</v>
      </c>
    </row>
    <row r="3274" spans="1:21">
      <c r="A3274" s="8" t="s">
        <v>10349</v>
      </c>
      <c r="B3274" s="8" t="s">
        <v>13345</v>
      </c>
      <c r="C3274" s="8">
        <v>26074</v>
      </c>
      <c r="D3274" s="8" t="s">
        <v>188</v>
      </c>
      <c r="E3274" s="8">
        <v>20180428</v>
      </c>
      <c r="F3274" s="8">
        <v>20180428</v>
      </c>
      <c r="G3274" s="8" t="s">
        <v>46</v>
      </c>
      <c r="H3274" s="8" t="s">
        <v>41</v>
      </c>
      <c r="I3274" s="8" t="s">
        <v>23</v>
      </c>
      <c r="J3274" s="8" t="s">
        <v>13346</v>
      </c>
      <c r="K3274" s="8" t="s">
        <v>13348</v>
      </c>
      <c r="L3274" s="8" t="s">
        <v>19</v>
      </c>
      <c r="M3274" s="8">
        <v>1928</v>
      </c>
      <c r="N3274" s="8" t="s">
        <v>1421</v>
      </c>
      <c r="O3274" s="8">
        <v>605</v>
      </c>
      <c r="P3274" s="8" t="s">
        <v>13347</v>
      </c>
      <c r="Q3274" s="8" t="s">
        <v>4262</v>
      </c>
      <c r="R3274" s="8">
        <v>0.109</v>
      </c>
      <c r="S3274" s="8">
        <v>20180428</v>
      </c>
      <c r="T3274" s="8" t="s">
        <v>46</v>
      </c>
      <c r="U3274" s="8" t="s">
        <v>41</v>
      </c>
    </row>
    <row r="3275" spans="1:21">
      <c r="A3275" s="8" t="s">
        <v>10349</v>
      </c>
      <c r="B3275" s="8" t="s">
        <v>13349</v>
      </c>
      <c r="C3275" s="8">
        <v>29107</v>
      </c>
      <c r="D3275" s="8" t="s">
        <v>188</v>
      </c>
      <c r="E3275" s="8">
        <v>23334838</v>
      </c>
      <c r="F3275" s="8">
        <v>23334838</v>
      </c>
      <c r="G3275" s="8" t="s">
        <v>24</v>
      </c>
      <c r="H3275" s="8" t="s">
        <v>46</v>
      </c>
      <c r="I3275" s="8" t="s">
        <v>23</v>
      </c>
      <c r="J3275" s="8" t="s">
        <v>13350</v>
      </c>
      <c r="K3275" s="8" t="s">
        <v>13352</v>
      </c>
      <c r="L3275" s="8" t="s">
        <v>19</v>
      </c>
      <c r="M3275" s="8">
        <v>547</v>
      </c>
      <c r="N3275" s="8" t="s">
        <v>3091</v>
      </c>
      <c r="O3275" s="8">
        <v>54</v>
      </c>
      <c r="P3275" s="8" t="s">
        <v>13351</v>
      </c>
      <c r="Q3275" s="8" t="s">
        <v>4262</v>
      </c>
      <c r="R3275" s="8">
        <v>0.20699999999999999</v>
      </c>
      <c r="S3275" s="8">
        <v>23334838</v>
      </c>
      <c r="T3275" s="8" t="s">
        <v>24</v>
      </c>
      <c r="U3275" s="8" t="s">
        <v>46</v>
      </c>
    </row>
    <row r="3276" spans="1:21">
      <c r="A3276" s="8" t="s">
        <v>10349</v>
      </c>
      <c r="B3276" s="8" t="s">
        <v>5863</v>
      </c>
      <c r="C3276" s="8">
        <v>79175</v>
      </c>
      <c r="D3276" s="8" t="s">
        <v>188</v>
      </c>
      <c r="E3276" s="8">
        <v>2464897</v>
      </c>
      <c r="F3276" s="8">
        <v>2464897</v>
      </c>
      <c r="G3276" s="8" t="s">
        <v>46</v>
      </c>
      <c r="H3276" s="8" t="s">
        <v>41</v>
      </c>
      <c r="I3276" s="8" t="s">
        <v>23</v>
      </c>
      <c r="J3276" s="8" t="s">
        <v>5864</v>
      </c>
      <c r="K3276" s="8" t="s">
        <v>5866</v>
      </c>
      <c r="L3276" s="8" t="s">
        <v>19</v>
      </c>
      <c r="M3276" s="8">
        <v>1198</v>
      </c>
      <c r="N3276" s="8" t="s">
        <v>736</v>
      </c>
      <c r="O3276" s="8">
        <v>237</v>
      </c>
      <c r="P3276" s="8" t="s">
        <v>13353</v>
      </c>
      <c r="Q3276" s="8" t="s">
        <v>4262</v>
      </c>
      <c r="R3276" s="8">
        <v>0.13300000000000001</v>
      </c>
      <c r="S3276" s="8">
        <v>2464897</v>
      </c>
      <c r="T3276" s="8" t="s">
        <v>46</v>
      </c>
      <c r="U3276" s="8" t="s">
        <v>41</v>
      </c>
    </row>
    <row r="3277" spans="1:21">
      <c r="A3277" s="8" t="s">
        <v>10349</v>
      </c>
      <c r="B3277" s="8" t="s">
        <v>2184</v>
      </c>
      <c r="C3277" s="8">
        <v>57136</v>
      </c>
      <c r="D3277" s="8" t="s">
        <v>188</v>
      </c>
      <c r="E3277" s="8">
        <v>24949541</v>
      </c>
      <c r="F3277" s="8">
        <v>24949541</v>
      </c>
      <c r="G3277" s="8" t="s">
        <v>46</v>
      </c>
      <c r="H3277" s="8" t="s">
        <v>41</v>
      </c>
      <c r="I3277" s="8" t="s">
        <v>23</v>
      </c>
      <c r="J3277" s="8" t="s">
        <v>13354</v>
      </c>
      <c r="K3277" s="8" t="s">
        <v>13356</v>
      </c>
      <c r="L3277" s="8" t="s">
        <v>19</v>
      </c>
      <c r="M3277" s="8">
        <v>1129</v>
      </c>
      <c r="N3277" s="8" t="s">
        <v>2483</v>
      </c>
      <c r="O3277" s="8">
        <v>343</v>
      </c>
      <c r="P3277" s="8" t="s">
        <v>13355</v>
      </c>
      <c r="Q3277" s="8" t="s">
        <v>4262</v>
      </c>
      <c r="R3277" s="8">
        <v>0.33300000000000002</v>
      </c>
      <c r="S3277" s="8">
        <v>24949541</v>
      </c>
      <c r="T3277" s="8" t="s">
        <v>46</v>
      </c>
      <c r="U3277" s="8" t="s">
        <v>41</v>
      </c>
    </row>
    <row r="3278" spans="1:21">
      <c r="A3278" s="8" t="s">
        <v>10349</v>
      </c>
      <c r="B3278" s="8" t="s">
        <v>13357</v>
      </c>
      <c r="C3278" s="8">
        <v>140680</v>
      </c>
      <c r="D3278" s="8" t="s">
        <v>188</v>
      </c>
      <c r="E3278" s="8">
        <v>256688</v>
      </c>
      <c r="F3278" s="8">
        <v>256688</v>
      </c>
      <c r="G3278" s="8" t="s">
        <v>46</v>
      </c>
      <c r="H3278" s="8" t="s">
        <v>41</v>
      </c>
      <c r="I3278" s="8" t="s">
        <v>23</v>
      </c>
      <c r="J3278" s="8" t="s">
        <v>13358</v>
      </c>
      <c r="K3278" s="8" t="s">
        <v>13360</v>
      </c>
      <c r="L3278" s="8" t="s">
        <v>19</v>
      </c>
      <c r="M3278" s="8">
        <v>1120</v>
      </c>
      <c r="N3278" s="8" t="s">
        <v>155</v>
      </c>
      <c r="O3278" s="8">
        <v>318</v>
      </c>
      <c r="P3278" s="8" t="s">
        <v>13359</v>
      </c>
      <c r="Q3278" s="8" t="s">
        <v>4262</v>
      </c>
      <c r="R3278" s="8">
        <v>0.26300000000000001</v>
      </c>
      <c r="S3278" s="8">
        <v>256688</v>
      </c>
      <c r="T3278" s="8" t="s">
        <v>46</v>
      </c>
      <c r="U3278" s="8" t="s">
        <v>41</v>
      </c>
    </row>
    <row r="3279" spans="1:21">
      <c r="A3279" s="8" t="s">
        <v>10349</v>
      </c>
      <c r="B3279" s="8" t="s">
        <v>2643</v>
      </c>
      <c r="C3279" s="8">
        <v>5786</v>
      </c>
      <c r="D3279" s="8" t="s">
        <v>188</v>
      </c>
      <c r="E3279" s="8">
        <v>3002039</v>
      </c>
      <c r="F3279" s="8">
        <v>3002039</v>
      </c>
      <c r="G3279" s="8" t="s">
        <v>24</v>
      </c>
      <c r="H3279" s="8" t="s">
        <v>25</v>
      </c>
      <c r="I3279" s="8" t="s">
        <v>23</v>
      </c>
      <c r="J3279" s="8" t="s">
        <v>13361</v>
      </c>
      <c r="K3279" s="8" t="s">
        <v>13363</v>
      </c>
      <c r="L3279" s="8" t="s">
        <v>19</v>
      </c>
      <c r="M3279" s="8">
        <v>1317</v>
      </c>
      <c r="N3279" s="8" t="s">
        <v>171</v>
      </c>
      <c r="O3279" s="8">
        <v>367</v>
      </c>
      <c r="P3279" s="8" t="s">
        <v>13362</v>
      </c>
      <c r="Q3279" s="8" t="s">
        <v>4262</v>
      </c>
      <c r="R3279" s="8">
        <v>0.34499999999999997</v>
      </c>
      <c r="S3279" s="8">
        <v>3002039</v>
      </c>
      <c r="T3279" s="8" t="s">
        <v>24</v>
      </c>
      <c r="U3279" s="8" t="s">
        <v>25</v>
      </c>
    </row>
    <row r="3280" spans="1:21">
      <c r="A3280" s="8" t="s">
        <v>10349</v>
      </c>
      <c r="B3280" s="8" t="s">
        <v>13364</v>
      </c>
      <c r="C3280" s="8">
        <v>171023</v>
      </c>
      <c r="D3280" s="8" t="s">
        <v>188</v>
      </c>
      <c r="E3280" s="8">
        <v>30956880</v>
      </c>
      <c r="F3280" s="8">
        <v>30956880</v>
      </c>
      <c r="G3280" s="8" t="s">
        <v>24</v>
      </c>
      <c r="H3280" s="8" t="s">
        <v>25</v>
      </c>
      <c r="I3280" s="8" t="s">
        <v>23</v>
      </c>
      <c r="J3280" s="8" t="s">
        <v>13365</v>
      </c>
      <c r="K3280" s="8" t="s">
        <v>13367</v>
      </c>
      <c r="L3280" s="8" t="s">
        <v>19</v>
      </c>
      <c r="M3280" s="8">
        <v>638</v>
      </c>
      <c r="N3280" s="8" t="s">
        <v>1399</v>
      </c>
      <c r="O3280" s="8">
        <v>69</v>
      </c>
      <c r="P3280" s="8" t="s">
        <v>13366</v>
      </c>
      <c r="Q3280" s="8" t="s">
        <v>4262</v>
      </c>
      <c r="R3280" s="8">
        <v>0.156</v>
      </c>
      <c r="S3280" s="8">
        <v>30956880</v>
      </c>
      <c r="T3280" s="8" t="s">
        <v>24</v>
      </c>
      <c r="U3280" s="8" t="s">
        <v>25</v>
      </c>
    </row>
    <row r="3281" spans="1:21">
      <c r="A3281" s="8" t="s">
        <v>10349</v>
      </c>
      <c r="B3281" s="8" t="s">
        <v>13368</v>
      </c>
      <c r="C3281" s="8">
        <v>23054</v>
      </c>
      <c r="D3281" s="8" t="s">
        <v>188</v>
      </c>
      <c r="E3281" s="8">
        <v>33329133</v>
      </c>
      <c r="F3281" s="8">
        <v>33329133</v>
      </c>
      <c r="G3281" s="8" t="s">
        <v>46</v>
      </c>
      <c r="H3281" s="8" t="s">
        <v>41</v>
      </c>
      <c r="I3281" s="8" t="s">
        <v>23</v>
      </c>
      <c r="J3281" s="8" t="s">
        <v>13369</v>
      </c>
      <c r="K3281" s="8" t="s">
        <v>13371</v>
      </c>
      <c r="L3281" s="8" t="s">
        <v>19</v>
      </c>
      <c r="M3281" s="8">
        <v>5249</v>
      </c>
      <c r="N3281" s="8" t="s">
        <v>1364</v>
      </c>
      <c r="O3281" s="8">
        <v>1643</v>
      </c>
      <c r="P3281" s="8" t="s">
        <v>13370</v>
      </c>
      <c r="Q3281" s="8" t="s">
        <v>4262</v>
      </c>
      <c r="R3281" s="8">
        <v>0.182</v>
      </c>
      <c r="S3281" s="8">
        <v>33329133</v>
      </c>
      <c r="T3281" s="8" t="s">
        <v>46</v>
      </c>
      <c r="U3281" s="8" t="s">
        <v>41</v>
      </c>
    </row>
    <row r="3282" spans="1:21">
      <c r="A3282" s="8" t="s">
        <v>10349</v>
      </c>
      <c r="B3282" s="8" t="s">
        <v>13372</v>
      </c>
      <c r="C3282" s="8">
        <v>140894</v>
      </c>
      <c r="D3282" s="8" t="s">
        <v>188</v>
      </c>
      <c r="E3282" s="8">
        <v>34596316</v>
      </c>
      <c r="F3282" s="8">
        <v>34596316</v>
      </c>
      <c r="G3282" s="8" t="s">
        <v>24</v>
      </c>
      <c r="H3282" s="8" t="s">
        <v>25</v>
      </c>
      <c r="I3282" s="8" t="s">
        <v>23</v>
      </c>
      <c r="J3282" s="8" t="s">
        <v>13373</v>
      </c>
      <c r="K3282" s="8" t="s">
        <v>13375</v>
      </c>
      <c r="L3282" s="8" t="s">
        <v>76</v>
      </c>
      <c r="M3282" s="8">
        <v>1224</v>
      </c>
      <c r="N3282" s="8" t="s">
        <v>716</v>
      </c>
      <c r="O3282" s="8">
        <v>356</v>
      </c>
      <c r="P3282" s="8" t="s">
        <v>13374</v>
      </c>
      <c r="Q3282" s="8" t="s">
        <v>4262</v>
      </c>
      <c r="R3282" s="8">
        <v>0.14000000000000001</v>
      </c>
      <c r="S3282" s="8">
        <v>34596316</v>
      </c>
      <c r="T3282" s="8" t="s">
        <v>24</v>
      </c>
      <c r="U3282" s="8" t="s">
        <v>25</v>
      </c>
    </row>
    <row r="3283" spans="1:21">
      <c r="A3283" s="8" t="s">
        <v>10349</v>
      </c>
      <c r="B3283" s="8" t="s">
        <v>2225</v>
      </c>
      <c r="C3283" s="8">
        <v>140710</v>
      </c>
      <c r="D3283" s="8" t="s">
        <v>188</v>
      </c>
      <c r="E3283" s="8">
        <v>35467661</v>
      </c>
      <c r="F3283" s="8">
        <v>35467661</v>
      </c>
      <c r="G3283" s="8" t="s">
        <v>46</v>
      </c>
      <c r="H3283" s="8" t="s">
        <v>41</v>
      </c>
      <c r="I3283" s="8" t="s">
        <v>23</v>
      </c>
      <c r="J3283" s="8" t="s">
        <v>13376</v>
      </c>
      <c r="K3283" s="8" t="s">
        <v>13378</v>
      </c>
      <c r="L3283" s="8" t="s">
        <v>19</v>
      </c>
      <c r="M3283" s="8">
        <v>1211</v>
      </c>
      <c r="N3283" s="8" t="s">
        <v>171</v>
      </c>
      <c r="O3283" s="8">
        <v>291</v>
      </c>
      <c r="P3283" s="8" t="s">
        <v>13377</v>
      </c>
      <c r="Q3283" s="8" t="s">
        <v>4262</v>
      </c>
      <c r="R3283" s="8">
        <v>0.17599999999999999</v>
      </c>
      <c r="S3283" s="8">
        <v>35467661</v>
      </c>
      <c r="T3283" s="8" t="s">
        <v>46</v>
      </c>
      <c r="U3283" s="8" t="s">
        <v>41</v>
      </c>
    </row>
    <row r="3284" spans="1:21">
      <c r="A3284" s="8" t="s">
        <v>10349</v>
      </c>
      <c r="B3284" s="8" t="s">
        <v>2646</v>
      </c>
      <c r="C3284" s="8">
        <v>85449</v>
      </c>
      <c r="D3284" s="8" t="s">
        <v>188</v>
      </c>
      <c r="E3284" s="8">
        <v>36870030</v>
      </c>
      <c r="F3284" s="8">
        <v>36870030</v>
      </c>
      <c r="G3284" s="8" t="s">
        <v>24</v>
      </c>
      <c r="H3284" s="8" t="s">
        <v>25</v>
      </c>
      <c r="I3284" s="8" t="s">
        <v>23</v>
      </c>
      <c r="J3284" s="8" t="s">
        <v>2647</v>
      </c>
      <c r="K3284" s="8" t="s">
        <v>6587</v>
      </c>
      <c r="L3284" s="8" t="s">
        <v>19</v>
      </c>
      <c r="M3284" s="8">
        <v>775</v>
      </c>
      <c r="N3284" s="8" t="s">
        <v>417</v>
      </c>
      <c r="O3284" s="8">
        <v>168</v>
      </c>
      <c r="P3284" s="8" t="s">
        <v>13379</v>
      </c>
      <c r="Q3284" s="8" t="s">
        <v>4262</v>
      </c>
      <c r="R3284" s="8">
        <v>0.40899999999999997</v>
      </c>
      <c r="S3284" s="8">
        <v>36870030</v>
      </c>
      <c r="T3284" s="8" t="s">
        <v>24</v>
      </c>
      <c r="U3284" s="8" t="s">
        <v>25</v>
      </c>
    </row>
    <row r="3285" spans="1:21">
      <c r="A3285" s="8" t="s">
        <v>10349</v>
      </c>
      <c r="B3285" s="8" t="s">
        <v>13380</v>
      </c>
      <c r="C3285" s="8">
        <v>26051</v>
      </c>
      <c r="D3285" s="8" t="s">
        <v>188</v>
      </c>
      <c r="E3285" s="8">
        <v>37546930</v>
      </c>
      <c r="F3285" s="8">
        <v>37546930</v>
      </c>
      <c r="G3285" s="8" t="s">
        <v>24</v>
      </c>
      <c r="H3285" s="8" t="s">
        <v>25</v>
      </c>
      <c r="I3285" s="8" t="s">
        <v>23</v>
      </c>
      <c r="J3285" s="8" t="s">
        <v>13381</v>
      </c>
      <c r="K3285" s="8" t="s">
        <v>13383</v>
      </c>
      <c r="L3285" s="8" t="s">
        <v>19</v>
      </c>
      <c r="M3285" s="8">
        <v>1514</v>
      </c>
      <c r="N3285" s="8" t="s">
        <v>1399</v>
      </c>
      <c r="O3285" s="8">
        <v>442</v>
      </c>
      <c r="P3285" s="8" t="s">
        <v>13382</v>
      </c>
      <c r="Q3285" s="8" t="s">
        <v>4262</v>
      </c>
      <c r="R3285" s="8">
        <v>0.14799999999999999</v>
      </c>
      <c r="S3285" s="8">
        <v>37546930</v>
      </c>
      <c r="T3285" s="8" t="s">
        <v>24</v>
      </c>
      <c r="U3285" s="8" t="s">
        <v>25</v>
      </c>
    </row>
    <row r="3286" spans="1:21">
      <c r="A3286" s="8" t="s">
        <v>10349</v>
      </c>
      <c r="B3286" s="8" t="s">
        <v>2648</v>
      </c>
      <c r="C3286" s="8">
        <v>81610</v>
      </c>
      <c r="D3286" s="8" t="s">
        <v>188</v>
      </c>
      <c r="E3286" s="8">
        <v>37570686</v>
      </c>
      <c r="F3286" s="8">
        <v>37570686</v>
      </c>
      <c r="G3286" s="8" t="s">
        <v>24</v>
      </c>
      <c r="H3286" s="8" t="s">
        <v>25</v>
      </c>
      <c r="I3286" s="8" t="s">
        <v>23</v>
      </c>
      <c r="J3286" s="8" t="s">
        <v>2649</v>
      </c>
      <c r="K3286" s="8" t="s">
        <v>5016</v>
      </c>
      <c r="L3286" s="8" t="s">
        <v>19</v>
      </c>
      <c r="M3286" s="8">
        <v>699</v>
      </c>
      <c r="N3286" s="8" t="s">
        <v>171</v>
      </c>
      <c r="O3286" s="8">
        <v>220</v>
      </c>
      <c r="P3286" s="8" t="s">
        <v>13384</v>
      </c>
      <c r="Q3286" s="8" t="s">
        <v>4262</v>
      </c>
      <c r="R3286" s="8">
        <v>0.36399999999999999</v>
      </c>
      <c r="S3286" s="8">
        <v>37570686</v>
      </c>
      <c r="T3286" s="8" t="s">
        <v>24</v>
      </c>
      <c r="U3286" s="8" t="s">
        <v>25</v>
      </c>
    </row>
    <row r="3287" spans="1:21">
      <c r="A3287" s="8" t="s">
        <v>10349</v>
      </c>
      <c r="B3287" s="8" t="s">
        <v>13385</v>
      </c>
      <c r="C3287" s="8">
        <v>90187</v>
      </c>
      <c r="D3287" s="8" t="s">
        <v>188</v>
      </c>
      <c r="E3287" s="8">
        <v>39990513</v>
      </c>
      <c r="F3287" s="8">
        <v>39990513</v>
      </c>
      <c r="G3287" s="8" t="s">
        <v>46</v>
      </c>
      <c r="H3287" s="8" t="s">
        <v>41</v>
      </c>
      <c r="I3287" s="8" t="s">
        <v>23</v>
      </c>
      <c r="J3287" s="8" t="s">
        <v>13386</v>
      </c>
      <c r="K3287" s="8" t="s">
        <v>13388</v>
      </c>
      <c r="L3287" s="8" t="s">
        <v>19</v>
      </c>
      <c r="M3287" s="8">
        <v>1920</v>
      </c>
      <c r="N3287" s="8" t="s">
        <v>155</v>
      </c>
      <c r="O3287" s="8">
        <v>566</v>
      </c>
      <c r="P3287" s="8" t="s">
        <v>13387</v>
      </c>
      <c r="Q3287" s="8" t="s">
        <v>4262</v>
      </c>
      <c r="R3287" s="8">
        <v>0.20799999999999999</v>
      </c>
      <c r="S3287" s="8">
        <v>39990513</v>
      </c>
      <c r="T3287" s="8" t="s">
        <v>46</v>
      </c>
      <c r="U3287" s="8" t="s">
        <v>41</v>
      </c>
    </row>
    <row r="3288" spans="1:21">
      <c r="A3288" s="8" t="s">
        <v>10349</v>
      </c>
      <c r="B3288" s="8" t="s">
        <v>4010</v>
      </c>
      <c r="C3288" s="8">
        <v>11122</v>
      </c>
      <c r="D3288" s="8" t="s">
        <v>188</v>
      </c>
      <c r="E3288" s="8">
        <v>40944490</v>
      </c>
      <c r="F3288" s="8">
        <v>40944490</v>
      </c>
      <c r="G3288" s="8" t="s">
        <v>24</v>
      </c>
      <c r="H3288" s="8" t="s">
        <v>25</v>
      </c>
      <c r="I3288" s="8" t="s">
        <v>23</v>
      </c>
      <c r="J3288" s="8" t="s">
        <v>9450</v>
      </c>
      <c r="K3288" s="8" t="s">
        <v>9452</v>
      </c>
      <c r="L3288" s="8" t="s">
        <v>19</v>
      </c>
      <c r="M3288" s="8">
        <v>2196</v>
      </c>
      <c r="N3288" s="8" t="s">
        <v>1421</v>
      </c>
      <c r="O3288" s="8">
        <v>671</v>
      </c>
      <c r="P3288" s="8" t="s">
        <v>13389</v>
      </c>
      <c r="Q3288" s="8" t="s">
        <v>4262</v>
      </c>
      <c r="R3288" s="8">
        <v>0.27900000000000003</v>
      </c>
      <c r="S3288" s="8">
        <v>40944490</v>
      </c>
      <c r="T3288" s="8" t="s">
        <v>24</v>
      </c>
      <c r="U3288" s="8" t="s">
        <v>25</v>
      </c>
    </row>
    <row r="3289" spans="1:21">
      <c r="A3289" s="8" t="s">
        <v>10349</v>
      </c>
      <c r="B3289" s="8" t="s">
        <v>13390</v>
      </c>
      <c r="C3289" s="8">
        <v>6431</v>
      </c>
      <c r="D3289" s="8" t="s">
        <v>188</v>
      </c>
      <c r="E3289" s="8">
        <v>42088694</v>
      </c>
      <c r="F3289" s="8">
        <v>42088694</v>
      </c>
      <c r="G3289" s="8" t="s">
        <v>24</v>
      </c>
      <c r="H3289" s="8" t="s">
        <v>25</v>
      </c>
      <c r="I3289" s="8" t="s">
        <v>23</v>
      </c>
      <c r="J3289" s="8" t="s">
        <v>13391</v>
      </c>
      <c r="K3289" s="8" t="s">
        <v>13393</v>
      </c>
      <c r="L3289" s="8" t="s">
        <v>19</v>
      </c>
      <c r="M3289" s="8">
        <v>573</v>
      </c>
      <c r="N3289" s="8" t="s">
        <v>758</v>
      </c>
      <c r="O3289" s="8">
        <v>135</v>
      </c>
      <c r="P3289" s="8" t="s">
        <v>13392</v>
      </c>
      <c r="Q3289" s="8" t="s">
        <v>4262</v>
      </c>
      <c r="R3289" s="8">
        <v>0.16300000000000001</v>
      </c>
      <c r="S3289" s="8">
        <v>42088694</v>
      </c>
      <c r="T3289" s="8" t="s">
        <v>24</v>
      </c>
      <c r="U3289" s="8" t="s">
        <v>25</v>
      </c>
    </row>
    <row r="3290" spans="1:21">
      <c r="A3290" s="8" t="s">
        <v>10349</v>
      </c>
      <c r="B3290" s="8" t="s">
        <v>13394</v>
      </c>
      <c r="C3290" s="8">
        <v>7529</v>
      </c>
      <c r="D3290" s="8" t="s">
        <v>188</v>
      </c>
      <c r="E3290" s="8">
        <v>43530253</v>
      </c>
      <c r="F3290" s="8">
        <v>43530253</v>
      </c>
      <c r="G3290" s="8" t="s">
        <v>24</v>
      </c>
      <c r="H3290" s="8" t="s">
        <v>25</v>
      </c>
      <c r="I3290" s="8" t="s">
        <v>23</v>
      </c>
      <c r="J3290" s="8" t="s">
        <v>13395</v>
      </c>
      <c r="K3290" s="8" t="s">
        <v>13396</v>
      </c>
      <c r="L3290" s="8" t="s">
        <v>19</v>
      </c>
      <c r="M3290" s="8">
        <v>361</v>
      </c>
      <c r="N3290" s="8" t="s">
        <v>155</v>
      </c>
      <c r="O3290" s="8">
        <v>27</v>
      </c>
      <c r="P3290" s="8" t="s">
        <v>10390</v>
      </c>
      <c r="Q3290" s="8" t="s">
        <v>4262</v>
      </c>
      <c r="R3290" s="8">
        <v>0.20899999999999999</v>
      </c>
      <c r="S3290" s="8">
        <v>43530253</v>
      </c>
      <c r="T3290" s="8" t="s">
        <v>24</v>
      </c>
      <c r="U3290" s="8" t="s">
        <v>25</v>
      </c>
    </row>
    <row r="3291" spans="1:21">
      <c r="A3291" s="8" t="s">
        <v>10349</v>
      </c>
      <c r="B3291" s="8" t="s">
        <v>13397</v>
      </c>
      <c r="C3291" s="8">
        <v>6406</v>
      </c>
      <c r="D3291" s="8" t="s">
        <v>188</v>
      </c>
      <c r="E3291" s="8">
        <v>43836260</v>
      </c>
      <c r="F3291" s="8">
        <v>43836260</v>
      </c>
      <c r="G3291" s="8" t="s">
        <v>46</v>
      </c>
      <c r="H3291" s="8" t="s">
        <v>41</v>
      </c>
      <c r="I3291" s="8" t="s">
        <v>23</v>
      </c>
      <c r="J3291" s="8" t="s">
        <v>13398</v>
      </c>
      <c r="K3291" s="8" t="s">
        <v>13400</v>
      </c>
      <c r="L3291" s="8" t="s">
        <v>19</v>
      </c>
      <c r="M3291" s="8">
        <v>379</v>
      </c>
      <c r="N3291" s="8" t="s">
        <v>2843</v>
      </c>
      <c r="O3291" s="8">
        <v>108</v>
      </c>
      <c r="P3291" s="8" t="s">
        <v>13399</v>
      </c>
      <c r="Q3291" s="8" t="s">
        <v>4262</v>
      </c>
      <c r="R3291" s="8">
        <v>0.22700000000000001</v>
      </c>
      <c r="S3291" s="8">
        <v>43836260</v>
      </c>
      <c r="T3291" s="8" t="s">
        <v>46</v>
      </c>
      <c r="U3291" s="8" t="s">
        <v>41</v>
      </c>
    </row>
    <row r="3292" spans="1:21">
      <c r="A3292" s="8" t="s">
        <v>10349</v>
      </c>
      <c r="B3292" s="8" t="s">
        <v>13401</v>
      </c>
      <c r="C3292" s="8">
        <v>8202</v>
      </c>
      <c r="D3292" s="8" t="s">
        <v>188</v>
      </c>
      <c r="E3292" s="8">
        <v>46268698</v>
      </c>
      <c r="F3292" s="8">
        <v>46268698</v>
      </c>
      <c r="G3292" s="8" t="s">
        <v>24</v>
      </c>
      <c r="H3292" s="8" t="s">
        <v>25</v>
      </c>
      <c r="I3292" s="8" t="s">
        <v>23</v>
      </c>
      <c r="J3292" s="8" t="s">
        <v>13402</v>
      </c>
      <c r="K3292" s="8" t="s">
        <v>13404</v>
      </c>
      <c r="L3292" s="8" t="s">
        <v>19</v>
      </c>
      <c r="M3292" s="8">
        <v>3244</v>
      </c>
      <c r="N3292" s="8" t="s">
        <v>768</v>
      </c>
      <c r="O3292" s="8">
        <v>995</v>
      </c>
      <c r="P3292" s="8" t="s">
        <v>13403</v>
      </c>
      <c r="Q3292" s="8" t="s">
        <v>4262</v>
      </c>
      <c r="R3292" s="8">
        <v>0.222</v>
      </c>
      <c r="S3292" s="8">
        <v>46268698</v>
      </c>
      <c r="T3292" s="8" t="s">
        <v>24</v>
      </c>
      <c r="U3292" s="8" t="s">
        <v>25</v>
      </c>
    </row>
    <row r="3293" spans="1:21">
      <c r="A3293" s="8" t="s">
        <v>10349</v>
      </c>
      <c r="B3293" s="8" t="s">
        <v>5396</v>
      </c>
      <c r="C3293" s="8">
        <v>55661</v>
      </c>
      <c r="D3293" s="8" t="s">
        <v>188</v>
      </c>
      <c r="E3293" s="8">
        <v>47852758</v>
      </c>
      <c r="F3293" s="8">
        <v>47852758</v>
      </c>
      <c r="G3293" s="8" t="s">
        <v>24</v>
      </c>
      <c r="H3293" s="8" t="s">
        <v>25</v>
      </c>
      <c r="I3293" s="8" t="s">
        <v>23</v>
      </c>
      <c r="J3293" s="8" t="s">
        <v>5397</v>
      </c>
      <c r="K3293" s="8" t="s">
        <v>5399</v>
      </c>
      <c r="L3293" s="8" t="s">
        <v>19</v>
      </c>
      <c r="M3293" s="8">
        <v>1653</v>
      </c>
      <c r="N3293" s="8" t="s">
        <v>1399</v>
      </c>
      <c r="O3293" s="8">
        <v>531</v>
      </c>
      <c r="P3293" s="8" t="s">
        <v>13405</v>
      </c>
      <c r="Q3293" s="8" t="s">
        <v>4262</v>
      </c>
      <c r="R3293" s="8">
        <v>0.16700000000000001</v>
      </c>
      <c r="S3293" s="8">
        <v>47852758</v>
      </c>
      <c r="T3293" s="8" t="s">
        <v>24</v>
      </c>
      <c r="U3293" s="8" t="s">
        <v>25</v>
      </c>
    </row>
    <row r="3294" spans="1:21">
      <c r="A3294" s="8" t="s">
        <v>10349</v>
      </c>
      <c r="B3294" s="8" t="s">
        <v>13406</v>
      </c>
      <c r="C3294" s="8">
        <v>3745</v>
      </c>
      <c r="D3294" s="8" t="s">
        <v>188</v>
      </c>
      <c r="E3294" s="8">
        <v>47991235</v>
      </c>
      <c r="F3294" s="8">
        <v>47991235</v>
      </c>
      <c r="G3294" s="8" t="s">
        <v>24</v>
      </c>
      <c r="H3294" s="8" t="s">
        <v>25</v>
      </c>
      <c r="I3294" s="8" t="s">
        <v>23</v>
      </c>
      <c r="J3294" s="8" t="s">
        <v>13407</v>
      </c>
      <c r="K3294" s="8" t="s">
        <v>13409</v>
      </c>
      <c r="L3294" s="8" t="s">
        <v>76</v>
      </c>
      <c r="M3294" s="8">
        <v>1026</v>
      </c>
      <c r="N3294" s="8" t="s">
        <v>2720</v>
      </c>
      <c r="O3294" s="8">
        <v>288</v>
      </c>
      <c r="P3294" s="8" t="s">
        <v>13408</v>
      </c>
      <c r="Q3294" s="8" t="s">
        <v>4262</v>
      </c>
      <c r="R3294" s="8">
        <v>0.25</v>
      </c>
      <c r="S3294" s="8">
        <v>47991235</v>
      </c>
      <c r="T3294" s="8" t="s">
        <v>24</v>
      </c>
      <c r="U3294" s="8" t="s">
        <v>25</v>
      </c>
    </row>
    <row r="3295" spans="1:21">
      <c r="A3295" s="8" t="s">
        <v>10349</v>
      </c>
      <c r="B3295" s="8" t="s">
        <v>1942</v>
      </c>
      <c r="C3295" s="8">
        <v>9334</v>
      </c>
      <c r="D3295" s="8" t="s">
        <v>188</v>
      </c>
      <c r="E3295" s="8">
        <v>48256291</v>
      </c>
      <c r="F3295" s="8">
        <v>48256291</v>
      </c>
      <c r="G3295" s="8" t="s">
        <v>46</v>
      </c>
      <c r="H3295" s="8" t="s">
        <v>41</v>
      </c>
      <c r="I3295" s="8" t="s">
        <v>23</v>
      </c>
      <c r="J3295" s="8" t="s">
        <v>13410</v>
      </c>
      <c r="K3295" s="8" t="s">
        <v>13412</v>
      </c>
      <c r="L3295" s="8" t="s">
        <v>19</v>
      </c>
      <c r="M3295" s="8">
        <v>1035</v>
      </c>
      <c r="N3295" s="8" t="s">
        <v>758</v>
      </c>
      <c r="O3295" s="8">
        <v>281</v>
      </c>
      <c r="P3295" s="8" t="s">
        <v>13411</v>
      </c>
      <c r="Q3295" s="8" t="s">
        <v>4262</v>
      </c>
      <c r="R3295" s="8">
        <v>0.2</v>
      </c>
      <c r="S3295" s="8">
        <v>48256291</v>
      </c>
      <c r="T3295" s="8" t="s">
        <v>46</v>
      </c>
      <c r="U3295" s="8" t="s">
        <v>41</v>
      </c>
    </row>
    <row r="3296" spans="1:21">
      <c r="A3296" s="8" t="s">
        <v>10349</v>
      </c>
      <c r="B3296" s="8" t="s">
        <v>13413</v>
      </c>
      <c r="C3296" s="8">
        <v>11096</v>
      </c>
      <c r="D3296" s="8" t="s">
        <v>193</v>
      </c>
      <c r="E3296" s="8">
        <v>28296838</v>
      </c>
      <c r="F3296" s="8">
        <v>28296838</v>
      </c>
      <c r="G3296" s="8" t="s">
        <v>24</v>
      </c>
      <c r="H3296" s="8" t="s">
        <v>25</v>
      </c>
      <c r="I3296" s="8" t="s">
        <v>23</v>
      </c>
      <c r="J3296" s="8" t="s">
        <v>13414</v>
      </c>
      <c r="K3296" s="8" t="s">
        <v>13416</v>
      </c>
      <c r="L3296" s="8" t="s">
        <v>19</v>
      </c>
      <c r="M3296" s="8">
        <v>3056</v>
      </c>
      <c r="N3296" s="8" t="s">
        <v>1421</v>
      </c>
      <c r="O3296" s="8">
        <v>776</v>
      </c>
      <c r="P3296" s="8" t="s">
        <v>13415</v>
      </c>
      <c r="Q3296" s="8" t="s">
        <v>4262</v>
      </c>
      <c r="R3296" s="8">
        <v>0.106</v>
      </c>
      <c r="S3296" s="8">
        <v>28296838</v>
      </c>
      <c r="T3296" s="8" t="s">
        <v>24</v>
      </c>
      <c r="U3296" s="8" t="s">
        <v>25</v>
      </c>
    </row>
    <row r="3297" spans="1:21">
      <c r="A3297" s="8" t="s">
        <v>10349</v>
      </c>
      <c r="B3297" s="8" t="s">
        <v>13417</v>
      </c>
      <c r="C3297" s="8">
        <v>26046</v>
      </c>
      <c r="D3297" s="8" t="s">
        <v>193</v>
      </c>
      <c r="E3297" s="8">
        <v>30329724</v>
      </c>
      <c r="F3297" s="8">
        <v>30329724</v>
      </c>
      <c r="G3297" s="8" t="s">
        <v>46</v>
      </c>
      <c r="H3297" s="8" t="s">
        <v>41</v>
      </c>
      <c r="I3297" s="8" t="s">
        <v>23</v>
      </c>
      <c r="J3297" s="8" t="s">
        <v>13418</v>
      </c>
      <c r="K3297" s="8" t="s">
        <v>13420</v>
      </c>
      <c r="L3297" s="8" t="s">
        <v>19</v>
      </c>
      <c r="M3297" s="8">
        <v>2973</v>
      </c>
      <c r="N3297" s="8" t="s">
        <v>494</v>
      </c>
      <c r="O3297" s="8">
        <v>987</v>
      </c>
      <c r="P3297" s="8" t="s">
        <v>13419</v>
      </c>
      <c r="Q3297" s="8" t="s">
        <v>4262</v>
      </c>
      <c r="R3297" s="8">
        <v>0.13800000000000001</v>
      </c>
      <c r="S3297" s="8">
        <v>30329724</v>
      </c>
      <c r="T3297" s="8" t="s">
        <v>46</v>
      </c>
      <c r="U3297" s="8" t="s">
        <v>41</v>
      </c>
    </row>
    <row r="3298" spans="1:21">
      <c r="A3298" s="8" t="s">
        <v>10349</v>
      </c>
      <c r="B3298" s="8" t="s">
        <v>13421</v>
      </c>
      <c r="C3298" s="8">
        <v>337968</v>
      </c>
      <c r="D3298" s="8" t="s">
        <v>193</v>
      </c>
      <c r="E3298" s="8">
        <v>31964831</v>
      </c>
      <c r="F3298" s="8">
        <v>31964831</v>
      </c>
      <c r="G3298" s="8" t="s">
        <v>24</v>
      </c>
      <c r="H3298" s="8" t="s">
        <v>25</v>
      </c>
      <c r="I3298" s="8" t="s">
        <v>23</v>
      </c>
      <c r="J3298" s="8" t="s">
        <v>13422</v>
      </c>
      <c r="K3298" s="8" t="s">
        <v>13424</v>
      </c>
      <c r="L3298" s="8" t="s">
        <v>19</v>
      </c>
      <c r="M3298" s="8">
        <v>73</v>
      </c>
      <c r="N3298" s="8" t="s">
        <v>28</v>
      </c>
      <c r="O3298" s="8">
        <v>23</v>
      </c>
      <c r="P3298" s="8" t="s">
        <v>13423</v>
      </c>
      <c r="Q3298" s="8" t="s">
        <v>4262</v>
      </c>
      <c r="R3298" s="8">
        <v>0.12</v>
      </c>
      <c r="S3298" s="8">
        <v>31964831</v>
      </c>
      <c r="T3298" s="8" t="s">
        <v>24</v>
      </c>
      <c r="U3298" s="8" t="s">
        <v>25</v>
      </c>
    </row>
    <row r="3299" spans="1:21">
      <c r="A3299" s="8" t="s">
        <v>10349</v>
      </c>
      <c r="B3299" s="8" t="s">
        <v>13425</v>
      </c>
      <c r="C3299" s="8">
        <v>337975</v>
      </c>
      <c r="D3299" s="8" t="s">
        <v>193</v>
      </c>
      <c r="E3299" s="8">
        <v>31988787</v>
      </c>
      <c r="F3299" s="8">
        <v>31988787</v>
      </c>
      <c r="G3299" s="8" t="s">
        <v>24</v>
      </c>
      <c r="H3299" s="8" t="s">
        <v>25</v>
      </c>
      <c r="I3299" s="8" t="s">
        <v>23</v>
      </c>
      <c r="J3299" s="8" t="s">
        <v>13426</v>
      </c>
      <c r="K3299" s="8" t="s">
        <v>13428</v>
      </c>
      <c r="L3299" s="8" t="s">
        <v>19</v>
      </c>
      <c r="M3299" s="8">
        <v>14</v>
      </c>
      <c r="N3299" s="8" t="s">
        <v>708</v>
      </c>
      <c r="O3299" s="8">
        <v>5</v>
      </c>
      <c r="P3299" s="8" t="s">
        <v>13427</v>
      </c>
      <c r="Q3299" s="8" t="s">
        <v>4262</v>
      </c>
      <c r="R3299" s="8">
        <v>0.16</v>
      </c>
      <c r="S3299" s="8">
        <v>31988787</v>
      </c>
      <c r="T3299" s="8" t="s">
        <v>24</v>
      </c>
      <c r="U3299" s="8" t="s">
        <v>25</v>
      </c>
    </row>
    <row r="3300" spans="1:21">
      <c r="A3300" s="8" t="s">
        <v>10349</v>
      </c>
      <c r="B3300" s="8" t="s">
        <v>13429</v>
      </c>
      <c r="C3300" s="8">
        <v>8867</v>
      </c>
      <c r="D3300" s="8" t="s">
        <v>193</v>
      </c>
      <c r="E3300" s="8">
        <v>34015734</v>
      </c>
      <c r="F3300" s="8">
        <v>34015734</v>
      </c>
      <c r="G3300" s="8" t="s">
        <v>46</v>
      </c>
      <c r="H3300" s="8" t="s">
        <v>41</v>
      </c>
      <c r="I3300" s="8" t="s">
        <v>23</v>
      </c>
      <c r="J3300" s="8" t="s">
        <v>13430</v>
      </c>
      <c r="K3300" s="8" t="s">
        <v>13432</v>
      </c>
      <c r="L3300" s="8" t="s">
        <v>19</v>
      </c>
      <c r="M3300" s="8">
        <v>3581</v>
      </c>
      <c r="N3300" s="8" t="s">
        <v>2483</v>
      </c>
      <c r="O3300" s="8">
        <v>1194</v>
      </c>
      <c r="P3300" s="8" t="s">
        <v>13431</v>
      </c>
      <c r="Q3300" s="8" t="s">
        <v>4262</v>
      </c>
      <c r="R3300" s="8">
        <v>0.125</v>
      </c>
      <c r="S3300" s="8">
        <v>34015734</v>
      </c>
      <c r="T3300" s="8" t="s">
        <v>46</v>
      </c>
      <c r="U3300" s="8" t="s">
        <v>41</v>
      </c>
    </row>
    <row r="3301" spans="1:21">
      <c r="A3301" s="8" t="s">
        <v>10349</v>
      </c>
      <c r="B3301" s="8" t="s">
        <v>13433</v>
      </c>
      <c r="C3301" s="8">
        <v>94104</v>
      </c>
      <c r="D3301" s="8" t="s">
        <v>193</v>
      </c>
      <c r="E3301" s="8">
        <v>34134527</v>
      </c>
      <c r="F3301" s="8">
        <v>34134527</v>
      </c>
      <c r="G3301" s="8" t="s">
        <v>46</v>
      </c>
      <c r="H3301" s="8" t="s">
        <v>41</v>
      </c>
      <c r="I3301" s="8" t="s">
        <v>23</v>
      </c>
      <c r="J3301" s="8" t="s">
        <v>13434</v>
      </c>
      <c r="K3301" s="8" t="s">
        <v>13436</v>
      </c>
      <c r="L3301" s="8" t="s">
        <v>19</v>
      </c>
      <c r="M3301" s="8">
        <v>941</v>
      </c>
      <c r="N3301" s="8" t="s">
        <v>536</v>
      </c>
      <c r="O3301" s="8">
        <v>251</v>
      </c>
      <c r="P3301" s="8" t="s">
        <v>13435</v>
      </c>
      <c r="Q3301" s="8" t="s">
        <v>4262</v>
      </c>
      <c r="R3301" s="8">
        <v>0.23799999999999999</v>
      </c>
      <c r="S3301" s="8">
        <v>34134527</v>
      </c>
      <c r="T3301" s="8" t="s">
        <v>46</v>
      </c>
      <c r="U3301" s="8" t="s">
        <v>41</v>
      </c>
    </row>
    <row r="3302" spans="1:21">
      <c r="A3302" s="8" t="s">
        <v>10349</v>
      </c>
      <c r="B3302" s="8" t="s">
        <v>4092</v>
      </c>
      <c r="C3302" s="8">
        <v>9946</v>
      </c>
      <c r="D3302" s="8" t="s">
        <v>193</v>
      </c>
      <c r="E3302" s="8">
        <v>34975811</v>
      </c>
      <c r="F3302" s="8">
        <v>34975811</v>
      </c>
      <c r="G3302" s="8" t="s">
        <v>46</v>
      </c>
      <c r="H3302" s="8" t="s">
        <v>41</v>
      </c>
      <c r="I3302" s="8" t="s">
        <v>23</v>
      </c>
      <c r="J3302" s="8" t="s">
        <v>13437</v>
      </c>
      <c r="K3302" s="8" t="s">
        <v>13439</v>
      </c>
      <c r="L3302" s="8" t="s">
        <v>19</v>
      </c>
      <c r="M3302" s="8">
        <v>544</v>
      </c>
      <c r="N3302" s="8" t="s">
        <v>1070</v>
      </c>
      <c r="O3302" s="8">
        <v>122</v>
      </c>
      <c r="P3302" s="8" t="s">
        <v>13438</v>
      </c>
      <c r="Q3302" s="8" t="s">
        <v>4262</v>
      </c>
      <c r="R3302" s="8">
        <v>0.188</v>
      </c>
      <c r="S3302" s="8">
        <v>34975811</v>
      </c>
      <c r="T3302" s="8" t="s">
        <v>46</v>
      </c>
      <c r="U3302" s="8" t="s">
        <v>41</v>
      </c>
    </row>
    <row r="3303" spans="1:21">
      <c r="A3303" s="8" t="s">
        <v>10349</v>
      </c>
      <c r="B3303" s="8" t="s">
        <v>2652</v>
      </c>
      <c r="C3303" s="8">
        <v>23515</v>
      </c>
      <c r="D3303" s="8" t="s">
        <v>193</v>
      </c>
      <c r="E3303" s="8">
        <v>37741744</v>
      </c>
      <c r="F3303" s="8">
        <v>37741744</v>
      </c>
      <c r="G3303" s="8" t="s">
        <v>24</v>
      </c>
      <c r="H3303" s="8" t="s">
        <v>25</v>
      </c>
      <c r="I3303" s="8" t="s">
        <v>23</v>
      </c>
      <c r="J3303" s="8" t="s">
        <v>2653</v>
      </c>
      <c r="K3303" s="8" t="s">
        <v>5240</v>
      </c>
      <c r="L3303" s="8" t="s">
        <v>19</v>
      </c>
      <c r="M3303" s="8">
        <v>2154</v>
      </c>
      <c r="N3303" s="8" t="s">
        <v>205</v>
      </c>
      <c r="O3303" s="8">
        <v>693</v>
      </c>
      <c r="P3303" s="8" t="s">
        <v>13440</v>
      </c>
      <c r="Q3303" s="8" t="s">
        <v>4262</v>
      </c>
      <c r="R3303" s="8">
        <v>0.25</v>
      </c>
      <c r="S3303" s="8">
        <v>37741744</v>
      </c>
      <c r="T3303" s="8" t="s">
        <v>24</v>
      </c>
      <c r="U3303" s="8" t="s">
        <v>25</v>
      </c>
    </row>
    <row r="3304" spans="1:21">
      <c r="A3304" s="8" t="s">
        <v>10349</v>
      </c>
      <c r="B3304" s="8" t="s">
        <v>13441</v>
      </c>
      <c r="C3304" s="8">
        <v>2078</v>
      </c>
      <c r="D3304" s="8" t="s">
        <v>193</v>
      </c>
      <c r="E3304" s="8">
        <v>39762916</v>
      </c>
      <c r="F3304" s="8">
        <v>39762916</v>
      </c>
      <c r="G3304" s="8" t="s">
        <v>46</v>
      </c>
      <c r="H3304" s="8" t="s">
        <v>41</v>
      </c>
      <c r="I3304" s="8" t="s">
        <v>23</v>
      </c>
      <c r="J3304" s="8" t="s">
        <v>13442</v>
      </c>
      <c r="K3304" s="8" t="s">
        <v>13443</v>
      </c>
      <c r="L3304" s="8" t="s">
        <v>68</v>
      </c>
      <c r="M3304" s="8">
        <v>0</v>
      </c>
      <c r="N3304" s="8" t="s">
        <v>35</v>
      </c>
      <c r="O3304" s="8">
        <v>0</v>
      </c>
      <c r="P3304" s="8" t="s">
        <v>35</v>
      </c>
      <c r="Q3304" s="8" t="s">
        <v>4262</v>
      </c>
      <c r="R3304" s="8">
        <v>0.23400000000000001</v>
      </c>
      <c r="S3304" s="8">
        <v>39762916</v>
      </c>
      <c r="T3304" s="8" t="s">
        <v>46</v>
      </c>
      <c r="U3304" s="8" t="s">
        <v>41</v>
      </c>
    </row>
    <row r="3305" spans="1:21">
      <c r="A3305" s="8" t="s">
        <v>10349</v>
      </c>
      <c r="B3305" s="8" t="s">
        <v>2654</v>
      </c>
      <c r="C3305" s="8">
        <v>1826</v>
      </c>
      <c r="D3305" s="8" t="s">
        <v>193</v>
      </c>
      <c r="E3305" s="8">
        <v>41516588</v>
      </c>
      <c r="F3305" s="8">
        <v>41516588</v>
      </c>
      <c r="G3305" s="8" t="s">
        <v>46</v>
      </c>
      <c r="H3305" s="8" t="s">
        <v>41</v>
      </c>
      <c r="I3305" s="8" t="s">
        <v>23</v>
      </c>
      <c r="J3305" s="8" t="s">
        <v>2655</v>
      </c>
      <c r="K3305" s="8" t="s">
        <v>13445</v>
      </c>
      <c r="L3305" s="8" t="s">
        <v>19</v>
      </c>
      <c r="M3305" s="8">
        <v>3541</v>
      </c>
      <c r="N3305" s="8" t="s">
        <v>1399</v>
      </c>
      <c r="O3305" s="8">
        <v>1030</v>
      </c>
      <c r="P3305" s="8" t="s">
        <v>13444</v>
      </c>
      <c r="Q3305" s="8" t="s">
        <v>4262</v>
      </c>
      <c r="R3305" s="8">
        <v>0.23499999999999999</v>
      </c>
      <c r="S3305" s="8">
        <v>41516588</v>
      </c>
      <c r="T3305" s="8" t="s">
        <v>46</v>
      </c>
      <c r="U3305" s="8" t="s">
        <v>41</v>
      </c>
    </row>
    <row r="3306" spans="1:21">
      <c r="A3306" s="8" t="s">
        <v>10349</v>
      </c>
      <c r="B3306" s="8" t="s">
        <v>13446</v>
      </c>
      <c r="C3306" s="8">
        <v>25825</v>
      </c>
      <c r="D3306" s="8" t="s">
        <v>193</v>
      </c>
      <c r="E3306" s="8">
        <v>42647375</v>
      </c>
      <c r="F3306" s="8">
        <v>42647375</v>
      </c>
      <c r="G3306" s="8" t="s">
        <v>46</v>
      </c>
      <c r="H3306" s="8" t="s">
        <v>41</v>
      </c>
      <c r="I3306" s="8" t="s">
        <v>23</v>
      </c>
      <c r="J3306" s="8" t="s">
        <v>13447</v>
      </c>
      <c r="K3306" s="8" t="s">
        <v>13449</v>
      </c>
      <c r="L3306" s="8" t="s">
        <v>76</v>
      </c>
      <c r="M3306" s="8">
        <v>1844</v>
      </c>
      <c r="N3306" s="8" t="s">
        <v>371</v>
      </c>
      <c r="O3306" s="8">
        <v>461</v>
      </c>
      <c r="P3306" s="8" t="s">
        <v>13448</v>
      </c>
      <c r="Q3306" s="8" t="s">
        <v>4262</v>
      </c>
      <c r="R3306" s="8">
        <v>0.29599999999999999</v>
      </c>
      <c r="S3306" s="8">
        <v>42647375</v>
      </c>
      <c r="T3306" s="8" t="s">
        <v>46</v>
      </c>
      <c r="U3306" s="8" t="s">
        <v>41</v>
      </c>
    </row>
    <row r="3307" spans="1:21">
      <c r="A3307" s="8" t="s">
        <v>10349</v>
      </c>
      <c r="B3307" s="8" t="s">
        <v>13450</v>
      </c>
      <c r="C3307" s="8">
        <v>353332</v>
      </c>
      <c r="D3307" s="8" t="s">
        <v>193</v>
      </c>
      <c r="E3307" s="8">
        <v>46101844</v>
      </c>
      <c r="F3307" s="8">
        <v>46101844</v>
      </c>
      <c r="G3307" s="8" t="s">
        <v>25</v>
      </c>
      <c r="H3307" s="8" t="s">
        <v>41</v>
      </c>
      <c r="I3307" s="8" t="s">
        <v>23</v>
      </c>
      <c r="J3307" s="8" t="s">
        <v>13451</v>
      </c>
      <c r="K3307" s="8" t="s">
        <v>13453</v>
      </c>
      <c r="L3307" s="8" t="s">
        <v>76</v>
      </c>
      <c r="M3307" s="8">
        <v>235</v>
      </c>
      <c r="N3307" s="8" t="s">
        <v>3881</v>
      </c>
      <c r="O3307" s="8">
        <v>65</v>
      </c>
      <c r="P3307" s="8" t="s">
        <v>13452</v>
      </c>
      <c r="Q3307" s="8" t="s">
        <v>4262</v>
      </c>
      <c r="R3307" s="8">
        <v>0.35699999999999998</v>
      </c>
      <c r="S3307" s="8">
        <v>46101844</v>
      </c>
      <c r="T3307" s="8" t="s">
        <v>25</v>
      </c>
      <c r="U3307" s="8" t="s">
        <v>41</v>
      </c>
    </row>
    <row r="3308" spans="1:21">
      <c r="A3308" s="8" t="s">
        <v>10349</v>
      </c>
      <c r="B3308" s="8" t="s">
        <v>13454</v>
      </c>
      <c r="C3308" s="8">
        <v>23784</v>
      </c>
      <c r="D3308" s="8" t="s">
        <v>197</v>
      </c>
      <c r="E3308" s="8">
        <v>16287702</v>
      </c>
      <c r="F3308" s="8">
        <v>16287702</v>
      </c>
      <c r="G3308" s="8" t="s">
        <v>46</v>
      </c>
      <c r="H3308" s="8" t="s">
        <v>41</v>
      </c>
      <c r="I3308" s="8" t="s">
        <v>23</v>
      </c>
      <c r="J3308" s="8" t="s">
        <v>13455</v>
      </c>
      <c r="K3308" s="8" t="s">
        <v>13457</v>
      </c>
      <c r="L3308" s="8" t="s">
        <v>19</v>
      </c>
      <c r="M3308" s="8">
        <v>236</v>
      </c>
      <c r="N3308" s="8" t="s">
        <v>536</v>
      </c>
      <c r="O3308" s="8">
        <v>62</v>
      </c>
      <c r="P3308" s="8" t="s">
        <v>13456</v>
      </c>
      <c r="Q3308" s="8" t="s">
        <v>4262</v>
      </c>
      <c r="R3308" s="8">
        <v>6.5000000000000002E-2</v>
      </c>
      <c r="S3308" s="8">
        <v>16287702</v>
      </c>
      <c r="T3308" s="8" t="s">
        <v>46</v>
      </c>
      <c r="U3308" s="8" t="s">
        <v>41</v>
      </c>
    </row>
    <row r="3309" spans="1:21">
      <c r="A3309" s="8" t="s">
        <v>10349</v>
      </c>
      <c r="B3309" s="8" t="s">
        <v>3142</v>
      </c>
      <c r="C3309" s="8">
        <v>23544</v>
      </c>
      <c r="D3309" s="8" t="s">
        <v>197</v>
      </c>
      <c r="E3309" s="8">
        <v>26747089</v>
      </c>
      <c r="F3309" s="8">
        <v>26747089</v>
      </c>
      <c r="G3309" s="8" t="s">
        <v>24</v>
      </c>
      <c r="H3309" s="8" t="s">
        <v>25</v>
      </c>
      <c r="I3309" s="8" t="s">
        <v>23</v>
      </c>
      <c r="J3309" s="8" t="s">
        <v>7875</v>
      </c>
      <c r="K3309" s="8" t="s">
        <v>7877</v>
      </c>
      <c r="L3309" s="8" t="s">
        <v>19</v>
      </c>
      <c r="M3309" s="8">
        <v>2675</v>
      </c>
      <c r="N3309" s="8" t="s">
        <v>28</v>
      </c>
      <c r="O3309" s="8">
        <v>827</v>
      </c>
      <c r="P3309" s="8" t="s">
        <v>13458</v>
      </c>
      <c r="Q3309" s="8" t="s">
        <v>4262</v>
      </c>
      <c r="R3309" s="8">
        <v>0.21099999999999999</v>
      </c>
      <c r="S3309" s="8">
        <v>26747089</v>
      </c>
      <c r="T3309" s="8" t="s">
        <v>24</v>
      </c>
      <c r="U3309" s="8" t="s">
        <v>25</v>
      </c>
    </row>
    <row r="3310" spans="1:21">
      <c r="A3310" s="8" t="s">
        <v>10349</v>
      </c>
      <c r="B3310" s="8" t="s">
        <v>1943</v>
      </c>
      <c r="C3310" s="8">
        <v>84164</v>
      </c>
      <c r="D3310" s="8" t="s">
        <v>197</v>
      </c>
      <c r="E3310" s="8">
        <v>30185129</v>
      </c>
      <c r="F3310" s="8">
        <v>30185129</v>
      </c>
      <c r="G3310" s="8" t="s">
        <v>46</v>
      </c>
      <c r="H3310" s="8" t="s">
        <v>41</v>
      </c>
      <c r="I3310" s="8" t="s">
        <v>23</v>
      </c>
      <c r="J3310" s="8" t="s">
        <v>13459</v>
      </c>
      <c r="K3310" s="8" t="s">
        <v>13461</v>
      </c>
      <c r="L3310" s="8" t="s">
        <v>19</v>
      </c>
      <c r="M3310" s="8">
        <v>2291</v>
      </c>
      <c r="N3310" s="8" t="s">
        <v>205</v>
      </c>
      <c r="O3310" s="8">
        <v>716</v>
      </c>
      <c r="P3310" s="8" t="s">
        <v>13460</v>
      </c>
      <c r="Q3310" s="8" t="s">
        <v>4262</v>
      </c>
      <c r="R3310" s="8">
        <v>0.25</v>
      </c>
      <c r="S3310" s="8">
        <v>30185129</v>
      </c>
      <c r="T3310" s="8" t="s">
        <v>46</v>
      </c>
      <c r="U3310" s="8" t="s">
        <v>41</v>
      </c>
    </row>
    <row r="3311" spans="1:21">
      <c r="A3311" s="8" t="s">
        <v>10349</v>
      </c>
      <c r="B3311" s="8" t="s">
        <v>2656</v>
      </c>
      <c r="C3311" s="8">
        <v>8897</v>
      </c>
      <c r="D3311" s="8" t="s">
        <v>197</v>
      </c>
      <c r="E3311" s="8">
        <v>30374446</v>
      </c>
      <c r="F3311" s="8">
        <v>30374446</v>
      </c>
      <c r="G3311" s="8" t="s">
        <v>46</v>
      </c>
      <c r="H3311" s="8" t="s">
        <v>41</v>
      </c>
      <c r="I3311" s="8" t="s">
        <v>23</v>
      </c>
      <c r="J3311" s="8" t="s">
        <v>13462</v>
      </c>
      <c r="K3311" s="8" t="s">
        <v>13464</v>
      </c>
      <c r="L3311" s="8" t="s">
        <v>19</v>
      </c>
      <c r="M3311" s="8">
        <v>347</v>
      </c>
      <c r="N3311" s="8" t="s">
        <v>504</v>
      </c>
      <c r="O3311" s="8">
        <v>7</v>
      </c>
      <c r="P3311" s="8" t="s">
        <v>13463</v>
      </c>
      <c r="Q3311" s="8" t="s">
        <v>4262</v>
      </c>
      <c r="R3311" s="8">
        <v>0.30299999999999999</v>
      </c>
      <c r="S3311" s="8">
        <v>30374446</v>
      </c>
      <c r="T3311" s="8" t="s">
        <v>46</v>
      </c>
      <c r="U3311" s="8" t="s">
        <v>41</v>
      </c>
    </row>
    <row r="3312" spans="1:21">
      <c r="A3312" s="8" t="s">
        <v>10349</v>
      </c>
      <c r="B3312" s="8" t="s">
        <v>2061</v>
      </c>
      <c r="C3312" s="8">
        <v>8224</v>
      </c>
      <c r="D3312" s="8" t="s">
        <v>197</v>
      </c>
      <c r="E3312" s="8">
        <v>32914073</v>
      </c>
      <c r="F3312" s="8">
        <v>32914073</v>
      </c>
      <c r="G3312" s="8" t="s">
        <v>46</v>
      </c>
      <c r="H3312" s="8" t="s">
        <v>41</v>
      </c>
      <c r="I3312" s="8" t="s">
        <v>23</v>
      </c>
      <c r="J3312" s="8" t="s">
        <v>13465</v>
      </c>
      <c r="K3312" s="8" t="s">
        <v>13467</v>
      </c>
      <c r="L3312" s="8" t="s">
        <v>19</v>
      </c>
      <c r="M3312" s="8">
        <v>1726</v>
      </c>
      <c r="N3312" s="8" t="s">
        <v>878</v>
      </c>
      <c r="O3312" s="8">
        <v>523</v>
      </c>
      <c r="P3312" s="8" t="s">
        <v>13466</v>
      </c>
      <c r="Q3312" s="8" t="s">
        <v>4262</v>
      </c>
      <c r="R3312" s="8">
        <v>0.4</v>
      </c>
      <c r="S3312" s="8">
        <v>32914073</v>
      </c>
      <c r="T3312" s="8" t="s">
        <v>46</v>
      </c>
      <c r="U3312" s="8" t="s">
        <v>41</v>
      </c>
    </row>
    <row r="3313" spans="1:21">
      <c r="A3313" s="8" t="s">
        <v>10349</v>
      </c>
      <c r="B3313" s="8" t="s">
        <v>13468</v>
      </c>
      <c r="C3313" s="8">
        <v>10042</v>
      </c>
      <c r="D3313" s="8" t="s">
        <v>197</v>
      </c>
      <c r="E3313" s="8">
        <v>35660841</v>
      </c>
      <c r="F3313" s="8">
        <v>35660841</v>
      </c>
      <c r="G3313" s="8" t="s">
        <v>24</v>
      </c>
      <c r="H3313" s="8" t="s">
        <v>25</v>
      </c>
      <c r="I3313" s="8" t="s">
        <v>23</v>
      </c>
      <c r="J3313" s="8" t="s">
        <v>13469</v>
      </c>
      <c r="K3313" s="8" t="s">
        <v>13471</v>
      </c>
      <c r="L3313" s="8" t="s">
        <v>19</v>
      </c>
      <c r="M3313" s="8">
        <v>634</v>
      </c>
      <c r="N3313" s="8" t="s">
        <v>1364</v>
      </c>
      <c r="O3313" s="8">
        <v>154</v>
      </c>
      <c r="P3313" s="8" t="s">
        <v>13470</v>
      </c>
      <c r="Q3313" s="8" t="s">
        <v>4262</v>
      </c>
      <c r="R3313" s="8">
        <v>0.21299999999999999</v>
      </c>
      <c r="S3313" s="8">
        <v>35660841</v>
      </c>
      <c r="T3313" s="8" t="s">
        <v>24</v>
      </c>
      <c r="U3313" s="8" t="s">
        <v>25</v>
      </c>
    </row>
    <row r="3314" spans="1:21">
      <c r="A3314" s="8" t="s">
        <v>10349</v>
      </c>
      <c r="B3314" s="8" t="s">
        <v>13472</v>
      </c>
      <c r="C3314" s="8">
        <v>4242</v>
      </c>
      <c r="D3314" s="8" t="s">
        <v>197</v>
      </c>
      <c r="E3314" s="8">
        <v>37868527</v>
      </c>
      <c r="F3314" s="8">
        <v>37868527</v>
      </c>
      <c r="G3314" s="8" t="s">
        <v>46</v>
      </c>
      <c r="H3314" s="8" t="s">
        <v>41</v>
      </c>
      <c r="I3314" s="8" t="s">
        <v>23</v>
      </c>
      <c r="J3314" s="8" t="s">
        <v>13473</v>
      </c>
      <c r="K3314" s="8" t="s">
        <v>13475</v>
      </c>
      <c r="L3314" s="8" t="s">
        <v>19</v>
      </c>
      <c r="M3314" s="8">
        <v>1116</v>
      </c>
      <c r="N3314" s="8" t="s">
        <v>21</v>
      </c>
      <c r="O3314" s="8">
        <v>285</v>
      </c>
      <c r="P3314" s="8" t="s">
        <v>13474</v>
      </c>
      <c r="Q3314" s="8" t="s">
        <v>4262</v>
      </c>
      <c r="R3314" s="8">
        <v>0.30599999999999999</v>
      </c>
      <c r="S3314" s="8">
        <v>37868527</v>
      </c>
      <c r="T3314" s="8" t="s">
        <v>46</v>
      </c>
      <c r="U3314" s="8" t="s">
        <v>41</v>
      </c>
    </row>
    <row r="3315" spans="1:21">
      <c r="A3315" s="8" t="s">
        <v>10349</v>
      </c>
      <c r="B3315" s="8" t="s">
        <v>13476</v>
      </c>
      <c r="C3315" s="8">
        <v>7380</v>
      </c>
      <c r="D3315" s="8" t="s">
        <v>197</v>
      </c>
      <c r="E3315" s="8">
        <v>45683062</v>
      </c>
      <c r="F3315" s="8">
        <v>45683062</v>
      </c>
      <c r="G3315" s="8" t="s">
        <v>24</v>
      </c>
      <c r="H3315" s="8" t="s">
        <v>25</v>
      </c>
      <c r="I3315" s="8" t="s">
        <v>23</v>
      </c>
      <c r="J3315" s="8" t="s">
        <v>13477</v>
      </c>
      <c r="K3315" s="8" t="s">
        <v>13479</v>
      </c>
      <c r="L3315" s="8" t="s">
        <v>19</v>
      </c>
      <c r="M3315" s="8">
        <v>245</v>
      </c>
      <c r="N3315" s="8" t="s">
        <v>2483</v>
      </c>
      <c r="O3315" s="8">
        <v>73</v>
      </c>
      <c r="P3315" s="8" t="s">
        <v>13478</v>
      </c>
      <c r="Q3315" s="8" t="s">
        <v>4262</v>
      </c>
      <c r="R3315" s="8">
        <v>0.25</v>
      </c>
      <c r="S3315" s="8">
        <v>45683062</v>
      </c>
      <c r="T3315" s="8" t="s">
        <v>24</v>
      </c>
      <c r="U3315" s="8" t="s">
        <v>25</v>
      </c>
    </row>
    <row r="3316" spans="1:21">
      <c r="A3316" s="8" t="s">
        <v>10349</v>
      </c>
      <c r="B3316" s="8" t="s">
        <v>2658</v>
      </c>
      <c r="C3316" s="8">
        <v>9620</v>
      </c>
      <c r="D3316" s="8" t="s">
        <v>197</v>
      </c>
      <c r="E3316" s="8">
        <v>46765083</v>
      </c>
      <c r="F3316" s="8">
        <v>46765083</v>
      </c>
      <c r="G3316" s="8" t="s">
        <v>46</v>
      </c>
      <c r="H3316" s="8" t="s">
        <v>41</v>
      </c>
      <c r="I3316" s="8" t="s">
        <v>23</v>
      </c>
      <c r="J3316" s="8" t="s">
        <v>2659</v>
      </c>
      <c r="K3316" s="8" t="s">
        <v>5405</v>
      </c>
      <c r="L3316" s="8" t="s">
        <v>19</v>
      </c>
      <c r="M3316" s="8">
        <v>7945</v>
      </c>
      <c r="N3316" s="8" t="s">
        <v>28</v>
      </c>
      <c r="O3316" s="8">
        <v>2649</v>
      </c>
      <c r="P3316" s="8" t="s">
        <v>13480</v>
      </c>
      <c r="Q3316" s="8" t="s">
        <v>4262</v>
      </c>
      <c r="R3316" s="8">
        <v>0.25</v>
      </c>
      <c r="S3316" s="8">
        <v>46765083</v>
      </c>
      <c r="T3316" s="8" t="s">
        <v>46</v>
      </c>
      <c r="U3316" s="8" t="s">
        <v>41</v>
      </c>
    </row>
    <row r="3317" spans="1:21">
      <c r="A3317" s="8" t="s">
        <v>10349</v>
      </c>
      <c r="B3317" s="8" t="s">
        <v>2658</v>
      </c>
      <c r="C3317" s="8">
        <v>9620</v>
      </c>
      <c r="D3317" s="8" t="s">
        <v>197</v>
      </c>
      <c r="E3317" s="8">
        <v>46929548</v>
      </c>
      <c r="F3317" s="8">
        <v>46929548</v>
      </c>
      <c r="G3317" s="8" t="s">
        <v>46</v>
      </c>
      <c r="H3317" s="8" t="s">
        <v>41</v>
      </c>
      <c r="I3317" s="8" t="s">
        <v>23</v>
      </c>
      <c r="J3317" s="8" t="s">
        <v>2659</v>
      </c>
      <c r="K3317" s="8" t="s">
        <v>5405</v>
      </c>
      <c r="L3317" s="8" t="s">
        <v>19</v>
      </c>
      <c r="M3317" s="8">
        <v>3520</v>
      </c>
      <c r="N3317" s="8" t="s">
        <v>941</v>
      </c>
      <c r="O3317" s="8">
        <v>1174</v>
      </c>
      <c r="P3317" s="8" t="s">
        <v>13481</v>
      </c>
      <c r="Q3317" s="8" t="s">
        <v>4262</v>
      </c>
      <c r="R3317" s="8">
        <v>0.38500000000000001</v>
      </c>
      <c r="S3317" s="8">
        <v>46929548</v>
      </c>
      <c r="T3317" s="8" t="s">
        <v>46</v>
      </c>
      <c r="U3317" s="8" t="s">
        <v>41</v>
      </c>
    </row>
    <row r="3318" spans="1:21">
      <c r="A3318" s="8" t="s">
        <v>10349</v>
      </c>
      <c r="B3318" s="8" t="s">
        <v>2844</v>
      </c>
      <c r="C3318" s="8">
        <v>494197</v>
      </c>
      <c r="D3318" s="8" t="s">
        <v>418</v>
      </c>
      <c r="E3318" s="8">
        <v>52826360</v>
      </c>
      <c r="F3318" s="8">
        <v>52826360</v>
      </c>
      <c r="G3318" s="8" t="s">
        <v>46</v>
      </c>
      <c r="H3318" s="8" t="s">
        <v>41</v>
      </c>
      <c r="I3318" s="8" t="s">
        <v>23</v>
      </c>
      <c r="J3318" s="8" t="s">
        <v>2845</v>
      </c>
      <c r="K3318" s="8" t="s">
        <v>13483</v>
      </c>
      <c r="L3318" s="8" t="s">
        <v>19</v>
      </c>
      <c r="M3318" s="8">
        <v>29</v>
      </c>
      <c r="N3318" s="8" t="s">
        <v>1399</v>
      </c>
      <c r="O3318" s="8">
        <v>10</v>
      </c>
      <c r="P3318" s="8" t="s">
        <v>13482</v>
      </c>
      <c r="Q3318" s="8" t="s">
        <v>4262</v>
      </c>
      <c r="R3318" s="8">
        <v>0.318</v>
      </c>
      <c r="S3318" s="8">
        <v>52826360</v>
      </c>
      <c r="T3318" s="8" t="s">
        <v>46</v>
      </c>
      <c r="U3318" s="8" t="s">
        <v>41</v>
      </c>
    </row>
    <row r="3319" spans="1:21">
      <c r="A3319" s="8" t="s">
        <v>10349</v>
      </c>
      <c r="B3319" s="8" t="s">
        <v>2848</v>
      </c>
      <c r="C3319" s="8">
        <v>54857</v>
      </c>
      <c r="D3319" s="8" t="s">
        <v>418</v>
      </c>
      <c r="E3319" s="8">
        <v>69652207</v>
      </c>
      <c r="F3319" s="8">
        <v>69652207</v>
      </c>
      <c r="G3319" s="8" t="s">
        <v>46</v>
      </c>
      <c r="H3319" s="8" t="s">
        <v>41</v>
      </c>
      <c r="I3319" s="8" t="s">
        <v>23</v>
      </c>
      <c r="J3319" s="8" t="s">
        <v>13484</v>
      </c>
      <c r="K3319" s="8" t="s">
        <v>13486</v>
      </c>
      <c r="L3319" s="8" t="s">
        <v>19</v>
      </c>
      <c r="M3319" s="8">
        <v>1872</v>
      </c>
      <c r="N3319" s="8" t="s">
        <v>333</v>
      </c>
      <c r="O3319" s="8">
        <v>504</v>
      </c>
      <c r="P3319" s="8" t="s">
        <v>13485</v>
      </c>
      <c r="Q3319" s="8" t="s">
        <v>4262</v>
      </c>
      <c r="R3319" s="8">
        <v>0.42299999999999999</v>
      </c>
      <c r="S3319" s="8">
        <v>69652207</v>
      </c>
      <c r="T3319" s="8" t="s">
        <v>46</v>
      </c>
      <c r="U3319" s="8" t="s">
        <v>41</v>
      </c>
    </row>
    <row r="3320" spans="1:21">
      <c r="A3320" s="8" t="s">
        <v>10349</v>
      </c>
      <c r="B3320" s="8" t="s">
        <v>2850</v>
      </c>
      <c r="C3320" s="8">
        <v>139599</v>
      </c>
      <c r="D3320" s="8" t="s">
        <v>418</v>
      </c>
      <c r="E3320" s="8">
        <v>75004051</v>
      </c>
      <c r="F3320" s="8">
        <v>75004051</v>
      </c>
      <c r="G3320" s="8" t="s">
        <v>46</v>
      </c>
      <c r="H3320" s="8" t="s">
        <v>41</v>
      </c>
      <c r="I3320" s="8" t="s">
        <v>23</v>
      </c>
      <c r="J3320" s="8" t="s">
        <v>2851</v>
      </c>
      <c r="K3320" s="8" t="s">
        <v>13488</v>
      </c>
      <c r="L3320" s="8" t="s">
        <v>76</v>
      </c>
      <c r="M3320" s="8">
        <v>1029</v>
      </c>
      <c r="N3320" s="8" t="s">
        <v>471</v>
      </c>
      <c r="O3320" s="8">
        <v>279</v>
      </c>
      <c r="P3320" s="8" t="s">
        <v>13487</v>
      </c>
      <c r="Q3320" s="8" t="s">
        <v>4262</v>
      </c>
      <c r="R3320" s="8">
        <v>0.33300000000000002</v>
      </c>
      <c r="S3320" s="8">
        <v>75004051</v>
      </c>
      <c r="T3320" s="8" t="s">
        <v>46</v>
      </c>
      <c r="U3320" s="8" t="s">
        <v>41</v>
      </c>
    </row>
    <row r="3321" spans="1:21">
      <c r="A3321" s="8" t="s">
        <v>10349</v>
      </c>
      <c r="B3321" s="8" t="s">
        <v>2852</v>
      </c>
      <c r="C3321" s="8">
        <v>117154</v>
      </c>
      <c r="D3321" s="8" t="s">
        <v>418</v>
      </c>
      <c r="E3321" s="8">
        <v>85969624</v>
      </c>
      <c r="F3321" s="8">
        <v>85969624</v>
      </c>
      <c r="G3321" s="8" t="s">
        <v>24</v>
      </c>
      <c r="H3321" s="8" t="s">
        <v>25</v>
      </c>
      <c r="I3321" s="8" t="s">
        <v>23</v>
      </c>
      <c r="J3321" s="8" t="s">
        <v>13489</v>
      </c>
      <c r="K3321" s="8" t="s">
        <v>13491</v>
      </c>
      <c r="L3321" s="8" t="s">
        <v>19</v>
      </c>
      <c r="M3321" s="8">
        <v>1175</v>
      </c>
      <c r="N3321" s="8" t="s">
        <v>2439</v>
      </c>
      <c r="O3321" s="8">
        <v>335</v>
      </c>
      <c r="P3321" s="8" t="s">
        <v>13490</v>
      </c>
      <c r="Q3321" s="8" t="s">
        <v>4262</v>
      </c>
      <c r="R3321" s="8">
        <v>0.4</v>
      </c>
      <c r="S3321" s="8">
        <v>85969624</v>
      </c>
      <c r="T3321" s="8" t="s">
        <v>24</v>
      </c>
      <c r="U3321" s="8" t="s">
        <v>25</v>
      </c>
    </row>
    <row r="3322" spans="1:21">
      <c r="A3322" s="8" t="s">
        <v>10349</v>
      </c>
      <c r="B3322" s="8" t="s">
        <v>2815</v>
      </c>
      <c r="C3322" s="8">
        <v>56000</v>
      </c>
      <c r="D3322" s="8" t="s">
        <v>418</v>
      </c>
      <c r="E3322" s="8">
        <v>102332652</v>
      </c>
      <c r="F3322" s="8">
        <v>102332652</v>
      </c>
      <c r="G3322" s="8" t="s">
        <v>24</v>
      </c>
      <c r="H3322" s="8" t="s">
        <v>25</v>
      </c>
      <c r="I3322" s="8" t="s">
        <v>23</v>
      </c>
      <c r="J3322" s="8" t="s">
        <v>2816</v>
      </c>
      <c r="K3322" s="8" t="s">
        <v>13493</v>
      </c>
      <c r="L3322" s="8" t="s">
        <v>19</v>
      </c>
      <c r="M3322" s="8">
        <v>1545</v>
      </c>
      <c r="N3322" s="8" t="s">
        <v>58</v>
      </c>
      <c r="O3322" s="8">
        <v>492</v>
      </c>
      <c r="P3322" s="8" t="s">
        <v>13492</v>
      </c>
      <c r="Q3322" s="8" t="s">
        <v>4262</v>
      </c>
      <c r="R3322" s="8">
        <v>0.33300000000000002</v>
      </c>
      <c r="S3322" s="8">
        <v>102332652</v>
      </c>
      <c r="T3322" s="8" t="s">
        <v>24</v>
      </c>
      <c r="U3322" s="8" t="s">
        <v>25</v>
      </c>
    </row>
    <row r="3323" spans="1:21">
      <c r="A3323" s="8" t="s">
        <v>10349</v>
      </c>
      <c r="B3323" s="8" t="s">
        <v>2817</v>
      </c>
      <c r="C3323" s="8">
        <v>56156</v>
      </c>
      <c r="D3323" s="8" t="s">
        <v>418</v>
      </c>
      <c r="E3323" s="8">
        <v>107224946</v>
      </c>
      <c r="F3323" s="8">
        <v>107224946</v>
      </c>
      <c r="G3323" s="8" t="s">
        <v>46</v>
      </c>
      <c r="H3323" s="8" t="s">
        <v>41</v>
      </c>
      <c r="I3323" s="8" t="s">
        <v>23</v>
      </c>
      <c r="J3323" s="8" t="s">
        <v>2818</v>
      </c>
      <c r="K3323" s="8" t="s">
        <v>13495</v>
      </c>
      <c r="L3323" s="8" t="s">
        <v>19</v>
      </c>
      <c r="M3323" s="8">
        <v>505</v>
      </c>
      <c r="N3323" s="8" t="s">
        <v>166</v>
      </c>
      <c r="O3323" s="8">
        <v>138</v>
      </c>
      <c r="P3323" s="8" t="s">
        <v>13494</v>
      </c>
      <c r="Q3323" s="8" t="s">
        <v>4262</v>
      </c>
      <c r="R3323" s="8">
        <v>0.312</v>
      </c>
      <c r="S3323" s="8">
        <v>107224946</v>
      </c>
      <c r="T3323" s="8" t="s">
        <v>46</v>
      </c>
      <c r="U3323" s="8" t="s">
        <v>41</v>
      </c>
    </row>
    <row r="3324" spans="1:21">
      <c r="A3324" s="8" t="s">
        <v>10349</v>
      </c>
      <c r="B3324" s="8" t="s">
        <v>2819</v>
      </c>
      <c r="C3324" s="8">
        <v>8471</v>
      </c>
      <c r="D3324" s="8" t="s">
        <v>418</v>
      </c>
      <c r="E3324" s="8">
        <v>107978028</v>
      </c>
      <c r="F3324" s="8">
        <v>107978028</v>
      </c>
      <c r="G3324" s="8" t="s">
        <v>46</v>
      </c>
      <c r="H3324" s="8" t="s">
        <v>41</v>
      </c>
      <c r="I3324" s="8" t="s">
        <v>23</v>
      </c>
      <c r="J3324" s="8" t="s">
        <v>2820</v>
      </c>
      <c r="K3324" s="8" t="s">
        <v>10028</v>
      </c>
      <c r="L3324" s="8" t="s">
        <v>19</v>
      </c>
      <c r="M3324" s="8">
        <v>1580</v>
      </c>
      <c r="N3324" s="8" t="s">
        <v>708</v>
      </c>
      <c r="O3324" s="8">
        <v>516</v>
      </c>
      <c r="P3324" s="8" t="s">
        <v>13496</v>
      </c>
      <c r="Q3324" s="8" t="s">
        <v>4262</v>
      </c>
      <c r="R3324" s="8">
        <v>0.44</v>
      </c>
      <c r="S3324" s="8">
        <v>107978028</v>
      </c>
      <c r="T3324" s="8" t="s">
        <v>46</v>
      </c>
      <c r="U3324" s="8" t="s">
        <v>41</v>
      </c>
    </row>
    <row r="3325" spans="1:21">
      <c r="A3325" s="8" t="s">
        <v>10349</v>
      </c>
      <c r="B3325" s="8" t="s">
        <v>2819</v>
      </c>
      <c r="C3325" s="8">
        <v>8471</v>
      </c>
      <c r="D3325" s="8" t="s">
        <v>418</v>
      </c>
      <c r="E3325" s="8">
        <v>107978611</v>
      </c>
      <c r="F3325" s="8">
        <v>107978611</v>
      </c>
      <c r="G3325" s="8" t="s">
        <v>46</v>
      </c>
      <c r="H3325" s="8" t="s">
        <v>41</v>
      </c>
      <c r="I3325" s="8" t="s">
        <v>23</v>
      </c>
      <c r="J3325" s="8" t="s">
        <v>2820</v>
      </c>
      <c r="K3325" s="8" t="s">
        <v>10028</v>
      </c>
      <c r="L3325" s="8" t="s">
        <v>19</v>
      </c>
      <c r="M3325" s="8">
        <v>997</v>
      </c>
      <c r="N3325" s="8" t="s">
        <v>166</v>
      </c>
      <c r="O3325" s="8">
        <v>322</v>
      </c>
      <c r="P3325" s="8" t="s">
        <v>13497</v>
      </c>
      <c r="Q3325" s="8" t="s">
        <v>4262</v>
      </c>
      <c r="R3325" s="8">
        <v>0.5</v>
      </c>
      <c r="S3325" s="8">
        <v>107978611</v>
      </c>
      <c r="T3325" s="8" t="s">
        <v>46</v>
      </c>
      <c r="U3325" s="8" t="s">
        <v>41</v>
      </c>
    </row>
    <row r="3326" spans="1:21">
      <c r="A3326" s="8" t="s">
        <v>10349</v>
      </c>
      <c r="B3326" s="8" t="s">
        <v>1283</v>
      </c>
      <c r="C3326" s="8">
        <v>2182</v>
      </c>
      <c r="D3326" s="8" t="s">
        <v>418</v>
      </c>
      <c r="E3326" s="8">
        <v>108904823</v>
      </c>
      <c r="F3326" s="8">
        <v>108904823</v>
      </c>
      <c r="G3326" s="8" t="s">
        <v>46</v>
      </c>
      <c r="H3326" s="8" t="s">
        <v>41</v>
      </c>
      <c r="I3326" s="8" t="s">
        <v>23</v>
      </c>
      <c r="J3326" s="8" t="s">
        <v>13498</v>
      </c>
      <c r="K3326" s="8" t="s">
        <v>13500</v>
      </c>
      <c r="L3326" s="8" t="s">
        <v>19</v>
      </c>
      <c r="M3326" s="8">
        <v>2262</v>
      </c>
      <c r="N3326" s="8" t="s">
        <v>1399</v>
      </c>
      <c r="O3326" s="8">
        <v>586</v>
      </c>
      <c r="P3326" s="8" t="s">
        <v>13499</v>
      </c>
      <c r="Q3326" s="8" t="s">
        <v>4262</v>
      </c>
      <c r="R3326" s="8">
        <v>0.42899999999999999</v>
      </c>
      <c r="S3326" s="8">
        <v>108904823</v>
      </c>
      <c r="T3326" s="8" t="s">
        <v>46</v>
      </c>
      <c r="U3326" s="8" t="s">
        <v>41</v>
      </c>
    </row>
    <row r="3327" spans="1:21">
      <c r="A3327" s="8" t="s">
        <v>10349</v>
      </c>
      <c r="B3327" s="8" t="s">
        <v>2821</v>
      </c>
      <c r="C3327" s="8">
        <v>57529</v>
      </c>
      <c r="D3327" s="8" t="s">
        <v>418</v>
      </c>
      <c r="E3327" s="8">
        <v>109697377</v>
      </c>
      <c r="F3327" s="8">
        <v>109697377</v>
      </c>
      <c r="G3327" s="8" t="s">
        <v>24</v>
      </c>
      <c r="H3327" s="8" t="s">
        <v>25</v>
      </c>
      <c r="I3327" s="8" t="s">
        <v>23</v>
      </c>
      <c r="J3327" s="8" t="s">
        <v>2822</v>
      </c>
      <c r="K3327" s="8" t="s">
        <v>13502</v>
      </c>
      <c r="L3327" s="8" t="s">
        <v>19</v>
      </c>
      <c r="M3327" s="8">
        <v>3778</v>
      </c>
      <c r="N3327" s="8" t="s">
        <v>28</v>
      </c>
      <c r="O3327" s="8">
        <v>1178</v>
      </c>
      <c r="P3327" s="8" t="s">
        <v>13501</v>
      </c>
      <c r="Q3327" s="8" t="s">
        <v>4262</v>
      </c>
      <c r="R3327" s="8">
        <v>0.25</v>
      </c>
      <c r="S3327" s="8">
        <v>109697377</v>
      </c>
      <c r="T3327" s="8" t="s">
        <v>24</v>
      </c>
      <c r="U3327" s="8" t="s">
        <v>25</v>
      </c>
    </row>
    <row r="3328" spans="1:21">
      <c r="A3328" s="8" t="s">
        <v>10349</v>
      </c>
      <c r="B3328" s="8" t="s">
        <v>2821</v>
      </c>
      <c r="C3328" s="8">
        <v>57529</v>
      </c>
      <c r="D3328" s="8" t="s">
        <v>418</v>
      </c>
      <c r="E3328" s="8">
        <v>109697674</v>
      </c>
      <c r="F3328" s="8">
        <v>109697674</v>
      </c>
      <c r="G3328" s="8" t="s">
        <v>24</v>
      </c>
      <c r="H3328" s="8" t="s">
        <v>25</v>
      </c>
      <c r="I3328" s="8" t="s">
        <v>23</v>
      </c>
      <c r="J3328" s="8" t="s">
        <v>2822</v>
      </c>
      <c r="K3328" s="8" t="s">
        <v>13502</v>
      </c>
      <c r="L3328" s="8" t="s">
        <v>19</v>
      </c>
      <c r="M3328" s="8">
        <v>4075</v>
      </c>
      <c r="N3328" s="8" t="s">
        <v>1364</v>
      </c>
      <c r="O3328" s="8">
        <v>1277</v>
      </c>
      <c r="P3328" s="8" t="s">
        <v>13503</v>
      </c>
      <c r="Q3328" s="8" t="s">
        <v>4262</v>
      </c>
      <c r="R3328" s="8">
        <v>0.36799999999999999</v>
      </c>
      <c r="S3328" s="8">
        <v>109697674</v>
      </c>
      <c r="T3328" s="8" t="s">
        <v>24</v>
      </c>
      <c r="U3328" s="8" t="s">
        <v>25</v>
      </c>
    </row>
    <row r="3329" spans="1:21">
      <c r="A3329" s="8" t="s">
        <v>10349</v>
      </c>
      <c r="B3329" s="8" t="s">
        <v>2823</v>
      </c>
      <c r="C3329" s="8">
        <v>10943</v>
      </c>
      <c r="D3329" s="8" t="s">
        <v>418</v>
      </c>
      <c r="E3329" s="8">
        <v>11790296</v>
      </c>
      <c r="F3329" s="8">
        <v>11790296</v>
      </c>
      <c r="G3329" s="8" t="s">
        <v>46</v>
      </c>
      <c r="H3329" s="8" t="s">
        <v>41</v>
      </c>
      <c r="I3329" s="8" t="s">
        <v>23</v>
      </c>
      <c r="J3329" s="8" t="s">
        <v>13504</v>
      </c>
      <c r="K3329" s="8" t="s">
        <v>13506</v>
      </c>
      <c r="L3329" s="8" t="s">
        <v>19</v>
      </c>
      <c r="M3329" s="8">
        <v>1408</v>
      </c>
      <c r="N3329" s="8" t="s">
        <v>415</v>
      </c>
      <c r="O3329" s="8">
        <v>435</v>
      </c>
      <c r="P3329" s="8" t="s">
        <v>13505</v>
      </c>
      <c r="Q3329" s="8" t="s">
        <v>4262</v>
      </c>
      <c r="R3329" s="8">
        <v>0.35099999999999998</v>
      </c>
      <c r="S3329" s="8">
        <v>11790296</v>
      </c>
      <c r="T3329" s="8" t="s">
        <v>46</v>
      </c>
      <c r="U3329" s="8" t="s">
        <v>41</v>
      </c>
    </row>
    <row r="3330" spans="1:21">
      <c r="A3330" s="8" t="s">
        <v>10349</v>
      </c>
      <c r="B3330" s="8" t="s">
        <v>2824</v>
      </c>
      <c r="C3330" s="8">
        <v>57481</v>
      </c>
      <c r="D3330" s="8" t="s">
        <v>418</v>
      </c>
      <c r="E3330" s="8">
        <v>118228022</v>
      </c>
      <c r="F3330" s="8">
        <v>118228022</v>
      </c>
      <c r="G3330" s="8" t="s">
        <v>46</v>
      </c>
      <c r="H3330" s="8" t="s">
        <v>41</v>
      </c>
      <c r="I3330" s="8" t="s">
        <v>23</v>
      </c>
      <c r="J3330" s="8" t="s">
        <v>2825</v>
      </c>
      <c r="K3330" s="8" t="s">
        <v>13508</v>
      </c>
      <c r="L3330" s="8" t="s">
        <v>19</v>
      </c>
      <c r="M3330" s="8">
        <v>1304</v>
      </c>
      <c r="N3330" s="8" t="s">
        <v>796</v>
      </c>
      <c r="O3330" s="8">
        <v>435</v>
      </c>
      <c r="P3330" s="8" t="s">
        <v>13507</v>
      </c>
      <c r="Q3330" s="8" t="s">
        <v>4262</v>
      </c>
      <c r="R3330" s="8">
        <v>0.36399999999999999</v>
      </c>
      <c r="S3330" s="8">
        <v>118228022</v>
      </c>
      <c r="T3330" s="8" t="s">
        <v>46</v>
      </c>
      <c r="U3330" s="8" t="s">
        <v>41</v>
      </c>
    </row>
    <row r="3331" spans="1:21">
      <c r="A3331" s="8" t="s">
        <v>10349</v>
      </c>
      <c r="B3331" s="8" t="s">
        <v>2826</v>
      </c>
      <c r="C3331" s="8">
        <v>4952</v>
      </c>
      <c r="D3331" s="8" t="s">
        <v>418</v>
      </c>
      <c r="E3331" s="8">
        <v>128699765</v>
      </c>
      <c r="F3331" s="8">
        <v>128699765</v>
      </c>
      <c r="G3331" s="8" t="s">
        <v>24</v>
      </c>
      <c r="H3331" s="8" t="s">
        <v>25</v>
      </c>
      <c r="I3331" s="8" t="s">
        <v>23</v>
      </c>
      <c r="J3331" s="8" t="s">
        <v>13509</v>
      </c>
      <c r="K3331" s="8" t="s">
        <v>13511</v>
      </c>
      <c r="L3331" s="8" t="s">
        <v>19</v>
      </c>
      <c r="M3331" s="8">
        <v>1426</v>
      </c>
      <c r="N3331" s="8" t="s">
        <v>1364</v>
      </c>
      <c r="O3331" s="8">
        <v>421</v>
      </c>
      <c r="P3331" s="8" t="s">
        <v>13510</v>
      </c>
      <c r="Q3331" s="8" t="s">
        <v>4262</v>
      </c>
      <c r="R3331" s="8">
        <v>0.29399999999999998</v>
      </c>
      <c r="S3331" s="8">
        <v>128699765</v>
      </c>
      <c r="T3331" s="8" t="s">
        <v>24</v>
      </c>
      <c r="U3331" s="8" t="s">
        <v>25</v>
      </c>
    </row>
    <row r="3332" spans="1:21">
      <c r="A3332" s="8" t="s">
        <v>10349</v>
      </c>
      <c r="B3332" s="8" t="s">
        <v>2827</v>
      </c>
      <c r="C3332" s="8">
        <v>2239</v>
      </c>
      <c r="D3332" s="8" t="s">
        <v>418</v>
      </c>
      <c r="E3332" s="8">
        <v>132436987</v>
      </c>
      <c r="F3332" s="8">
        <v>132436987</v>
      </c>
      <c r="G3332" s="8" t="s">
        <v>46</v>
      </c>
      <c r="H3332" s="8" t="s">
        <v>41</v>
      </c>
      <c r="I3332" s="8" t="s">
        <v>23</v>
      </c>
      <c r="J3332" s="8" t="s">
        <v>2828</v>
      </c>
      <c r="K3332" s="8" t="s">
        <v>13513</v>
      </c>
      <c r="L3332" s="8" t="s">
        <v>19</v>
      </c>
      <c r="M3332" s="8">
        <v>1791</v>
      </c>
      <c r="N3332" s="8" t="s">
        <v>155</v>
      </c>
      <c r="O3332" s="8">
        <v>527</v>
      </c>
      <c r="P3332" s="8" t="s">
        <v>13512</v>
      </c>
      <c r="Q3332" s="8" t="s">
        <v>4262</v>
      </c>
      <c r="R3332" s="8">
        <v>0.36899999999999999</v>
      </c>
      <c r="S3332" s="8">
        <v>132436987</v>
      </c>
      <c r="T3332" s="8" t="s">
        <v>46</v>
      </c>
      <c r="U3332" s="8" t="s">
        <v>41</v>
      </c>
    </row>
    <row r="3333" spans="1:21">
      <c r="A3333" s="8" t="s">
        <v>10349</v>
      </c>
      <c r="B3333" s="8" t="s">
        <v>1413</v>
      </c>
      <c r="C3333" s="8">
        <v>139378</v>
      </c>
      <c r="D3333" s="8" t="s">
        <v>418</v>
      </c>
      <c r="E3333" s="8">
        <v>135428851</v>
      </c>
      <c r="F3333" s="8">
        <v>135428851</v>
      </c>
      <c r="G3333" s="8" t="s">
        <v>46</v>
      </c>
      <c r="H3333" s="8" t="s">
        <v>41</v>
      </c>
      <c r="I3333" s="8" t="s">
        <v>23</v>
      </c>
      <c r="J3333" s="8" t="s">
        <v>1414</v>
      </c>
      <c r="K3333" s="8" t="s">
        <v>13515</v>
      </c>
      <c r="L3333" s="8" t="s">
        <v>19</v>
      </c>
      <c r="M3333" s="8">
        <v>3277</v>
      </c>
      <c r="N3333" s="8" t="s">
        <v>415</v>
      </c>
      <c r="O3333" s="8">
        <v>996</v>
      </c>
      <c r="P3333" s="8" t="s">
        <v>13514</v>
      </c>
      <c r="Q3333" s="8" t="s">
        <v>4262</v>
      </c>
      <c r="R3333" s="8">
        <v>0.47099999999999997</v>
      </c>
      <c r="S3333" s="8">
        <v>135428851</v>
      </c>
      <c r="T3333" s="8" t="s">
        <v>46</v>
      </c>
      <c r="U3333" s="8" t="s">
        <v>41</v>
      </c>
    </row>
    <row r="3334" spans="1:21">
      <c r="A3334" s="8" t="s">
        <v>10349</v>
      </c>
      <c r="B3334" s="8" t="s">
        <v>2829</v>
      </c>
      <c r="C3334" s="8">
        <v>27336</v>
      </c>
      <c r="D3334" s="8" t="s">
        <v>418</v>
      </c>
      <c r="E3334" s="8">
        <v>135593867</v>
      </c>
      <c r="F3334" s="8">
        <v>135593867</v>
      </c>
      <c r="G3334" s="8" t="s">
        <v>24</v>
      </c>
      <c r="H3334" s="8" t="s">
        <v>25</v>
      </c>
      <c r="I3334" s="8" t="s">
        <v>23</v>
      </c>
      <c r="J3334" s="8" t="s">
        <v>13516</v>
      </c>
      <c r="K3334" s="8" t="s">
        <v>13518</v>
      </c>
      <c r="L3334" s="8" t="s">
        <v>19</v>
      </c>
      <c r="M3334" s="8">
        <v>2136</v>
      </c>
      <c r="N3334" s="8" t="s">
        <v>28</v>
      </c>
      <c r="O3334" s="8">
        <v>655</v>
      </c>
      <c r="P3334" s="8" t="s">
        <v>13517</v>
      </c>
      <c r="Q3334" s="8" t="s">
        <v>4262</v>
      </c>
      <c r="R3334" s="8">
        <v>0.44700000000000001</v>
      </c>
      <c r="S3334" s="8">
        <v>135593867</v>
      </c>
      <c r="T3334" s="8" t="s">
        <v>24</v>
      </c>
      <c r="U3334" s="8" t="s">
        <v>25</v>
      </c>
    </row>
    <row r="3335" spans="1:21">
      <c r="A3335" s="8" t="s">
        <v>10349</v>
      </c>
      <c r="B3335" s="8" t="s">
        <v>2830</v>
      </c>
      <c r="C3335" s="8">
        <v>25975</v>
      </c>
      <c r="D3335" s="8" t="s">
        <v>418</v>
      </c>
      <c r="E3335" s="8">
        <v>13636094</v>
      </c>
      <c r="F3335" s="8">
        <v>13636094</v>
      </c>
      <c r="G3335" s="8" t="s">
        <v>24</v>
      </c>
      <c r="H3335" s="8" t="s">
        <v>25</v>
      </c>
      <c r="I3335" s="8" t="s">
        <v>23</v>
      </c>
      <c r="J3335" s="8" t="s">
        <v>13519</v>
      </c>
      <c r="K3335" s="8" t="s">
        <v>13521</v>
      </c>
      <c r="L3335" s="8" t="s">
        <v>19</v>
      </c>
      <c r="M3335" s="8">
        <v>1311</v>
      </c>
      <c r="N3335" s="8" t="s">
        <v>28</v>
      </c>
      <c r="O3335" s="8">
        <v>342</v>
      </c>
      <c r="P3335" s="8" t="s">
        <v>13520</v>
      </c>
      <c r="Q3335" s="8" t="s">
        <v>4262</v>
      </c>
      <c r="R3335" s="8">
        <v>0.48499999999999999</v>
      </c>
      <c r="S3335" s="8">
        <v>13636094</v>
      </c>
      <c r="T3335" s="8" t="s">
        <v>24</v>
      </c>
      <c r="U3335" s="8" t="s">
        <v>25</v>
      </c>
    </row>
    <row r="3336" spans="1:21">
      <c r="A3336" s="8" t="s">
        <v>10349</v>
      </c>
      <c r="B3336" s="8" t="s">
        <v>2831</v>
      </c>
      <c r="C3336" s="8">
        <v>7547</v>
      </c>
      <c r="D3336" s="8" t="s">
        <v>418</v>
      </c>
      <c r="E3336" s="8">
        <v>136652116</v>
      </c>
      <c r="F3336" s="8">
        <v>136652116</v>
      </c>
      <c r="G3336" s="8" t="s">
        <v>46</v>
      </c>
      <c r="H3336" s="8" t="s">
        <v>41</v>
      </c>
      <c r="I3336" s="8" t="s">
        <v>23</v>
      </c>
      <c r="J3336" s="8" t="s">
        <v>2832</v>
      </c>
      <c r="K3336" s="8" t="s">
        <v>13523</v>
      </c>
      <c r="L3336" s="8" t="s">
        <v>19</v>
      </c>
      <c r="M3336" s="8">
        <v>1796</v>
      </c>
      <c r="N3336" s="8" t="s">
        <v>2400</v>
      </c>
      <c r="O3336" s="8">
        <v>431</v>
      </c>
      <c r="P3336" s="8" t="s">
        <v>13522</v>
      </c>
      <c r="Q3336" s="8" t="s">
        <v>4262</v>
      </c>
      <c r="R3336" s="8">
        <v>0.36799999999999999</v>
      </c>
      <c r="S3336" s="8">
        <v>136652116</v>
      </c>
      <c r="T3336" s="8" t="s">
        <v>46</v>
      </c>
      <c r="U3336" s="8" t="s">
        <v>41</v>
      </c>
    </row>
    <row r="3337" spans="1:21">
      <c r="A3337" s="8" t="s">
        <v>10349</v>
      </c>
      <c r="B3337" s="8" t="s">
        <v>2834</v>
      </c>
      <c r="C3337" s="8">
        <v>8776</v>
      </c>
      <c r="D3337" s="8" t="s">
        <v>418</v>
      </c>
      <c r="E3337" s="8">
        <v>149898641</v>
      </c>
      <c r="F3337" s="8">
        <v>149898641</v>
      </c>
      <c r="G3337" s="8" t="s">
        <v>24</v>
      </c>
      <c r="H3337" s="8" t="s">
        <v>25</v>
      </c>
      <c r="I3337" s="8" t="s">
        <v>23</v>
      </c>
      <c r="J3337" s="8" t="s">
        <v>2835</v>
      </c>
      <c r="K3337" s="8" t="s">
        <v>13525</v>
      </c>
      <c r="L3337" s="8" t="s">
        <v>19</v>
      </c>
      <c r="M3337" s="8">
        <v>727</v>
      </c>
      <c r="N3337" s="8" t="s">
        <v>758</v>
      </c>
      <c r="O3337" s="8">
        <v>198</v>
      </c>
      <c r="P3337" s="8" t="s">
        <v>13524</v>
      </c>
      <c r="Q3337" s="8" t="s">
        <v>4262</v>
      </c>
      <c r="R3337" s="8">
        <v>0.66700000000000004</v>
      </c>
      <c r="S3337" s="8">
        <v>149898641</v>
      </c>
      <c r="T3337" s="8" t="s">
        <v>24</v>
      </c>
      <c r="U3337" s="8" t="s">
        <v>25</v>
      </c>
    </row>
    <row r="3338" spans="1:21">
      <c r="A3338" s="8" t="s">
        <v>10349</v>
      </c>
      <c r="B3338" s="8" t="s">
        <v>2836</v>
      </c>
      <c r="C3338" s="8">
        <v>4103</v>
      </c>
      <c r="D3338" s="8" t="s">
        <v>418</v>
      </c>
      <c r="E3338" s="8">
        <v>151092762</v>
      </c>
      <c r="F3338" s="8">
        <v>151092762</v>
      </c>
      <c r="G3338" s="8" t="s">
        <v>46</v>
      </c>
      <c r="H3338" s="8" t="s">
        <v>41</v>
      </c>
      <c r="I3338" s="8" t="s">
        <v>23</v>
      </c>
      <c r="J3338" s="8" t="s">
        <v>13526</v>
      </c>
      <c r="K3338" s="8" t="s">
        <v>13528</v>
      </c>
      <c r="L3338" s="8" t="s">
        <v>19</v>
      </c>
      <c r="M3338" s="8">
        <v>844</v>
      </c>
      <c r="N3338" s="8" t="s">
        <v>364</v>
      </c>
      <c r="O3338" s="8">
        <v>209</v>
      </c>
      <c r="P3338" s="8" t="s">
        <v>13527</v>
      </c>
      <c r="Q3338" s="8" t="s">
        <v>4262</v>
      </c>
      <c r="R3338" s="8">
        <v>0.36699999999999999</v>
      </c>
      <c r="S3338" s="8">
        <v>151092762</v>
      </c>
      <c r="T3338" s="8" t="s">
        <v>46</v>
      </c>
      <c r="U3338" s="8" t="s">
        <v>41</v>
      </c>
    </row>
    <row r="3339" spans="1:21">
      <c r="A3339" s="8" t="s">
        <v>10349</v>
      </c>
      <c r="B3339" s="8" t="s">
        <v>2837</v>
      </c>
      <c r="C3339" s="8">
        <v>5931</v>
      </c>
      <c r="D3339" s="8" t="s">
        <v>418</v>
      </c>
      <c r="E3339" s="8">
        <v>16867366</v>
      </c>
      <c r="F3339" s="8">
        <v>16867366</v>
      </c>
      <c r="G3339" s="8" t="s">
        <v>46</v>
      </c>
      <c r="H3339" s="8" t="s">
        <v>41</v>
      </c>
      <c r="I3339" s="8" t="s">
        <v>23</v>
      </c>
      <c r="J3339" s="8" t="s">
        <v>13529</v>
      </c>
      <c r="K3339" s="8" t="s">
        <v>13530</v>
      </c>
      <c r="L3339" s="8" t="s">
        <v>68</v>
      </c>
      <c r="M3339" s="8">
        <v>0</v>
      </c>
      <c r="N3339" s="8" t="s">
        <v>35</v>
      </c>
      <c r="O3339" s="8">
        <v>0</v>
      </c>
      <c r="P3339" s="8" t="s">
        <v>35</v>
      </c>
      <c r="Q3339" s="8" t="s">
        <v>4262</v>
      </c>
      <c r="R3339" s="8">
        <v>0.316</v>
      </c>
      <c r="S3339" s="8">
        <v>16867366</v>
      </c>
      <c r="T3339" s="8" t="s">
        <v>46</v>
      </c>
      <c r="U3339" s="8" t="s">
        <v>41</v>
      </c>
    </row>
    <row r="3340" spans="1:21">
      <c r="A3340" s="8" t="s">
        <v>10349</v>
      </c>
      <c r="B3340" s="8" t="s">
        <v>2838</v>
      </c>
      <c r="C3340" s="8">
        <v>389840</v>
      </c>
      <c r="D3340" s="8" t="s">
        <v>418</v>
      </c>
      <c r="E3340" s="8">
        <v>19449568</v>
      </c>
      <c r="F3340" s="8">
        <v>19449568</v>
      </c>
      <c r="G3340" s="8" t="s">
        <v>46</v>
      </c>
      <c r="H3340" s="8" t="s">
        <v>41</v>
      </c>
      <c r="I3340" s="8" t="s">
        <v>23</v>
      </c>
      <c r="J3340" s="8" t="s">
        <v>2839</v>
      </c>
      <c r="K3340" s="8" t="s">
        <v>13532</v>
      </c>
      <c r="L3340" s="8" t="s">
        <v>19</v>
      </c>
      <c r="M3340" s="8">
        <v>1154</v>
      </c>
      <c r="N3340" s="8" t="s">
        <v>708</v>
      </c>
      <c r="O3340" s="8">
        <v>385</v>
      </c>
      <c r="P3340" s="8" t="s">
        <v>13531</v>
      </c>
      <c r="Q3340" s="8" t="s">
        <v>4262</v>
      </c>
      <c r="R3340" s="8">
        <v>0.48299999999999998</v>
      </c>
      <c r="S3340" s="8">
        <v>19449568</v>
      </c>
      <c r="T3340" s="8" t="s">
        <v>46</v>
      </c>
      <c r="U3340" s="8" t="s">
        <v>41</v>
      </c>
    </row>
    <row r="3341" spans="1:21">
      <c r="A3341" s="8" t="s">
        <v>10349</v>
      </c>
      <c r="B3341" s="8" t="s">
        <v>2840</v>
      </c>
      <c r="C3341" s="8">
        <v>442444</v>
      </c>
      <c r="D3341" s="8" t="s">
        <v>418</v>
      </c>
      <c r="E3341" s="8">
        <v>37029100</v>
      </c>
      <c r="F3341" s="8">
        <v>37029100</v>
      </c>
      <c r="G3341" s="8" t="s">
        <v>24</v>
      </c>
      <c r="H3341" s="8" t="s">
        <v>25</v>
      </c>
      <c r="I3341" s="8" t="s">
        <v>23</v>
      </c>
      <c r="J3341" s="8" t="s">
        <v>2841</v>
      </c>
      <c r="K3341" s="8" t="s">
        <v>13534</v>
      </c>
      <c r="L3341" s="8" t="s">
        <v>19</v>
      </c>
      <c r="M3341" s="8">
        <v>2669</v>
      </c>
      <c r="N3341" s="8" t="s">
        <v>485</v>
      </c>
      <c r="O3341" s="8">
        <v>873</v>
      </c>
      <c r="P3341" s="8" t="s">
        <v>13533</v>
      </c>
      <c r="Q3341" s="8" t="s">
        <v>4262</v>
      </c>
      <c r="R3341" s="8">
        <v>0.29399999999999998</v>
      </c>
      <c r="S3341" s="8">
        <v>37029100</v>
      </c>
      <c r="T3341" s="8" t="s">
        <v>24</v>
      </c>
      <c r="U3341" s="8" t="s">
        <v>25</v>
      </c>
    </row>
    <row r="3342" spans="1:21">
      <c r="A3342" s="8" t="s">
        <v>10349</v>
      </c>
      <c r="B3342" s="8" t="s">
        <v>823</v>
      </c>
      <c r="C3342" s="8">
        <v>54880</v>
      </c>
      <c r="D3342" s="8" t="s">
        <v>418</v>
      </c>
      <c r="E3342" s="8">
        <v>39932330</v>
      </c>
      <c r="F3342" s="8">
        <v>39932330</v>
      </c>
      <c r="G3342" s="8" t="s">
        <v>46</v>
      </c>
      <c r="H3342" s="8" t="s">
        <v>41</v>
      </c>
      <c r="I3342" s="8" t="s">
        <v>23</v>
      </c>
      <c r="J3342" s="8" t="s">
        <v>13535</v>
      </c>
      <c r="K3342" s="8" t="s">
        <v>13537</v>
      </c>
      <c r="L3342" s="8" t="s">
        <v>19</v>
      </c>
      <c r="M3342" s="8">
        <v>2561</v>
      </c>
      <c r="N3342" s="8" t="s">
        <v>485</v>
      </c>
      <c r="O3342" s="8">
        <v>757</v>
      </c>
      <c r="P3342" s="8" t="s">
        <v>13536</v>
      </c>
      <c r="Q3342" s="8" t="s">
        <v>4262</v>
      </c>
      <c r="R3342" s="8">
        <v>0.38700000000000001</v>
      </c>
      <c r="S3342" s="8">
        <v>39932330</v>
      </c>
      <c r="T3342" s="8" t="s">
        <v>46</v>
      </c>
      <c r="U3342" s="8" t="s">
        <v>41</v>
      </c>
    </row>
    <row r="3343" spans="1:21">
      <c r="A3343" s="8" t="s">
        <v>10349</v>
      </c>
      <c r="B3343" s="8" t="s">
        <v>2842</v>
      </c>
      <c r="C3343" s="8">
        <v>8852</v>
      </c>
      <c r="D3343" s="8" t="s">
        <v>418</v>
      </c>
      <c r="E3343" s="8">
        <v>49958622</v>
      </c>
      <c r="F3343" s="8">
        <v>49958622</v>
      </c>
      <c r="G3343" s="8" t="s">
        <v>24</v>
      </c>
      <c r="H3343" s="8" t="s">
        <v>25</v>
      </c>
      <c r="I3343" s="8" t="s">
        <v>23</v>
      </c>
      <c r="J3343" s="8" t="s">
        <v>13538</v>
      </c>
      <c r="K3343" s="8" t="s">
        <v>13540</v>
      </c>
      <c r="L3343" s="8" t="s">
        <v>19</v>
      </c>
      <c r="M3343" s="8">
        <v>866</v>
      </c>
      <c r="N3343" s="8" t="s">
        <v>2843</v>
      </c>
      <c r="O3343" s="8">
        <v>248</v>
      </c>
      <c r="P3343" s="8" t="s">
        <v>13539</v>
      </c>
      <c r="Q3343" s="8" t="s">
        <v>4262</v>
      </c>
      <c r="R3343" s="8">
        <v>0.35699999999999998</v>
      </c>
      <c r="S3343" s="8">
        <v>49958622</v>
      </c>
      <c r="T3343" s="8" t="s">
        <v>24</v>
      </c>
      <c r="U3343" s="8" t="s">
        <v>25</v>
      </c>
    </row>
    <row r="3344" spans="1:21">
      <c r="A3344" s="8" t="s">
        <v>13544</v>
      </c>
      <c r="B3344" s="8" t="s">
        <v>3744</v>
      </c>
      <c r="C3344" s="8">
        <v>271</v>
      </c>
      <c r="D3344" s="8" t="s">
        <v>22</v>
      </c>
      <c r="E3344" s="8">
        <v>110170900</v>
      </c>
      <c r="F3344" s="8">
        <v>110170900</v>
      </c>
      <c r="G3344" s="8" t="s">
        <v>24</v>
      </c>
      <c r="H3344" s="8" t="s">
        <v>25</v>
      </c>
      <c r="I3344" s="8" t="s">
        <v>23</v>
      </c>
      <c r="J3344" s="8" t="s">
        <v>13541</v>
      </c>
      <c r="K3344" s="8" t="s">
        <v>13543</v>
      </c>
      <c r="L3344" s="8" t="s">
        <v>68</v>
      </c>
      <c r="M3344" s="8">
        <v>0</v>
      </c>
      <c r="N3344" s="8" t="s">
        <v>35</v>
      </c>
      <c r="O3344" s="8">
        <v>0</v>
      </c>
      <c r="P3344" s="8" t="s">
        <v>35</v>
      </c>
      <c r="Q3344" s="8" t="s">
        <v>13542</v>
      </c>
      <c r="R3344" s="8">
        <v>0.28899999999999998</v>
      </c>
      <c r="S3344" s="8">
        <v>110170900</v>
      </c>
      <c r="T3344" s="8" t="s">
        <v>24</v>
      </c>
      <c r="U3344" s="8" t="s">
        <v>25</v>
      </c>
    </row>
    <row r="3345" spans="1:21">
      <c r="A3345" s="8" t="s">
        <v>13544</v>
      </c>
      <c r="B3345" s="8" t="s">
        <v>3744</v>
      </c>
      <c r="C3345" s="8">
        <v>271</v>
      </c>
      <c r="D3345" s="8" t="s">
        <v>22</v>
      </c>
      <c r="E3345" s="8">
        <v>110170901</v>
      </c>
      <c r="F3345" s="8">
        <v>110170901</v>
      </c>
      <c r="G3345" s="8" t="s">
        <v>41</v>
      </c>
      <c r="H3345" s="8" t="s">
        <v>25</v>
      </c>
      <c r="I3345" s="8" t="s">
        <v>23</v>
      </c>
      <c r="J3345" s="8" t="s">
        <v>13541</v>
      </c>
      <c r="K3345" s="8" t="s">
        <v>13543</v>
      </c>
      <c r="L3345" s="8" t="s">
        <v>68</v>
      </c>
      <c r="M3345" s="8">
        <v>0</v>
      </c>
      <c r="N3345" s="8" t="s">
        <v>35</v>
      </c>
      <c r="O3345" s="8">
        <v>0</v>
      </c>
      <c r="P3345" s="8" t="s">
        <v>35</v>
      </c>
      <c r="Q3345" s="8" t="s">
        <v>4262</v>
      </c>
      <c r="R3345" s="8">
        <v>0.28899999999999998</v>
      </c>
      <c r="S3345" s="8">
        <v>110170901</v>
      </c>
      <c r="T3345" s="8" t="s">
        <v>41</v>
      </c>
      <c r="U3345" s="8" t="s">
        <v>25</v>
      </c>
    </row>
    <row r="3346" spans="1:21">
      <c r="A3346" s="8" t="s">
        <v>13544</v>
      </c>
      <c r="B3346" s="8" t="s">
        <v>3745</v>
      </c>
      <c r="C3346" s="8">
        <v>148281</v>
      </c>
      <c r="D3346" s="8" t="s">
        <v>22</v>
      </c>
      <c r="E3346" s="8">
        <v>114680325</v>
      </c>
      <c r="F3346" s="8">
        <v>114680325</v>
      </c>
      <c r="G3346" s="8" t="s">
        <v>41</v>
      </c>
      <c r="H3346" s="8" t="s">
        <v>25</v>
      </c>
      <c r="I3346" s="8" t="s">
        <v>23</v>
      </c>
      <c r="J3346" s="8" t="s">
        <v>13545</v>
      </c>
      <c r="K3346" s="8" t="s">
        <v>13547</v>
      </c>
      <c r="L3346" s="8" t="s">
        <v>19</v>
      </c>
      <c r="M3346" s="8">
        <v>858</v>
      </c>
      <c r="N3346" s="8" t="s">
        <v>457</v>
      </c>
      <c r="O3346" s="8">
        <v>203</v>
      </c>
      <c r="P3346" s="8" t="s">
        <v>13546</v>
      </c>
      <c r="Q3346" s="8" t="s">
        <v>4262</v>
      </c>
      <c r="R3346" s="8">
        <v>0.35599999999999998</v>
      </c>
      <c r="S3346" s="8">
        <v>114680325</v>
      </c>
      <c r="T3346" s="8" t="s">
        <v>41</v>
      </c>
      <c r="U3346" s="8" t="s">
        <v>25</v>
      </c>
    </row>
    <row r="3347" spans="1:21">
      <c r="A3347" s="8" t="s">
        <v>13544</v>
      </c>
      <c r="B3347" s="8" t="s">
        <v>13548</v>
      </c>
      <c r="C3347" s="8">
        <v>126638</v>
      </c>
      <c r="D3347" s="8" t="s">
        <v>22</v>
      </c>
      <c r="E3347" s="8">
        <v>152129286</v>
      </c>
      <c r="F3347" s="8">
        <v>152129286</v>
      </c>
      <c r="G3347" s="8" t="s">
        <v>41</v>
      </c>
      <c r="H3347" s="8" t="s">
        <v>25</v>
      </c>
      <c r="I3347" s="8" t="s">
        <v>23</v>
      </c>
      <c r="J3347" s="8" t="s">
        <v>13549</v>
      </c>
      <c r="K3347" s="8" t="s">
        <v>13551</v>
      </c>
      <c r="L3347" s="8" t="s">
        <v>19</v>
      </c>
      <c r="M3347" s="8">
        <v>354</v>
      </c>
      <c r="N3347" s="8" t="s">
        <v>604</v>
      </c>
      <c r="O3347" s="8">
        <v>97</v>
      </c>
      <c r="P3347" s="8" t="s">
        <v>13550</v>
      </c>
      <c r="Q3347" s="8" t="s">
        <v>4262</v>
      </c>
      <c r="R3347" s="8">
        <v>0.17799999999999999</v>
      </c>
      <c r="S3347" s="8">
        <v>152129286</v>
      </c>
      <c r="T3347" s="8" t="s">
        <v>41</v>
      </c>
      <c r="U3347" s="8" t="s">
        <v>25</v>
      </c>
    </row>
    <row r="3348" spans="1:21">
      <c r="A3348" s="8" t="s">
        <v>13544</v>
      </c>
      <c r="B3348" s="8" t="s">
        <v>13552</v>
      </c>
      <c r="C3348" s="8">
        <v>81442</v>
      </c>
      <c r="D3348" s="8" t="s">
        <v>22</v>
      </c>
      <c r="E3348" s="8">
        <v>158747188</v>
      </c>
      <c r="F3348" s="8">
        <v>158747188</v>
      </c>
      <c r="G3348" s="8" t="s">
        <v>41</v>
      </c>
      <c r="H3348" s="8" t="s">
        <v>25</v>
      </c>
      <c r="I3348" s="8" t="s">
        <v>23</v>
      </c>
      <c r="J3348" s="8" t="s">
        <v>13553</v>
      </c>
      <c r="K3348" s="8" t="s">
        <v>13555</v>
      </c>
      <c r="L3348" s="8" t="s">
        <v>76</v>
      </c>
      <c r="M3348" s="8">
        <v>238</v>
      </c>
      <c r="N3348" s="8" t="s">
        <v>1103</v>
      </c>
      <c r="O3348" s="8">
        <v>80</v>
      </c>
      <c r="P3348" s="8" t="s">
        <v>13554</v>
      </c>
      <c r="Q3348" s="8" t="s">
        <v>4262</v>
      </c>
      <c r="R3348" s="8">
        <v>0.17299999999999999</v>
      </c>
      <c r="S3348" s="8">
        <v>158747188</v>
      </c>
      <c r="T3348" s="8" t="s">
        <v>41</v>
      </c>
      <c r="U3348" s="8" t="s">
        <v>25</v>
      </c>
    </row>
    <row r="3349" spans="1:21">
      <c r="A3349" s="8" t="s">
        <v>13544</v>
      </c>
      <c r="B3349" s="8" t="s">
        <v>10519</v>
      </c>
      <c r="C3349" s="8">
        <v>6402</v>
      </c>
      <c r="D3349" s="8" t="s">
        <v>22</v>
      </c>
      <c r="E3349" s="8">
        <v>169677722</v>
      </c>
      <c r="F3349" s="8">
        <v>169677722</v>
      </c>
      <c r="G3349" s="8" t="s">
        <v>24</v>
      </c>
      <c r="H3349" s="8" t="s">
        <v>41</v>
      </c>
      <c r="I3349" s="8" t="s">
        <v>23</v>
      </c>
      <c r="J3349" s="8" t="s">
        <v>10520</v>
      </c>
      <c r="K3349" s="8" t="s">
        <v>10522</v>
      </c>
      <c r="L3349" s="8" t="s">
        <v>19</v>
      </c>
      <c r="M3349" s="8">
        <v>512</v>
      </c>
      <c r="N3349" s="8" t="s">
        <v>65</v>
      </c>
      <c r="O3349" s="8">
        <v>116</v>
      </c>
      <c r="P3349" s="8" t="s">
        <v>13556</v>
      </c>
      <c r="Q3349" s="8" t="s">
        <v>4262</v>
      </c>
      <c r="R3349" s="8">
        <v>0.106</v>
      </c>
      <c r="S3349" s="8">
        <v>169677722</v>
      </c>
      <c r="T3349" s="8" t="s">
        <v>24</v>
      </c>
      <c r="U3349" s="8" t="s">
        <v>41</v>
      </c>
    </row>
    <row r="3350" spans="1:21">
      <c r="A3350" s="8" t="s">
        <v>13544</v>
      </c>
      <c r="B3350" s="8" t="s">
        <v>876</v>
      </c>
      <c r="C3350" s="8">
        <v>84033</v>
      </c>
      <c r="D3350" s="8" t="s">
        <v>22</v>
      </c>
      <c r="E3350" s="8">
        <v>228538568</v>
      </c>
      <c r="F3350" s="8">
        <v>228538568</v>
      </c>
      <c r="G3350" s="8" t="s">
        <v>46</v>
      </c>
      <c r="H3350" s="8" t="s">
        <v>41</v>
      </c>
      <c r="I3350" s="8" t="s">
        <v>23</v>
      </c>
      <c r="J3350" s="8" t="s">
        <v>877</v>
      </c>
      <c r="K3350" s="8" t="s">
        <v>4470</v>
      </c>
      <c r="L3350" s="8" t="s">
        <v>19</v>
      </c>
      <c r="M3350" s="8">
        <v>18387</v>
      </c>
      <c r="N3350" s="8" t="s">
        <v>92</v>
      </c>
      <c r="O3350" s="8">
        <v>6115</v>
      </c>
      <c r="P3350" s="8" t="s">
        <v>13557</v>
      </c>
      <c r="Q3350" s="8" t="s">
        <v>13558</v>
      </c>
      <c r="R3350" s="8">
        <v>8.2000000000000003E-2</v>
      </c>
      <c r="S3350" s="8">
        <v>228538568</v>
      </c>
      <c r="T3350" s="8" t="s">
        <v>46</v>
      </c>
      <c r="U3350" s="8" t="s">
        <v>41</v>
      </c>
    </row>
    <row r="3351" spans="1:21">
      <c r="A3351" s="8" t="s">
        <v>13544</v>
      </c>
      <c r="B3351" s="8" t="s">
        <v>876</v>
      </c>
      <c r="C3351" s="8">
        <v>84033</v>
      </c>
      <c r="D3351" s="8" t="s">
        <v>22</v>
      </c>
      <c r="E3351" s="8">
        <v>228560366</v>
      </c>
      <c r="F3351" s="8">
        <v>228560366</v>
      </c>
      <c r="G3351" s="8" t="s">
        <v>46</v>
      </c>
      <c r="H3351" s="8" t="s">
        <v>25</v>
      </c>
      <c r="I3351" s="8" t="s">
        <v>23</v>
      </c>
      <c r="J3351" s="8" t="s">
        <v>877</v>
      </c>
      <c r="K3351" s="8" t="s">
        <v>4470</v>
      </c>
      <c r="L3351" s="8" t="s">
        <v>19</v>
      </c>
      <c r="M3351" s="8">
        <v>21931</v>
      </c>
      <c r="N3351" s="8" t="s">
        <v>637</v>
      </c>
      <c r="O3351" s="8">
        <v>7296</v>
      </c>
      <c r="P3351" s="8" t="s">
        <v>13559</v>
      </c>
      <c r="Q3351" s="8" t="s">
        <v>4262</v>
      </c>
      <c r="R3351" s="8">
        <v>0.113</v>
      </c>
      <c r="S3351" s="8">
        <v>228560366</v>
      </c>
      <c r="T3351" s="8" t="s">
        <v>46</v>
      </c>
      <c r="U3351" s="8" t="s">
        <v>25</v>
      </c>
    </row>
    <row r="3352" spans="1:21">
      <c r="A3352" s="8" t="s">
        <v>13544</v>
      </c>
      <c r="B3352" s="8" t="s">
        <v>3596</v>
      </c>
      <c r="C3352" s="8">
        <v>343171</v>
      </c>
      <c r="D3352" s="8" t="s">
        <v>22</v>
      </c>
      <c r="E3352" s="8">
        <v>248059661</v>
      </c>
      <c r="F3352" s="8">
        <v>248059661</v>
      </c>
      <c r="G3352" s="8" t="s">
        <v>41</v>
      </c>
      <c r="H3352" s="8" t="s">
        <v>25</v>
      </c>
      <c r="I3352" s="8" t="s">
        <v>23</v>
      </c>
      <c r="J3352" s="8" t="s">
        <v>3597</v>
      </c>
      <c r="K3352" s="8" t="s">
        <v>13561</v>
      </c>
      <c r="L3352" s="8" t="s">
        <v>19</v>
      </c>
      <c r="M3352" s="8">
        <v>773</v>
      </c>
      <c r="N3352" s="8" t="s">
        <v>3606</v>
      </c>
      <c r="O3352" s="8">
        <v>258</v>
      </c>
      <c r="P3352" s="8" t="s">
        <v>13560</v>
      </c>
      <c r="Q3352" s="8" t="s">
        <v>4262</v>
      </c>
      <c r="R3352" s="8">
        <v>0.52800000000000002</v>
      </c>
      <c r="S3352" s="8">
        <v>248059661</v>
      </c>
      <c r="T3352" s="8" t="s">
        <v>41</v>
      </c>
      <c r="U3352" s="8" t="s">
        <v>25</v>
      </c>
    </row>
    <row r="3353" spans="1:21">
      <c r="A3353" s="8" t="s">
        <v>13544</v>
      </c>
      <c r="B3353" s="8" t="s">
        <v>2285</v>
      </c>
      <c r="C3353" s="8">
        <v>200403</v>
      </c>
      <c r="D3353" s="8" t="s">
        <v>172</v>
      </c>
      <c r="E3353" s="8">
        <v>98750316</v>
      </c>
      <c r="F3353" s="8">
        <v>98750316</v>
      </c>
      <c r="G3353" s="8" t="s">
        <v>24</v>
      </c>
      <c r="H3353" s="8" t="s">
        <v>25</v>
      </c>
      <c r="I3353" s="8" t="s">
        <v>23</v>
      </c>
      <c r="J3353" s="8" t="s">
        <v>13562</v>
      </c>
      <c r="K3353" s="8" t="s">
        <v>13564</v>
      </c>
      <c r="L3353" s="8" t="s">
        <v>19</v>
      </c>
      <c r="M3353" s="8">
        <v>1166</v>
      </c>
      <c r="N3353" s="8" t="s">
        <v>618</v>
      </c>
      <c r="O3353" s="8">
        <v>301</v>
      </c>
      <c r="P3353" s="8" t="s">
        <v>13563</v>
      </c>
      <c r="Q3353" s="8" t="s">
        <v>4262</v>
      </c>
      <c r="R3353" s="8">
        <v>0.26300000000000001</v>
      </c>
      <c r="S3353" s="8">
        <v>98750316</v>
      </c>
      <c r="T3353" s="8" t="s">
        <v>24</v>
      </c>
      <c r="U3353" s="8" t="s">
        <v>25</v>
      </c>
    </row>
    <row r="3354" spans="1:21">
      <c r="A3354" s="8" t="s">
        <v>13544</v>
      </c>
      <c r="B3354" s="8" t="s">
        <v>3762</v>
      </c>
      <c r="C3354" s="8">
        <v>8828</v>
      </c>
      <c r="D3354" s="8" t="s">
        <v>172</v>
      </c>
      <c r="E3354" s="8">
        <v>206659633</v>
      </c>
      <c r="F3354" s="8">
        <v>206659633</v>
      </c>
      <c r="G3354" s="8" t="s">
        <v>41</v>
      </c>
      <c r="H3354" s="8" t="s">
        <v>25</v>
      </c>
      <c r="I3354" s="8" t="s">
        <v>23</v>
      </c>
      <c r="J3354" s="8" t="s">
        <v>13565</v>
      </c>
      <c r="K3354" s="8" t="s">
        <v>13567</v>
      </c>
      <c r="L3354" s="8" t="s">
        <v>19</v>
      </c>
      <c r="M3354" s="8">
        <v>3438</v>
      </c>
      <c r="N3354" s="8" t="s">
        <v>278</v>
      </c>
      <c r="O3354" s="8">
        <v>883</v>
      </c>
      <c r="P3354" s="8" t="s">
        <v>13566</v>
      </c>
      <c r="Q3354" s="8" t="s">
        <v>4262</v>
      </c>
      <c r="R3354" s="8">
        <v>0.27500000000000002</v>
      </c>
      <c r="S3354" s="8">
        <v>206659633</v>
      </c>
      <c r="T3354" s="8" t="s">
        <v>41</v>
      </c>
      <c r="U3354" s="8" t="s">
        <v>25</v>
      </c>
    </row>
    <row r="3355" spans="1:21">
      <c r="A3355" s="8" t="s">
        <v>13544</v>
      </c>
      <c r="B3355" s="8" t="s">
        <v>4098</v>
      </c>
      <c r="C3355" s="8">
        <v>200576</v>
      </c>
      <c r="D3355" s="8" t="s">
        <v>172</v>
      </c>
      <c r="E3355" s="8">
        <v>209169653</v>
      </c>
      <c r="F3355" s="8">
        <v>209169653</v>
      </c>
      <c r="G3355" s="8" t="s">
        <v>25</v>
      </c>
      <c r="H3355" s="8" t="s">
        <v>24</v>
      </c>
      <c r="I3355" s="8" t="s">
        <v>23</v>
      </c>
      <c r="J3355" s="8" t="s">
        <v>13568</v>
      </c>
      <c r="K3355" s="8" t="s">
        <v>13570</v>
      </c>
      <c r="L3355" s="8" t="s">
        <v>19</v>
      </c>
      <c r="M3355" s="8">
        <v>1710</v>
      </c>
      <c r="N3355" s="8" t="s">
        <v>950</v>
      </c>
      <c r="O3355" s="8">
        <v>518</v>
      </c>
      <c r="P3355" s="8" t="s">
        <v>13569</v>
      </c>
      <c r="Q3355" s="8" t="s">
        <v>4262</v>
      </c>
      <c r="R3355" s="8">
        <v>0.223</v>
      </c>
      <c r="S3355" s="8">
        <v>209169653</v>
      </c>
      <c r="T3355" s="8" t="s">
        <v>25</v>
      </c>
      <c r="U3355" s="8" t="s">
        <v>24</v>
      </c>
    </row>
    <row r="3356" spans="1:21">
      <c r="A3356" s="8" t="s">
        <v>13544</v>
      </c>
      <c r="B3356" s="8" t="s">
        <v>4098</v>
      </c>
      <c r="C3356" s="8">
        <v>200576</v>
      </c>
      <c r="D3356" s="8" t="s">
        <v>172</v>
      </c>
      <c r="E3356" s="8">
        <v>209169660</v>
      </c>
      <c r="F3356" s="8">
        <v>209169660</v>
      </c>
      <c r="G3356" s="8" t="s">
        <v>25</v>
      </c>
      <c r="H3356" s="8" t="s">
        <v>24</v>
      </c>
      <c r="I3356" s="8" t="s">
        <v>23</v>
      </c>
      <c r="J3356" s="8" t="s">
        <v>13568</v>
      </c>
      <c r="K3356" s="8" t="s">
        <v>13570</v>
      </c>
      <c r="L3356" s="8" t="s">
        <v>19</v>
      </c>
      <c r="M3356" s="8">
        <v>1717</v>
      </c>
      <c r="N3356" s="8" t="s">
        <v>574</v>
      </c>
      <c r="O3356" s="8">
        <v>520</v>
      </c>
      <c r="P3356" s="8" t="s">
        <v>13571</v>
      </c>
      <c r="Q3356" s="8" t="s">
        <v>4262</v>
      </c>
      <c r="R3356" s="8">
        <v>0.20799999999999999</v>
      </c>
      <c r="S3356" s="8">
        <v>209169660</v>
      </c>
      <c r="T3356" s="8" t="s">
        <v>25</v>
      </c>
      <c r="U3356" s="8" t="s">
        <v>24</v>
      </c>
    </row>
    <row r="3357" spans="1:21">
      <c r="A3357" s="8" t="s">
        <v>13544</v>
      </c>
      <c r="B3357" s="8" t="s">
        <v>13572</v>
      </c>
      <c r="C3357" s="8">
        <v>2976</v>
      </c>
      <c r="D3357" s="8" t="s">
        <v>172</v>
      </c>
      <c r="E3357" s="8">
        <v>27551393</v>
      </c>
      <c r="F3357" s="8">
        <v>27551393</v>
      </c>
      <c r="G3357" s="8" t="s">
        <v>25</v>
      </c>
      <c r="H3357" s="8" t="s">
        <v>41</v>
      </c>
      <c r="I3357" s="8" t="s">
        <v>23</v>
      </c>
      <c r="J3357" s="8" t="s">
        <v>13573</v>
      </c>
      <c r="K3357" s="8" t="s">
        <v>13575</v>
      </c>
      <c r="L3357" s="8" t="s">
        <v>19</v>
      </c>
      <c r="M3357" s="8">
        <v>2485</v>
      </c>
      <c r="N3357" s="8" t="s">
        <v>1639</v>
      </c>
      <c r="O3357" s="8">
        <v>733</v>
      </c>
      <c r="P3357" s="8" t="s">
        <v>13574</v>
      </c>
      <c r="Q3357" s="8" t="s">
        <v>4262</v>
      </c>
      <c r="R3357" s="8">
        <v>0.115</v>
      </c>
      <c r="S3357" s="8">
        <v>27551393</v>
      </c>
      <c r="T3357" s="8" t="s">
        <v>25</v>
      </c>
      <c r="U3357" s="8" t="s">
        <v>41</v>
      </c>
    </row>
    <row r="3358" spans="1:21">
      <c r="A3358" s="8" t="s">
        <v>13544</v>
      </c>
      <c r="B3358" s="8" t="s">
        <v>13576</v>
      </c>
      <c r="C3358" s="8">
        <v>132204</v>
      </c>
      <c r="D3358" s="8" t="s">
        <v>201</v>
      </c>
      <c r="E3358" s="8">
        <v>63601140</v>
      </c>
      <c r="F3358" s="8">
        <v>63601140</v>
      </c>
      <c r="G3358" s="8" t="s">
        <v>41</v>
      </c>
      <c r="H3358" s="8" t="s">
        <v>25</v>
      </c>
      <c r="I3358" s="8" t="s">
        <v>23</v>
      </c>
      <c r="J3358" s="8" t="s">
        <v>13577</v>
      </c>
      <c r="K3358" s="8" t="s">
        <v>13579</v>
      </c>
      <c r="L3358" s="8" t="s">
        <v>19</v>
      </c>
      <c r="M3358" s="8">
        <v>1137</v>
      </c>
      <c r="N3358" s="8" t="s">
        <v>1338</v>
      </c>
      <c r="O3358" s="8">
        <v>281</v>
      </c>
      <c r="P3358" s="8" t="s">
        <v>13578</v>
      </c>
      <c r="Q3358" s="8" t="s">
        <v>4262</v>
      </c>
      <c r="R3358" s="8">
        <v>0.27900000000000003</v>
      </c>
      <c r="S3358" s="8">
        <v>63601140</v>
      </c>
      <c r="T3358" s="8" t="s">
        <v>41</v>
      </c>
      <c r="U3358" s="8" t="s">
        <v>25</v>
      </c>
    </row>
    <row r="3359" spans="1:21">
      <c r="A3359" s="8" t="s">
        <v>13544</v>
      </c>
      <c r="B3359" s="8" t="s">
        <v>10956</v>
      </c>
      <c r="C3359" s="8">
        <v>50939</v>
      </c>
      <c r="D3359" s="8" t="s">
        <v>201</v>
      </c>
      <c r="E3359" s="8">
        <v>101023093</v>
      </c>
      <c r="F3359" s="8">
        <v>101023093</v>
      </c>
      <c r="G3359" s="8" t="s">
        <v>41</v>
      </c>
      <c r="H3359" s="8" t="s">
        <v>25</v>
      </c>
      <c r="I3359" s="8" t="s">
        <v>23</v>
      </c>
      <c r="J3359" s="8" t="s">
        <v>10957</v>
      </c>
      <c r="K3359" s="8" t="s">
        <v>10959</v>
      </c>
      <c r="L3359" s="8" t="s">
        <v>19</v>
      </c>
      <c r="M3359" s="8">
        <v>601</v>
      </c>
      <c r="N3359" s="8" t="s">
        <v>3268</v>
      </c>
      <c r="O3359" s="8">
        <v>133</v>
      </c>
      <c r="P3359" s="8" t="s">
        <v>13580</v>
      </c>
      <c r="Q3359" s="8" t="s">
        <v>4262</v>
      </c>
      <c r="R3359" s="8">
        <v>0.19800000000000001</v>
      </c>
      <c r="S3359" s="8">
        <v>101023093</v>
      </c>
      <c r="T3359" s="8" t="s">
        <v>41</v>
      </c>
      <c r="U3359" s="8" t="s">
        <v>25</v>
      </c>
    </row>
    <row r="3360" spans="1:21">
      <c r="A3360" s="8" t="s">
        <v>13544</v>
      </c>
      <c r="B3360" s="8" t="s">
        <v>1950</v>
      </c>
      <c r="C3360" s="8">
        <v>9657</v>
      </c>
      <c r="D3360" s="8" t="s">
        <v>201</v>
      </c>
      <c r="E3360" s="8">
        <v>121509055</v>
      </c>
      <c r="F3360" s="8">
        <v>121509055</v>
      </c>
      <c r="G3360" s="8" t="s">
        <v>24</v>
      </c>
      <c r="H3360" s="8" t="s">
        <v>25</v>
      </c>
      <c r="I3360" s="8" t="s">
        <v>23</v>
      </c>
      <c r="J3360" s="8" t="s">
        <v>13581</v>
      </c>
      <c r="K3360" s="8" t="s">
        <v>13584</v>
      </c>
      <c r="L3360" s="8" t="s">
        <v>76</v>
      </c>
      <c r="M3360" s="8">
        <v>1209</v>
      </c>
      <c r="N3360" s="8" t="s">
        <v>103</v>
      </c>
      <c r="O3360" s="8">
        <v>332</v>
      </c>
      <c r="P3360" s="8" t="s">
        <v>13582</v>
      </c>
      <c r="Q3360" s="8" t="s">
        <v>13583</v>
      </c>
      <c r="R3360" s="8">
        <v>0.19800000000000001</v>
      </c>
      <c r="S3360" s="8">
        <v>121509055</v>
      </c>
      <c r="T3360" s="8" t="s">
        <v>24</v>
      </c>
      <c r="U3360" s="8" t="s">
        <v>25</v>
      </c>
    </row>
    <row r="3361" spans="1:21">
      <c r="A3361" s="8" t="s">
        <v>13544</v>
      </c>
      <c r="B3361" s="8" t="s">
        <v>11018</v>
      </c>
      <c r="C3361" s="8">
        <v>5922</v>
      </c>
      <c r="D3361" s="8" t="s">
        <v>201</v>
      </c>
      <c r="E3361" s="8">
        <v>141231048</v>
      </c>
      <c r="F3361" s="8">
        <v>141231048</v>
      </c>
      <c r="G3361" s="8" t="s">
        <v>24</v>
      </c>
      <c r="H3361" s="8" t="s">
        <v>46</v>
      </c>
      <c r="I3361" s="8" t="s">
        <v>23</v>
      </c>
      <c r="J3361" s="8" t="s">
        <v>11019</v>
      </c>
      <c r="K3361" s="8" t="s">
        <v>11021</v>
      </c>
      <c r="L3361" s="8" t="s">
        <v>19</v>
      </c>
      <c r="M3361" s="8">
        <v>177</v>
      </c>
      <c r="N3361" s="8" t="s">
        <v>3231</v>
      </c>
      <c r="O3361" s="8">
        <v>59</v>
      </c>
      <c r="P3361" s="8" t="s">
        <v>13585</v>
      </c>
      <c r="Q3361" s="8" t="s">
        <v>4262</v>
      </c>
      <c r="R3361" s="8">
        <v>0.26300000000000001</v>
      </c>
      <c r="S3361" s="8">
        <v>141231048</v>
      </c>
      <c r="T3361" s="8" t="s">
        <v>24</v>
      </c>
      <c r="U3361" s="8" t="s">
        <v>46</v>
      </c>
    </row>
    <row r="3362" spans="1:21">
      <c r="A3362" s="8" t="s">
        <v>13544</v>
      </c>
      <c r="B3362" s="8" t="s">
        <v>2678</v>
      </c>
      <c r="C3362" s="8">
        <v>6331</v>
      </c>
      <c r="D3362" s="8" t="s">
        <v>201</v>
      </c>
      <c r="E3362" s="8">
        <v>38648285</v>
      </c>
      <c r="F3362" s="8">
        <v>38648285</v>
      </c>
      <c r="G3362" s="8" t="s">
        <v>25</v>
      </c>
      <c r="H3362" s="8" t="s">
        <v>41</v>
      </c>
      <c r="I3362" s="8" t="s">
        <v>23</v>
      </c>
      <c r="J3362" s="8" t="s">
        <v>13586</v>
      </c>
      <c r="K3362" s="8" t="s">
        <v>13588</v>
      </c>
      <c r="L3362" s="8" t="s">
        <v>19</v>
      </c>
      <c r="M3362" s="8">
        <v>1210</v>
      </c>
      <c r="N3362" s="8" t="s">
        <v>1186</v>
      </c>
      <c r="O3362" s="8">
        <v>339</v>
      </c>
      <c r="P3362" s="8" t="s">
        <v>13587</v>
      </c>
      <c r="Q3362" s="8" t="s">
        <v>4262</v>
      </c>
      <c r="R3362" s="8">
        <v>0.23599999999999999</v>
      </c>
      <c r="S3362" s="8">
        <v>38648285</v>
      </c>
      <c r="T3362" s="8" t="s">
        <v>25</v>
      </c>
      <c r="U3362" s="8" t="s">
        <v>41</v>
      </c>
    </row>
    <row r="3363" spans="1:21">
      <c r="A3363" s="8" t="s">
        <v>13544</v>
      </c>
      <c r="B3363" s="8" t="s">
        <v>3768</v>
      </c>
      <c r="C3363" s="8">
        <v>1951</v>
      </c>
      <c r="D3363" s="8" t="s">
        <v>201</v>
      </c>
      <c r="E3363" s="8">
        <v>48692572</v>
      </c>
      <c r="F3363" s="8">
        <v>48692572</v>
      </c>
      <c r="G3363" s="8" t="s">
        <v>24</v>
      </c>
      <c r="H3363" s="8" t="s">
        <v>41</v>
      </c>
      <c r="I3363" s="8" t="s">
        <v>23</v>
      </c>
      <c r="J3363" s="8" t="s">
        <v>3769</v>
      </c>
      <c r="K3363" s="8" t="s">
        <v>13590</v>
      </c>
      <c r="L3363" s="8" t="s">
        <v>19</v>
      </c>
      <c r="M3363" s="8">
        <v>5174</v>
      </c>
      <c r="N3363" s="8" t="s">
        <v>316</v>
      </c>
      <c r="O3363" s="8">
        <v>1631</v>
      </c>
      <c r="P3363" s="8" t="s">
        <v>13589</v>
      </c>
      <c r="Q3363" s="8" t="s">
        <v>4262</v>
      </c>
      <c r="R3363" s="8">
        <v>0.23100000000000001</v>
      </c>
      <c r="S3363" s="8">
        <v>48692572</v>
      </c>
      <c r="T3363" s="8" t="s">
        <v>24</v>
      </c>
      <c r="U3363" s="8" t="s">
        <v>41</v>
      </c>
    </row>
    <row r="3364" spans="1:21">
      <c r="A3364" s="8" t="s">
        <v>13544</v>
      </c>
      <c r="B3364" s="8" t="s">
        <v>3773</v>
      </c>
      <c r="C3364" s="8">
        <v>10117</v>
      </c>
      <c r="D3364" s="8" t="s">
        <v>220</v>
      </c>
      <c r="E3364" s="8">
        <v>71497442</v>
      </c>
      <c r="F3364" s="8">
        <v>71497442</v>
      </c>
      <c r="G3364" s="8" t="s">
        <v>46</v>
      </c>
      <c r="H3364" s="8" t="s">
        <v>24</v>
      </c>
      <c r="I3364" s="8" t="s">
        <v>23</v>
      </c>
      <c r="J3364" s="8" t="s">
        <v>3774</v>
      </c>
      <c r="K3364" s="8" t="s">
        <v>11145</v>
      </c>
      <c r="L3364" s="8" t="s">
        <v>19</v>
      </c>
      <c r="M3364" s="8">
        <v>391</v>
      </c>
      <c r="N3364" s="8" t="s">
        <v>435</v>
      </c>
      <c r="O3364" s="8">
        <v>37</v>
      </c>
      <c r="P3364" s="8" t="s">
        <v>4608</v>
      </c>
      <c r="Q3364" s="8" t="s">
        <v>4262</v>
      </c>
      <c r="R3364" s="8">
        <v>0.247</v>
      </c>
      <c r="S3364" s="8">
        <v>71497442</v>
      </c>
      <c r="T3364" s="8" t="s">
        <v>46</v>
      </c>
      <c r="U3364" s="8" t="s">
        <v>24</v>
      </c>
    </row>
    <row r="3365" spans="1:21">
      <c r="A3365" s="8" t="s">
        <v>13544</v>
      </c>
      <c r="B3365" s="8" t="s">
        <v>2093</v>
      </c>
      <c r="C3365" s="8">
        <v>1363</v>
      </c>
      <c r="D3365" s="8" t="s">
        <v>220</v>
      </c>
      <c r="E3365" s="8">
        <v>166405705</v>
      </c>
      <c r="F3365" s="8">
        <v>166405705</v>
      </c>
      <c r="G3365" s="8" t="s">
        <v>25</v>
      </c>
      <c r="H3365" s="8" t="s">
        <v>41</v>
      </c>
      <c r="I3365" s="8" t="s">
        <v>23</v>
      </c>
      <c r="J3365" s="8" t="s">
        <v>13591</v>
      </c>
      <c r="K3365" s="8" t="s">
        <v>13593</v>
      </c>
      <c r="L3365" s="8" t="s">
        <v>19</v>
      </c>
      <c r="M3365" s="8">
        <v>1199</v>
      </c>
      <c r="N3365" s="8" t="s">
        <v>1030</v>
      </c>
      <c r="O3365" s="8">
        <v>308</v>
      </c>
      <c r="P3365" s="8" t="s">
        <v>13592</v>
      </c>
      <c r="Q3365" s="8" t="s">
        <v>4262</v>
      </c>
      <c r="R3365" s="8">
        <v>0.251</v>
      </c>
      <c r="S3365" s="8">
        <v>166405705</v>
      </c>
      <c r="T3365" s="8" t="s">
        <v>25</v>
      </c>
      <c r="U3365" s="8" t="s">
        <v>41</v>
      </c>
    </row>
    <row r="3366" spans="1:21">
      <c r="A3366" s="8" t="s">
        <v>13544</v>
      </c>
      <c r="B3366" s="8" t="s">
        <v>3770</v>
      </c>
      <c r="C3366" s="8">
        <v>91351</v>
      </c>
      <c r="D3366" s="8" t="s">
        <v>220</v>
      </c>
      <c r="E3366" s="8">
        <v>169315735</v>
      </c>
      <c r="F3366" s="8">
        <v>169315735</v>
      </c>
      <c r="G3366" s="8" t="s">
        <v>41</v>
      </c>
      <c r="H3366" s="8" t="s">
        <v>25</v>
      </c>
      <c r="I3366" s="8" t="s">
        <v>23</v>
      </c>
      <c r="J3366" s="8" t="s">
        <v>3771</v>
      </c>
      <c r="K3366" s="8" t="s">
        <v>8782</v>
      </c>
      <c r="L3366" s="8" t="s">
        <v>19</v>
      </c>
      <c r="M3366" s="8">
        <v>3912</v>
      </c>
      <c r="N3366" s="8" t="s">
        <v>685</v>
      </c>
      <c r="O3366" s="8">
        <v>1231</v>
      </c>
      <c r="P3366" s="8" t="s">
        <v>13594</v>
      </c>
      <c r="Q3366" s="8" t="s">
        <v>4262</v>
      </c>
      <c r="R3366" s="8">
        <v>0.29199999999999998</v>
      </c>
      <c r="S3366" s="8">
        <v>169315735</v>
      </c>
      <c r="T3366" s="8" t="s">
        <v>41</v>
      </c>
      <c r="U3366" s="8" t="s">
        <v>25</v>
      </c>
    </row>
    <row r="3367" spans="1:21">
      <c r="A3367" s="8" t="s">
        <v>13544</v>
      </c>
      <c r="B3367" s="8" t="s">
        <v>3772</v>
      </c>
      <c r="C3367" s="8">
        <v>23216</v>
      </c>
      <c r="D3367" s="8" t="s">
        <v>220</v>
      </c>
      <c r="E3367" s="8">
        <v>38051479</v>
      </c>
      <c r="F3367" s="8">
        <v>38051479</v>
      </c>
      <c r="G3367" s="8" t="s">
        <v>25</v>
      </c>
      <c r="H3367" s="8" t="s">
        <v>24</v>
      </c>
      <c r="I3367" s="8" t="s">
        <v>23</v>
      </c>
      <c r="J3367" s="8" t="s">
        <v>13595</v>
      </c>
      <c r="K3367" s="8" t="s">
        <v>13597</v>
      </c>
      <c r="L3367" s="8" t="s">
        <v>19</v>
      </c>
      <c r="M3367" s="8">
        <v>2213</v>
      </c>
      <c r="N3367" s="8" t="s">
        <v>446</v>
      </c>
      <c r="O3367" s="8">
        <v>624</v>
      </c>
      <c r="P3367" s="8" t="s">
        <v>13596</v>
      </c>
      <c r="Q3367" s="8" t="s">
        <v>4262</v>
      </c>
      <c r="R3367" s="8">
        <v>0.34100000000000003</v>
      </c>
      <c r="S3367" s="8">
        <v>38051479</v>
      </c>
      <c r="T3367" s="8" t="s">
        <v>25</v>
      </c>
      <c r="U3367" s="8" t="s">
        <v>24</v>
      </c>
    </row>
    <row r="3368" spans="1:21">
      <c r="A3368" s="8" t="s">
        <v>13544</v>
      </c>
      <c r="B3368" s="8" t="s">
        <v>1678</v>
      </c>
      <c r="C3368" s="8">
        <v>9652</v>
      </c>
      <c r="D3368" s="8" t="s">
        <v>226</v>
      </c>
      <c r="E3368" s="8">
        <v>94805616</v>
      </c>
      <c r="F3368" s="8">
        <v>94805616</v>
      </c>
      <c r="G3368" s="8" t="s">
        <v>41</v>
      </c>
      <c r="H3368" s="8" t="s">
        <v>25</v>
      </c>
      <c r="I3368" s="8" t="s">
        <v>23</v>
      </c>
      <c r="J3368" s="8" t="s">
        <v>3777</v>
      </c>
      <c r="K3368" s="8" t="s">
        <v>13598</v>
      </c>
      <c r="L3368" s="8" t="s">
        <v>68</v>
      </c>
      <c r="M3368" s="8">
        <v>0</v>
      </c>
      <c r="N3368" s="8" t="s">
        <v>35</v>
      </c>
      <c r="O3368" s="8">
        <v>0</v>
      </c>
      <c r="P3368" s="8" t="s">
        <v>35</v>
      </c>
      <c r="Q3368" s="8" t="s">
        <v>4262</v>
      </c>
      <c r="R3368" s="8">
        <v>0.30399999999999999</v>
      </c>
      <c r="S3368" s="8">
        <v>94805616</v>
      </c>
      <c r="T3368" s="8" t="s">
        <v>41</v>
      </c>
      <c r="U3368" s="8" t="s">
        <v>25</v>
      </c>
    </row>
    <row r="3369" spans="1:21">
      <c r="A3369" s="8" t="s">
        <v>13544</v>
      </c>
      <c r="B3369" s="8" t="s">
        <v>13599</v>
      </c>
      <c r="C3369" s="8">
        <v>26045</v>
      </c>
      <c r="D3369" s="8" t="s">
        <v>226</v>
      </c>
      <c r="E3369" s="8">
        <v>138208785</v>
      </c>
      <c r="F3369" s="8">
        <v>138208785</v>
      </c>
      <c r="G3369" s="8" t="s">
        <v>24</v>
      </c>
      <c r="H3369" s="8" t="s">
        <v>25</v>
      </c>
      <c r="I3369" s="8" t="s">
        <v>23</v>
      </c>
      <c r="J3369" s="8" t="s">
        <v>13600</v>
      </c>
      <c r="K3369" s="8" t="s">
        <v>13602</v>
      </c>
      <c r="L3369" s="8" t="s">
        <v>19</v>
      </c>
      <c r="M3369" s="8">
        <v>1922</v>
      </c>
      <c r="N3369" s="8" t="s">
        <v>2400</v>
      </c>
      <c r="O3369" s="8">
        <v>489</v>
      </c>
      <c r="P3369" s="8" t="s">
        <v>13601</v>
      </c>
      <c r="Q3369" s="8" t="s">
        <v>4262</v>
      </c>
      <c r="R3369" s="8">
        <v>0.18099999999999999</v>
      </c>
      <c r="S3369" s="8">
        <v>138208785</v>
      </c>
      <c r="T3369" s="8" t="s">
        <v>24</v>
      </c>
      <c r="U3369" s="8" t="s">
        <v>25</v>
      </c>
    </row>
    <row r="3370" spans="1:21">
      <c r="A3370" s="8" t="s">
        <v>13544</v>
      </c>
      <c r="B3370" s="8" t="s">
        <v>3775</v>
      </c>
      <c r="C3370" s="8">
        <v>2568</v>
      </c>
      <c r="D3370" s="8" t="s">
        <v>226</v>
      </c>
      <c r="E3370" s="8">
        <v>170235670</v>
      </c>
      <c r="F3370" s="8">
        <v>170235670</v>
      </c>
      <c r="G3370" s="8" t="s">
        <v>46</v>
      </c>
      <c r="H3370" s="8" t="s">
        <v>25</v>
      </c>
      <c r="I3370" s="8" t="s">
        <v>23</v>
      </c>
      <c r="J3370" s="8" t="s">
        <v>3776</v>
      </c>
      <c r="K3370" s="8" t="s">
        <v>13604</v>
      </c>
      <c r="L3370" s="8" t="s">
        <v>19</v>
      </c>
      <c r="M3370" s="8">
        <v>944</v>
      </c>
      <c r="N3370" s="8" t="s">
        <v>65</v>
      </c>
      <c r="O3370" s="8">
        <v>249</v>
      </c>
      <c r="P3370" s="8" t="s">
        <v>13603</v>
      </c>
      <c r="Q3370" s="8" t="s">
        <v>4262</v>
      </c>
      <c r="R3370" s="8">
        <v>0.28100000000000003</v>
      </c>
      <c r="S3370" s="8">
        <v>170235670</v>
      </c>
      <c r="T3370" s="8" t="s">
        <v>46</v>
      </c>
      <c r="U3370" s="8" t="s">
        <v>25</v>
      </c>
    </row>
    <row r="3371" spans="1:21">
      <c r="A3371" s="8" t="s">
        <v>13544</v>
      </c>
      <c r="B3371" s="8" t="s">
        <v>13605</v>
      </c>
      <c r="C3371" s="8">
        <v>10917</v>
      </c>
      <c r="D3371" s="8" t="s">
        <v>226</v>
      </c>
      <c r="E3371" s="8">
        <v>180432829</v>
      </c>
      <c r="F3371" s="8">
        <v>180432829</v>
      </c>
      <c r="G3371" s="8" t="s">
        <v>25</v>
      </c>
      <c r="H3371" s="8" t="s">
        <v>41</v>
      </c>
      <c r="I3371" s="8" t="s">
        <v>23</v>
      </c>
      <c r="J3371" s="8" t="s">
        <v>13606</v>
      </c>
      <c r="K3371" s="8" t="s">
        <v>13608</v>
      </c>
      <c r="L3371" s="8" t="s">
        <v>19</v>
      </c>
      <c r="M3371" s="8">
        <v>1542</v>
      </c>
      <c r="N3371" s="8" t="s">
        <v>3268</v>
      </c>
      <c r="O3371" s="8">
        <v>453</v>
      </c>
      <c r="P3371" s="8" t="s">
        <v>13607</v>
      </c>
      <c r="Q3371" s="8" t="s">
        <v>4262</v>
      </c>
      <c r="R3371" s="8">
        <v>0.19600000000000001</v>
      </c>
      <c r="S3371" s="8">
        <v>180432829</v>
      </c>
      <c r="T3371" s="8" t="s">
        <v>25</v>
      </c>
      <c r="U3371" s="8" t="s">
        <v>41</v>
      </c>
    </row>
    <row r="3372" spans="1:21">
      <c r="A3372" s="8" t="s">
        <v>13544</v>
      </c>
      <c r="B3372" s="8" t="s">
        <v>11443</v>
      </c>
      <c r="C3372" s="8">
        <v>8521</v>
      </c>
      <c r="D3372" s="8" t="s">
        <v>237</v>
      </c>
      <c r="E3372" s="8">
        <v>52993006</v>
      </c>
      <c r="F3372" s="8">
        <v>52993006</v>
      </c>
      <c r="G3372" s="8" t="s">
        <v>25</v>
      </c>
      <c r="H3372" s="8" t="s">
        <v>41</v>
      </c>
      <c r="I3372" s="8" t="s">
        <v>23</v>
      </c>
      <c r="J3372" s="8" t="s">
        <v>11444</v>
      </c>
      <c r="K3372" s="8" t="s">
        <v>11446</v>
      </c>
      <c r="L3372" s="8" t="s">
        <v>4687</v>
      </c>
      <c r="M3372" s="8">
        <v>1518</v>
      </c>
      <c r="N3372" s="8" t="s">
        <v>4689</v>
      </c>
      <c r="O3372" s="8">
        <v>437</v>
      </c>
      <c r="P3372" s="8" t="s">
        <v>35</v>
      </c>
      <c r="Q3372" s="8" t="s">
        <v>4262</v>
      </c>
      <c r="R3372" s="8">
        <v>0.217</v>
      </c>
      <c r="S3372" s="8">
        <v>52993006</v>
      </c>
      <c r="T3372" s="8" t="s">
        <v>25</v>
      </c>
      <c r="U3372" s="8" t="s">
        <v>41</v>
      </c>
    </row>
    <row r="3373" spans="1:21">
      <c r="A3373" s="8" t="s">
        <v>13544</v>
      </c>
      <c r="B3373" s="8" t="s">
        <v>13609</v>
      </c>
      <c r="C3373" s="8">
        <v>667</v>
      </c>
      <c r="D3373" s="8" t="s">
        <v>237</v>
      </c>
      <c r="E3373" s="8">
        <v>56373461</v>
      </c>
      <c r="F3373" s="8">
        <v>56373461</v>
      </c>
      <c r="G3373" s="8" t="s">
        <v>46</v>
      </c>
      <c r="H3373" s="8" t="s">
        <v>41</v>
      </c>
      <c r="I3373" s="8" t="s">
        <v>23</v>
      </c>
      <c r="J3373" s="8" t="s">
        <v>13610</v>
      </c>
      <c r="K3373" s="8" t="s">
        <v>13612</v>
      </c>
      <c r="L3373" s="8" t="s">
        <v>19</v>
      </c>
      <c r="M3373" s="8">
        <v>11344</v>
      </c>
      <c r="N3373" s="8" t="s">
        <v>166</v>
      </c>
      <c r="O3373" s="8">
        <v>3746</v>
      </c>
      <c r="P3373" s="8" t="s">
        <v>13611</v>
      </c>
      <c r="Q3373" s="8" t="s">
        <v>4262</v>
      </c>
      <c r="R3373" s="8">
        <v>0.251</v>
      </c>
      <c r="S3373" s="8">
        <v>56373461</v>
      </c>
      <c r="T3373" s="8" t="s">
        <v>46</v>
      </c>
      <c r="U3373" s="8" t="s">
        <v>41</v>
      </c>
    </row>
    <row r="3374" spans="1:21">
      <c r="A3374" s="8" t="s">
        <v>13544</v>
      </c>
      <c r="B3374" s="8" t="s">
        <v>3778</v>
      </c>
      <c r="C3374" s="8">
        <v>8417</v>
      </c>
      <c r="D3374" s="8" t="s">
        <v>237</v>
      </c>
      <c r="E3374" s="8">
        <v>132789550</v>
      </c>
      <c r="F3374" s="8">
        <v>132789550</v>
      </c>
      <c r="G3374" s="8" t="s">
        <v>41</v>
      </c>
      <c r="H3374" s="8" t="s">
        <v>46</v>
      </c>
      <c r="I3374" s="8" t="s">
        <v>23</v>
      </c>
      <c r="J3374" s="8" t="s">
        <v>3779</v>
      </c>
      <c r="K3374" s="8" t="s">
        <v>13614</v>
      </c>
      <c r="L3374" s="8" t="s">
        <v>19</v>
      </c>
      <c r="M3374" s="8">
        <v>852</v>
      </c>
      <c r="N3374" s="8" t="s">
        <v>1033</v>
      </c>
      <c r="O3374" s="8">
        <v>201</v>
      </c>
      <c r="P3374" s="8" t="s">
        <v>13613</v>
      </c>
      <c r="Q3374" s="8" t="s">
        <v>4262</v>
      </c>
      <c r="R3374" s="8">
        <v>0.32700000000000001</v>
      </c>
      <c r="S3374" s="8">
        <v>132789550</v>
      </c>
      <c r="T3374" s="8" t="s">
        <v>41</v>
      </c>
      <c r="U3374" s="8" t="s">
        <v>46</v>
      </c>
    </row>
    <row r="3375" spans="1:21">
      <c r="A3375" s="8" t="s">
        <v>13544</v>
      </c>
      <c r="B3375" s="8" t="s">
        <v>1531</v>
      </c>
      <c r="C3375" s="8">
        <v>23345</v>
      </c>
      <c r="D3375" s="8" t="s">
        <v>237</v>
      </c>
      <c r="E3375" s="8">
        <v>152631647</v>
      </c>
      <c r="F3375" s="8">
        <v>152631647</v>
      </c>
      <c r="G3375" s="8" t="s">
        <v>41</v>
      </c>
      <c r="H3375" s="8" t="s">
        <v>46</v>
      </c>
      <c r="I3375" s="8" t="s">
        <v>23</v>
      </c>
      <c r="J3375" s="8" t="s">
        <v>4324</v>
      </c>
      <c r="K3375" s="8" t="s">
        <v>4326</v>
      </c>
      <c r="L3375" s="8" t="s">
        <v>19</v>
      </c>
      <c r="M3375" s="8">
        <v>17505</v>
      </c>
      <c r="N3375" s="8" t="s">
        <v>3138</v>
      </c>
      <c r="O3375" s="8">
        <v>5635</v>
      </c>
      <c r="P3375" s="8" t="s">
        <v>13615</v>
      </c>
      <c r="Q3375" s="8" t="s">
        <v>4262</v>
      </c>
      <c r="R3375" s="8">
        <v>0.245</v>
      </c>
      <c r="S3375" s="8">
        <v>152631647</v>
      </c>
      <c r="T3375" s="8" t="s">
        <v>41</v>
      </c>
      <c r="U3375" s="8" t="s">
        <v>46</v>
      </c>
    </row>
    <row r="3376" spans="1:21">
      <c r="A3376" s="8" t="s">
        <v>13544</v>
      </c>
      <c r="B3376" s="8" t="s">
        <v>3780</v>
      </c>
      <c r="C3376" s="8">
        <v>4301</v>
      </c>
      <c r="D3376" s="8" t="s">
        <v>237</v>
      </c>
      <c r="E3376" s="8">
        <v>168347458</v>
      </c>
      <c r="F3376" s="8">
        <v>168347458</v>
      </c>
      <c r="G3376" s="8" t="s">
        <v>46</v>
      </c>
      <c r="H3376" s="8" t="s">
        <v>41</v>
      </c>
      <c r="I3376" s="8" t="s">
        <v>23</v>
      </c>
      <c r="J3376" s="8" t="s">
        <v>13616</v>
      </c>
      <c r="K3376" s="8" t="s">
        <v>13618</v>
      </c>
      <c r="L3376" s="8" t="s">
        <v>76</v>
      </c>
      <c r="M3376" s="8">
        <v>3551</v>
      </c>
      <c r="N3376" s="8" t="s">
        <v>2720</v>
      </c>
      <c r="O3376" s="8">
        <v>1137</v>
      </c>
      <c r="P3376" s="8" t="s">
        <v>13617</v>
      </c>
      <c r="Q3376" s="8" t="s">
        <v>4262</v>
      </c>
      <c r="R3376" s="8">
        <v>0.22</v>
      </c>
      <c r="S3376" s="8">
        <v>168347458</v>
      </c>
      <c r="T3376" s="8" t="s">
        <v>46</v>
      </c>
      <c r="U3376" s="8" t="s">
        <v>41</v>
      </c>
    </row>
    <row r="3377" spans="1:21">
      <c r="A3377" s="8" t="s">
        <v>13544</v>
      </c>
      <c r="B3377" s="8" t="s">
        <v>13619</v>
      </c>
      <c r="C3377" s="8">
        <v>3118</v>
      </c>
      <c r="D3377" s="8" t="s">
        <v>237</v>
      </c>
      <c r="E3377" s="8">
        <v>32712972</v>
      </c>
      <c r="F3377" s="8">
        <v>32712972</v>
      </c>
      <c r="G3377" s="8" t="s">
        <v>25</v>
      </c>
      <c r="H3377" s="8" t="s">
        <v>41</v>
      </c>
      <c r="I3377" s="8" t="s">
        <v>23</v>
      </c>
      <c r="J3377" s="8" t="s">
        <v>13620</v>
      </c>
      <c r="K3377" s="8" t="s">
        <v>13622</v>
      </c>
      <c r="L3377" s="8" t="s">
        <v>19</v>
      </c>
      <c r="M3377" s="8">
        <v>177</v>
      </c>
      <c r="N3377" s="8" t="s">
        <v>3136</v>
      </c>
      <c r="O3377" s="8">
        <v>40</v>
      </c>
      <c r="P3377" s="8" t="s">
        <v>13621</v>
      </c>
      <c r="Q3377" s="8" t="s">
        <v>4262</v>
      </c>
      <c r="R3377" s="8">
        <v>0.191</v>
      </c>
      <c r="S3377" s="8">
        <v>32712972</v>
      </c>
      <c r="T3377" s="8" t="s">
        <v>25</v>
      </c>
      <c r="U3377" s="8" t="s">
        <v>41</v>
      </c>
    </row>
    <row r="3378" spans="1:21">
      <c r="A3378" s="8" t="s">
        <v>13544</v>
      </c>
      <c r="B3378" s="8" t="s">
        <v>267</v>
      </c>
      <c r="C3378" s="8">
        <v>23242</v>
      </c>
      <c r="D3378" s="8" t="s">
        <v>257</v>
      </c>
      <c r="E3378" s="8">
        <v>51096172</v>
      </c>
      <c r="F3378" s="8">
        <v>51096172</v>
      </c>
      <c r="G3378" s="8" t="s">
        <v>41</v>
      </c>
      <c r="H3378" s="8" t="s">
        <v>25</v>
      </c>
      <c r="I3378" s="8" t="s">
        <v>23</v>
      </c>
      <c r="J3378" s="8" t="s">
        <v>268</v>
      </c>
      <c r="K3378" s="8" t="s">
        <v>13624</v>
      </c>
      <c r="L3378" s="8" t="s">
        <v>19</v>
      </c>
      <c r="M3378" s="8">
        <v>2806</v>
      </c>
      <c r="N3378" s="8" t="s">
        <v>457</v>
      </c>
      <c r="O3378" s="8">
        <v>874</v>
      </c>
      <c r="P3378" s="8" t="s">
        <v>13623</v>
      </c>
      <c r="Q3378" s="8" t="s">
        <v>4262</v>
      </c>
      <c r="R3378" s="8">
        <v>0.40500000000000003</v>
      </c>
      <c r="S3378" s="8">
        <v>51096172</v>
      </c>
      <c r="T3378" s="8" t="s">
        <v>41</v>
      </c>
      <c r="U3378" s="8" t="s">
        <v>25</v>
      </c>
    </row>
    <row r="3379" spans="1:21">
      <c r="A3379" s="8" t="s">
        <v>13544</v>
      </c>
      <c r="B3379" s="8" t="s">
        <v>11660</v>
      </c>
      <c r="C3379" s="8">
        <v>7455</v>
      </c>
      <c r="D3379" s="8" t="s">
        <v>257</v>
      </c>
      <c r="E3379" s="8">
        <v>100350418</v>
      </c>
      <c r="F3379" s="8">
        <v>100350418</v>
      </c>
      <c r="G3379" s="8" t="s">
        <v>25</v>
      </c>
      <c r="H3379" s="8" t="s">
        <v>41</v>
      </c>
      <c r="I3379" s="8" t="s">
        <v>23</v>
      </c>
      <c r="J3379" s="8" t="s">
        <v>11661</v>
      </c>
      <c r="K3379" s="8" t="s">
        <v>11663</v>
      </c>
      <c r="L3379" s="8" t="s">
        <v>19</v>
      </c>
      <c r="M3379" s="8">
        <v>2855</v>
      </c>
      <c r="N3379" s="8" t="s">
        <v>3268</v>
      </c>
      <c r="O3379" s="8">
        <v>897</v>
      </c>
      <c r="P3379" s="8" t="s">
        <v>13625</v>
      </c>
      <c r="Q3379" s="8" t="s">
        <v>4262</v>
      </c>
      <c r="R3379" s="8">
        <v>0.17399999999999999</v>
      </c>
      <c r="S3379" s="8">
        <v>100350418</v>
      </c>
      <c r="T3379" s="8" t="s">
        <v>25</v>
      </c>
      <c r="U3379" s="8" t="s">
        <v>41</v>
      </c>
    </row>
    <row r="3380" spans="1:21">
      <c r="A3380" s="8" t="s">
        <v>13544</v>
      </c>
      <c r="B3380" s="8" t="s">
        <v>3781</v>
      </c>
      <c r="C3380" s="8">
        <v>2845</v>
      </c>
      <c r="D3380" s="8" t="s">
        <v>257</v>
      </c>
      <c r="E3380" s="8">
        <v>107115625</v>
      </c>
      <c r="F3380" s="8">
        <v>107115625</v>
      </c>
      <c r="G3380" s="8" t="s">
        <v>41</v>
      </c>
      <c r="H3380" s="8" t="s">
        <v>46</v>
      </c>
      <c r="I3380" s="8" t="s">
        <v>23</v>
      </c>
      <c r="J3380" s="8" t="s">
        <v>3782</v>
      </c>
      <c r="K3380" s="8" t="s">
        <v>13627</v>
      </c>
      <c r="L3380" s="8" t="s">
        <v>19</v>
      </c>
      <c r="M3380" s="8">
        <v>2466</v>
      </c>
      <c r="N3380" s="8" t="s">
        <v>200</v>
      </c>
      <c r="O3380" s="8">
        <v>374</v>
      </c>
      <c r="P3380" s="8" t="s">
        <v>13626</v>
      </c>
      <c r="Q3380" s="8" t="s">
        <v>4262</v>
      </c>
      <c r="R3380" s="8">
        <v>0.36199999999999999</v>
      </c>
      <c r="S3380" s="8">
        <v>107115625</v>
      </c>
      <c r="T3380" s="8" t="s">
        <v>41</v>
      </c>
      <c r="U3380" s="8" t="s">
        <v>46</v>
      </c>
    </row>
    <row r="3381" spans="1:21">
      <c r="A3381" s="8" t="s">
        <v>13544</v>
      </c>
      <c r="B3381" s="8" t="s">
        <v>2756</v>
      </c>
      <c r="C3381" s="8">
        <v>22798</v>
      </c>
      <c r="D3381" s="8" t="s">
        <v>257</v>
      </c>
      <c r="E3381" s="8">
        <v>107756574</v>
      </c>
      <c r="F3381" s="8">
        <v>107756574</v>
      </c>
      <c r="G3381" s="8" t="s">
        <v>25</v>
      </c>
      <c r="H3381" s="8" t="s">
        <v>41</v>
      </c>
      <c r="I3381" s="8" t="s">
        <v>23</v>
      </c>
      <c r="J3381" s="8" t="s">
        <v>2757</v>
      </c>
      <c r="K3381" s="8" t="s">
        <v>11672</v>
      </c>
      <c r="L3381" s="8" t="s">
        <v>19</v>
      </c>
      <c r="M3381" s="8">
        <v>151</v>
      </c>
      <c r="N3381" s="8" t="s">
        <v>3260</v>
      </c>
      <c r="O3381" s="8">
        <v>23</v>
      </c>
      <c r="P3381" s="8" t="s">
        <v>13628</v>
      </c>
      <c r="Q3381" s="8" t="s">
        <v>4262</v>
      </c>
      <c r="R3381" s="8">
        <v>0.125</v>
      </c>
      <c r="S3381" s="8">
        <v>107756574</v>
      </c>
      <c r="T3381" s="8" t="s">
        <v>25</v>
      </c>
      <c r="U3381" s="8" t="s">
        <v>41</v>
      </c>
    </row>
    <row r="3382" spans="1:21">
      <c r="A3382" s="8" t="s">
        <v>13544</v>
      </c>
      <c r="B3382" s="8" t="s">
        <v>1282</v>
      </c>
      <c r="C3382" s="8">
        <v>85477</v>
      </c>
      <c r="D3382" s="8" t="s">
        <v>257</v>
      </c>
      <c r="E3382" s="8">
        <v>12662511</v>
      </c>
      <c r="F3382" s="8">
        <v>12662511</v>
      </c>
      <c r="G3382" s="8" t="s">
        <v>41</v>
      </c>
      <c r="H3382" s="8" t="s">
        <v>25</v>
      </c>
      <c r="I3382" s="8" t="s">
        <v>23</v>
      </c>
      <c r="J3382" s="8" t="s">
        <v>3318</v>
      </c>
      <c r="K3382" s="8" t="s">
        <v>8966</v>
      </c>
      <c r="L3382" s="8" t="s">
        <v>19</v>
      </c>
      <c r="M3382" s="8">
        <v>962</v>
      </c>
      <c r="N3382" s="8" t="s">
        <v>3783</v>
      </c>
      <c r="O3382" s="8">
        <v>251</v>
      </c>
      <c r="P3382" s="8" t="s">
        <v>13629</v>
      </c>
      <c r="Q3382" s="8" t="s">
        <v>4262</v>
      </c>
      <c r="R3382" s="8">
        <v>0.17299999999999999</v>
      </c>
      <c r="S3382" s="8">
        <v>12662511</v>
      </c>
      <c r="T3382" s="8" t="s">
        <v>41</v>
      </c>
      <c r="U3382" s="8" t="s">
        <v>25</v>
      </c>
    </row>
    <row r="3383" spans="1:21">
      <c r="A3383" s="8" t="s">
        <v>13544</v>
      </c>
      <c r="B3383" s="8" t="s">
        <v>13630</v>
      </c>
      <c r="C3383" s="8">
        <v>8454</v>
      </c>
      <c r="D3383" s="8" t="s">
        <v>257</v>
      </c>
      <c r="E3383" s="8">
        <v>148484182</v>
      </c>
      <c r="F3383" s="8">
        <v>148484182</v>
      </c>
      <c r="G3383" s="8" t="s">
        <v>41</v>
      </c>
      <c r="H3383" s="8" t="s">
        <v>24</v>
      </c>
      <c r="I3383" s="8" t="s">
        <v>23</v>
      </c>
      <c r="J3383" s="8" t="s">
        <v>13631</v>
      </c>
      <c r="K3383" s="8" t="s">
        <v>13633</v>
      </c>
      <c r="L3383" s="8" t="s">
        <v>19</v>
      </c>
      <c r="M3383" s="8">
        <v>1799</v>
      </c>
      <c r="N3383" s="8" t="s">
        <v>324</v>
      </c>
      <c r="O3383" s="8">
        <v>483</v>
      </c>
      <c r="P3383" s="8" t="s">
        <v>13632</v>
      </c>
      <c r="Q3383" s="8" t="s">
        <v>4262</v>
      </c>
      <c r="R3383" s="8">
        <v>0.193</v>
      </c>
      <c r="S3383" s="8">
        <v>148484182</v>
      </c>
      <c r="T3383" s="8" t="s">
        <v>41</v>
      </c>
      <c r="U3383" s="8" t="s">
        <v>24</v>
      </c>
    </row>
    <row r="3384" spans="1:21">
      <c r="A3384" s="8" t="s">
        <v>13544</v>
      </c>
      <c r="B3384" s="8" t="s">
        <v>8980</v>
      </c>
      <c r="C3384" s="8">
        <v>58508</v>
      </c>
      <c r="D3384" s="8" t="s">
        <v>257</v>
      </c>
      <c r="E3384" s="8">
        <v>151962168</v>
      </c>
      <c r="F3384" s="8">
        <v>151962168</v>
      </c>
      <c r="G3384" s="8" t="s">
        <v>46</v>
      </c>
      <c r="H3384" s="8" t="s">
        <v>25</v>
      </c>
      <c r="I3384" s="8" t="s">
        <v>23</v>
      </c>
      <c r="J3384" s="8" t="s">
        <v>8981</v>
      </c>
      <c r="K3384" s="8" t="s">
        <v>8983</v>
      </c>
      <c r="L3384" s="8" t="s">
        <v>19</v>
      </c>
      <c r="M3384" s="8">
        <v>1358</v>
      </c>
      <c r="N3384" s="8" t="s">
        <v>138</v>
      </c>
      <c r="O3384" s="8">
        <v>380</v>
      </c>
      <c r="P3384" s="8" t="s">
        <v>13634</v>
      </c>
      <c r="Q3384" s="8" t="s">
        <v>13635</v>
      </c>
      <c r="R3384" s="8">
        <v>7.3999999999999996E-2</v>
      </c>
      <c r="S3384" s="8">
        <v>151962168</v>
      </c>
      <c r="T3384" s="8" t="s">
        <v>46</v>
      </c>
      <c r="U3384" s="8" t="s">
        <v>25</v>
      </c>
    </row>
    <row r="3385" spans="1:21">
      <c r="A3385" s="8" t="s">
        <v>13544</v>
      </c>
      <c r="B3385" s="8" t="s">
        <v>1971</v>
      </c>
      <c r="C3385" s="8">
        <v>27075</v>
      </c>
      <c r="D3385" s="8" t="s">
        <v>257</v>
      </c>
      <c r="E3385" s="8">
        <v>16817460</v>
      </c>
      <c r="F3385" s="8">
        <v>16817460</v>
      </c>
      <c r="G3385" s="8" t="s">
        <v>24</v>
      </c>
      <c r="H3385" s="8" t="s">
        <v>25</v>
      </c>
      <c r="I3385" s="8" t="s">
        <v>23</v>
      </c>
      <c r="J3385" s="8" t="s">
        <v>13636</v>
      </c>
      <c r="K3385" s="8" t="s">
        <v>13638</v>
      </c>
      <c r="L3385" s="8" t="s">
        <v>19</v>
      </c>
      <c r="M3385" s="8">
        <v>592</v>
      </c>
      <c r="N3385" s="8" t="s">
        <v>2664</v>
      </c>
      <c r="O3385" s="8">
        <v>117</v>
      </c>
      <c r="P3385" s="8" t="s">
        <v>13637</v>
      </c>
      <c r="Q3385" s="8" t="s">
        <v>4262</v>
      </c>
      <c r="R3385" s="8">
        <v>0.17</v>
      </c>
      <c r="S3385" s="8">
        <v>16817460</v>
      </c>
      <c r="T3385" s="8" t="s">
        <v>24</v>
      </c>
      <c r="U3385" s="8" t="s">
        <v>25</v>
      </c>
    </row>
    <row r="3386" spans="1:21">
      <c r="A3386" s="8" t="s">
        <v>13544</v>
      </c>
      <c r="B3386" s="8" t="s">
        <v>3784</v>
      </c>
      <c r="C3386" s="8">
        <v>107</v>
      </c>
      <c r="D3386" s="8" t="s">
        <v>257</v>
      </c>
      <c r="E3386" s="8">
        <v>45724657</v>
      </c>
      <c r="F3386" s="8">
        <v>45724657</v>
      </c>
      <c r="G3386" s="8" t="s">
        <v>25</v>
      </c>
      <c r="H3386" s="8" t="s">
        <v>41</v>
      </c>
      <c r="I3386" s="8" t="s">
        <v>23</v>
      </c>
      <c r="J3386" s="8" t="s">
        <v>3785</v>
      </c>
      <c r="K3386" s="8" t="s">
        <v>13640</v>
      </c>
      <c r="L3386" s="8" t="s">
        <v>19</v>
      </c>
      <c r="M3386" s="8">
        <v>2081</v>
      </c>
      <c r="N3386" s="8" t="s">
        <v>216</v>
      </c>
      <c r="O3386" s="8">
        <v>688</v>
      </c>
      <c r="P3386" s="8" t="s">
        <v>13639</v>
      </c>
      <c r="Q3386" s="8" t="s">
        <v>4262</v>
      </c>
      <c r="R3386" s="8">
        <v>0.24399999999999999</v>
      </c>
      <c r="S3386" s="8">
        <v>45724657</v>
      </c>
      <c r="T3386" s="8" t="s">
        <v>25</v>
      </c>
      <c r="U3386" s="8" t="s">
        <v>41</v>
      </c>
    </row>
    <row r="3387" spans="1:21">
      <c r="A3387" s="8" t="s">
        <v>13544</v>
      </c>
      <c r="B3387" s="8" t="s">
        <v>3786</v>
      </c>
      <c r="C3387" s="8">
        <v>3443</v>
      </c>
      <c r="D3387" s="8" t="s">
        <v>292</v>
      </c>
      <c r="E3387" s="8">
        <v>21350765</v>
      </c>
      <c r="F3387" s="8">
        <v>21350765</v>
      </c>
      <c r="G3387" s="8" t="s">
        <v>25</v>
      </c>
      <c r="H3387" s="8" t="s">
        <v>41</v>
      </c>
      <c r="I3387" s="8" t="s">
        <v>23</v>
      </c>
      <c r="J3387" s="8" t="s">
        <v>3787</v>
      </c>
      <c r="K3387" s="8" t="s">
        <v>13642</v>
      </c>
      <c r="L3387" s="8" t="s">
        <v>19</v>
      </c>
      <c r="M3387" s="8">
        <v>122</v>
      </c>
      <c r="N3387" s="8" t="s">
        <v>1096</v>
      </c>
      <c r="O3387" s="8">
        <v>41</v>
      </c>
      <c r="P3387" s="8" t="s">
        <v>13641</v>
      </c>
      <c r="Q3387" s="8" t="s">
        <v>4262</v>
      </c>
      <c r="R3387" s="8">
        <v>0.22500000000000001</v>
      </c>
      <c r="S3387" s="8">
        <v>21350765</v>
      </c>
      <c r="T3387" s="8" t="s">
        <v>25</v>
      </c>
      <c r="U3387" s="8" t="s">
        <v>41</v>
      </c>
    </row>
    <row r="3388" spans="1:21">
      <c r="A3388" s="8" t="s">
        <v>13544</v>
      </c>
      <c r="B3388" s="8" t="s">
        <v>3788</v>
      </c>
      <c r="C3388" s="8">
        <v>65083</v>
      </c>
      <c r="D3388" s="8" t="s">
        <v>292</v>
      </c>
      <c r="E3388" s="8">
        <v>33472006</v>
      </c>
      <c r="F3388" s="8">
        <v>33472006</v>
      </c>
      <c r="G3388" s="8" t="s">
        <v>24</v>
      </c>
      <c r="H3388" s="8" t="s">
        <v>25</v>
      </c>
      <c r="I3388" s="8" t="s">
        <v>23</v>
      </c>
      <c r="J3388" s="8" t="s">
        <v>13643</v>
      </c>
      <c r="K3388" s="8" t="s">
        <v>13645</v>
      </c>
      <c r="L3388" s="8" t="s">
        <v>19</v>
      </c>
      <c r="M3388" s="8">
        <v>475</v>
      </c>
      <c r="N3388" s="8" t="s">
        <v>364</v>
      </c>
      <c r="O3388" s="8">
        <v>125</v>
      </c>
      <c r="P3388" s="8" t="s">
        <v>13644</v>
      </c>
      <c r="Q3388" s="8" t="s">
        <v>4262</v>
      </c>
      <c r="R3388" s="8">
        <v>0.26800000000000002</v>
      </c>
      <c r="S3388" s="8">
        <v>33472006</v>
      </c>
      <c r="T3388" s="8" t="s">
        <v>24</v>
      </c>
      <c r="U3388" s="8" t="s">
        <v>25</v>
      </c>
    </row>
    <row r="3389" spans="1:21">
      <c r="A3389" s="8" t="s">
        <v>13544</v>
      </c>
      <c r="B3389" s="8" t="s">
        <v>549</v>
      </c>
      <c r="C3389" s="8">
        <v>55388</v>
      </c>
      <c r="D3389" s="8" t="s">
        <v>69</v>
      </c>
      <c r="E3389" s="8">
        <v>13213035</v>
      </c>
      <c r="F3389" s="8">
        <v>13213035</v>
      </c>
      <c r="G3389" s="8" t="s">
        <v>24</v>
      </c>
      <c r="H3389" s="8" t="s">
        <v>25</v>
      </c>
      <c r="I3389" s="8" t="s">
        <v>23</v>
      </c>
      <c r="J3389" s="8" t="s">
        <v>4349</v>
      </c>
      <c r="K3389" s="8" t="s">
        <v>4351</v>
      </c>
      <c r="L3389" s="8" t="s">
        <v>19</v>
      </c>
      <c r="M3389" s="8">
        <v>249</v>
      </c>
      <c r="N3389" s="8" t="s">
        <v>1070</v>
      </c>
      <c r="O3389" s="8">
        <v>41</v>
      </c>
      <c r="P3389" s="8" t="s">
        <v>13646</v>
      </c>
      <c r="Q3389" s="8" t="s">
        <v>4262</v>
      </c>
      <c r="R3389" s="8">
        <v>0.28100000000000003</v>
      </c>
      <c r="S3389" s="8">
        <v>13213035</v>
      </c>
      <c r="T3389" s="8" t="s">
        <v>24</v>
      </c>
      <c r="U3389" s="8" t="s">
        <v>25</v>
      </c>
    </row>
    <row r="3390" spans="1:21">
      <c r="A3390" s="8" t="s">
        <v>13544</v>
      </c>
      <c r="B3390" s="8" t="s">
        <v>9104</v>
      </c>
      <c r="C3390" s="8">
        <v>8829</v>
      </c>
      <c r="D3390" s="8" t="s">
        <v>69</v>
      </c>
      <c r="E3390" s="8">
        <v>33543039</v>
      </c>
      <c r="F3390" s="8">
        <v>33543039</v>
      </c>
      <c r="G3390" s="8" t="s">
        <v>41</v>
      </c>
      <c r="H3390" s="8" t="s">
        <v>25</v>
      </c>
      <c r="I3390" s="8" t="s">
        <v>23</v>
      </c>
      <c r="J3390" s="8" t="s">
        <v>9105</v>
      </c>
      <c r="K3390" s="8" t="s">
        <v>9107</v>
      </c>
      <c r="L3390" s="8" t="s">
        <v>19</v>
      </c>
      <c r="M3390" s="8">
        <v>1421</v>
      </c>
      <c r="N3390" s="8" t="s">
        <v>3131</v>
      </c>
      <c r="O3390" s="8">
        <v>300</v>
      </c>
      <c r="P3390" s="8" t="s">
        <v>13647</v>
      </c>
      <c r="Q3390" s="8" t="s">
        <v>4262</v>
      </c>
      <c r="R3390" s="8">
        <v>0.183</v>
      </c>
      <c r="S3390" s="8">
        <v>33543039</v>
      </c>
      <c r="T3390" s="8" t="s">
        <v>41</v>
      </c>
      <c r="U3390" s="8" t="s">
        <v>25</v>
      </c>
    </row>
    <row r="3391" spans="1:21">
      <c r="A3391" s="8" t="s">
        <v>13544</v>
      </c>
      <c r="B3391" s="8" t="s">
        <v>13648</v>
      </c>
      <c r="C3391" s="8">
        <v>6947</v>
      </c>
      <c r="D3391" s="8" t="s">
        <v>83</v>
      </c>
      <c r="E3391" s="8">
        <v>59633893</v>
      </c>
      <c r="F3391" s="8">
        <v>59633893</v>
      </c>
      <c r="G3391" s="8" t="s">
        <v>25</v>
      </c>
      <c r="H3391" s="8" t="s">
        <v>41</v>
      </c>
      <c r="I3391" s="8" t="s">
        <v>23</v>
      </c>
      <c r="J3391" s="8" t="s">
        <v>13649</v>
      </c>
      <c r="K3391" s="8" t="s">
        <v>13651</v>
      </c>
      <c r="L3391" s="8" t="s">
        <v>19</v>
      </c>
      <c r="M3391" s="8">
        <v>149</v>
      </c>
      <c r="N3391" s="8" t="s">
        <v>3053</v>
      </c>
      <c r="O3391" s="8">
        <v>17</v>
      </c>
      <c r="P3391" s="8" t="s">
        <v>13650</v>
      </c>
      <c r="Q3391" s="8" t="s">
        <v>4262</v>
      </c>
      <c r="R3391" s="8">
        <v>0.224</v>
      </c>
      <c r="S3391" s="8">
        <v>59633893</v>
      </c>
      <c r="T3391" s="8" t="s">
        <v>25</v>
      </c>
      <c r="U3391" s="8" t="s">
        <v>41</v>
      </c>
    </row>
    <row r="3392" spans="1:21">
      <c r="A3392" s="8" t="s">
        <v>13544</v>
      </c>
      <c r="B3392" s="8" t="s">
        <v>13652</v>
      </c>
      <c r="C3392" s="8">
        <v>374407</v>
      </c>
      <c r="D3392" s="8" t="s">
        <v>83</v>
      </c>
      <c r="E3392" s="8">
        <v>73680358</v>
      </c>
      <c r="F3392" s="8">
        <v>73680358</v>
      </c>
      <c r="G3392" s="8" t="s">
        <v>25</v>
      </c>
      <c r="H3392" s="8" t="s">
        <v>24</v>
      </c>
      <c r="I3392" s="8" t="s">
        <v>23</v>
      </c>
      <c r="J3392" s="8" t="s">
        <v>13653</v>
      </c>
      <c r="K3392" s="8" t="s">
        <v>13655</v>
      </c>
      <c r="L3392" s="8" t="s">
        <v>19</v>
      </c>
      <c r="M3392" s="8">
        <v>1539</v>
      </c>
      <c r="N3392" s="8" t="s">
        <v>551</v>
      </c>
      <c r="O3392" s="8">
        <v>263</v>
      </c>
      <c r="P3392" s="8" t="s">
        <v>13654</v>
      </c>
      <c r="Q3392" s="8" t="s">
        <v>4262</v>
      </c>
      <c r="R3392" s="8">
        <v>0.113</v>
      </c>
      <c r="S3392" s="8">
        <v>73680358</v>
      </c>
      <c r="T3392" s="8" t="s">
        <v>25</v>
      </c>
      <c r="U3392" s="8" t="s">
        <v>24</v>
      </c>
    </row>
    <row r="3393" spans="1:21">
      <c r="A3393" s="8" t="s">
        <v>13544</v>
      </c>
      <c r="B3393" s="8" t="s">
        <v>3750</v>
      </c>
      <c r="C3393" s="8">
        <v>2915</v>
      </c>
      <c r="D3393" s="8" t="s">
        <v>83</v>
      </c>
      <c r="E3393" s="8">
        <v>88323801</v>
      </c>
      <c r="F3393" s="8">
        <v>88323801</v>
      </c>
      <c r="G3393" s="8" t="s">
        <v>41</v>
      </c>
      <c r="H3393" s="8" t="s">
        <v>25</v>
      </c>
      <c r="I3393" s="8" t="s">
        <v>23</v>
      </c>
      <c r="J3393" s="8" t="s">
        <v>5700</v>
      </c>
      <c r="K3393" s="8" t="s">
        <v>5702</v>
      </c>
      <c r="L3393" s="8" t="s">
        <v>19</v>
      </c>
      <c r="M3393" s="8">
        <v>1858</v>
      </c>
      <c r="N3393" s="8" t="s">
        <v>216</v>
      </c>
      <c r="O3393" s="8">
        <v>553</v>
      </c>
      <c r="P3393" s="8" t="s">
        <v>13656</v>
      </c>
      <c r="Q3393" s="8" t="s">
        <v>4262</v>
      </c>
      <c r="R3393" s="8">
        <v>0.19600000000000001</v>
      </c>
      <c r="S3393" s="8">
        <v>88323801</v>
      </c>
      <c r="T3393" s="8" t="s">
        <v>41</v>
      </c>
      <c r="U3393" s="8" t="s">
        <v>25</v>
      </c>
    </row>
    <row r="3394" spans="1:21">
      <c r="A3394" s="8" t="s">
        <v>13544</v>
      </c>
      <c r="B3394" s="8" t="s">
        <v>12275</v>
      </c>
      <c r="C3394" s="8">
        <v>917</v>
      </c>
      <c r="D3394" s="8" t="s">
        <v>83</v>
      </c>
      <c r="E3394" s="8">
        <v>118223146</v>
      </c>
      <c r="F3394" s="8">
        <v>118223146</v>
      </c>
      <c r="G3394" s="8" t="s">
        <v>41</v>
      </c>
      <c r="H3394" s="8" t="s">
        <v>46</v>
      </c>
      <c r="I3394" s="8" t="s">
        <v>23</v>
      </c>
      <c r="J3394" s="8" t="s">
        <v>12276</v>
      </c>
      <c r="K3394" s="8" t="s">
        <v>12278</v>
      </c>
      <c r="L3394" s="8" t="s">
        <v>19</v>
      </c>
      <c r="M3394" s="8">
        <v>591</v>
      </c>
      <c r="N3394" s="8" t="s">
        <v>1513</v>
      </c>
      <c r="O3394" s="8">
        <v>171</v>
      </c>
      <c r="P3394" s="8" t="s">
        <v>13657</v>
      </c>
      <c r="Q3394" s="8" t="s">
        <v>13658</v>
      </c>
      <c r="R3394" s="8">
        <v>0.19700000000000001</v>
      </c>
      <c r="S3394" s="8">
        <v>118223146</v>
      </c>
      <c r="T3394" s="8" t="s">
        <v>41</v>
      </c>
      <c r="U3394" s="8" t="s">
        <v>46</v>
      </c>
    </row>
    <row r="3395" spans="1:21">
      <c r="A3395" s="8" t="s">
        <v>13544</v>
      </c>
      <c r="B3395" s="8" t="s">
        <v>2170</v>
      </c>
      <c r="C3395" s="8">
        <v>29087</v>
      </c>
      <c r="D3395" s="8" t="s">
        <v>83</v>
      </c>
      <c r="E3395" s="8">
        <v>134118742</v>
      </c>
      <c r="F3395" s="8">
        <v>134118742</v>
      </c>
      <c r="G3395" s="8" t="s">
        <v>25</v>
      </c>
      <c r="H3395" s="8" t="s">
        <v>46</v>
      </c>
      <c r="I3395" s="8" t="s">
        <v>23</v>
      </c>
      <c r="J3395" s="8" t="s">
        <v>13659</v>
      </c>
      <c r="K3395" s="8" t="s">
        <v>13661</v>
      </c>
      <c r="L3395" s="8" t="s">
        <v>19</v>
      </c>
      <c r="M3395" s="8">
        <v>694</v>
      </c>
      <c r="N3395" s="8" t="s">
        <v>2861</v>
      </c>
      <c r="O3395" s="8">
        <v>198</v>
      </c>
      <c r="P3395" s="8" t="s">
        <v>13660</v>
      </c>
      <c r="Q3395" s="8" t="s">
        <v>4262</v>
      </c>
      <c r="R3395" s="8">
        <v>0.18099999999999999</v>
      </c>
      <c r="S3395" s="8">
        <v>134118742</v>
      </c>
      <c r="T3395" s="8" t="s">
        <v>25</v>
      </c>
      <c r="U3395" s="8" t="s">
        <v>46</v>
      </c>
    </row>
    <row r="3396" spans="1:21">
      <c r="A3396" s="8" t="s">
        <v>13544</v>
      </c>
      <c r="B3396" s="8" t="s">
        <v>3748</v>
      </c>
      <c r="C3396" s="8">
        <v>3739</v>
      </c>
      <c r="D3396" s="8" t="s">
        <v>83</v>
      </c>
      <c r="E3396" s="8">
        <v>30032325</v>
      </c>
      <c r="F3396" s="8">
        <v>30032325</v>
      </c>
      <c r="G3396" s="8" t="s">
        <v>41</v>
      </c>
      <c r="H3396" s="8" t="s">
        <v>25</v>
      </c>
      <c r="I3396" s="8" t="s">
        <v>23</v>
      </c>
      <c r="J3396" s="8" t="s">
        <v>3749</v>
      </c>
      <c r="K3396" s="8" t="s">
        <v>13663</v>
      </c>
      <c r="L3396" s="8" t="s">
        <v>19</v>
      </c>
      <c r="M3396" s="8">
        <v>3142</v>
      </c>
      <c r="N3396" s="8" t="s">
        <v>771</v>
      </c>
      <c r="O3396" s="8">
        <v>634</v>
      </c>
      <c r="P3396" s="8" t="s">
        <v>13662</v>
      </c>
      <c r="Q3396" s="8" t="s">
        <v>4262</v>
      </c>
      <c r="R3396" s="8">
        <v>0.21299999999999999</v>
      </c>
      <c r="S3396" s="8">
        <v>30032325</v>
      </c>
      <c r="T3396" s="8" t="s">
        <v>41</v>
      </c>
      <c r="U3396" s="8" t="s">
        <v>25</v>
      </c>
    </row>
    <row r="3397" spans="1:21">
      <c r="A3397" s="8" t="s">
        <v>13544</v>
      </c>
      <c r="B3397" s="8" t="s">
        <v>13664</v>
      </c>
      <c r="C3397" s="8">
        <v>401667</v>
      </c>
      <c r="D3397" s="8" t="s">
        <v>83</v>
      </c>
      <c r="E3397" s="8">
        <v>4976264</v>
      </c>
      <c r="F3397" s="8">
        <v>4976264</v>
      </c>
      <c r="G3397" s="8" t="s">
        <v>24</v>
      </c>
      <c r="H3397" s="8" t="s">
        <v>41</v>
      </c>
      <c r="I3397" s="8" t="s">
        <v>23</v>
      </c>
      <c r="J3397" s="8" t="s">
        <v>13665</v>
      </c>
      <c r="K3397" s="8" t="s">
        <v>13668</v>
      </c>
      <c r="L3397" s="8" t="s">
        <v>19</v>
      </c>
      <c r="M3397" s="8">
        <v>680</v>
      </c>
      <c r="N3397" s="8" t="s">
        <v>1622</v>
      </c>
      <c r="O3397" s="8">
        <v>227</v>
      </c>
      <c r="P3397" s="8" t="s">
        <v>13666</v>
      </c>
      <c r="Q3397" s="8" t="s">
        <v>13667</v>
      </c>
      <c r="R3397" s="8">
        <v>0.13700000000000001</v>
      </c>
      <c r="S3397" s="8">
        <v>4976264</v>
      </c>
      <c r="T3397" s="8" t="s">
        <v>24</v>
      </c>
      <c r="U3397" s="8" t="s">
        <v>41</v>
      </c>
    </row>
    <row r="3398" spans="1:21">
      <c r="A3398" s="8" t="s">
        <v>13544</v>
      </c>
      <c r="B3398" s="8" t="s">
        <v>3751</v>
      </c>
      <c r="C3398" s="8">
        <v>22895</v>
      </c>
      <c r="D3398" s="8" t="s">
        <v>104</v>
      </c>
      <c r="E3398" s="8">
        <v>113266160</v>
      </c>
      <c r="F3398" s="8">
        <v>113266160</v>
      </c>
      <c r="G3398" s="8" t="s">
        <v>41</v>
      </c>
      <c r="H3398" s="8" t="s">
        <v>25</v>
      </c>
      <c r="I3398" s="8" t="s">
        <v>23</v>
      </c>
      <c r="J3398" s="8" t="s">
        <v>13669</v>
      </c>
      <c r="K3398" s="8" t="s">
        <v>13671</v>
      </c>
      <c r="L3398" s="8" t="s">
        <v>19</v>
      </c>
      <c r="M3398" s="8">
        <v>445</v>
      </c>
      <c r="N3398" s="8" t="s">
        <v>40</v>
      </c>
      <c r="O3398" s="8">
        <v>13</v>
      </c>
      <c r="P3398" s="8" t="s">
        <v>13670</v>
      </c>
      <c r="Q3398" s="8" t="s">
        <v>4262</v>
      </c>
      <c r="R3398" s="8">
        <v>0.25700000000000001</v>
      </c>
      <c r="S3398" s="8">
        <v>113266160</v>
      </c>
      <c r="T3398" s="8" t="s">
        <v>41</v>
      </c>
      <c r="U3398" s="8" t="s">
        <v>25</v>
      </c>
    </row>
    <row r="3399" spans="1:21">
      <c r="A3399" s="8" t="s">
        <v>13544</v>
      </c>
      <c r="B3399" s="8" t="s">
        <v>13672</v>
      </c>
      <c r="C3399" s="8">
        <v>957</v>
      </c>
      <c r="D3399" s="8" t="s">
        <v>118</v>
      </c>
      <c r="E3399" s="8">
        <v>74439700</v>
      </c>
      <c r="F3399" s="8">
        <v>74439700</v>
      </c>
      <c r="G3399" s="8" t="s">
        <v>24</v>
      </c>
      <c r="H3399" s="8" t="s">
        <v>25</v>
      </c>
      <c r="I3399" s="8" t="s">
        <v>23</v>
      </c>
      <c r="J3399" s="8" t="s">
        <v>13673</v>
      </c>
      <c r="K3399" s="8" t="s">
        <v>13675</v>
      </c>
      <c r="L3399" s="8" t="s">
        <v>19</v>
      </c>
      <c r="M3399" s="8">
        <v>1225</v>
      </c>
      <c r="N3399" s="8" t="s">
        <v>1421</v>
      </c>
      <c r="O3399" s="8">
        <v>305</v>
      </c>
      <c r="P3399" s="8" t="s">
        <v>13674</v>
      </c>
      <c r="Q3399" s="8" t="s">
        <v>4262</v>
      </c>
      <c r="R3399" s="8">
        <v>9.2999999999999999E-2</v>
      </c>
      <c r="S3399" s="8">
        <v>74439700</v>
      </c>
      <c r="T3399" s="8" t="s">
        <v>24</v>
      </c>
      <c r="U3399" s="8" t="s">
        <v>25</v>
      </c>
    </row>
    <row r="3400" spans="1:21">
      <c r="A3400" s="8" t="s">
        <v>13544</v>
      </c>
      <c r="B3400" s="8" t="s">
        <v>13672</v>
      </c>
      <c r="C3400" s="8">
        <v>957</v>
      </c>
      <c r="D3400" s="8" t="s">
        <v>118</v>
      </c>
      <c r="E3400" s="8">
        <v>74439701</v>
      </c>
      <c r="F3400" s="8">
        <v>74439701</v>
      </c>
      <c r="G3400" s="8" t="s">
        <v>46</v>
      </c>
      <c r="H3400" s="8" t="s">
        <v>41</v>
      </c>
      <c r="I3400" s="8" t="s">
        <v>23</v>
      </c>
      <c r="J3400" s="8" t="s">
        <v>13673</v>
      </c>
      <c r="K3400" s="8" t="s">
        <v>13675</v>
      </c>
      <c r="L3400" s="8" t="s">
        <v>19</v>
      </c>
      <c r="M3400" s="8">
        <v>1224</v>
      </c>
      <c r="N3400" s="8" t="s">
        <v>155</v>
      </c>
      <c r="O3400" s="8">
        <v>305</v>
      </c>
      <c r="P3400" s="8" t="s">
        <v>13676</v>
      </c>
      <c r="Q3400" s="8" t="s">
        <v>4262</v>
      </c>
      <c r="R3400" s="8">
        <v>9.0999999999999998E-2</v>
      </c>
      <c r="S3400" s="8">
        <v>74439701</v>
      </c>
      <c r="T3400" s="8" t="s">
        <v>46</v>
      </c>
      <c r="U3400" s="8" t="s">
        <v>41</v>
      </c>
    </row>
    <row r="3401" spans="1:21">
      <c r="A3401" s="8" t="s">
        <v>13544</v>
      </c>
      <c r="B3401" s="8" t="s">
        <v>13677</v>
      </c>
      <c r="C3401" s="8">
        <v>641455</v>
      </c>
      <c r="D3401" s="8" t="s">
        <v>118</v>
      </c>
      <c r="E3401" s="8">
        <v>20010200</v>
      </c>
      <c r="F3401" s="8">
        <v>20010200</v>
      </c>
      <c r="G3401" s="8" t="s">
        <v>41</v>
      </c>
      <c r="H3401" s="8" t="s">
        <v>46</v>
      </c>
      <c r="I3401" s="8" t="s">
        <v>23</v>
      </c>
      <c r="J3401" s="8" t="s">
        <v>13678</v>
      </c>
      <c r="K3401" s="8" t="s">
        <v>13680</v>
      </c>
      <c r="L3401" s="8" t="s">
        <v>19</v>
      </c>
      <c r="M3401" s="8">
        <v>1010</v>
      </c>
      <c r="N3401" s="8" t="s">
        <v>99</v>
      </c>
      <c r="O3401" s="8">
        <v>320</v>
      </c>
      <c r="P3401" s="8" t="s">
        <v>13679</v>
      </c>
      <c r="Q3401" s="8" t="s">
        <v>4262</v>
      </c>
      <c r="R3401" s="8">
        <v>0.53400000000000003</v>
      </c>
      <c r="S3401" s="8">
        <v>20010200</v>
      </c>
      <c r="T3401" s="8" t="s">
        <v>41</v>
      </c>
      <c r="U3401" s="8" t="s">
        <v>46</v>
      </c>
    </row>
    <row r="3402" spans="1:21">
      <c r="A3402" s="8" t="s">
        <v>13544</v>
      </c>
      <c r="B3402" s="8" t="s">
        <v>3752</v>
      </c>
      <c r="C3402" s="8">
        <v>23116</v>
      </c>
      <c r="D3402" s="8" t="s">
        <v>118</v>
      </c>
      <c r="E3402" s="8">
        <v>45497391</v>
      </c>
      <c r="F3402" s="8">
        <v>45497391</v>
      </c>
      <c r="G3402" s="8" t="s">
        <v>25</v>
      </c>
      <c r="H3402" s="8" t="s">
        <v>24</v>
      </c>
      <c r="I3402" s="8" t="s">
        <v>23</v>
      </c>
      <c r="J3402" s="8" t="s">
        <v>3753</v>
      </c>
      <c r="K3402" s="8" t="s">
        <v>6996</v>
      </c>
      <c r="L3402" s="8" t="s">
        <v>19</v>
      </c>
      <c r="M3402" s="8">
        <v>3726</v>
      </c>
      <c r="N3402" s="8" t="s">
        <v>2976</v>
      </c>
      <c r="O3402" s="8">
        <v>1173</v>
      </c>
      <c r="P3402" s="8" t="s">
        <v>13681</v>
      </c>
      <c r="Q3402" s="8" t="s">
        <v>4262</v>
      </c>
      <c r="R3402" s="8">
        <v>0.25900000000000001</v>
      </c>
      <c r="S3402" s="8">
        <v>45497391</v>
      </c>
      <c r="T3402" s="8" t="s">
        <v>25</v>
      </c>
      <c r="U3402" s="8" t="s">
        <v>24</v>
      </c>
    </row>
    <row r="3403" spans="1:21">
      <c r="A3403" s="8" t="s">
        <v>13544</v>
      </c>
      <c r="B3403" s="8" t="s">
        <v>13682</v>
      </c>
      <c r="C3403" s="8">
        <v>10588</v>
      </c>
      <c r="D3403" s="8" t="s">
        <v>120</v>
      </c>
      <c r="E3403" s="8">
        <v>80181527</v>
      </c>
      <c r="F3403" s="8">
        <v>80181527</v>
      </c>
      <c r="G3403" s="8" t="s">
        <v>41</v>
      </c>
      <c r="H3403" s="8" t="s">
        <v>24</v>
      </c>
      <c r="I3403" s="8" t="s">
        <v>23</v>
      </c>
      <c r="J3403" s="8" t="s">
        <v>13683</v>
      </c>
      <c r="K3403" s="8" t="s">
        <v>13685</v>
      </c>
      <c r="L3403" s="8" t="s">
        <v>19</v>
      </c>
      <c r="M3403" s="8">
        <v>348</v>
      </c>
      <c r="N3403" s="8" t="s">
        <v>1271</v>
      </c>
      <c r="O3403" s="8">
        <v>96</v>
      </c>
      <c r="P3403" s="8" t="s">
        <v>13684</v>
      </c>
      <c r="Q3403" s="8" t="s">
        <v>4262</v>
      </c>
      <c r="R3403" s="8">
        <v>0.253</v>
      </c>
      <c r="S3403" s="8">
        <v>80181527</v>
      </c>
      <c r="T3403" s="8" t="s">
        <v>41</v>
      </c>
      <c r="U3403" s="8" t="s">
        <v>24</v>
      </c>
    </row>
    <row r="3404" spans="1:21">
      <c r="A3404" s="8" t="s">
        <v>13544</v>
      </c>
      <c r="B3404" s="8" t="s">
        <v>2264</v>
      </c>
      <c r="C3404" s="8">
        <v>2628</v>
      </c>
      <c r="D3404" s="8" t="s">
        <v>120</v>
      </c>
      <c r="E3404" s="8">
        <v>45661641</v>
      </c>
      <c r="F3404" s="8">
        <v>45661641</v>
      </c>
      <c r="G3404" s="8" t="s">
        <v>46</v>
      </c>
      <c r="H3404" s="8" t="s">
        <v>24</v>
      </c>
      <c r="I3404" s="8" t="s">
        <v>23</v>
      </c>
      <c r="J3404" s="8" t="s">
        <v>3754</v>
      </c>
      <c r="K3404" s="8" t="s">
        <v>13687</v>
      </c>
      <c r="L3404" s="8" t="s">
        <v>19</v>
      </c>
      <c r="M3404" s="8">
        <v>696</v>
      </c>
      <c r="N3404" s="8" t="s">
        <v>1075</v>
      </c>
      <c r="O3404" s="8">
        <v>123</v>
      </c>
      <c r="P3404" s="8" t="s">
        <v>13686</v>
      </c>
      <c r="Q3404" s="8" t="s">
        <v>4262</v>
      </c>
      <c r="R3404" s="8">
        <v>0.247</v>
      </c>
      <c r="S3404" s="8">
        <v>45661641</v>
      </c>
      <c r="T3404" s="8" t="s">
        <v>46</v>
      </c>
      <c r="U3404" s="8" t="s">
        <v>24</v>
      </c>
    </row>
    <row r="3405" spans="1:21">
      <c r="A3405" s="8" t="s">
        <v>13544</v>
      </c>
      <c r="B3405" s="8" t="s">
        <v>3755</v>
      </c>
      <c r="C3405" s="8">
        <v>50804</v>
      </c>
      <c r="D3405" s="8" t="s">
        <v>120</v>
      </c>
      <c r="E3405" s="8">
        <v>48450385</v>
      </c>
      <c r="F3405" s="8">
        <v>48450385</v>
      </c>
      <c r="G3405" s="8" t="s">
        <v>25</v>
      </c>
      <c r="H3405" s="8" t="s">
        <v>41</v>
      </c>
      <c r="I3405" s="8" t="s">
        <v>23</v>
      </c>
      <c r="J3405" s="8" t="s">
        <v>3756</v>
      </c>
      <c r="K3405" s="8" t="s">
        <v>4900</v>
      </c>
      <c r="L3405" s="8" t="s">
        <v>19</v>
      </c>
      <c r="M3405" s="8">
        <v>1032</v>
      </c>
      <c r="N3405" s="8" t="s">
        <v>3606</v>
      </c>
      <c r="O3405" s="8">
        <v>303</v>
      </c>
      <c r="P3405" s="8" t="s">
        <v>13688</v>
      </c>
      <c r="Q3405" s="8" t="s">
        <v>4262</v>
      </c>
      <c r="R3405" s="8">
        <v>0.30099999999999999</v>
      </c>
      <c r="S3405" s="8">
        <v>48450385</v>
      </c>
      <c r="T3405" s="8" t="s">
        <v>25</v>
      </c>
      <c r="U3405" s="8" t="s">
        <v>41</v>
      </c>
    </row>
    <row r="3406" spans="1:21">
      <c r="A3406" s="8" t="s">
        <v>13544</v>
      </c>
      <c r="B3406" s="8" t="s">
        <v>13689</v>
      </c>
      <c r="C3406" s="8">
        <v>29117</v>
      </c>
      <c r="D3406" s="8" t="s">
        <v>129</v>
      </c>
      <c r="E3406" s="8">
        <v>50388707</v>
      </c>
      <c r="F3406" s="8">
        <v>50388707</v>
      </c>
      <c r="G3406" s="8" t="s">
        <v>46</v>
      </c>
      <c r="H3406" s="8" t="s">
        <v>25</v>
      </c>
      <c r="I3406" s="8" t="s">
        <v>23</v>
      </c>
      <c r="J3406" s="8" t="s">
        <v>13690</v>
      </c>
      <c r="K3406" s="8" t="s">
        <v>13692</v>
      </c>
      <c r="L3406" s="8" t="s">
        <v>76</v>
      </c>
      <c r="M3406" s="8">
        <v>545</v>
      </c>
      <c r="N3406" s="8" t="s">
        <v>625</v>
      </c>
      <c r="O3406" s="8">
        <v>129</v>
      </c>
      <c r="P3406" s="8" t="s">
        <v>13691</v>
      </c>
      <c r="Q3406" s="8" t="s">
        <v>4262</v>
      </c>
      <c r="R3406" s="8">
        <v>0.17699999999999999</v>
      </c>
      <c r="S3406" s="8">
        <v>50388707</v>
      </c>
      <c r="T3406" s="8" t="s">
        <v>46</v>
      </c>
      <c r="U3406" s="8" t="s">
        <v>25</v>
      </c>
    </row>
    <row r="3407" spans="1:21">
      <c r="A3407" s="8" t="s">
        <v>13544</v>
      </c>
      <c r="B3407" s="8" t="s">
        <v>3757</v>
      </c>
      <c r="C3407" s="8">
        <v>4353</v>
      </c>
      <c r="D3407" s="8" t="s">
        <v>133</v>
      </c>
      <c r="E3407" s="8">
        <v>56358064</v>
      </c>
      <c r="F3407" s="8">
        <v>56358064</v>
      </c>
      <c r="G3407" s="8" t="s">
        <v>46</v>
      </c>
      <c r="H3407" s="8" t="s">
        <v>24</v>
      </c>
      <c r="I3407" s="8" t="s">
        <v>23</v>
      </c>
      <c r="J3407" s="8" t="s">
        <v>3758</v>
      </c>
      <c r="K3407" s="8" t="s">
        <v>13694</v>
      </c>
      <c r="L3407" s="8" t="s">
        <v>19</v>
      </c>
      <c r="M3407" s="8">
        <v>233</v>
      </c>
      <c r="N3407" s="8" t="s">
        <v>3052</v>
      </c>
      <c r="O3407" s="8">
        <v>19</v>
      </c>
      <c r="P3407" s="8" t="s">
        <v>13693</v>
      </c>
      <c r="Q3407" s="8" t="s">
        <v>4262</v>
      </c>
      <c r="R3407" s="8">
        <v>0.21199999999999999</v>
      </c>
      <c r="S3407" s="8">
        <v>56358064</v>
      </c>
      <c r="T3407" s="8" t="s">
        <v>46</v>
      </c>
      <c r="U3407" s="8" t="s">
        <v>24</v>
      </c>
    </row>
    <row r="3408" spans="1:21">
      <c r="A3408" s="8" t="s">
        <v>13544</v>
      </c>
      <c r="B3408" s="8" t="s">
        <v>3757</v>
      </c>
      <c r="C3408" s="8">
        <v>4353</v>
      </c>
      <c r="D3408" s="8" t="s">
        <v>133</v>
      </c>
      <c r="E3408" s="8">
        <v>56358065</v>
      </c>
      <c r="F3408" s="8">
        <v>56358065</v>
      </c>
      <c r="G3408" s="8" t="s">
        <v>25</v>
      </c>
      <c r="H3408" s="8" t="s">
        <v>24</v>
      </c>
      <c r="I3408" s="8" t="s">
        <v>23</v>
      </c>
      <c r="J3408" s="8" t="s">
        <v>3758</v>
      </c>
      <c r="K3408" s="8" t="s">
        <v>13694</v>
      </c>
      <c r="L3408" s="8" t="s">
        <v>19</v>
      </c>
      <c r="M3408" s="8">
        <v>232</v>
      </c>
      <c r="N3408" s="8" t="s">
        <v>3018</v>
      </c>
      <c r="O3408" s="8">
        <v>19</v>
      </c>
      <c r="P3408" s="8" t="s">
        <v>13695</v>
      </c>
      <c r="Q3408" s="8" t="s">
        <v>4262</v>
      </c>
      <c r="R3408" s="8">
        <v>0.22900000000000001</v>
      </c>
      <c r="S3408" s="8">
        <v>56358065</v>
      </c>
      <c r="T3408" s="8" t="s">
        <v>25</v>
      </c>
      <c r="U3408" s="8" t="s">
        <v>24</v>
      </c>
    </row>
    <row r="3409" spans="1:21">
      <c r="A3409" s="8" t="s">
        <v>13544</v>
      </c>
      <c r="B3409" s="8" t="s">
        <v>13696</v>
      </c>
      <c r="C3409" s="8">
        <v>80233</v>
      </c>
      <c r="D3409" s="8" t="s">
        <v>133</v>
      </c>
      <c r="E3409" s="8">
        <v>79514208</v>
      </c>
      <c r="F3409" s="8">
        <v>79514208</v>
      </c>
      <c r="G3409" s="8" t="s">
        <v>46</v>
      </c>
      <c r="H3409" s="8" t="s">
        <v>25</v>
      </c>
      <c r="I3409" s="8" t="s">
        <v>23</v>
      </c>
      <c r="J3409" s="8" t="s">
        <v>13697</v>
      </c>
      <c r="K3409" s="8" t="s">
        <v>13699</v>
      </c>
      <c r="L3409" s="8" t="s">
        <v>76</v>
      </c>
      <c r="M3409" s="8">
        <v>1973</v>
      </c>
      <c r="N3409" s="8" t="s">
        <v>263</v>
      </c>
      <c r="O3409" s="8">
        <v>634</v>
      </c>
      <c r="P3409" s="8" t="s">
        <v>13698</v>
      </c>
      <c r="Q3409" s="8" t="s">
        <v>4262</v>
      </c>
      <c r="R3409" s="8">
        <v>0.21199999999999999</v>
      </c>
      <c r="S3409" s="8">
        <v>79514208</v>
      </c>
      <c r="T3409" s="8" t="s">
        <v>46</v>
      </c>
      <c r="U3409" s="8" t="s">
        <v>25</v>
      </c>
    </row>
    <row r="3410" spans="1:21">
      <c r="A3410" s="8" t="s">
        <v>13544</v>
      </c>
      <c r="B3410" s="8" t="s">
        <v>2229</v>
      </c>
      <c r="C3410" s="8">
        <v>6388</v>
      </c>
      <c r="D3410" s="8" t="s">
        <v>133</v>
      </c>
      <c r="E3410" s="8">
        <v>26976225</v>
      </c>
      <c r="F3410" s="8">
        <v>26976225</v>
      </c>
      <c r="G3410" s="8" t="s">
        <v>24</v>
      </c>
      <c r="H3410" s="8" t="s">
        <v>25</v>
      </c>
      <c r="I3410" s="8" t="s">
        <v>23</v>
      </c>
      <c r="J3410" s="8" t="s">
        <v>2547</v>
      </c>
      <c r="K3410" s="8" t="s">
        <v>13028</v>
      </c>
      <c r="L3410" s="8" t="s">
        <v>19</v>
      </c>
      <c r="M3410" s="8">
        <v>457</v>
      </c>
      <c r="N3410" s="8" t="s">
        <v>2400</v>
      </c>
      <c r="O3410" s="8">
        <v>140</v>
      </c>
      <c r="P3410" s="8" t="s">
        <v>13700</v>
      </c>
      <c r="Q3410" s="8" t="s">
        <v>4262</v>
      </c>
      <c r="R3410" s="8">
        <v>5.5E-2</v>
      </c>
      <c r="S3410" s="8">
        <v>26976225</v>
      </c>
      <c r="T3410" s="8" t="s">
        <v>24</v>
      </c>
      <c r="U3410" s="8" t="s">
        <v>25</v>
      </c>
    </row>
    <row r="3411" spans="1:21">
      <c r="A3411" s="8" t="s">
        <v>13544</v>
      </c>
      <c r="B3411" s="8" t="s">
        <v>13701</v>
      </c>
      <c r="C3411" s="8">
        <v>8557</v>
      </c>
      <c r="D3411" s="8" t="s">
        <v>133</v>
      </c>
      <c r="E3411" s="8">
        <v>37822034</v>
      </c>
      <c r="F3411" s="8">
        <v>37822034</v>
      </c>
      <c r="G3411" s="8" t="s">
        <v>41</v>
      </c>
      <c r="H3411" s="8" t="s">
        <v>46</v>
      </c>
      <c r="I3411" s="8" t="s">
        <v>23</v>
      </c>
      <c r="J3411" s="8" t="s">
        <v>13702</v>
      </c>
      <c r="K3411" s="8" t="s">
        <v>13704</v>
      </c>
      <c r="L3411" s="8" t="s">
        <v>19</v>
      </c>
      <c r="M3411" s="8">
        <v>190</v>
      </c>
      <c r="N3411" s="8" t="s">
        <v>3025</v>
      </c>
      <c r="O3411" s="8">
        <v>59</v>
      </c>
      <c r="P3411" s="8" t="s">
        <v>13703</v>
      </c>
      <c r="Q3411" s="8" t="s">
        <v>4262</v>
      </c>
      <c r="R3411" s="8">
        <v>0.33300000000000002</v>
      </c>
      <c r="S3411" s="8">
        <v>37822034</v>
      </c>
      <c r="T3411" s="8" t="s">
        <v>41</v>
      </c>
      <c r="U3411" s="8" t="s">
        <v>46</v>
      </c>
    </row>
    <row r="3412" spans="1:21">
      <c r="A3412" s="8" t="s">
        <v>13544</v>
      </c>
      <c r="B3412" s="8" t="s">
        <v>2178</v>
      </c>
      <c r="C3412" s="8">
        <v>2627</v>
      </c>
      <c r="D3412" s="8" t="s">
        <v>135</v>
      </c>
      <c r="E3412" s="8">
        <v>19762785</v>
      </c>
      <c r="F3412" s="8">
        <v>19762785</v>
      </c>
      <c r="G3412" s="8" t="s">
        <v>25</v>
      </c>
      <c r="H3412" s="8" t="s">
        <v>24</v>
      </c>
      <c r="I3412" s="8" t="s">
        <v>23</v>
      </c>
      <c r="J3412" s="8" t="s">
        <v>13705</v>
      </c>
      <c r="K3412" s="8" t="s">
        <v>13707</v>
      </c>
      <c r="L3412" s="8" t="s">
        <v>19</v>
      </c>
      <c r="M3412" s="8">
        <v>1761</v>
      </c>
      <c r="N3412" s="8" t="s">
        <v>955</v>
      </c>
      <c r="O3412" s="8">
        <v>499</v>
      </c>
      <c r="P3412" s="8" t="s">
        <v>13706</v>
      </c>
      <c r="Q3412" s="8" t="s">
        <v>4262</v>
      </c>
      <c r="R3412" s="8">
        <v>0.10299999999999999</v>
      </c>
      <c r="S3412" s="8">
        <v>19762785</v>
      </c>
      <c r="T3412" s="8" t="s">
        <v>25</v>
      </c>
      <c r="U3412" s="8" t="s">
        <v>24</v>
      </c>
    </row>
    <row r="3413" spans="1:21">
      <c r="A3413" s="8" t="s">
        <v>13544</v>
      </c>
      <c r="B3413" s="8" t="s">
        <v>3759</v>
      </c>
      <c r="C3413" s="8">
        <v>79898</v>
      </c>
      <c r="D3413" s="8" t="s">
        <v>139</v>
      </c>
      <c r="E3413" s="8">
        <v>52447867</v>
      </c>
      <c r="F3413" s="8">
        <v>52447867</v>
      </c>
      <c r="G3413" s="8" t="s">
        <v>25</v>
      </c>
      <c r="H3413" s="8" t="s">
        <v>41</v>
      </c>
      <c r="I3413" s="8" t="s">
        <v>23</v>
      </c>
      <c r="J3413" s="8" t="s">
        <v>13708</v>
      </c>
      <c r="K3413" s="8" t="s">
        <v>13710</v>
      </c>
      <c r="L3413" s="8" t="s">
        <v>19</v>
      </c>
      <c r="M3413" s="8">
        <v>1195</v>
      </c>
      <c r="N3413" s="8" t="s">
        <v>457</v>
      </c>
      <c r="O3413" s="8">
        <v>244</v>
      </c>
      <c r="P3413" s="8" t="s">
        <v>13709</v>
      </c>
      <c r="Q3413" s="8" t="s">
        <v>4262</v>
      </c>
      <c r="R3413" s="8">
        <v>0.253</v>
      </c>
      <c r="S3413" s="8">
        <v>52447867</v>
      </c>
      <c r="T3413" s="8" t="s">
        <v>25</v>
      </c>
      <c r="U3413" s="8" t="s">
        <v>41</v>
      </c>
    </row>
    <row r="3414" spans="1:21">
      <c r="A3414" s="8" t="s">
        <v>13544</v>
      </c>
      <c r="B3414" s="8" t="s">
        <v>3760</v>
      </c>
      <c r="C3414" s="8">
        <v>353514</v>
      </c>
      <c r="D3414" s="8" t="s">
        <v>139</v>
      </c>
      <c r="E3414" s="8">
        <v>54822811</v>
      </c>
      <c r="F3414" s="8">
        <v>54822811</v>
      </c>
      <c r="G3414" s="8" t="s">
        <v>24</v>
      </c>
      <c r="H3414" s="8" t="s">
        <v>46</v>
      </c>
      <c r="I3414" s="8" t="s">
        <v>23</v>
      </c>
      <c r="J3414" s="8" t="s">
        <v>13711</v>
      </c>
      <c r="K3414" s="8" t="s">
        <v>13713</v>
      </c>
      <c r="L3414" s="8" t="s">
        <v>19</v>
      </c>
      <c r="M3414" s="8">
        <v>705</v>
      </c>
      <c r="N3414" s="8" t="s">
        <v>347</v>
      </c>
      <c r="O3414" s="8">
        <v>195</v>
      </c>
      <c r="P3414" s="8" t="s">
        <v>13712</v>
      </c>
      <c r="Q3414" s="8" t="s">
        <v>4262</v>
      </c>
      <c r="R3414" s="8">
        <v>0.25700000000000001</v>
      </c>
      <c r="S3414" s="8">
        <v>54822811</v>
      </c>
      <c r="T3414" s="8" t="s">
        <v>24</v>
      </c>
      <c r="U3414" s="8" t="s">
        <v>46</v>
      </c>
    </row>
    <row r="3415" spans="1:21">
      <c r="A3415" s="8" t="s">
        <v>13544</v>
      </c>
      <c r="B3415" s="8" t="s">
        <v>3069</v>
      </c>
      <c r="C3415" s="8">
        <v>5178</v>
      </c>
      <c r="D3415" s="8" t="s">
        <v>139</v>
      </c>
      <c r="E3415" s="8">
        <v>57326352</v>
      </c>
      <c r="F3415" s="8">
        <v>57326352</v>
      </c>
      <c r="G3415" s="8" t="s">
        <v>41</v>
      </c>
      <c r="H3415" s="8" t="s">
        <v>25</v>
      </c>
      <c r="I3415" s="8" t="s">
        <v>23</v>
      </c>
      <c r="J3415" s="8" t="s">
        <v>8193</v>
      </c>
      <c r="K3415" s="8" t="s">
        <v>8195</v>
      </c>
      <c r="L3415" s="8" t="s">
        <v>19</v>
      </c>
      <c r="M3415" s="8">
        <v>3776</v>
      </c>
      <c r="N3415" s="8" t="s">
        <v>3761</v>
      </c>
      <c r="O3415" s="8">
        <v>1153</v>
      </c>
      <c r="P3415" s="8" t="s">
        <v>13714</v>
      </c>
      <c r="Q3415" s="8" t="s">
        <v>13715</v>
      </c>
      <c r="R3415" s="8">
        <v>0.27600000000000002</v>
      </c>
      <c r="S3415" s="8">
        <v>57326352</v>
      </c>
      <c r="T3415" s="8" t="s">
        <v>41</v>
      </c>
      <c r="U3415" s="8" t="s">
        <v>25</v>
      </c>
    </row>
    <row r="3416" spans="1:21">
      <c r="A3416" s="8" t="s">
        <v>13544</v>
      </c>
      <c r="B3416" s="8" t="s">
        <v>2594</v>
      </c>
      <c r="C3416" s="8">
        <v>8541</v>
      </c>
      <c r="D3416" s="8" t="s">
        <v>139</v>
      </c>
      <c r="E3416" s="8">
        <v>49637388</v>
      </c>
      <c r="F3416" s="8">
        <v>49637388</v>
      </c>
      <c r="G3416" s="8" t="s">
        <v>25</v>
      </c>
      <c r="H3416" s="8" t="s">
        <v>41</v>
      </c>
      <c r="I3416" s="8" t="s">
        <v>23</v>
      </c>
      <c r="J3416" s="8" t="s">
        <v>2595</v>
      </c>
      <c r="K3416" s="8" t="s">
        <v>13336</v>
      </c>
      <c r="L3416" s="8" t="s">
        <v>19</v>
      </c>
      <c r="M3416" s="8">
        <v>1675</v>
      </c>
      <c r="N3416" s="8" t="s">
        <v>3614</v>
      </c>
      <c r="O3416" s="8">
        <v>448</v>
      </c>
      <c r="P3416" s="8" t="s">
        <v>13716</v>
      </c>
      <c r="Q3416" s="8" t="s">
        <v>4262</v>
      </c>
      <c r="R3416" s="8">
        <v>0.20599999999999999</v>
      </c>
      <c r="S3416" s="8">
        <v>49637388</v>
      </c>
      <c r="T3416" s="8" t="s">
        <v>25</v>
      </c>
      <c r="U3416" s="8" t="s">
        <v>41</v>
      </c>
    </row>
    <row r="3417" spans="1:21">
      <c r="A3417" s="8" t="s">
        <v>13544</v>
      </c>
      <c r="B3417" s="8" t="s">
        <v>13717</v>
      </c>
      <c r="C3417" s="8">
        <v>7022</v>
      </c>
      <c r="D3417" s="8" t="s">
        <v>188</v>
      </c>
      <c r="E3417" s="8">
        <v>55206394</v>
      </c>
      <c r="F3417" s="8">
        <v>55206394</v>
      </c>
      <c r="G3417" s="8" t="s">
        <v>46</v>
      </c>
      <c r="H3417" s="8" t="s">
        <v>25</v>
      </c>
      <c r="I3417" s="8" t="s">
        <v>23</v>
      </c>
      <c r="J3417" s="8" t="s">
        <v>13718</v>
      </c>
      <c r="K3417" s="8" t="s">
        <v>13720</v>
      </c>
      <c r="L3417" s="8" t="s">
        <v>19</v>
      </c>
      <c r="M3417" s="8">
        <v>425</v>
      </c>
      <c r="N3417" s="8" t="s">
        <v>143</v>
      </c>
      <c r="O3417" s="8">
        <v>61</v>
      </c>
      <c r="P3417" s="8" t="s">
        <v>13719</v>
      </c>
      <c r="Q3417" s="8" t="s">
        <v>4262</v>
      </c>
      <c r="R3417" s="8">
        <v>0.14000000000000001</v>
      </c>
      <c r="S3417" s="8">
        <v>55206394</v>
      </c>
      <c r="T3417" s="8" t="s">
        <v>46</v>
      </c>
      <c r="U3417" s="8" t="s">
        <v>25</v>
      </c>
    </row>
    <row r="3418" spans="1:21">
      <c r="A3418" s="8" t="s">
        <v>13544</v>
      </c>
      <c r="B3418" s="8" t="s">
        <v>6571</v>
      </c>
      <c r="C3418" s="8">
        <v>55738</v>
      </c>
      <c r="D3418" s="8" t="s">
        <v>188</v>
      </c>
      <c r="E3418" s="8">
        <v>61907864</v>
      </c>
      <c r="F3418" s="8">
        <v>61907864</v>
      </c>
      <c r="G3418" s="8" t="s">
        <v>25</v>
      </c>
      <c r="H3418" s="8" t="s">
        <v>41</v>
      </c>
      <c r="I3418" s="8" t="s">
        <v>23</v>
      </c>
      <c r="J3418" s="8" t="s">
        <v>6572</v>
      </c>
      <c r="K3418" s="8" t="s">
        <v>6574</v>
      </c>
      <c r="L3418" s="8" t="s">
        <v>19</v>
      </c>
      <c r="M3418" s="8">
        <v>315</v>
      </c>
      <c r="N3418" s="8" t="s">
        <v>457</v>
      </c>
      <c r="O3418" s="8">
        <v>68</v>
      </c>
      <c r="P3418" s="8" t="s">
        <v>13721</v>
      </c>
      <c r="Q3418" s="8" t="s">
        <v>4262</v>
      </c>
      <c r="R3418" s="8">
        <v>0.161</v>
      </c>
      <c r="S3418" s="8">
        <v>61907864</v>
      </c>
      <c r="T3418" s="8" t="s">
        <v>25</v>
      </c>
      <c r="U3418" s="8" t="s">
        <v>41</v>
      </c>
    </row>
    <row r="3419" spans="1:21">
      <c r="A3419" s="8" t="s">
        <v>13544</v>
      </c>
      <c r="B3419" s="8" t="s">
        <v>13722</v>
      </c>
      <c r="C3419" s="8">
        <v>2832</v>
      </c>
      <c r="D3419" s="8" t="s">
        <v>188</v>
      </c>
      <c r="E3419" s="8">
        <v>62737547</v>
      </c>
      <c r="F3419" s="8">
        <v>62737547</v>
      </c>
      <c r="G3419" s="8" t="s">
        <v>46</v>
      </c>
      <c r="H3419" s="8" t="s">
        <v>41</v>
      </c>
      <c r="I3419" s="8" t="s">
        <v>23</v>
      </c>
      <c r="J3419" s="8" t="s">
        <v>13723</v>
      </c>
      <c r="K3419" s="8" t="s">
        <v>13725</v>
      </c>
      <c r="L3419" s="8" t="s">
        <v>19</v>
      </c>
      <c r="M3419" s="8">
        <v>638</v>
      </c>
      <c r="N3419" s="8" t="s">
        <v>297</v>
      </c>
      <c r="O3419" s="8">
        <v>213</v>
      </c>
      <c r="P3419" s="8" t="s">
        <v>13724</v>
      </c>
      <c r="Q3419" s="8" t="s">
        <v>4262</v>
      </c>
      <c r="R3419" s="8">
        <v>0.19400000000000001</v>
      </c>
      <c r="S3419" s="8">
        <v>62737547</v>
      </c>
      <c r="T3419" s="8" t="s">
        <v>46</v>
      </c>
      <c r="U3419" s="8" t="s">
        <v>41</v>
      </c>
    </row>
    <row r="3420" spans="1:21">
      <c r="A3420" s="8" t="s">
        <v>13544</v>
      </c>
      <c r="B3420" s="8" t="s">
        <v>3763</v>
      </c>
      <c r="C3420" s="8">
        <v>10564</v>
      </c>
      <c r="D3420" s="8" t="s">
        <v>188</v>
      </c>
      <c r="E3420" s="8">
        <v>47621670</v>
      </c>
      <c r="F3420" s="8">
        <v>47621670</v>
      </c>
      <c r="G3420" s="8" t="s">
        <v>25</v>
      </c>
      <c r="H3420" s="8" t="s">
        <v>41</v>
      </c>
      <c r="I3420" s="8" t="s">
        <v>23</v>
      </c>
      <c r="J3420" s="8" t="s">
        <v>3764</v>
      </c>
      <c r="K3420" s="8" t="s">
        <v>13727</v>
      </c>
      <c r="L3420" s="8" t="s">
        <v>19</v>
      </c>
      <c r="M3420" s="8">
        <v>3648</v>
      </c>
      <c r="N3420" s="8" t="s">
        <v>792</v>
      </c>
      <c r="O3420" s="8">
        <v>1166</v>
      </c>
      <c r="P3420" s="8" t="s">
        <v>13726</v>
      </c>
      <c r="Q3420" s="8" t="s">
        <v>4262</v>
      </c>
      <c r="R3420" s="8">
        <v>0.25600000000000001</v>
      </c>
      <c r="S3420" s="8">
        <v>47621670</v>
      </c>
      <c r="T3420" s="8" t="s">
        <v>25</v>
      </c>
      <c r="U3420" s="8" t="s">
        <v>41</v>
      </c>
    </row>
    <row r="3421" spans="1:21">
      <c r="A3421" s="8" t="s">
        <v>13544</v>
      </c>
      <c r="B3421" s="8" t="s">
        <v>13728</v>
      </c>
      <c r="C3421" s="8">
        <v>7074</v>
      </c>
      <c r="D3421" s="8" t="s">
        <v>193</v>
      </c>
      <c r="E3421" s="8">
        <v>32595894</v>
      </c>
      <c r="F3421" s="8">
        <v>32595894</v>
      </c>
      <c r="G3421" s="8" t="s">
        <v>41</v>
      </c>
      <c r="H3421" s="8" t="s">
        <v>25</v>
      </c>
      <c r="I3421" s="8" t="s">
        <v>23</v>
      </c>
      <c r="J3421" s="8" t="s">
        <v>13729</v>
      </c>
      <c r="K3421" s="8" t="s">
        <v>13731</v>
      </c>
      <c r="L3421" s="8" t="s">
        <v>19</v>
      </c>
      <c r="M3421" s="8">
        <v>2295</v>
      </c>
      <c r="N3421" s="8" t="s">
        <v>1115</v>
      </c>
      <c r="O3421" s="8">
        <v>608</v>
      </c>
      <c r="P3421" s="8" t="s">
        <v>13730</v>
      </c>
      <c r="Q3421" s="8" t="s">
        <v>4262</v>
      </c>
      <c r="R3421" s="8">
        <v>9.6000000000000002E-2</v>
      </c>
      <c r="S3421" s="8">
        <v>32595894</v>
      </c>
      <c r="T3421" s="8" t="s">
        <v>41</v>
      </c>
      <c r="U3421" s="8" t="s">
        <v>25</v>
      </c>
    </row>
    <row r="3422" spans="1:21">
      <c r="A3422" s="8" t="s">
        <v>13544</v>
      </c>
      <c r="B3422" s="8" t="s">
        <v>13732</v>
      </c>
      <c r="C3422" s="8">
        <v>83606</v>
      </c>
      <c r="D3422" s="8" t="s">
        <v>197</v>
      </c>
      <c r="E3422" s="8">
        <v>24939818</v>
      </c>
      <c r="F3422" s="8">
        <v>24939818</v>
      </c>
      <c r="G3422" s="8" t="s">
        <v>41</v>
      </c>
      <c r="H3422" s="8" t="s">
        <v>46</v>
      </c>
      <c r="I3422" s="8" t="s">
        <v>23</v>
      </c>
      <c r="J3422" s="8" t="s">
        <v>13733</v>
      </c>
      <c r="K3422" s="8" t="s">
        <v>13735</v>
      </c>
      <c r="L3422" s="8" t="s">
        <v>19</v>
      </c>
      <c r="M3422" s="8">
        <v>936</v>
      </c>
      <c r="N3422" s="8" t="s">
        <v>1055</v>
      </c>
      <c r="O3422" s="8">
        <v>207</v>
      </c>
      <c r="P3422" s="8" t="s">
        <v>13734</v>
      </c>
      <c r="Q3422" s="8" t="s">
        <v>4262</v>
      </c>
      <c r="R3422" s="8">
        <v>0.125</v>
      </c>
      <c r="S3422" s="8">
        <v>24939818</v>
      </c>
      <c r="T3422" s="8" t="s">
        <v>41</v>
      </c>
      <c r="U3422" s="8" t="s">
        <v>46</v>
      </c>
    </row>
    <row r="3423" spans="1:21">
      <c r="A3423" s="8" t="s">
        <v>13544</v>
      </c>
      <c r="B3423" s="8" t="s">
        <v>3142</v>
      </c>
      <c r="C3423" s="8">
        <v>23544</v>
      </c>
      <c r="D3423" s="8" t="s">
        <v>197</v>
      </c>
      <c r="E3423" s="8">
        <v>26761473</v>
      </c>
      <c r="F3423" s="8">
        <v>26761473</v>
      </c>
      <c r="G3423" s="8" t="s">
        <v>46</v>
      </c>
      <c r="H3423" s="8" t="s">
        <v>25</v>
      </c>
      <c r="I3423" s="8" t="s">
        <v>23</v>
      </c>
      <c r="J3423" s="8" t="s">
        <v>7875</v>
      </c>
      <c r="K3423" s="8" t="s">
        <v>7877</v>
      </c>
      <c r="L3423" s="8" t="s">
        <v>19</v>
      </c>
      <c r="M3423" s="8">
        <v>2931</v>
      </c>
      <c r="N3423" s="8" t="s">
        <v>65</v>
      </c>
      <c r="O3423" s="8">
        <v>912</v>
      </c>
      <c r="P3423" s="8" t="s">
        <v>13736</v>
      </c>
      <c r="Q3423" s="8" t="s">
        <v>4262</v>
      </c>
      <c r="R3423" s="8">
        <v>0.222</v>
      </c>
      <c r="S3423" s="8">
        <v>26761473</v>
      </c>
      <c r="T3423" s="8" t="s">
        <v>46</v>
      </c>
      <c r="U3423" s="8" t="s">
        <v>25</v>
      </c>
    </row>
    <row r="3424" spans="1:21">
      <c r="A3424" s="8" t="s">
        <v>13544</v>
      </c>
      <c r="B3424" s="8" t="s">
        <v>2060</v>
      </c>
      <c r="C3424" s="8">
        <v>162</v>
      </c>
      <c r="D3424" s="8" t="s">
        <v>197</v>
      </c>
      <c r="E3424" s="8">
        <v>29747788</v>
      </c>
      <c r="F3424" s="8">
        <v>29747788</v>
      </c>
      <c r="G3424" s="8" t="s">
        <v>41</v>
      </c>
      <c r="H3424" s="8" t="s">
        <v>46</v>
      </c>
      <c r="I3424" s="8" t="s">
        <v>23</v>
      </c>
      <c r="J3424" s="8" t="s">
        <v>13737</v>
      </c>
      <c r="K3424" s="8" t="s">
        <v>13739</v>
      </c>
      <c r="L3424" s="8" t="s">
        <v>19</v>
      </c>
      <c r="M3424" s="8">
        <v>1152</v>
      </c>
      <c r="N3424" s="8" t="s">
        <v>908</v>
      </c>
      <c r="O3424" s="8">
        <v>322</v>
      </c>
      <c r="P3424" s="8" t="s">
        <v>13738</v>
      </c>
      <c r="Q3424" s="8" t="s">
        <v>4262</v>
      </c>
      <c r="R3424" s="8">
        <v>8.6999999999999994E-2</v>
      </c>
      <c r="S3424" s="8">
        <v>29747788</v>
      </c>
      <c r="T3424" s="8" t="s">
        <v>41</v>
      </c>
      <c r="U3424" s="8" t="s">
        <v>46</v>
      </c>
    </row>
    <row r="3425" spans="1:21">
      <c r="A3425" s="8" t="s">
        <v>13544</v>
      </c>
      <c r="B3425" s="8" t="s">
        <v>3765</v>
      </c>
      <c r="C3425" s="8">
        <v>91445</v>
      </c>
      <c r="D3425" s="8" t="s">
        <v>197</v>
      </c>
      <c r="E3425" s="8">
        <v>31583126</v>
      </c>
      <c r="F3425" s="8">
        <v>31583126</v>
      </c>
      <c r="G3425" s="8" t="s">
        <v>25</v>
      </c>
      <c r="H3425" s="8" t="s">
        <v>41</v>
      </c>
      <c r="I3425" s="8" t="s">
        <v>23</v>
      </c>
      <c r="J3425" s="8" t="s">
        <v>13740</v>
      </c>
      <c r="K3425" s="8" t="s">
        <v>13742</v>
      </c>
      <c r="L3425" s="8" t="s">
        <v>19</v>
      </c>
      <c r="M3425" s="8">
        <v>246</v>
      </c>
      <c r="N3425" s="8" t="s">
        <v>3177</v>
      </c>
      <c r="O3425" s="8">
        <v>16</v>
      </c>
      <c r="P3425" s="8" t="s">
        <v>13741</v>
      </c>
      <c r="Q3425" s="8" t="s">
        <v>4262</v>
      </c>
      <c r="R3425" s="8">
        <v>0.24299999999999999</v>
      </c>
      <c r="S3425" s="8">
        <v>31583126</v>
      </c>
      <c r="T3425" s="8" t="s">
        <v>25</v>
      </c>
      <c r="U3425" s="8" t="s">
        <v>41</v>
      </c>
    </row>
    <row r="3426" spans="1:21">
      <c r="A3426" s="8" t="s">
        <v>13544</v>
      </c>
      <c r="B3426" s="8" t="s">
        <v>13743</v>
      </c>
      <c r="C3426" s="8">
        <v>114904</v>
      </c>
      <c r="D3426" s="8" t="s">
        <v>197</v>
      </c>
      <c r="E3426" s="8">
        <v>37578599</v>
      </c>
      <c r="F3426" s="8">
        <v>37578599</v>
      </c>
      <c r="G3426" s="8" t="s">
        <v>41</v>
      </c>
      <c r="H3426" s="8" t="s">
        <v>25</v>
      </c>
      <c r="I3426" s="8" t="s">
        <v>23</v>
      </c>
      <c r="J3426" s="8" t="s">
        <v>13744</v>
      </c>
      <c r="K3426" s="8" t="s">
        <v>13746</v>
      </c>
      <c r="L3426" s="8" t="s">
        <v>19</v>
      </c>
      <c r="M3426" s="8">
        <v>543</v>
      </c>
      <c r="N3426" s="8" t="s">
        <v>1030</v>
      </c>
      <c r="O3426" s="8">
        <v>156</v>
      </c>
      <c r="P3426" s="8" t="s">
        <v>13745</v>
      </c>
      <c r="Q3426" s="8" t="s">
        <v>4262</v>
      </c>
      <c r="R3426" s="8">
        <v>0.188</v>
      </c>
      <c r="S3426" s="8">
        <v>37578599</v>
      </c>
      <c r="T3426" s="8" t="s">
        <v>41</v>
      </c>
      <c r="U3426" s="8" t="s">
        <v>25</v>
      </c>
    </row>
    <row r="3427" spans="1:21">
      <c r="A3427" s="8" t="s">
        <v>13544</v>
      </c>
      <c r="B3427" s="8" t="s">
        <v>3766</v>
      </c>
      <c r="C3427" s="8">
        <v>57591</v>
      </c>
      <c r="D3427" s="8" t="s">
        <v>197</v>
      </c>
      <c r="E3427" s="8">
        <v>40814916</v>
      </c>
      <c r="F3427" s="8">
        <v>40814916</v>
      </c>
      <c r="G3427" s="8" t="s">
        <v>46</v>
      </c>
      <c r="H3427" s="8" t="s">
        <v>41</v>
      </c>
      <c r="I3427" s="8" t="s">
        <v>23</v>
      </c>
      <c r="J3427" s="8" t="s">
        <v>3767</v>
      </c>
      <c r="K3427" s="8" t="s">
        <v>13748</v>
      </c>
      <c r="L3427" s="8" t="s">
        <v>19</v>
      </c>
      <c r="M3427" s="8">
        <v>2118</v>
      </c>
      <c r="N3427" s="8" t="s">
        <v>732</v>
      </c>
      <c r="O3427" s="8">
        <v>509</v>
      </c>
      <c r="P3427" s="8" t="s">
        <v>13747</v>
      </c>
      <c r="Q3427" s="8" t="s">
        <v>4262</v>
      </c>
      <c r="R3427" s="8">
        <v>0.314</v>
      </c>
      <c r="S3427" s="8">
        <v>40814916</v>
      </c>
      <c r="T3427" s="8" t="s">
        <v>46</v>
      </c>
      <c r="U3427" s="8" t="s">
        <v>41</v>
      </c>
    </row>
    <row r="3428" spans="1:21">
      <c r="A3428" s="8" t="s">
        <v>13544</v>
      </c>
      <c r="B3428" s="8" t="s">
        <v>13749</v>
      </c>
      <c r="C3428" s="8">
        <v>203447</v>
      </c>
      <c r="D3428" s="8" t="s">
        <v>418</v>
      </c>
      <c r="E3428" s="8">
        <v>105153038</v>
      </c>
      <c r="F3428" s="8">
        <v>105153038</v>
      </c>
      <c r="G3428" s="8" t="s">
        <v>46</v>
      </c>
      <c r="H3428" s="8" t="s">
        <v>24</v>
      </c>
      <c r="I3428" s="8" t="s">
        <v>23</v>
      </c>
      <c r="J3428" s="8" t="s">
        <v>13750</v>
      </c>
      <c r="K3428" s="8" t="s">
        <v>13752</v>
      </c>
      <c r="L3428" s="8" t="s">
        <v>19</v>
      </c>
      <c r="M3428" s="8">
        <v>1708</v>
      </c>
      <c r="N3428" s="8" t="s">
        <v>2869</v>
      </c>
      <c r="O3428" s="8">
        <v>469</v>
      </c>
      <c r="P3428" s="8" t="s">
        <v>13751</v>
      </c>
      <c r="Q3428" s="8" t="s">
        <v>4262</v>
      </c>
      <c r="R3428" s="8">
        <v>0.25900000000000001</v>
      </c>
      <c r="S3428" s="8">
        <v>105153038</v>
      </c>
      <c r="T3428" s="8" t="s">
        <v>46</v>
      </c>
      <c r="U3428" s="8" t="s">
        <v>24</v>
      </c>
    </row>
    <row r="3429" spans="1:21">
      <c r="A3429" s="8" t="s">
        <v>13544</v>
      </c>
      <c r="B3429" s="8" t="s">
        <v>3789</v>
      </c>
      <c r="C3429" s="8">
        <v>3598</v>
      </c>
      <c r="D3429" s="8" t="s">
        <v>418</v>
      </c>
      <c r="E3429" s="8">
        <v>114239787</v>
      </c>
      <c r="F3429" s="8">
        <v>114239787</v>
      </c>
      <c r="G3429" s="8" t="s">
        <v>46</v>
      </c>
      <c r="H3429" s="8" t="s">
        <v>24</v>
      </c>
      <c r="I3429" s="8" t="s">
        <v>23</v>
      </c>
      <c r="J3429" s="8" t="s">
        <v>3790</v>
      </c>
      <c r="K3429" s="8" t="s">
        <v>13753</v>
      </c>
      <c r="L3429" s="8" t="s">
        <v>19</v>
      </c>
      <c r="M3429" s="8">
        <v>1214</v>
      </c>
      <c r="N3429" s="8" t="s">
        <v>3342</v>
      </c>
      <c r="O3429" s="8">
        <v>363</v>
      </c>
      <c r="P3429" s="8" t="s">
        <v>13293</v>
      </c>
      <c r="Q3429" s="8" t="s">
        <v>4262</v>
      </c>
      <c r="R3429" s="8">
        <v>0.26100000000000001</v>
      </c>
      <c r="S3429" s="8">
        <v>114239787</v>
      </c>
      <c r="T3429" s="8" t="s">
        <v>46</v>
      </c>
      <c r="U3429" s="8" t="s">
        <v>24</v>
      </c>
    </row>
    <row r="3430" spans="1:21">
      <c r="A3430" s="8" t="s">
        <v>13544</v>
      </c>
      <c r="B3430" s="8" t="s">
        <v>13754</v>
      </c>
      <c r="C3430" s="8">
        <v>83259</v>
      </c>
      <c r="D3430" s="8" t="s">
        <v>1887</v>
      </c>
      <c r="E3430" s="8">
        <v>4966874</v>
      </c>
      <c r="F3430" s="8">
        <v>4966874</v>
      </c>
      <c r="G3430" s="8" t="s">
        <v>24</v>
      </c>
      <c r="H3430" s="8" t="s">
        <v>41</v>
      </c>
      <c r="I3430" s="8" t="s">
        <v>23</v>
      </c>
      <c r="J3430" s="8" t="s">
        <v>13755</v>
      </c>
      <c r="K3430" s="8" t="s">
        <v>13757</v>
      </c>
      <c r="L3430" s="8" t="s">
        <v>19</v>
      </c>
      <c r="M3430" s="8">
        <v>1989</v>
      </c>
      <c r="N3430" s="8" t="s">
        <v>883</v>
      </c>
      <c r="O3430" s="8">
        <v>419</v>
      </c>
      <c r="P3430" s="8" t="s">
        <v>13756</v>
      </c>
      <c r="Q3430" s="8" t="s">
        <v>4262</v>
      </c>
      <c r="R3430" s="8">
        <v>0.41899999999999998</v>
      </c>
      <c r="S3430" s="8">
        <v>4966874</v>
      </c>
      <c r="T3430" s="8" t="s">
        <v>24</v>
      </c>
      <c r="U3430" s="8" t="s">
        <v>41</v>
      </c>
    </row>
    <row r="3431" spans="1:21">
      <c r="A3431" s="8" t="s">
        <v>4264</v>
      </c>
      <c r="B3431" s="8" t="s">
        <v>221</v>
      </c>
      <c r="C3431" s="8">
        <v>213</v>
      </c>
      <c r="D3431" s="8" t="s">
        <v>220</v>
      </c>
      <c r="E3431" s="8">
        <v>74275131</v>
      </c>
      <c r="F3431" s="8">
        <v>74275132</v>
      </c>
      <c r="G3431" s="8"/>
      <c r="H3431" s="8" t="s">
        <v>13762</v>
      </c>
      <c r="I3431" s="8" t="s">
        <v>110</v>
      </c>
      <c r="J3431" s="8" t="s">
        <v>222</v>
      </c>
      <c r="K3431" s="8" t="s">
        <v>13760</v>
      </c>
      <c r="L3431" s="8" t="s">
        <v>19</v>
      </c>
      <c r="M3431" s="8">
        <v>615</v>
      </c>
      <c r="N3431" s="8" t="s">
        <v>13761</v>
      </c>
      <c r="O3431" s="8">
        <v>181</v>
      </c>
      <c r="P3431" s="8" t="s">
        <v>13758</v>
      </c>
      <c r="Q3431" s="8" t="s">
        <v>4262</v>
      </c>
      <c r="R3431" s="8">
        <v>0.67600000000000005</v>
      </c>
      <c r="S3431" s="8">
        <v>74275131</v>
      </c>
      <c r="T3431" s="8" t="s">
        <v>41</v>
      </c>
      <c r="U3431" s="8" t="s">
        <v>13759</v>
      </c>
    </row>
    <row r="3432" spans="1:21">
      <c r="A3432" s="8" t="s">
        <v>4264</v>
      </c>
      <c r="B3432" s="8" t="s">
        <v>13763</v>
      </c>
      <c r="C3432" s="8">
        <v>3425</v>
      </c>
      <c r="D3432" s="8" t="s">
        <v>220</v>
      </c>
      <c r="E3432" s="8">
        <v>998133</v>
      </c>
      <c r="F3432" s="8">
        <v>998133</v>
      </c>
      <c r="G3432" s="8" t="s">
        <v>46</v>
      </c>
      <c r="H3432" s="8"/>
      <c r="I3432" s="8" t="s">
        <v>36</v>
      </c>
      <c r="J3432" s="8" t="s">
        <v>13764</v>
      </c>
      <c r="K3432" s="8" t="s">
        <v>13765</v>
      </c>
      <c r="L3432" s="8" t="s">
        <v>31</v>
      </c>
      <c r="M3432" s="8">
        <v>2002</v>
      </c>
      <c r="N3432" s="8" t="s">
        <v>35</v>
      </c>
      <c r="O3432" s="8">
        <v>638</v>
      </c>
      <c r="P3432" s="8" t="s">
        <v>35</v>
      </c>
      <c r="Q3432" s="8" t="s">
        <v>4262</v>
      </c>
      <c r="R3432" s="8">
        <v>0.2</v>
      </c>
      <c r="S3432" s="8">
        <v>998132</v>
      </c>
      <c r="T3432" s="8" t="s">
        <v>1487</v>
      </c>
      <c r="U3432" s="8" t="s">
        <v>25</v>
      </c>
    </row>
    <row r="3433" spans="1:21">
      <c r="A3433" s="8" t="s">
        <v>4264</v>
      </c>
      <c r="B3433" s="8" t="s">
        <v>13766</v>
      </c>
      <c r="C3433" s="8">
        <v>54793</v>
      </c>
      <c r="D3433" s="8" t="s">
        <v>279</v>
      </c>
      <c r="E3433" s="8">
        <v>25303664</v>
      </c>
      <c r="F3433" s="8">
        <v>25303665</v>
      </c>
      <c r="G3433" s="8"/>
      <c r="H3433" s="8" t="s">
        <v>25</v>
      </c>
      <c r="I3433" s="8" t="s">
        <v>110</v>
      </c>
      <c r="J3433" s="8" t="s">
        <v>13767</v>
      </c>
      <c r="K3433" s="8" t="s">
        <v>13768</v>
      </c>
      <c r="L3433" s="8" t="s">
        <v>31</v>
      </c>
      <c r="M3433" s="8">
        <v>372</v>
      </c>
      <c r="N3433" s="8" t="s">
        <v>35</v>
      </c>
      <c r="O3433" s="8">
        <v>50</v>
      </c>
      <c r="P3433" s="8" t="s">
        <v>35</v>
      </c>
      <c r="Q3433" s="8" t="s">
        <v>4262</v>
      </c>
      <c r="R3433" s="8">
        <v>0.19600000000000001</v>
      </c>
      <c r="S3433" s="8">
        <v>25303664</v>
      </c>
      <c r="T3433" s="8" t="s">
        <v>46</v>
      </c>
      <c r="U3433" s="8" t="s">
        <v>1064</v>
      </c>
    </row>
    <row r="3434" spans="1:21">
      <c r="A3434" s="8" t="s">
        <v>4264</v>
      </c>
      <c r="B3434" s="8" t="s">
        <v>1792</v>
      </c>
      <c r="C3434" s="8">
        <v>5265</v>
      </c>
      <c r="D3434" s="8" t="s">
        <v>118</v>
      </c>
      <c r="E3434" s="8">
        <v>94849559</v>
      </c>
      <c r="F3434" s="8">
        <v>94849562</v>
      </c>
      <c r="G3434" s="8" t="s">
        <v>13772</v>
      </c>
      <c r="H3434" s="8"/>
      <c r="I3434" s="8" t="s">
        <v>36</v>
      </c>
      <c r="J3434" s="8" t="s">
        <v>13769</v>
      </c>
      <c r="K3434" s="8" t="s">
        <v>13771</v>
      </c>
      <c r="L3434" s="8" t="s">
        <v>31</v>
      </c>
      <c r="M3434" s="8">
        <v>290</v>
      </c>
      <c r="N3434" s="8" t="s">
        <v>35</v>
      </c>
      <c r="O3434" s="8">
        <v>5</v>
      </c>
      <c r="P3434" s="8" t="s">
        <v>35</v>
      </c>
      <c r="Q3434" s="8" t="s">
        <v>4262</v>
      </c>
      <c r="R3434" s="8">
        <v>0.33300000000000002</v>
      </c>
      <c r="S3434" s="8">
        <v>94849558</v>
      </c>
      <c r="T3434" s="8" t="s">
        <v>13770</v>
      </c>
      <c r="U3434" s="8" t="s">
        <v>24</v>
      </c>
    </row>
    <row r="3435" spans="1:21">
      <c r="A3435" s="8" t="s">
        <v>4264</v>
      </c>
      <c r="B3435" s="8" t="s">
        <v>3906</v>
      </c>
      <c r="C3435" s="8">
        <v>3547</v>
      </c>
      <c r="D3435" s="8" t="s">
        <v>418</v>
      </c>
      <c r="E3435" s="8">
        <v>130417190</v>
      </c>
      <c r="F3435" s="8">
        <v>130417199</v>
      </c>
      <c r="G3435" s="8" t="s">
        <v>13774</v>
      </c>
      <c r="H3435" s="8"/>
      <c r="I3435" s="8" t="s">
        <v>36</v>
      </c>
      <c r="J3435" s="8" t="s">
        <v>5035</v>
      </c>
      <c r="K3435" s="8" t="s">
        <v>5037</v>
      </c>
      <c r="L3435" s="8" t="s">
        <v>31</v>
      </c>
      <c r="M3435" s="8">
        <v>990</v>
      </c>
      <c r="N3435" s="8" t="s">
        <v>35</v>
      </c>
      <c r="O3435" s="8">
        <v>236</v>
      </c>
      <c r="P3435" s="8" t="s">
        <v>35</v>
      </c>
      <c r="Q3435" s="8" t="s">
        <v>4262</v>
      </c>
      <c r="R3435" s="8">
        <v>0.67200000000000004</v>
      </c>
      <c r="S3435" s="8">
        <v>130417189</v>
      </c>
      <c r="T3435" s="8" t="s">
        <v>13773</v>
      </c>
      <c r="U3435" s="8" t="s">
        <v>41</v>
      </c>
    </row>
    <row r="3436" spans="1:21">
      <c r="A3436" s="8" t="s">
        <v>4416</v>
      </c>
      <c r="B3436" s="8" t="s">
        <v>13775</v>
      </c>
      <c r="C3436" s="8">
        <v>51538</v>
      </c>
      <c r="D3436" s="8" t="s">
        <v>22</v>
      </c>
      <c r="E3436" s="8">
        <v>31837005</v>
      </c>
      <c r="F3436" s="8">
        <v>31837007</v>
      </c>
      <c r="G3436" s="8" t="s">
        <v>13781</v>
      </c>
      <c r="H3436" s="8"/>
      <c r="I3436" s="8" t="s">
        <v>36</v>
      </c>
      <c r="J3436" s="8" t="s">
        <v>13776</v>
      </c>
      <c r="K3436" s="8" t="s">
        <v>13779</v>
      </c>
      <c r="L3436" s="8" t="s">
        <v>19</v>
      </c>
      <c r="M3436" s="8">
        <v>827</v>
      </c>
      <c r="N3436" s="8" t="s">
        <v>13780</v>
      </c>
      <c r="O3436" s="8">
        <v>231</v>
      </c>
      <c r="P3436" s="8" t="s">
        <v>13777</v>
      </c>
      <c r="Q3436" s="8" t="s">
        <v>4262</v>
      </c>
      <c r="R3436" s="8">
        <v>9.2999999999999999E-2</v>
      </c>
      <c r="S3436" s="8">
        <v>31837004</v>
      </c>
      <c r="T3436" s="8" t="s">
        <v>13778</v>
      </c>
      <c r="U3436" s="8" t="s">
        <v>25</v>
      </c>
    </row>
    <row r="3437" spans="1:21">
      <c r="A3437" s="8" t="s">
        <v>4416</v>
      </c>
      <c r="B3437" s="8" t="s">
        <v>173</v>
      </c>
      <c r="C3437" s="8">
        <v>338</v>
      </c>
      <c r="D3437" s="8" t="s">
        <v>172</v>
      </c>
      <c r="E3437" s="8">
        <v>21255430</v>
      </c>
      <c r="F3437" s="8">
        <v>21255435</v>
      </c>
      <c r="G3437" s="8" t="s">
        <v>13785</v>
      </c>
      <c r="H3437" s="8"/>
      <c r="I3437" s="8" t="s">
        <v>36</v>
      </c>
      <c r="J3437" s="8" t="s">
        <v>174</v>
      </c>
      <c r="K3437" s="8" t="s">
        <v>9626</v>
      </c>
      <c r="L3437" s="8" t="s">
        <v>19</v>
      </c>
      <c r="M3437" s="8">
        <v>1271</v>
      </c>
      <c r="N3437" s="8" t="s">
        <v>13784</v>
      </c>
      <c r="O3437" s="8">
        <v>381</v>
      </c>
      <c r="P3437" s="8" t="s">
        <v>13782</v>
      </c>
      <c r="Q3437" s="8" t="s">
        <v>4262</v>
      </c>
      <c r="R3437" s="8">
        <v>0.22600000000000001</v>
      </c>
      <c r="S3437" s="8">
        <v>21255429</v>
      </c>
      <c r="T3437" s="8" t="s">
        <v>13783</v>
      </c>
      <c r="U3437" s="8" t="s">
        <v>25</v>
      </c>
    </row>
    <row r="3438" spans="1:21">
      <c r="A3438" s="8" t="s">
        <v>4416</v>
      </c>
      <c r="B3438" s="8" t="s">
        <v>13786</v>
      </c>
      <c r="C3438" s="8">
        <v>84696</v>
      </c>
      <c r="D3438" s="8" t="s">
        <v>172</v>
      </c>
      <c r="E3438" s="8">
        <v>27351355</v>
      </c>
      <c r="F3438" s="8">
        <v>27351356</v>
      </c>
      <c r="G3438" s="8" t="s">
        <v>1064</v>
      </c>
      <c r="H3438" s="8"/>
      <c r="I3438" s="8" t="s">
        <v>36</v>
      </c>
      <c r="J3438" s="8" t="s">
        <v>13787</v>
      </c>
      <c r="K3438" s="8" t="s">
        <v>13789</v>
      </c>
      <c r="L3438" s="8" t="s">
        <v>31</v>
      </c>
      <c r="M3438" s="8">
        <v>321</v>
      </c>
      <c r="N3438" s="8" t="s">
        <v>35</v>
      </c>
      <c r="O3438" s="8">
        <v>54</v>
      </c>
      <c r="P3438" s="8" t="s">
        <v>35</v>
      </c>
      <c r="Q3438" s="8" t="s">
        <v>4262</v>
      </c>
      <c r="R3438" s="8">
        <v>0.26700000000000002</v>
      </c>
      <c r="S3438" s="8">
        <v>27351354</v>
      </c>
      <c r="T3438" s="8" t="s">
        <v>13788</v>
      </c>
      <c r="U3438" s="8" t="s">
        <v>46</v>
      </c>
    </row>
    <row r="3439" spans="1:21">
      <c r="A3439" s="8" t="s">
        <v>4416</v>
      </c>
      <c r="B3439" s="8" t="s">
        <v>7229</v>
      </c>
      <c r="C3439" s="8">
        <v>11280</v>
      </c>
      <c r="D3439" s="8" t="s">
        <v>201</v>
      </c>
      <c r="E3439" s="8">
        <v>38950647</v>
      </c>
      <c r="F3439" s="8">
        <v>38950649</v>
      </c>
      <c r="G3439" s="8" t="s">
        <v>1027</v>
      </c>
      <c r="H3439" s="8"/>
      <c r="I3439" s="8" t="s">
        <v>36</v>
      </c>
      <c r="J3439" s="8" t="s">
        <v>7230</v>
      </c>
      <c r="K3439" s="8" t="s">
        <v>7232</v>
      </c>
      <c r="L3439" s="8" t="s">
        <v>19</v>
      </c>
      <c r="M3439" s="8">
        <v>1337</v>
      </c>
      <c r="N3439" s="8" t="s">
        <v>13792</v>
      </c>
      <c r="O3439" s="8">
        <v>380</v>
      </c>
      <c r="P3439" s="8" t="s">
        <v>13790</v>
      </c>
      <c r="Q3439" s="8" t="s">
        <v>4262</v>
      </c>
      <c r="R3439" s="8">
        <v>0.11700000000000001</v>
      </c>
      <c r="S3439" s="8">
        <v>38950646</v>
      </c>
      <c r="T3439" s="8" t="s">
        <v>13791</v>
      </c>
      <c r="U3439" s="8" t="s">
        <v>41</v>
      </c>
    </row>
    <row r="3440" spans="1:21">
      <c r="A3440" s="8" t="s">
        <v>4416</v>
      </c>
      <c r="B3440" s="8" t="s">
        <v>1521</v>
      </c>
      <c r="C3440" s="8">
        <v>132884</v>
      </c>
      <c r="D3440" s="8" t="s">
        <v>220</v>
      </c>
      <c r="E3440" s="8">
        <v>5642315</v>
      </c>
      <c r="F3440" s="8">
        <v>5642317</v>
      </c>
      <c r="G3440" s="8" t="s">
        <v>13796</v>
      </c>
      <c r="H3440" s="8"/>
      <c r="I3440" s="8" t="s">
        <v>36</v>
      </c>
      <c r="J3440" s="8" t="s">
        <v>1522</v>
      </c>
      <c r="K3440" s="8" t="s">
        <v>4614</v>
      </c>
      <c r="L3440" s="8" t="s">
        <v>19</v>
      </c>
      <c r="M3440" s="8">
        <v>1448</v>
      </c>
      <c r="N3440" s="8" t="s">
        <v>13795</v>
      </c>
      <c r="O3440" s="8">
        <v>465</v>
      </c>
      <c r="P3440" s="8" t="s">
        <v>13793</v>
      </c>
      <c r="Q3440" s="8" t="s">
        <v>4262</v>
      </c>
      <c r="R3440" s="8">
        <v>0.106</v>
      </c>
      <c r="S3440" s="8">
        <v>5642314</v>
      </c>
      <c r="T3440" s="8" t="s">
        <v>13794</v>
      </c>
      <c r="U3440" s="8" t="s">
        <v>25</v>
      </c>
    </row>
    <row r="3441" spans="1:21">
      <c r="A3441" s="8" t="s">
        <v>4416</v>
      </c>
      <c r="B3441" s="8" t="s">
        <v>13797</v>
      </c>
      <c r="C3441" s="8">
        <v>83877</v>
      </c>
      <c r="D3441" s="8" t="s">
        <v>279</v>
      </c>
      <c r="E3441" s="8">
        <v>38849019</v>
      </c>
      <c r="F3441" s="8">
        <v>38849021</v>
      </c>
      <c r="G3441" s="8" t="s">
        <v>1027</v>
      </c>
      <c r="H3441" s="8"/>
      <c r="I3441" s="8" t="s">
        <v>36</v>
      </c>
      <c r="J3441" s="8" t="s">
        <v>13798</v>
      </c>
      <c r="K3441" s="8" t="s">
        <v>13801</v>
      </c>
      <c r="L3441" s="8" t="s">
        <v>19</v>
      </c>
      <c r="M3441" s="8">
        <v>558</v>
      </c>
      <c r="N3441" s="8" t="s">
        <v>13792</v>
      </c>
      <c r="O3441" s="8">
        <v>159</v>
      </c>
      <c r="P3441" s="8" t="s">
        <v>13799</v>
      </c>
      <c r="Q3441" s="8" t="s">
        <v>4262</v>
      </c>
      <c r="R3441" s="8">
        <v>0.48599999999999999</v>
      </c>
      <c r="S3441" s="8">
        <v>38849018</v>
      </c>
      <c r="T3441" s="8" t="s">
        <v>13800</v>
      </c>
      <c r="U3441" s="8" t="s">
        <v>24</v>
      </c>
    </row>
    <row r="3442" spans="1:21">
      <c r="A3442" s="8" t="s">
        <v>4416</v>
      </c>
      <c r="B3442" s="8" t="s">
        <v>13802</v>
      </c>
      <c r="C3442" s="8">
        <v>1892</v>
      </c>
      <c r="D3442" s="8" t="s">
        <v>69</v>
      </c>
      <c r="E3442" s="8">
        <v>135179507</v>
      </c>
      <c r="F3442" s="8">
        <v>135179509</v>
      </c>
      <c r="G3442" s="8" t="s">
        <v>13808</v>
      </c>
      <c r="H3442" s="8"/>
      <c r="I3442" s="8" t="s">
        <v>36</v>
      </c>
      <c r="J3442" s="8" t="s">
        <v>13803</v>
      </c>
      <c r="K3442" s="8" t="s">
        <v>13806</v>
      </c>
      <c r="L3442" s="8" t="s">
        <v>19</v>
      </c>
      <c r="M3442" s="8">
        <v>781</v>
      </c>
      <c r="N3442" s="8" t="s">
        <v>13807</v>
      </c>
      <c r="O3442" s="8">
        <v>237</v>
      </c>
      <c r="P3442" s="8" t="s">
        <v>13804</v>
      </c>
      <c r="Q3442" s="8" t="s">
        <v>4262</v>
      </c>
      <c r="R3442" s="8">
        <v>0.188</v>
      </c>
      <c r="S3442" s="8">
        <v>135179506</v>
      </c>
      <c r="T3442" s="8" t="s">
        <v>13805</v>
      </c>
      <c r="U3442" s="8" t="s">
        <v>24</v>
      </c>
    </row>
    <row r="3443" spans="1:21">
      <c r="A3443" s="8" t="s">
        <v>4416</v>
      </c>
      <c r="B3443" s="8" t="s">
        <v>13809</v>
      </c>
      <c r="C3443" s="8">
        <v>283093</v>
      </c>
      <c r="D3443" s="8" t="s">
        <v>83</v>
      </c>
      <c r="E3443" s="8">
        <v>50003626</v>
      </c>
      <c r="F3443" s="8">
        <v>50003626</v>
      </c>
      <c r="G3443" s="8" t="s">
        <v>24</v>
      </c>
      <c r="H3443" s="8"/>
      <c r="I3443" s="8" t="s">
        <v>36</v>
      </c>
      <c r="J3443" s="8" t="s">
        <v>13810</v>
      </c>
      <c r="K3443" s="8" t="s">
        <v>13812</v>
      </c>
      <c r="L3443" s="8" t="s">
        <v>31</v>
      </c>
      <c r="M3443" s="8">
        <v>446</v>
      </c>
      <c r="N3443" s="8" t="s">
        <v>35</v>
      </c>
      <c r="O3443" s="8">
        <v>138</v>
      </c>
      <c r="P3443" s="8" t="s">
        <v>35</v>
      </c>
      <c r="Q3443" s="8" t="s">
        <v>4262</v>
      </c>
      <c r="R3443" s="8">
        <v>0.36399999999999999</v>
      </c>
      <c r="S3443" s="8">
        <v>50003625</v>
      </c>
      <c r="T3443" s="8" t="s">
        <v>13811</v>
      </c>
      <c r="U3443" s="8" t="s">
        <v>25</v>
      </c>
    </row>
    <row r="3444" spans="1:21">
      <c r="A3444" s="8" t="s">
        <v>4416</v>
      </c>
      <c r="B3444" s="8" t="s">
        <v>13813</v>
      </c>
      <c r="C3444" s="8">
        <v>4863</v>
      </c>
      <c r="D3444" s="8" t="s">
        <v>83</v>
      </c>
      <c r="E3444" s="8">
        <v>108043166</v>
      </c>
      <c r="F3444" s="8">
        <v>108043167</v>
      </c>
      <c r="G3444" s="8"/>
      <c r="H3444" s="8" t="s">
        <v>41</v>
      </c>
      <c r="I3444" s="8" t="s">
        <v>110</v>
      </c>
      <c r="J3444" s="8" t="s">
        <v>13814</v>
      </c>
      <c r="K3444" s="8" t="s">
        <v>13815</v>
      </c>
      <c r="L3444" s="8" t="s">
        <v>31</v>
      </c>
      <c r="M3444" s="8">
        <v>2646</v>
      </c>
      <c r="N3444" s="8" t="s">
        <v>35</v>
      </c>
      <c r="O3444" s="8">
        <v>848</v>
      </c>
      <c r="P3444" s="8" t="s">
        <v>35</v>
      </c>
      <c r="Q3444" s="8" t="s">
        <v>4262</v>
      </c>
      <c r="R3444" s="8">
        <v>0.188</v>
      </c>
      <c r="S3444" s="8">
        <v>108043166</v>
      </c>
      <c r="T3444" s="8" t="s">
        <v>25</v>
      </c>
      <c r="U3444" s="8" t="s">
        <v>1224</v>
      </c>
    </row>
    <row r="3445" spans="1:21">
      <c r="A3445" s="8" t="s">
        <v>4416</v>
      </c>
      <c r="B3445" s="8" t="s">
        <v>114</v>
      </c>
      <c r="C3445" s="8">
        <v>10956</v>
      </c>
      <c r="D3445" s="8" t="s">
        <v>104</v>
      </c>
      <c r="E3445" s="8">
        <v>58112043</v>
      </c>
      <c r="F3445" s="8">
        <v>58112048</v>
      </c>
      <c r="G3445" s="8" t="s">
        <v>13821</v>
      </c>
      <c r="H3445" s="8"/>
      <c r="I3445" s="8" t="s">
        <v>36</v>
      </c>
      <c r="J3445" s="8" t="s">
        <v>13816</v>
      </c>
      <c r="K3445" s="8" t="s">
        <v>13819</v>
      </c>
      <c r="L3445" s="8" t="s">
        <v>19</v>
      </c>
      <c r="M3445" s="8">
        <v>1456</v>
      </c>
      <c r="N3445" s="8" t="s">
        <v>13820</v>
      </c>
      <c r="O3445" s="8">
        <v>417</v>
      </c>
      <c r="P3445" s="8" t="s">
        <v>13817</v>
      </c>
      <c r="Q3445" s="8" t="s">
        <v>4262</v>
      </c>
      <c r="R3445" s="8">
        <v>8.8999999999999996E-2</v>
      </c>
      <c r="S3445" s="8">
        <v>58112042</v>
      </c>
      <c r="T3445" s="8" t="s">
        <v>13818</v>
      </c>
      <c r="U3445" s="8" t="s">
        <v>24</v>
      </c>
    </row>
    <row r="3446" spans="1:21">
      <c r="A3446" s="8" t="s">
        <v>4416</v>
      </c>
      <c r="B3446" s="8" t="s">
        <v>13822</v>
      </c>
      <c r="C3446" s="8">
        <v>317781</v>
      </c>
      <c r="D3446" s="8" t="s">
        <v>104</v>
      </c>
      <c r="E3446" s="8">
        <v>132625005</v>
      </c>
      <c r="F3446" s="8">
        <v>132625007</v>
      </c>
      <c r="G3446" s="8" t="s">
        <v>13828</v>
      </c>
      <c r="H3446" s="8"/>
      <c r="I3446" s="8" t="s">
        <v>36</v>
      </c>
      <c r="J3446" s="8" t="s">
        <v>13823</v>
      </c>
      <c r="K3446" s="8" t="s">
        <v>13826</v>
      </c>
      <c r="L3446" s="8" t="s">
        <v>19</v>
      </c>
      <c r="M3446" s="8">
        <v>1673</v>
      </c>
      <c r="N3446" s="8" t="s">
        <v>13827</v>
      </c>
      <c r="O3446" s="8">
        <v>545</v>
      </c>
      <c r="P3446" s="8" t="s">
        <v>13824</v>
      </c>
      <c r="Q3446" s="8" t="s">
        <v>4262</v>
      </c>
      <c r="R3446" s="8">
        <v>0.121</v>
      </c>
      <c r="S3446" s="8">
        <v>132625004</v>
      </c>
      <c r="T3446" s="8" t="s">
        <v>13825</v>
      </c>
      <c r="U3446" s="8" t="s">
        <v>25</v>
      </c>
    </row>
    <row r="3447" spans="1:21">
      <c r="A3447" s="8" t="s">
        <v>4416</v>
      </c>
      <c r="B3447" s="8" t="s">
        <v>13829</v>
      </c>
      <c r="C3447" s="8">
        <v>51564</v>
      </c>
      <c r="D3447" s="8" t="s">
        <v>104</v>
      </c>
      <c r="E3447" s="8">
        <v>48177917</v>
      </c>
      <c r="F3447" s="8">
        <v>48177919</v>
      </c>
      <c r="G3447" s="8" t="s">
        <v>13835</v>
      </c>
      <c r="H3447" s="8"/>
      <c r="I3447" s="8" t="s">
        <v>36</v>
      </c>
      <c r="J3447" s="8" t="s">
        <v>13830</v>
      </c>
      <c r="K3447" s="8" t="s">
        <v>13833</v>
      </c>
      <c r="L3447" s="8" t="s">
        <v>19</v>
      </c>
      <c r="M3447" s="8">
        <v>3068</v>
      </c>
      <c r="N3447" s="8" t="s">
        <v>13834</v>
      </c>
      <c r="O3447" s="8">
        <v>958</v>
      </c>
      <c r="P3447" s="8" t="s">
        <v>13831</v>
      </c>
      <c r="Q3447" s="8" t="s">
        <v>4262</v>
      </c>
      <c r="R3447" s="8">
        <v>0.22500000000000001</v>
      </c>
      <c r="S3447" s="8">
        <v>48177916</v>
      </c>
      <c r="T3447" s="8" t="s">
        <v>13832</v>
      </c>
      <c r="U3447" s="8" t="s">
        <v>25</v>
      </c>
    </row>
    <row r="3448" spans="1:21">
      <c r="A3448" s="8" t="s">
        <v>4416</v>
      </c>
      <c r="B3448" s="8" t="s">
        <v>3859</v>
      </c>
      <c r="C3448" s="8">
        <v>25894</v>
      </c>
      <c r="D3448" s="8" t="s">
        <v>129</v>
      </c>
      <c r="E3448" s="8">
        <v>67318974</v>
      </c>
      <c r="F3448" s="8">
        <v>67318975</v>
      </c>
      <c r="G3448" s="8" t="s">
        <v>13811</v>
      </c>
      <c r="H3448" s="8"/>
      <c r="I3448" s="8" t="s">
        <v>36</v>
      </c>
      <c r="J3448" s="8" t="s">
        <v>4901</v>
      </c>
      <c r="K3448" s="8" t="s">
        <v>4903</v>
      </c>
      <c r="L3448" s="8" t="s">
        <v>31</v>
      </c>
      <c r="M3448" s="8">
        <v>2350</v>
      </c>
      <c r="N3448" s="8" t="s">
        <v>35</v>
      </c>
      <c r="O3448" s="8">
        <v>684</v>
      </c>
      <c r="P3448" s="8" t="s">
        <v>35</v>
      </c>
      <c r="Q3448" s="8" t="s">
        <v>4262</v>
      </c>
      <c r="R3448" s="8">
        <v>0.23899999999999999</v>
      </c>
      <c r="S3448" s="8">
        <v>67318973</v>
      </c>
      <c r="T3448" s="8" t="s">
        <v>13836</v>
      </c>
      <c r="U3448" s="8" t="s">
        <v>46</v>
      </c>
    </row>
    <row r="3449" spans="1:21">
      <c r="A3449" s="8" t="s">
        <v>4416</v>
      </c>
      <c r="B3449" s="8" t="s">
        <v>13837</v>
      </c>
      <c r="C3449" s="8">
        <v>23135</v>
      </c>
      <c r="D3449" s="8" t="s">
        <v>133</v>
      </c>
      <c r="E3449" s="8">
        <v>7754652</v>
      </c>
      <c r="F3449" s="8">
        <v>7754654</v>
      </c>
      <c r="G3449" s="8" t="s">
        <v>13843</v>
      </c>
      <c r="H3449" s="8"/>
      <c r="I3449" s="8" t="s">
        <v>36</v>
      </c>
      <c r="J3449" s="8" t="s">
        <v>13838</v>
      </c>
      <c r="K3449" s="8" t="s">
        <v>13841</v>
      </c>
      <c r="L3449" s="8" t="s">
        <v>19</v>
      </c>
      <c r="M3449" s="8">
        <v>4260</v>
      </c>
      <c r="N3449" s="8" t="s">
        <v>13842</v>
      </c>
      <c r="O3449" s="8">
        <v>1295</v>
      </c>
      <c r="P3449" s="8" t="s">
        <v>13839</v>
      </c>
      <c r="Q3449" s="8" t="s">
        <v>4262</v>
      </c>
      <c r="R3449" s="8">
        <v>0.20300000000000001</v>
      </c>
      <c r="S3449" s="8">
        <v>7754651</v>
      </c>
      <c r="T3449" s="8" t="s">
        <v>13840</v>
      </c>
      <c r="U3449" s="8" t="s">
        <v>24</v>
      </c>
    </row>
    <row r="3450" spans="1:21">
      <c r="A3450" s="8" t="s">
        <v>4416</v>
      </c>
      <c r="B3450" s="8" t="s">
        <v>2032</v>
      </c>
      <c r="C3450" s="8">
        <v>6774</v>
      </c>
      <c r="D3450" s="8" t="s">
        <v>133</v>
      </c>
      <c r="E3450" s="8">
        <v>40489545</v>
      </c>
      <c r="F3450" s="8">
        <v>40489546</v>
      </c>
      <c r="G3450" s="8" t="s">
        <v>227</v>
      </c>
      <c r="H3450" s="8"/>
      <c r="I3450" s="8" t="s">
        <v>36</v>
      </c>
      <c r="J3450" s="8" t="s">
        <v>13844</v>
      </c>
      <c r="K3450" s="8" t="s">
        <v>13846</v>
      </c>
      <c r="L3450" s="8" t="s">
        <v>31</v>
      </c>
      <c r="M3450" s="8">
        <v>944</v>
      </c>
      <c r="N3450" s="8" t="s">
        <v>35</v>
      </c>
      <c r="O3450" s="8">
        <v>235</v>
      </c>
      <c r="P3450" s="8" t="s">
        <v>35</v>
      </c>
      <c r="Q3450" s="8" t="s">
        <v>4262</v>
      </c>
      <c r="R3450" s="8">
        <v>0.29699999999999999</v>
      </c>
      <c r="S3450" s="8">
        <v>40489544</v>
      </c>
      <c r="T3450" s="8" t="s">
        <v>13845</v>
      </c>
      <c r="U3450" s="8" t="s">
        <v>41</v>
      </c>
    </row>
    <row r="3451" spans="1:21">
      <c r="A3451" s="8" t="s">
        <v>4416</v>
      </c>
      <c r="B3451" s="8" t="s">
        <v>13847</v>
      </c>
      <c r="C3451" s="8">
        <v>57663</v>
      </c>
      <c r="D3451" s="8" t="s">
        <v>139</v>
      </c>
      <c r="E3451" s="8">
        <v>57640898</v>
      </c>
      <c r="F3451" s="8">
        <v>57640898</v>
      </c>
      <c r="G3451" s="8" t="s">
        <v>24</v>
      </c>
      <c r="H3451" s="8"/>
      <c r="I3451" s="8" t="s">
        <v>36</v>
      </c>
      <c r="J3451" s="8" t="s">
        <v>13848</v>
      </c>
      <c r="K3451" s="8" t="s">
        <v>13849</v>
      </c>
      <c r="L3451" s="8" t="s">
        <v>31</v>
      </c>
      <c r="M3451" s="8">
        <v>1211</v>
      </c>
      <c r="N3451" s="8" t="s">
        <v>35</v>
      </c>
      <c r="O3451" s="8">
        <v>285</v>
      </c>
      <c r="P3451" s="8" t="s">
        <v>35</v>
      </c>
      <c r="Q3451" s="8" t="s">
        <v>4262</v>
      </c>
      <c r="R3451" s="8">
        <v>0.24399999999999999</v>
      </c>
      <c r="S3451" s="8">
        <v>57640897</v>
      </c>
      <c r="T3451" s="8" t="s">
        <v>13811</v>
      </c>
      <c r="U3451" s="8" t="s">
        <v>25</v>
      </c>
    </row>
    <row r="3452" spans="1:21">
      <c r="A3452" s="8" t="s">
        <v>4416</v>
      </c>
      <c r="B3452" s="8" t="s">
        <v>13850</v>
      </c>
      <c r="C3452" s="8">
        <v>25850</v>
      </c>
      <c r="D3452" s="8" t="s">
        <v>139</v>
      </c>
      <c r="E3452" s="8">
        <v>37367953</v>
      </c>
      <c r="F3452" s="8">
        <v>37367955</v>
      </c>
      <c r="G3452" s="8" t="s">
        <v>1923</v>
      </c>
      <c r="H3452" s="8"/>
      <c r="I3452" s="8" t="s">
        <v>36</v>
      </c>
      <c r="J3452" s="8" t="s">
        <v>13851</v>
      </c>
      <c r="K3452" s="8" t="s">
        <v>13854</v>
      </c>
      <c r="L3452" s="8" t="s">
        <v>19</v>
      </c>
      <c r="M3452" s="8">
        <v>435</v>
      </c>
      <c r="N3452" s="8" t="s">
        <v>13855</v>
      </c>
      <c r="O3452" s="8">
        <v>74</v>
      </c>
      <c r="P3452" s="8" t="s">
        <v>13852</v>
      </c>
      <c r="Q3452" s="8" t="s">
        <v>4262</v>
      </c>
      <c r="R3452" s="8">
        <v>0.13800000000000001</v>
      </c>
      <c r="S3452" s="8">
        <v>37367952</v>
      </c>
      <c r="T3452" s="8" t="s">
        <v>13853</v>
      </c>
      <c r="U3452" s="8" t="s">
        <v>24</v>
      </c>
    </row>
    <row r="3453" spans="1:21">
      <c r="A3453" s="8" t="s">
        <v>4416</v>
      </c>
      <c r="B3453" s="8" t="s">
        <v>13856</v>
      </c>
      <c r="C3453" s="8">
        <v>22803</v>
      </c>
      <c r="D3453" s="8" t="s">
        <v>188</v>
      </c>
      <c r="E3453" s="8">
        <v>21312231</v>
      </c>
      <c r="F3453" s="8">
        <v>21312233</v>
      </c>
      <c r="G3453" s="8" t="s">
        <v>13862</v>
      </c>
      <c r="H3453" s="8"/>
      <c r="I3453" s="8" t="s">
        <v>36</v>
      </c>
      <c r="J3453" s="8" t="s">
        <v>13857</v>
      </c>
      <c r="K3453" s="8" t="s">
        <v>13860</v>
      </c>
      <c r="L3453" s="8" t="s">
        <v>19</v>
      </c>
      <c r="M3453" s="8">
        <v>704</v>
      </c>
      <c r="N3453" s="8" t="s">
        <v>13861</v>
      </c>
      <c r="O3453" s="8">
        <v>203</v>
      </c>
      <c r="P3453" s="8" t="s">
        <v>13858</v>
      </c>
      <c r="Q3453" s="8" t="s">
        <v>4262</v>
      </c>
      <c r="R3453" s="8">
        <v>0.34599999999999997</v>
      </c>
      <c r="S3453" s="8">
        <v>21312230</v>
      </c>
      <c r="T3453" s="8" t="s">
        <v>13859</v>
      </c>
      <c r="U3453" s="8" t="s">
        <v>25</v>
      </c>
    </row>
    <row r="3454" spans="1:21">
      <c r="A3454" s="8" t="s">
        <v>4416</v>
      </c>
      <c r="B3454" s="8" t="s">
        <v>13863</v>
      </c>
      <c r="C3454" s="8">
        <v>90204</v>
      </c>
      <c r="D3454" s="8" t="s">
        <v>188</v>
      </c>
      <c r="E3454" s="8">
        <v>44512607</v>
      </c>
      <c r="F3454" s="8">
        <v>44512609</v>
      </c>
      <c r="G3454" s="8" t="s">
        <v>13862</v>
      </c>
      <c r="H3454" s="8"/>
      <c r="I3454" s="8" t="s">
        <v>36</v>
      </c>
      <c r="J3454" s="8" t="s">
        <v>13864</v>
      </c>
      <c r="K3454" s="8" t="s">
        <v>13866</v>
      </c>
      <c r="L3454" s="8" t="s">
        <v>19</v>
      </c>
      <c r="M3454" s="8">
        <v>1489</v>
      </c>
      <c r="N3454" s="8" t="s">
        <v>13867</v>
      </c>
      <c r="O3454" s="8">
        <v>459</v>
      </c>
      <c r="P3454" s="8" t="s">
        <v>13865</v>
      </c>
      <c r="Q3454" s="8" t="s">
        <v>4262</v>
      </c>
      <c r="R3454" s="8">
        <v>0.155</v>
      </c>
      <c r="S3454" s="8">
        <v>44512606</v>
      </c>
      <c r="T3454" s="8" t="s">
        <v>13859</v>
      </c>
      <c r="U3454" s="8" t="s">
        <v>25</v>
      </c>
    </row>
    <row r="3455" spans="1:21">
      <c r="A3455" s="8" t="s">
        <v>4416</v>
      </c>
      <c r="B3455" s="8" t="s">
        <v>13868</v>
      </c>
      <c r="C3455" s="8">
        <v>22880</v>
      </c>
      <c r="D3455" s="8" t="s">
        <v>197</v>
      </c>
      <c r="E3455" s="8">
        <v>31334055</v>
      </c>
      <c r="F3455" s="8">
        <v>31334055</v>
      </c>
      <c r="G3455" s="8" t="s">
        <v>46</v>
      </c>
      <c r="H3455" s="8"/>
      <c r="I3455" s="8" t="s">
        <v>36</v>
      </c>
      <c r="J3455" s="8" t="s">
        <v>13869</v>
      </c>
      <c r="K3455" s="8" t="s">
        <v>13870</v>
      </c>
      <c r="L3455" s="8" t="s">
        <v>31</v>
      </c>
      <c r="M3455" s="8">
        <v>2389</v>
      </c>
      <c r="N3455" s="8" t="s">
        <v>35</v>
      </c>
      <c r="O3455" s="8">
        <v>342</v>
      </c>
      <c r="P3455" s="8" t="s">
        <v>35</v>
      </c>
      <c r="Q3455" s="8" t="s">
        <v>4262</v>
      </c>
      <c r="R3455" s="8">
        <v>0.33800000000000002</v>
      </c>
      <c r="S3455" s="8">
        <v>31334054</v>
      </c>
      <c r="T3455" s="8" t="s">
        <v>1299</v>
      </c>
      <c r="U3455" s="8" t="s">
        <v>24</v>
      </c>
    </row>
    <row r="3456" spans="1:21">
      <c r="A3456" s="8" t="s">
        <v>5043</v>
      </c>
      <c r="B3456" s="8" t="s">
        <v>13871</v>
      </c>
      <c r="C3456" s="8">
        <v>8492</v>
      </c>
      <c r="D3456" s="8" t="s">
        <v>220</v>
      </c>
      <c r="E3456" s="8">
        <v>119203177</v>
      </c>
      <c r="F3456" s="8">
        <v>119203178</v>
      </c>
      <c r="G3456" s="8"/>
      <c r="H3456" s="8" t="s">
        <v>46</v>
      </c>
      <c r="I3456" s="8" t="s">
        <v>110</v>
      </c>
      <c r="J3456" s="8" t="s">
        <v>13872</v>
      </c>
      <c r="K3456" s="8" t="s">
        <v>13873</v>
      </c>
      <c r="L3456" s="8" t="s">
        <v>31</v>
      </c>
      <c r="M3456" s="8">
        <v>2588</v>
      </c>
      <c r="N3456" s="8" t="s">
        <v>35</v>
      </c>
      <c r="O3456" s="8">
        <v>847</v>
      </c>
      <c r="P3456" s="8" t="s">
        <v>35</v>
      </c>
      <c r="Q3456" s="8" t="s">
        <v>4262</v>
      </c>
      <c r="R3456" s="8">
        <v>0.121</v>
      </c>
      <c r="S3456" s="8">
        <v>119203177</v>
      </c>
      <c r="T3456" s="8" t="s">
        <v>25</v>
      </c>
      <c r="U3456" s="8" t="s">
        <v>1487</v>
      </c>
    </row>
    <row r="3457" spans="1:21">
      <c r="A3457" s="8" t="s">
        <v>5112</v>
      </c>
      <c r="B3457" s="8" t="s">
        <v>13874</v>
      </c>
      <c r="C3457" s="8">
        <v>25981</v>
      </c>
      <c r="D3457" s="8" t="s">
        <v>201</v>
      </c>
      <c r="E3457" s="8">
        <v>52398930</v>
      </c>
      <c r="F3457" s="8">
        <v>52398941</v>
      </c>
      <c r="G3457" s="8" t="s">
        <v>13880</v>
      </c>
      <c r="H3457" s="8"/>
      <c r="I3457" s="8" t="s">
        <v>36</v>
      </c>
      <c r="J3457" s="8" t="s">
        <v>13875</v>
      </c>
      <c r="K3457" s="8" t="s">
        <v>13878</v>
      </c>
      <c r="L3457" s="8" t="s">
        <v>19</v>
      </c>
      <c r="M3457" s="8">
        <v>5674</v>
      </c>
      <c r="N3457" s="8" t="s">
        <v>13879</v>
      </c>
      <c r="O3457" s="8">
        <v>1805</v>
      </c>
      <c r="P3457" s="8" t="s">
        <v>13876</v>
      </c>
      <c r="Q3457" s="8" t="s">
        <v>4262</v>
      </c>
      <c r="R3457" s="8">
        <v>0.25700000000000001</v>
      </c>
      <c r="S3457" s="8">
        <v>52398929</v>
      </c>
      <c r="T3457" s="8" t="s">
        <v>13877</v>
      </c>
      <c r="U3457" s="8" t="s">
        <v>46</v>
      </c>
    </row>
    <row r="3458" spans="1:21">
      <c r="A3458" s="8" t="s">
        <v>5112</v>
      </c>
      <c r="B3458" s="8" t="s">
        <v>13881</v>
      </c>
      <c r="C3458" s="8">
        <v>134492</v>
      </c>
      <c r="D3458" s="8" t="s">
        <v>226</v>
      </c>
      <c r="E3458" s="8">
        <v>162881006</v>
      </c>
      <c r="F3458" s="8">
        <v>162881018</v>
      </c>
      <c r="G3458" s="8" t="s">
        <v>13885</v>
      </c>
      <c r="H3458" s="8"/>
      <c r="I3458" s="8" t="s">
        <v>36</v>
      </c>
      <c r="J3458" s="8" t="s">
        <v>13882</v>
      </c>
      <c r="K3458" s="8" t="s">
        <v>13884</v>
      </c>
      <c r="L3458" s="8" t="s">
        <v>31</v>
      </c>
      <c r="M3458" s="8">
        <v>516</v>
      </c>
      <c r="N3458" s="8" t="s">
        <v>35</v>
      </c>
      <c r="O3458" s="8">
        <v>143</v>
      </c>
      <c r="P3458" s="8" t="s">
        <v>35</v>
      </c>
      <c r="Q3458" s="8" t="s">
        <v>4262</v>
      </c>
      <c r="R3458" s="8">
        <v>0.219</v>
      </c>
      <c r="S3458" s="8">
        <v>162881005</v>
      </c>
      <c r="T3458" s="8" t="s">
        <v>13883</v>
      </c>
      <c r="U3458" s="8" t="s">
        <v>46</v>
      </c>
    </row>
    <row r="3459" spans="1:21">
      <c r="A3459" s="8" t="s">
        <v>5112</v>
      </c>
      <c r="B3459" s="8" t="s">
        <v>13886</v>
      </c>
      <c r="C3459" s="8">
        <v>25902</v>
      </c>
      <c r="D3459" s="8" t="s">
        <v>237</v>
      </c>
      <c r="E3459" s="8">
        <v>151336030</v>
      </c>
      <c r="F3459" s="8">
        <v>151336030</v>
      </c>
      <c r="G3459" s="8" t="s">
        <v>24</v>
      </c>
      <c r="H3459" s="8"/>
      <c r="I3459" s="8" t="s">
        <v>36</v>
      </c>
      <c r="J3459" s="8" t="s">
        <v>13887</v>
      </c>
      <c r="K3459" s="8" t="s">
        <v>13888</v>
      </c>
      <c r="L3459" s="8" t="s">
        <v>31</v>
      </c>
      <c r="M3459" s="8">
        <v>2469</v>
      </c>
      <c r="N3459" s="8" t="s">
        <v>35</v>
      </c>
      <c r="O3459" s="8">
        <v>775</v>
      </c>
      <c r="P3459" s="8" t="s">
        <v>35</v>
      </c>
      <c r="Q3459" s="8" t="s">
        <v>4262</v>
      </c>
      <c r="R3459" s="8">
        <v>0.28000000000000003</v>
      </c>
      <c r="S3459" s="8">
        <v>151336029</v>
      </c>
      <c r="T3459" s="8" t="s">
        <v>2780</v>
      </c>
      <c r="U3459" s="8" t="s">
        <v>41</v>
      </c>
    </row>
    <row r="3460" spans="1:21">
      <c r="A3460" s="8" t="s">
        <v>5112</v>
      </c>
      <c r="B3460" s="8" t="s">
        <v>13889</v>
      </c>
      <c r="C3460" s="8">
        <v>10038</v>
      </c>
      <c r="D3460" s="8" t="s">
        <v>118</v>
      </c>
      <c r="E3460" s="8">
        <v>20815025</v>
      </c>
      <c r="F3460" s="8">
        <v>20815025</v>
      </c>
      <c r="G3460" s="8" t="s">
        <v>46</v>
      </c>
      <c r="H3460" s="8"/>
      <c r="I3460" s="8" t="s">
        <v>36</v>
      </c>
      <c r="J3460" s="8" t="s">
        <v>13890</v>
      </c>
      <c r="K3460" s="8" t="s">
        <v>13892</v>
      </c>
      <c r="L3460" s="8" t="s">
        <v>31</v>
      </c>
      <c r="M3460" s="8">
        <v>344</v>
      </c>
      <c r="N3460" s="8" t="s">
        <v>35</v>
      </c>
      <c r="O3460" s="8">
        <v>106</v>
      </c>
      <c r="P3460" s="8" t="s">
        <v>35</v>
      </c>
      <c r="Q3460" s="8" t="s">
        <v>4262</v>
      </c>
      <c r="R3460" s="8">
        <v>0.22900000000000001</v>
      </c>
      <c r="S3460" s="8">
        <v>20815024</v>
      </c>
      <c r="T3460" s="8" t="s">
        <v>13891</v>
      </c>
      <c r="U3460" s="8" t="s">
        <v>41</v>
      </c>
    </row>
    <row r="3461" spans="1:21">
      <c r="A3461" s="8" t="s">
        <v>5256</v>
      </c>
      <c r="B3461" s="8" t="s">
        <v>9038</v>
      </c>
      <c r="C3461" s="8">
        <v>79987</v>
      </c>
      <c r="D3461" s="8" t="s">
        <v>292</v>
      </c>
      <c r="E3461" s="8">
        <v>113149689</v>
      </c>
      <c r="F3461" s="8">
        <v>113149710</v>
      </c>
      <c r="G3461" s="8" t="s">
        <v>13894</v>
      </c>
      <c r="H3461" s="8"/>
      <c r="I3461" s="8" t="s">
        <v>36</v>
      </c>
      <c r="J3461" s="8" t="s">
        <v>9039</v>
      </c>
      <c r="K3461" s="8" t="s">
        <v>9041</v>
      </c>
      <c r="L3461" s="8" t="s">
        <v>31</v>
      </c>
      <c r="M3461" s="8">
        <v>10252</v>
      </c>
      <c r="N3461" s="8" t="s">
        <v>35</v>
      </c>
      <c r="O3461" s="8">
        <v>3305</v>
      </c>
      <c r="P3461" s="8" t="s">
        <v>35</v>
      </c>
      <c r="Q3461" s="8" t="s">
        <v>4262</v>
      </c>
      <c r="R3461" s="8">
        <v>8.5000000000000006E-2</v>
      </c>
      <c r="S3461" s="8">
        <v>113149688</v>
      </c>
      <c r="T3461" s="8" t="s">
        <v>13893</v>
      </c>
      <c r="U3461" s="8" t="s">
        <v>46</v>
      </c>
    </row>
    <row r="3462" spans="1:21">
      <c r="A3462" s="8" t="s">
        <v>5256</v>
      </c>
      <c r="B3462" s="8" t="s">
        <v>13895</v>
      </c>
      <c r="C3462" s="8">
        <v>25963</v>
      </c>
      <c r="D3462" s="8" t="s">
        <v>120</v>
      </c>
      <c r="E3462" s="8">
        <v>42536264</v>
      </c>
      <c r="F3462" s="8">
        <v>42536265</v>
      </c>
      <c r="G3462" s="8"/>
      <c r="H3462" s="8" t="s">
        <v>25</v>
      </c>
      <c r="I3462" s="8" t="s">
        <v>110</v>
      </c>
      <c r="J3462" s="8" t="s">
        <v>13896</v>
      </c>
      <c r="K3462" s="8" t="s">
        <v>13897</v>
      </c>
      <c r="L3462" s="8" t="s">
        <v>31</v>
      </c>
      <c r="M3462" s="8">
        <v>764</v>
      </c>
      <c r="N3462" s="8" t="s">
        <v>35</v>
      </c>
      <c r="O3462" s="8">
        <v>202</v>
      </c>
      <c r="P3462" s="8" t="s">
        <v>35</v>
      </c>
      <c r="Q3462" s="8" t="s">
        <v>4262</v>
      </c>
      <c r="R3462" s="8">
        <v>0.2</v>
      </c>
      <c r="S3462" s="8">
        <v>42536264</v>
      </c>
      <c r="T3462" s="8" t="s">
        <v>46</v>
      </c>
      <c r="U3462" s="8" t="s">
        <v>1064</v>
      </c>
    </row>
    <row r="3463" spans="1:21">
      <c r="A3463" s="8" t="s">
        <v>5410</v>
      </c>
      <c r="B3463" s="8" t="s">
        <v>13898</v>
      </c>
      <c r="C3463" s="8">
        <v>4208</v>
      </c>
      <c r="D3463" s="8" t="s">
        <v>226</v>
      </c>
      <c r="E3463" s="8">
        <v>88056903</v>
      </c>
      <c r="F3463" s="8">
        <v>88056903</v>
      </c>
      <c r="G3463" s="8" t="s">
        <v>46</v>
      </c>
      <c r="H3463" s="8"/>
      <c r="I3463" s="8" t="s">
        <v>36</v>
      </c>
      <c r="J3463" s="8" t="s">
        <v>13899</v>
      </c>
      <c r="K3463" s="8" t="s">
        <v>13900</v>
      </c>
      <c r="L3463" s="8" t="s">
        <v>31</v>
      </c>
      <c r="M3463" s="8">
        <v>787</v>
      </c>
      <c r="N3463" s="8" t="s">
        <v>35</v>
      </c>
      <c r="O3463" s="8">
        <v>120</v>
      </c>
      <c r="P3463" s="8" t="s">
        <v>35</v>
      </c>
      <c r="Q3463" s="8" t="s">
        <v>4262</v>
      </c>
      <c r="R3463" s="8">
        <v>0.379</v>
      </c>
      <c r="S3463" s="8">
        <v>88056902</v>
      </c>
      <c r="T3463" s="8" t="s">
        <v>13891</v>
      </c>
      <c r="U3463" s="8" t="s">
        <v>41</v>
      </c>
    </row>
    <row r="3464" spans="1:21">
      <c r="A3464" s="8" t="s">
        <v>5410</v>
      </c>
      <c r="B3464" s="8" t="s">
        <v>2132</v>
      </c>
      <c r="C3464" s="8">
        <v>9732</v>
      </c>
      <c r="D3464" s="8" t="s">
        <v>257</v>
      </c>
      <c r="E3464" s="8">
        <v>111430555</v>
      </c>
      <c r="F3464" s="8">
        <v>111430557</v>
      </c>
      <c r="G3464" s="8" t="s">
        <v>13904</v>
      </c>
      <c r="H3464" s="8"/>
      <c r="I3464" s="8" t="s">
        <v>36</v>
      </c>
      <c r="J3464" s="8" t="s">
        <v>5606</v>
      </c>
      <c r="K3464" s="8" t="s">
        <v>5608</v>
      </c>
      <c r="L3464" s="8" t="s">
        <v>19</v>
      </c>
      <c r="M3464" s="8">
        <v>3540</v>
      </c>
      <c r="N3464" s="8" t="s">
        <v>13903</v>
      </c>
      <c r="O3464" s="8">
        <v>1091</v>
      </c>
      <c r="P3464" s="8" t="s">
        <v>13901</v>
      </c>
      <c r="Q3464" s="8" t="s">
        <v>4262</v>
      </c>
      <c r="R3464" s="8">
        <v>0.36799999999999999</v>
      </c>
      <c r="S3464" s="8">
        <v>111430554</v>
      </c>
      <c r="T3464" s="8" t="s">
        <v>13902</v>
      </c>
      <c r="U3464" s="8" t="s">
        <v>41</v>
      </c>
    </row>
    <row r="3465" spans="1:21">
      <c r="A3465" s="8" t="s">
        <v>5410</v>
      </c>
      <c r="B3465" s="8" t="s">
        <v>13905</v>
      </c>
      <c r="C3465" s="8">
        <v>120796</v>
      </c>
      <c r="D3465" s="8" t="s">
        <v>83</v>
      </c>
      <c r="E3465" s="8">
        <v>6048129</v>
      </c>
      <c r="F3465" s="8">
        <v>6048130</v>
      </c>
      <c r="G3465" s="8" t="s">
        <v>151</v>
      </c>
      <c r="H3465" s="8"/>
      <c r="I3465" s="8" t="s">
        <v>36</v>
      </c>
      <c r="J3465" s="8" t="s">
        <v>13906</v>
      </c>
      <c r="K3465" s="8" t="s">
        <v>13908</v>
      </c>
      <c r="L3465" s="8" t="s">
        <v>31</v>
      </c>
      <c r="M3465" s="8">
        <v>842</v>
      </c>
      <c r="N3465" s="8" t="s">
        <v>35</v>
      </c>
      <c r="O3465" s="8">
        <v>269</v>
      </c>
      <c r="P3465" s="8" t="s">
        <v>35</v>
      </c>
      <c r="Q3465" s="8" t="s">
        <v>4262</v>
      </c>
      <c r="R3465" s="8">
        <v>0.35799999999999998</v>
      </c>
      <c r="S3465" s="8">
        <v>6048128</v>
      </c>
      <c r="T3465" s="8" t="s">
        <v>13907</v>
      </c>
      <c r="U3465" s="8" t="s">
        <v>24</v>
      </c>
    </row>
    <row r="3466" spans="1:21">
      <c r="A3466" s="8" t="s">
        <v>5890</v>
      </c>
      <c r="B3466" s="8" t="s">
        <v>2172</v>
      </c>
      <c r="C3466" s="8">
        <v>2542</v>
      </c>
      <c r="D3466" s="8" t="s">
        <v>83</v>
      </c>
      <c r="E3466" s="8">
        <v>118896778</v>
      </c>
      <c r="F3466" s="8">
        <v>118896779</v>
      </c>
      <c r="G3466" s="8"/>
      <c r="H3466" s="8" t="s">
        <v>24</v>
      </c>
      <c r="I3466" s="8" t="s">
        <v>110</v>
      </c>
      <c r="J3466" s="8" t="s">
        <v>13909</v>
      </c>
      <c r="K3466" s="8" t="s">
        <v>13910</v>
      </c>
      <c r="L3466" s="8" t="s">
        <v>31</v>
      </c>
      <c r="M3466" s="8">
        <v>1065</v>
      </c>
      <c r="N3466" s="8" t="s">
        <v>35</v>
      </c>
      <c r="O3466" s="8">
        <v>221</v>
      </c>
      <c r="P3466" s="8" t="s">
        <v>35</v>
      </c>
      <c r="Q3466" s="8" t="s">
        <v>4262</v>
      </c>
      <c r="R3466" s="8">
        <v>0.26</v>
      </c>
      <c r="S3466" s="8">
        <v>118896778</v>
      </c>
      <c r="T3466" s="8" t="s">
        <v>41</v>
      </c>
      <c r="U3466" s="8" t="s">
        <v>2780</v>
      </c>
    </row>
    <row r="3467" spans="1:21">
      <c r="A3467" s="8" t="s">
        <v>5890</v>
      </c>
      <c r="B3467" s="8" t="s">
        <v>2505</v>
      </c>
      <c r="C3467" s="8">
        <v>57523</v>
      </c>
      <c r="D3467" s="8" t="s">
        <v>118</v>
      </c>
      <c r="E3467" s="8">
        <v>24878578</v>
      </c>
      <c r="F3467" s="8">
        <v>24878579</v>
      </c>
      <c r="G3467" s="8"/>
      <c r="H3467" s="8" t="s">
        <v>24</v>
      </c>
      <c r="I3467" s="8" t="s">
        <v>110</v>
      </c>
      <c r="J3467" s="8" t="s">
        <v>2506</v>
      </c>
      <c r="K3467" s="8" t="s">
        <v>12730</v>
      </c>
      <c r="L3467" s="8" t="s">
        <v>31</v>
      </c>
      <c r="M3467" s="8">
        <v>1896</v>
      </c>
      <c r="N3467" s="8" t="s">
        <v>35</v>
      </c>
      <c r="O3467" s="8">
        <v>526</v>
      </c>
      <c r="P3467" s="8" t="s">
        <v>35</v>
      </c>
      <c r="Q3467" s="8" t="s">
        <v>4262</v>
      </c>
      <c r="R3467" s="8">
        <v>0.35699999999999998</v>
      </c>
      <c r="S3467" s="8">
        <v>24878578</v>
      </c>
      <c r="T3467" s="8" t="s">
        <v>25</v>
      </c>
      <c r="U3467" s="8" t="s">
        <v>13811</v>
      </c>
    </row>
    <row r="3468" spans="1:21">
      <c r="A3468" s="8" t="s">
        <v>5890</v>
      </c>
      <c r="B3468" s="8" t="s">
        <v>2528</v>
      </c>
      <c r="C3468" s="8">
        <v>5579</v>
      </c>
      <c r="D3468" s="8" t="s">
        <v>129</v>
      </c>
      <c r="E3468" s="8">
        <v>24124377</v>
      </c>
      <c r="F3468" s="8">
        <v>24124378</v>
      </c>
      <c r="G3468" s="8"/>
      <c r="H3468" s="8" t="s">
        <v>41</v>
      </c>
      <c r="I3468" s="8" t="s">
        <v>110</v>
      </c>
      <c r="J3468" s="8" t="s">
        <v>12915</v>
      </c>
      <c r="K3468" s="8" t="s">
        <v>12917</v>
      </c>
      <c r="L3468" s="8" t="s">
        <v>31</v>
      </c>
      <c r="M3468" s="8">
        <v>1102</v>
      </c>
      <c r="N3468" s="8" t="s">
        <v>35</v>
      </c>
      <c r="O3468" s="8">
        <v>302</v>
      </c>
      <c r="P3468" s="8" t="s">
        <v>35</v>
      </c>
      <c r="Q3468" s="8" t="s">
        <v>4262</v>
      </c>
      <c r="R3468" s="8">
        <v>0.28799999999999998</v>
      </c>
      <c r="S3468" s="8">
        <v>24124377</v>
      </c>
      <c r="T3468" s="8" t="s">
        <v>24</v>
      </c>
      <c r="U3468" s="8" t="s">
        <v>13911</v>
      </c>
    </row>
    <row r="3469" spans="1:21">
      <c r="A3469" s="8" t="s">
        <v>6350</v>
      </c>
      <c r="B3469" s="8" t="s">
        <v>3570</v>
      </c>
      <c r="C3469" s="8">
        <v>56916</v>
      </c>
      <c r="D3469" s="8" t="s">
        <v>220</v>
      </c>
      <c r="E3469" s="8">
        <v>95170862</v>
      </c>
      <c r="F3469" s="8">
        <v>95170872</v>
      </c>
      <c r="G3469" s="8" t="s">
        <v>13913</v>
      </c>
      <c r="H3469" s="8"/>
      <c r="I3469" s="8" t="s">
        <v>36</v>
      </c>
      <c r="J3469" s="8" t="s">
        <v>6397</v>
      </c>
      <c r="K3469" s="8" t="s">
        <v>6399</v>
      </c>
      <c r="L3469" s="8" t="s">
        <v>31</v>
      </c>
      <c r="M3469" s="8">
        <v>940</v>
      </c>
      <c r="N3469" s="8" t="s">
        <v>35</v>
      </c>
      <c r="O3469" s="8">
        <v>255</v>
      </c>
      <c r="P3469" s="8" t="s">
        <v>35</v>
      </c>
      <c r="Q3469" s="8" t="s">
        <v>4262</v>
      </c>
      <c r="R3469" s="8">
        <v>0.39500000000000002</v>
      </c>
      <c r="S3469" s="8">
        <v>95170861</v>
      </c>
      <c r="T3469" s="8" t="s">
        <v>13912</v>
      </c>
      <c r="U3469" s="8" t="s">
        <v>41</v>
      </c>
    </row>
    <row r="3470" spans="1:21">
      <c r="A3470" s="8" t="s">
        <v>6350</v>
      </c>
      <c r="B3470" s="8" t="s">
        <v>13914</v>
      </c>
      <c r="C3470" s="8">
        <v>63951</v>
      </c>
      <c r="D3470" s="8" t="s">
        <v>292</v>
      </c>
      <c r="E3470" s="8">
        <v>22451896</v>
      </c>
      <c r="F3470" s="8">
        <v>22451896</v>
      </c>
      <c r="G3470" s="8" t="s">
        <v>46</v>
      </c>
      <c r="H3470" s="8"/>
      <c r="I3470" s="8" t="s">
        <v>36</v>
      </c>
      <c r="J3470" s="8" t="s">
        <v>13915</v>
      </c>
      <c r="K3470" s="8" t="s">
        <v>13916</v>
      </c>
      <c r="L3470" s="8" t="s">
        <v>31</v>
      </c>
      <c r="M3470" s="8">
        <v>1726</v>
      </c>
      <c r="N3470" s="8" t="s">
        <v>35</v>
      </c>
      <c r="O3470" s="8">
        <v>501</v>
      </c>
      <c r="P3470" s="8" t="s">
        <v>35</v>
      </c>
      <c r="Q3470" s="8" t="s">
        <v>4262</v>
      </c>
      <c r="R3470" s="8">
        <v>0.50700000000000001</v>
      </c>
      <c r="S3470" s="8">
        <v>22451895</v>
      </c>
      <c r="T3470" s="8" t="s">
        <v>13891</v>
      </c>
      <c r="U3470" s="8" t="s">
        <v>41</v>
      </c>
    </row>
    <row r="3471" spans="1:21">
      <c r="A3471" s="8" t="s">
        <v>6350</v>
      </c>
      <c r="B3471" s="8"/>
      <c r="C3471" s="8">
        <v>9757</v>
      </c>
      <c r="D3471" s="8" t="s">
        <v>139</v>
      </c>
      <c r="E3471" s="8">
        <v>36229001</v>
      </c>
      <c r="F3471" s="8">
        <v>36229011</v>
      </c>
      <c r="G3471" s="8" t="s">
        <v>13918</v>
      </c>
      <c r="H3471" s="8"/>
      <c r="I3471" s="8" t="s">
        <v>36</v>
      </c>
      <c r="J3471" s="8" t="s">
        <v>13273</v>
      </c>
      <c r="K3471" s="8" t="s">
        <v>13274</v>
      </c>
      <c r="L3471" s="8" t="s">
        <v>31</v>
      </c>
      <c r="M3471" s="8">
        <v>7781</v>
      </c>
      <c r="N3471" s="8" t="s">
        <v>35</v>
      </c>
      <c r="O3471" s="8">
        <v>2594</v>
      </c>
      <c r="P3471" s="8" t="s">
        <v>35</v>
      </c>
      <c r="Q3471" s="8" t="s">
        <v>4262</v>
      </c>
      <c r="R3471" s="8">
        <v>0.14899999999999999</v>
      </c>
      <c r="S3471" s="8">
        <v>36229000</v>
      </c>
      <c r="T3471" s="8" t="s">
        <v>13917</v>
      </c>
      <c r="U3471" s="8" t="s">
        <v>25</v>
      </c>
    </row>
    <row r="3472" spans="1:21">
      <c r="A3472" s="8" t="s">
        <v>6350</v>
      </c>
      <c r="B3472" s="8" t="s">
        <v>13919</v>
      </c>
      <c r="C3472" s="8">
        <v>115703</v>
      </c>
      <c r="D3472" s="8" t="s">
        <v>139</v>
      </c>
      <c r="E3472" s="8">
        <v>36278102</v>
      </c>
      <c r="F3472" s="8">
        <v>36278102</v>
      </c>
      <c r="G3472" s="8" t="s">
        <v>46</v>
      </c>
      <c r="H3472" s="8"/>
      <c r="I3472" s="8" t="s">
        <v>36</v>
      </c>
      <c r="J3472" s="8" t="s">
        <v>13920</v>
      </c>
      <c r="K3472" s="8" t="s">
        <v>13921</v>
      </c>
      <c r="L3472" s="8" t="s">
        <v>31</v>
      </c>
      <c r="M3472" s="8">
        <v>2296</v>
      </c>
      <c r="N3472" s="8" t="s">
        <v>35</v>
      </c>
      <c r="O3472" s="8">
        <v>718</v>
      </c>
      <c r="P3472" s="8" t="s">
        <v>35</v>
      </c>
      <c r="Q3472" s="8" t="s">
        <v>4262</v>
      </c>
      <c r="R3472" s="8">
        <v>0.46500000000000002</v>
      </c>
      <c r="S3472" s="8">
        <v>36278101</v>
      </c>
      <c r="T3472" s="8" t="s">
        <v>13891</v>
      </c>
      <c r="U3472" s="8" t="s">
        <v>41</v>
      </c>
    </row>
    <row r="3473" spans="1:21">
      <c r="A3473" s="8" t="s">
        <v>6350</v>
      </c>
      <c r="B3473" s="8" t="s">
        <v>9553</v>
      </c>
      <c r="C3473" s="8">
        <v>9947</v>
      </c>
      <c r="D3473" s="8" t="s">
        <v>418</v>
      </c>
      <c r="E3473" s="8">
        <v>140996368</v>
      </c>
      <c r="F3473" s="8">
        <v>140996368</v>
      </c>
      <c r="G3473" s="8" t="s">
        <v>46</v>
      </c>
      <c r="H3473" s="8"/>
      <c r="I3473" s="8" t="s">
        <v>36</v>
      </c>
      <c r="J3473" s="8" t="s">
        <v>9554</v>
      </c>
      <c r="K3473" s="8" t="s">
        <v>9556</v>
      </c>
      <c r="L3473" s="8" t="s">
        <v>31</v>
      </c>
      <c r="M3473" s="8">
        <v>3502</v>
      </c>
      <c r="N3473" s="8" t="s">
        <v>35</v>
      </c>
      <c r="O3473" s="8">
        <v>1060</v>
      </c>
      <c r="P3473" s="8" t="s">
        <v>35</v>
      </c>
      <c r="Q3473" s="8" t="s">
        <v>4262</v>
      </c>
      <c r="R3473" s="8">
        <v>0.76300000000000001</v>
      </c>
      <c r="S3473" s="8">
        <v>140996367</v>
      </c>
      <c r="T3473" s="8" t="s">
        <v>1299</v>
      </c>
      <c r="U3473" s="8" t="s">
        <v>24</v>
      </c>
    </row>
    <row r="3474" spans="1:21">
      <c r="A3474" s="8" t="s">
        <v>6350</v>
      </c>
      <c r="B3474" s="8" t="s">
        <v>3791</v>
      </c>
      <c r="C3474" s="8">
        <v>257397</v>
      </c>
      <c r="D3474" s="8" t="s">
        <v>418</v>
      </c>
      <c r="E3474" s="8">
        <v>30872873</v>
      </c>
      <c r="F3474" s="8">
        <v>30872873</v>
      </c>
      <c r="G3474" s="8" t="s">
        <v>24</v>
      </c>
      <c r="H3474" s="8"/>
      <c r="I3474" s="8" t="s">
        <v>36</v>
      </c>
      <c r="J3474" s="8" t="s">
        <v>3792</v>
      </c>
      <c r="K3474" s="8" t="s">
        <v>13922</v>
      </c>
      <c r="L3474" s="8" t="s">
        <v>31</v>
      </c>
      <c r="M3474" s="8">
        <v>1572</v>
      </c>
      <c r="N3474" s="8" t="s">
        <v>35</v>
      </c>
      <c r="O3474" s="8">
        <v>303</v>
      </c>
      <c r="P3474" s="8" t="s">
        <v>35</v>
      </c>
      <c r="Q3474" s="8" t="s">
        <v>4262</v>
      </c>
      <c r="R3474" s="8">
        <v>0.84099999999999997</v>
      </c>
      <c r="S3474" s="8">
        <v>30872872</v>
      </c>
      <c r="T3474" s="8" t="s">
        <v>13811</v>
      </c>
      <c r="U3474" s="8" t="s">
        <v>25</v>
      </c>
    </row>
    <row r="3475" spans="1:21">
      <c r="A3475" s="8" t="s">
        <v>6603</v>
      </c>
      <c r="B3475" s="8" t="s">
        <v>13923</v>
      </c>
      <c r="C3475" s="8">
        <v>5449</v>
      </c>
      <c r="D3475" s="8" t="s">
        <v>201</v>
      </c>
      <c r="E3475" s="8">
        <v>87311325</v>
      </c>
      <c r="F3475" s="8">
        <v>87311328</v>
      </c>
      <c r="G3475" s="8" t="s">
        <v>13927</v>
      </c>
      <c r="H3475" s="8"/>
      <c r="I3475" s="8" t="s">
        <v>36</v>
      </c>
      <c r="J3475" s="8" t="s">
        <v>13924</v>
      </c>
      <c r="K3475" s="8" t="s">
        <v>13926</v>
      </c>
      <c r="L3475" s="8" t="s">
        <v>31</v>
      </c>
      <c r="M3475" s="8">
        <v>700</v>
      </c>
      <c r="N3475" s="8" t="s">
        <v>35</v>
      </c>
      <c r="O3475" s="8">
        <v>192</v>
      </c>
      <c r="P3475" s="8" t="s">
        <v>35</v>
      </c>
      <c r="Q3475" s="8" t="s">
        <v>4262</v>
      </c>
      <c r="R3475" s="8">
        <v>0.39</v>
      </c>
      <c r="S3475" s="8">
        <v>87311324</v>
      </c>
      <c r="T3475" s="8" t="s">
        <v>13925</v>
      </c>
      <c r="U3475" s="8" t="s">
        <v>41</v>
      </c>
    </row>
    <row r="3476" spans="1:21">
      <c r="A3476" s="8" t="s">
        <v>6603</v>
      </c>
      <c r="B3476" s="8" t="s">
        <v>13928</v>
      </c>
      <c r="C3476" s="8">
        <v>403282</v>
      </c>
      <c r="D3476" s="8" t="s">
        <v>104</v>
      </c>
      <c r="E3476" s="8">
        <v>55795221</v>
      </c>
      <c r="F3476" s="8">
        <v>55795222</v>
      </c>
      <c r="G3476" s="8"/>
      <c r="H3476" s="8" t="s">
        <v>25</v>
      </c>
      <c r="I3476" s="8" t="s">
        <v>110</v>
      </c>
      <c r="J3476" s="8" t="s">
        <v>13929</v>
      </c>
      <c r="K3476" s="8" t="s">
        <v>13930</v>
      </c>
      <c r="L3476" s="8" t="s">
        <v>31</v>
      </c>
      <c r="M3476" s="8">
        <v>909</v>
      </c>
      <c r="N3476" s="8" t="s">
        <v>35</v>
      </c>
      <c r="O3476" s="8">
        <v>303</v>
      </c>
      <c r="P3476" s="8" t="s">
        <v>35</v>
      </c>
      <c r="Q3476" s="8" t="s">
        <v>4262</v>
      </c>
      <c r="R3476" s="8">
        <v>0.22600000000000001</v>
      </c>
      <c r="S3476" s="8">
        <v>55795221</v>
      </c>
      <c r="T3476" s="8" t="s">
        <v>46</v>
      </c>
      <c r="U3476" s="8" t="s">
        <v>1064</v>
      </c>
    </row>
    <row r="3477" spans="1:21">
      <c r="A3477" s="8" t="s">
        <v>6603</v>
      </c>
      <c r="B3477" s="8" t="s">
        <v>1036</v>
      </c>
      <c r="C3477" s="8">
        <v>4035</v>
      </c>
      <c r="D3477" s="8" t="s">
        <v>104</v>
      </c>
      <c r="E3477" s="8">
        <v>57588211</v>
      </c>
      <c r="F3477" s="8">
        <v>57588212</v>
      </c>
      <c r="G3477" s="8" t="s">
        <v>13932</v>
      </c>
      <c r="H3477" s="8"/>
      <c r="I3477" s="8" t="s">
        <v>36</v>
      </c>
      <c r="J3477" s="8" t="s">
        <v>1037</v>
      </c>
      <c r="K3477" s="8" t="s">
        <v>5356</v>
      </c>
      <c r="L3477" s="8" t="s">
        <v>31</v>
      </c>
      <c r="M3477" s="8">
        <v>8459</v>
      </c>
      <c r="N3477" s="8" t="s">
        <v>35</v>
      </c>
      <c r="O3477" s="8">
        <v>2665</v>
      </c>
      <c r="P3477" s="8" t="s">
        <v>35</v>
      </c>
      <c r="Q3477" s="8" t="s">
        <v>4262</v>
      </c>
      <c r="R3477" s="8">
        <v>0.246</v>
      </c>
      <c r="S3477" s="8">
        <v>57588210</v>
      </c>
      <c r="T3477" s="8" t="s">
        <v>13931</v>
      </c>
      <c r="U3477" s="8" t="s">
        <v>25</v>
      </c>
    </row>
    <row r="3478" spans="1:21">
      <c r="A3478" s="8" t="s">
        <v>6603</v>
      </c>
      <c r="B3478" s="8" t="s">
        <v>13933</v>
      </c>
      <c r="C3478" s="8">
        <v>80336</v>
      </c>
      <c r="D3478" s="8" t="s">
        <v>188</v>
      </c>
      <c r="E3478" s="8">
        <v>43559191</v>
      </c>
      <c r="F3478" s="8">
        <v>43559192</v>
      </c>
      <c r="G3478" s="8" t="s">
        <v>856</v>
      </c>
      <c r="H3478" s="8"/>
      <c r="I3478" s="8" t="s">
        <v>36</v>
      </c>
      <c r="J3478" s="8" t="s">
        <v>13934</v>
      </c>
      <c r="K3478" s="8" t="s">
        <v>13936</v>
      </c>
      <c r="L3478" s="8" t="s">
        <v>31</v>
      </c>
      <c r="M3478" s="8">
        <v>1145</v>
      </c>
      <c r="N3478" s="8" t="s">
        <v>35</v>
      </c>
      <c r="O3478" s="8">
        <v>355</v>
      </c>
      <c r="P3478" s="8" t="s">
        <v>35</v>
      </c>
      <c r="Q3478" s="8" t="s">
        <v>4262</v>
      </c>
      <c r="R3478" s="8">
        <v>0.155</v>
      </c>
      <c r="S3478" s="8">
        <v>43559190</v>
      </c>
      <c r="T3478" s="8" t="s">
        <v>13935</v>
      </c>
      <c r="U3478" s="8" t="s">
        <v>46</v>
      </c>
    </row>
    <row r="3479" spans="1:21">
      <c r="A3479" s="8" t="s">
        <v>6801</v>
      </c>
      <c r="B3479" s="8" t="s">
        <v>13937</v>
      </c>
      <c r="C3479" s="8">
        <v>10256</v>
      </c>
      <c r="D3479" s="8" t="s">
        <v>22</v>
      </c>
      <c r="E3479" s="8">
        <v>26513930</v>
      </c>
      <c r="F3479" s="8">
        <v>26513930</v>
      </c>
      <c r="G3479" s="8" t="s">
        <v>25</v>
      </c>
      <c r="H3479" s="8"/>
      <c r="I3479" s="8" t="s">
        <v>36</v>
      </c>
      <c r="J3479" s="8" t="s">
        <v>13938</v>
      </c>
      <c r="K3479" s="8" t="s">
        <v>13939</v>
      </c>
      <c r="L3479" s="8" t="s">
        <v>31</v>
      </c>
      <c r="M3479" s="8">
        <v>1469</v>
      </c>
      <c r="N3479" s="8" t="s">
        <v>35</v>
      </c>
      <c r="O3479" s="8">
        <v>471</v>
      </c>
      <c r="P3479" s="8" t="s">
        <v>35</v>
      </c>
      <c r="Q3479" s="8" t="s">
        <v>4262</v>
      </c>
      <c r="R3479" s="8">
        <v>0.222</v>
      </c>
      <c r="S3479" s="8">
        <v>26513929</v>
      </c>
      <c r="T3479" s="8" t="s">
        <v>1064</v>
      </c>
      <c r="U3479" s="8" t="s">
        <v>46</v>
      </c>
    </row>
    <row r="3480" spans="1:21">
      <c r="A3480" s="8" t="s">
        <v>6801</v>
      </c>
      <c r="B3480" s="8" t="s">
        <v>13940</v>
      </c>
      <c r="C3480" s="8">
        <v>9967</v>
      </c>
      <c r="D3480" s="8" t="s">
        <v>22</v>
      </c>
      <c r="E3480" s="8">
        <v>36752365</v>
      </c>
      <c r="F3480" s="8">
        <v>36752365</v>
      </c>
      <c r="G3480" s="8" t="s">
        <v>24</v>
      </c>
      <c r="H3480" s="8"/>
      <c r="I3480" s="8" t="s">
        <v>36</v>
      </c>
      <c r="J3480" s="8" t="s">
        <v>13941</v>
      </c>
      <c r="K3480" s="8" t="s">
        <v>13942</v>
      </c>
      <c r="L3480" s="8" t="s">
        <v>31</v>
      </c>
      <c r="M3480" s="8">
        <v>758</v>
      </c>
      <c r="N3480" s="8" t="s">
        <v>35</v>
      </c>
      <c r="O3480" s="8">
        <v>178</v>
      </c>
      <c r="P3480" s="8" t="s">
        <v>35</v>
      </c>
      <c r="Q3480" s="8" t="s">
        <v>4262</v>
      </c>
      <c r="R3480" s="8">
        <v>0.186</v>
      </c>
      <c r="S3480" s="8">
        <v>36752364</v>
      </c>
      <c r="T3480" s="8" t="s">
        <v>13811</v>
      </c>
      <c r="U3480" s="8" t="s">
        <v>25</v>
      </c>
    </row>
    <row r="3481" spans="1:21">
      <c r="A3481" s="8" t="s">
        <v>6801</v>
      </c>
      <c r="B3481" s="8" t="s">
        <v>1949</v>
      </c>
      <c r="C3481" s="8">
        <v>2632</v>
      </c>
      <c r="D3481" s="8" t="s">
        <v>201</v>
      </c>
      <c r="E3481" s="8">
        <v>81635336</v>
      </c>
      <c r="F3481" s="8">
        <v>81635337</v>
      </c>
      <c r="G3481" s="8"/>
      <c r="H3481" s="8" t="s">
        <v>25</v>
      </c>
      <c r="I3481" s="8" t="s">
        <v>110</v>
      </c>
      <c r="J3481" s="8" t="s">
        <v>13943</v>
      </c>
      <c r="K3481" s="8" t="s">
        <v>13944</v>
      </c>
      <c r="L3481" s="8" t="s">
        <v>31</v>
      </c>
      <c r="M3481" s="8">
        <v>1523</v>
      </c>
      <c r="N3481" s="8" t="s">
        <v>35</v>
      </c>
      <c r="O3481" s="8">
        <v>414</v>
      </c>
      <c r="P3481" s="8" t="s">
        <v>35</v>
      </c>
      <c r="Q3481" s="8" t="s">
        <v>4262</v>
      </c>
      <c r="R3481" s="8">
        <v>0.19400000000000001</v>
      </c>
      <c r="S3481" s="8">
        <v>81635336</v>
      </c>
      <c r="T3481" s="8" t="s">
        <v>41</v>
      </c>
      <c r="U3481" s="8" t="s">
        <v>1052</v>
      </c>
    </row>
    <row r="3482" spans="1:21">
      <c r="A3482" s="8" t="s">
        <v>6801</v>
      </c>
      <c r="B3482" s="8" t="s">
        <v>13945</v>
      </c>
      <c r="C3482" s="8">
        <v>253559</v>
      </c>
      <c r="D3482" s="8" t="s">
        <v>201</v>
      </c>
      <c r="E3482" s="8">
        <v>86010677</v>
      </c>
      <c r="F3482" s="8">
        <v>86010678</v>
      </c>
      <c r="G3482" s="8"/>
      <c r="H3482" s="8" t="s">
        <v>41</v>
      </c>
      <c r="I3482" s="8" t="s">
        <v>110</v>
      </c>
      <c r="J3482" s="8" t="s">
        <v>13946</v>
      </c>
      <c r="K3482" s="8" t="s">
        <v>13947</v>
      </c>
      <c r="L3482" s="8" t="s">
        <v>31</v>
      </c>
      <c r="M3482" s="8">
        <v>1449</v>
      </c>
      <c r="N3482" s="8" t="s">
        <v>35</v>
      </c>
      <c r="O3482" s="8">
        <v>275</v>
      </c>
      <c r="P3482" s="8" t="s">
        <v>35</v>
      </c>
      <c r="Q3482" s="8" t="s">
        <v>4262</v>
      </c>
      <c r="R3482" s="8">
        <v>0.16500000000000001</v>
      </c>
      <c r="S3482" s="8">
        <v>86010677</v>
      </c>
      <c r="T3482" s="8" t="s">
        <v>24</v>
      </c>
      <c r="U3482" s="8" t="s">
        <v>13911</v>
      </c>
    </row>
    <row r="3483" spans="1:21">
      <c r="A3483" s="8" t="s">
        <v>6801</v>
      </c>
      <c r="B3483" s="8" t="s">
        <v>2192</v>
      </c>
      <c r="C3483" s="8">
        <v>26269</v>
      </c>
      <c r="D3483" s="8" t="s">
        <v>220</v>
      </c>
      <c r="E3483" s="8">
        <v>175184192</v>
      </c>
      <c r="F3483" s="8">
        <v>175184194</v>
      </c>
      <c r="G3483" s="8" t="s">
        <v>13835</v>
      </c>
      <c r="H3483" s="8"/>
      <c r="I3483" s="8" t="s">
        <v>36</v>
      </c>
      <c r="J3483" s="8" t="s">
        <v>13948</v>
      </c>
      <c r="K3483" s="8" t="s">
        <v>13951</v>
      </c>
      <c r="L3483" s="8" t="s">
        <v>19</v>
      </c>
      <c r="M3483" s="8">
        <v>900</v>
      </c>
      <c r="N3483" s="8" t="s">
        <v>13952</v>
      </c>
      <c r="O3483" s="8">
        <v>17</v>
      </c>
      <c r="P3483" s="8" t="s">
        <v>13949</v>
      </c>
      <c r="Q3483" s="8" t="s">
        <v>4262</v>
      </c>
      <c r="R3483" s="8">
        <v>0.2</v>
      </c>
      <c r="S3483" s="8">
        <v>175184191</v>
      </c>
      <c r="T3483" s="8" t="s">
        <v>13950</v>
      </c>
      <c r="U3483" s="8" t="s">
        <v>46</v>
      </c>
    </row>
    <row r="3484" spans="1:21">
      <c r="A3484" s="8" t="s">
        <v>6801</v>
      </c>
      <c r="B3484" s="8" t="s">
        <v>13953</v>
      </c>
      <c r="C3484" s="8">
        <v>57728</v>
      </c>
      <c r="D3484" s="8" t="s">
        <v>220</v>
      </c>
      <c r="E3484" s="8">
        <v>39206803</v>
      </c>
      <c r="F3484" s="8">
        <v>39206804</v>
      </c>
      <c r="G3484" s="8"/>
      <c r="H3484" s="8" t="s">
        <v>41</v>
      </c>
      <c r="I3484" s="8" t="s">
        <v>110</v>
      </c>
      <c r="J3484" s="8" t="s">
        <v>13954</v>
      </c>
      <c r="K3484" s="8" t="s">
        <v>13955</v>
      </c>
      <c r="L3484" s="8" t="s">
        <v>31</v>
      </c>
      <c r="M3484" s="8">
        <v>787</v>
      </c>
      <c r="N3484" s="8" t="s">
        <v>35</v>
      </c>
      <c r="O3484" s="8">
        <v>211</v>
      </c>
      <c r="P3484" s="8" t="s">
        <v>35</v>
      </c>
      <c r="Q3484" s="8" t="s">
        <v>4262</v>
      </c>
      <c r="R3484" s="8">
        <v>0.25900000000000001</v>
      </c>
      <c r="S3484" s="8">
        <v>39206803</v>
      </c>
      <c r="T3484" s="8" t="s">
        <v>24</v>
      </c>
      <c r="U3484" s="8" t="s">
        <v>13911</v>
      </c>
    </row>
    <row r="3485" spans="1:21">
      <c r="A3485" s="8" t="s">
        <v>6801</v>
      </c>
      <c r="B3485" s="8" t="s">
        <v>3951</v>
      </c>
      <c r="C3485" s="8">
        <v>152831</v>
      </c>
      <c r="D3485" s="8" t="s">
        <v>220</v>
      </c>
      <c r="E3485" s="8">
        <v>39408763</v>
      </c>
      <c r="F3485" s="8">
        <v>39408764</v>
      </c>
      <c r="G3485" s="8"/>
      <c r="H3485" s="8" t="s">
        <v>13959</v>
      </c>
      <c r="I3485" s="8" t="s">
        <v>110</v>
      </c>
      <c r="J3485" s="8" t="s">
        <v>13956</v>
      </c>
      <c r="K3485" s="8" t="s">
        <v>13958</v>
      </c>
      <c r="L3485" s="8" t="s">
        <v>31</v>
      </c>
      <c r="M3485" s="8">
        <v>291</v>
      </c>
      <c r="N3485" s="8" t="s">
        <v>35</v>
      </c>
      <c r="O3485" s="8">
        <v>65</v>
      </c>
      <c r="P3485" s="8" t="s">
        <v>35</v>
      </c>
      <c r="Q3485" s="8" t="s">
        <v>4262</v>
      </c>
      <c r="R3485" s="8">
        <v>0.17399999999999999</v>
      </c>
      <c r="S3485" s="8">
        <v>39408763</v>
      </c>
      <c r="T3485" s="8" t="s">
        <v>46</v>
      </c>
      <c r="U3485" s="8" t="s">
        <v>13957</v>
      </c>
    </row>
    <row r="3486" spans="1:21">
      <c r="A3486" s="8" t="s">
        <v>6801</v>
      </c>
      <c r="B3486" s="8" t="s">
        <v>13960</v>
      </c>
      <c r="C3486" s="8">
        <v>100302736</v>
      </c>
      <c r="D3486" s="8" t="s">
        <v>226</v>
      </c>
      <c r="E3486" s="8">
        <v>114956356</v>
      </c>
      <c r="F3486" s="8">
        <v>114956357</v>
      </c>
      <c r="G3486" s="8"/>
      <c r="H3486" s="8" t="s">
        <v>25</v>
      </c>
      <c r="I3486" s="8" t="s">
        <v>110</v>
      </c>
      <c r="J3486" s="8" t="s">
        <v>13961</v>
      </c>
      <c r="K3486" s="8" t="s">
        <v>13962</v>
      </c>
      <c r="L3486" s="8" t="s">
        <v>31</v>
      </c>
      <c r="M3486" s="8">
        <v>600</v>
      </c>
      <c r="N3486" s="8" t="s">
        <v>35</v>
      </c>
      <c r="O3486" s="8">
        <v>71</v>
      </c>
      <c r="P3486" s="8" t="s">
        <v>35</v>
      </c>
      <c r="Q3486" s="8" t="s">
        <v>4262</v>
      </c>
      <c r="R3486" s="8">
        <v>0.27400000000000002</v>
      </c>
      <c r="S3486" s="8">
        <v>114956356</v>
      </c>
      <c r="T3486" s="8" t="s">
        <v>46</v>
      </c>
      <c r="U3486" s="8" t="s">
        <v>1064</v>
      </c>
    </row>
    <row r="3487" spans="1:21">
      <c r="A3487" s="8" t="s">
        <v>6801</v>
      </c>
      <c r="B3487" s="8" t="s">
        <v>13963</v>
      </c>
      <c r="C3487" s="8">
        <v>120376</v>
      </c>
      <c r="D3487" s="8" t="s">
        <v>83</v>
      </c>
      <c r="E3487" s="8">
        <v>111179019</v>
      </c>
      <c r="F3487" s="8">
        <v>111179019</v>
      </c>
      <c r="G3487" s="8" t="s">
        <v>41</v>
      </c>
      <c r="H3487" s="8"/>
      <c r="I3487" s="8" t="s">
        <v>36</v>
      </c>
      <c r="J3487" s="8" t="s">
        <v>13964</v>
      </c>
      <c r="K3487" s="8" t="s">
        <v>13965</v>
      </c>
      <c r="L3487" s="8" t="s">
        <v>31</v>
      </c>
      <c r="M3487" s="8">
        <v>1080</v>
      </c>
      <c r="N3487" s="8" t="s">
        <v>35</v>
      </c>
      <c r="O3487" s="8">
        <v>108</v>
      </c>
      <c r="P3487" s="8" t="s">
        <v>35</v>
      </c>
      <c r="Q3487" s="8" t="s">
        <v>4262</v>
      </c>
      <c r="R3487" s="8">
        <v>0.28999999999999998</v>
      </c>
      <c r="S3487" s="8">
        <v>111179018</v>
      </c>
      <c r="T3487" s="8" t="s">
        <v>1224</v>
      </c>
      <c r="U3487" s="8" t="s">
        <v>25</v>
      </c>
    </row>
    <row r="3488" spans="1:21">
      <c r="A3488" s="8" t="s">
        <v>6801</v>
      </c>
      <c r="B3488" s="8" t="s">
        <v>13966</v>
      </c>
      <c r="C3488" s="8">
        <v>84191</v>
      </c>
      <c r="D3488" s="8" t="s">
        <v>120</v>
      </c>
      <c r="E3488" s="8">
        <v>64365200</v>
      </c>
      <c r="F3488" s="8">
        <v>64365200</v>
      </c>
      <c r="G3488" s="8" t="s">
        <v>46</v>
      </c>
      <c r="H3488" s="8"/>
      <c r="I3488" s="8" t="s">
        <v>36</v>
      </c>
      <c r="J3488" s="8" t="s">
        <v>13967</v>
      </c>
      <c r="K3488" s="8" t="s">
        <v>13968</v>
      </c>
      <c r="L3488" s="8" t="s">
        <v>31</v>
      </c>
      <c r="M3488" s="8">
        <v>653</v>
      </c>
      <c r="N3488" s="8" t="s">
        <v>35</v>
      </c>
      <c r="O3488" s="8">
        <v>138</v>
      </c>
      <c r="P3488" s="8" t="s">
        <v>35</v>
      </c>
      <c r="Q3488" s="8" t="s">
        <v>4262</v>
      </c>
      <c r="R3488" s="8">
        <v>0.186</v>
      </c>
      <c r="S3488" s="8">
        <v>64365199</v>
      </c>
      <c r="T3488" s="8" t="s">
        <v>13891</v>
      </c>
      <c r="U3488" s="8" t="s">
        <v>41</v>
      </c>
    </row>
    <row r="3489" spans="1:21">
      <c r="A3489" s="8" t="s">
        <v>6801</v>
      </c>
      <c r="B3489" s="8" t="s">
        <v>12792</v>
      </c>
      <c r="C3489" s="8">
        <v>123606</v>
      </c>
      <c r="D3489" s="8" t="s">
        <v>120</v>
      </c>
      <c r="E3489" s="8">
        <v>23048959</v>
      </c>
      <c r="F3489" s="8">
        <v>23048959</v>
      </c>
      <c r="G3489" s="8" t="s">
        <v>46</v>
      </c>
      <c r="H3489" s="8"/>
      <c r="I3489" s="8" t="s">
        <v>36</v>
      </c>
      <c r="J3489" s="8" t="s">
        <v>12793</v>
      </c>
      <c r="K3489" s="8" t="s">
        <v>12795</v>
      </c>
      <c r="L3489" s="8" t="s">
        <v>31</v>
      </c>
      <c r="M3489" s="8">
        <v>885</v>
      </c>
      <c r="N3489" s="8" t="s">
        <v>35</v>
      </c>
      <c r="O3489" s="8">
        <v>287</v>
      </c>
      <c r="P3489" s="8" t="s">
        <v>35</v>
      </c>
      <c r="Q3489" s="8" t="s">
        <v>4262</v>
      </c>
      <c r="R3489" s="8">
        <v>0.27800000000000002</v>
      </c>
      <c r="S3489" s="8">
        <v>23048958</v>
      </c>
      <c r="T3489" s="8" t="s">
        <v>1299</v>
      </c>
      <c r="U3489" s="8" t="s">
        <v>24</v>
      </c>
    </row>
    <row r="3490" spans="1:21">
      <c r="A3490" s="8" t="s">
        <v>6801</v>
      </c>
      <c r="B3490" s="8" t="s">
        <v>1928</v>
      </c>
      <c r="C3490" s="8">
        <v>2874</v>
      </c>
      <c r="D3490" s="8" t="s">
        <v>133</v>
      </c>
      <c r="E3490" s="8">
        <v>7216399</v>
      </c>
      <c r="F3490" s="8">
        <v>7216399</v>
      </c>
      <c r="G3490" s="8" t="s">
        <v>25</v>
      </c>
      <c r="H3490" s="8"/>
      <c r="I3490" s="8" t="s">
        <v>36</v>
      </c>
      <c r="J3490" s="8" t="s">
        <v>13969</v>
      </c>
      <c r="K3490" s="8" t="s">
        <v>13970</v>
      </c>
      <c r="L3490" s="8" t="s">
        <v>31</v>
      </c>
      <c r="M3490" s="8">
        <v>925</v>
      </c>
      <c r="N3490" s="8" t="s">
        <v>35</v>
      </c>
      <c r="O3490" s="8">
        <v>283</v>
      </c>
      <c r="P3490" s="8" t="s">
        <v>35</v>
      </c>
      <c r="Q3490" s="8" t="s">
        <v>4262</v>
      </c>
      <c r="R3490" s="8">
        <v>0.22800000000000001</v>
      </c>
      <c r="S3490" s="8">
        <v>7216398</v>
      </c>
      <c r="T3490" s="8" t="s">
        <v>1064</v>
      </c>
      <c r="U3490" s="8" t="s">
        <v>46</v>
      </c>
    </row>
    <row r="3491" spans="1:21">
      <c r="A3491" s="8" t="s">
        <v>6801</v>
      </c>
      <c r="B3491" s="8" t="s">
        <v>13728</v>
      </c>
      <c r="C3491" s="8">
        <v>7074</v>
      </c>
      <c r="D3491" s="8" t="s">
        <v>193</v>
      </c>
      <c r="E3491" s="8">
        <v>32638474</v>
      </c>
      <c r="F3491" s="8">
        <v>32638474</v>
      </c>
      <c r="G3491" s="8" t="s">
        <v>25</v>
      </c>
      <c r="H3491" s="8"/>
      <c r="I3491" s="8" t="s">
        <v>36</v>
      </c>
      <c r="J3491" s="8" t="s">
        <v>13729</v>
      </c>
      <c r="K3491" s="8" t="s">
        <v>13731</v>
      </c>
      <c r="L3491" s="8" t="s">
        <v>31</v>
      </c>
      <c r="M3491" s="8">
        <v>1287</v>
      </c>
      <c r="N3491" s="8" t="s">
        <v>35</v>
      </c>
      <c r="O3491" s="8">
        <v>272</v>
      </c>
      <c r="P3491" s="8" t="s">
        <v>35</v>
      </c>
      <c r="Q3491" s="8" t="s">
        <v>4262</v>
      </c>
      <c r="R3491" s="8">
        <v>0.157</v>
      </c>
      <c r="S3491" s="8">
        <v>32638473</v>
      </c>
      <c r="T3491" s="8" t="s">
        <v>1064</v>
      </c>
      <c r="U3491" s="8" t="s">
        <v>46</v>
      </c>
    </row>
    <row r="3492" spans="1:21">
      <c r="A3492" s="8" t="s">
        <v>7071</v>
      </c>
      <c r="B3492" s="8" t="s">
        <v>13971</v>
      </c>
      <c r="C3492" s="8">
        <v>100132406</v>
      </c>
      <c r="D3492" s="8" t="s">
        <v>22</v>
      </c>
      <c r="E3492" s="8">
        <v>145328401</v>
      </c>
      <c r="F3492" s="8">
        <v>145328406</v>
      </c>
      <c r="G3492" s="8" t="s">
        <v>13977</v>
      </c>
      <c r="H3492" s="8"/>
      <c r="I3492" s="8" t="s">
        <v>36</v>
      </c>
      <c r="J3492" s="8" t="s">
        <v>13972</v>
      </c>
      <c r="K3492" s="8" t="s">
        <v>13975</v>
      </c>
      <c r="L3492" s="8" t="s">
        <v>19</v>
      </c>
      <c r="M3492" s="8">
        <v>4284</v>
      </c>
      <c r="N3492" s="8" t="s">
        <v>13976</v>
      </c>
      <c r="O3492" s="8">
        <v>1417</v>
      </c>
      <c r="P3492" s="8" t="s">
        <v>13973</v>
      </c>
      <c r="Q3492" s="8" t="s">
        <v>4262</v>
      </c>
      <c r="R3492" s="8">
        <v>3.6999999999999998E-2</v>
      </c>
      <c r="S3492" s="8">
        <v>145328400</v>
      </c>
      <c r="T3492" s="8" t="s">
        <v>13974</v>
      </c>
      <c r="U3492" s="8" t="s">
        <v>25</v>
      </c>
    </row>
    <row r="3493" spans="1:21">
      <c r="A3493" s="8" t="s">
        <v>7071</v>
      </c>
      <c r="B3493" s="8" t="s">
        <v>2620</v>
      </c>
      <c r="C3493" s="8">
        <v>10787</v>
      </c>
      <c r="D3493" s="8" t="s">
        <v>172</v>
      </c>
      <c r="E3493" s="8">
        <v>183826943</v>
      </c>
      <c r="F3493" s="8">
        <v>183826944</v>
      </c>
      <c r="G3493" s="8"/>
      <c r="H3493" s="8" t="s">
        <v>41</v>
      </c>
      <c r="I3493" s="8" t="s">
        <v>110</v>
      </c>
      <c r="J3493" s="8" t="s">
        <v>13978</v>
      </c>
      <c r="K3493" s="8" t="s">
        <v>13979</v>
      </c>
      <c r="L3493" s="8" t="s">
        <v>31</v>
      </c>
      <c r="M3493" s="8">
        <v>2244</v>
      </c>
      <c r="N3493" s="8" t="s">
        <v>35</v>
      </c>
      <c r="O3493" s="8">
        <v>614</v>
      </c>
      <c r="P3493" s="8" t="s">
        <v>35</v>
      </c>
      <c r="Q3493" s="8" t="s">
        <v>4262</v>
      </c>
      <c r="R3493" s="8">
        <v>0.27600000000000002</v>
      </c>
      <c r="S3493" s="8">
        <v>183826943</v>
      </c>
      <c r="T3493" s="8" t="s">
        <v>24</v>
      </c>
      <c r="U3493" s="8" t="s">
        <v>13911</v>
      </c>
    </row>
    <row r="3494" spans="1:21">
      <c r="A3494" s="8" t="s">
        <v>7071</v>
      </c>
      <c r="B3494" s="8" t="s">
        <v>13980</v>
      </c>
      <c r="C3494" s="8">
        <v>9113</v>
      </c>
      <c r="D3494" s="8" t="s">
        <v>237</v>
      </c>
      <c r="E3494" s="8">
        <v>150005341</v>
      </c>
      <c r="F3494" s="8">
        <v>150005358</v>
      </c>
      <c r="G3494" s="8" t="s">
        <v>13986</v>
      </c>
      <c r="H3494" s="8"/>
      <c r="I3494" s="8" t="s">
        <v>36</v>
      </c>
      <c r="J3494" s="8" t="s">
        <v>13981</v>
      </c>
      <c r="K3494" s="8" t="s">
        <v>13984</v>
      </c>
      <c r="L3494" s="8" t="s">
        <v>19</v>
      </c>
      <c r="M3494" s="8">
        <v>1415</v>
      </c>
      <c r="N3494" s="8" t="s">
        <v>13985</v>
      </c>
      <c r="O3494" s="8">
        <v>289</v>
      </c>
      <c r="P3494" s="8" t="s">
        <v>13982</v>
      </c>
      <c r="Q3494" s="8" t="s">
        <v>4262</v>
      </c>
      <c r="R3494" s="8">
        <v>0.216</v>
      </c>
      <c r="S3494" s="8">
        <v>150005340</v>
      </c>
      <c r="T3494" s="8" t="s">
        <v>13983</v>
      </c>
      <c r="U3494" s="8" t="s">
        <v>41</v>
      </c>
    </row>
    <row r="3495" spans="1:21">
      <c r="A3495" s="8" t="s">
        <v>7071</v>
      </c>
      <c r="B3495" s="8" t="s">
        <v>13987</v>
      </c>
      <c r="C3495" s="8">
        <v>23608</v>
      </c>
      <c r="D3495" s="8" t="s">
        <v>257</v>
      </c>
      <c r="E3495" s="8">
        <v>140159583</v>
      </c>
      <c r="F3495" s="8">
        <v>140159583</v>
      </c>
      <c r="G3495" s="8" t="s">
        <v>25</v>
      </c>
      <c r="H3495" s="8"/>
      <c r="I3495" s="8" t="s">
        <v>36</v>
      </c>
      <c r="J3495" s="8" t="s">
        <v>13988</v>
      </c>
      <c r="K3495" s="8" t="s">
        <v>13989</v>
      </c>
      <c r="L3495" s="8" t="s">
        <v>31</v>
      </c>
      <c r="M3495" s="8">
        <v>693</v>
      </c>
      <c r="N3495" s="8" t="s">
        <v>35</v>
      </c>
      <c r="O3495" s="8">
        <v>156</v>
      </c>
      <c r="P3495" s="8" t="s">
        <v>35</v>
      </c>
      <c r="Q3495" s="8" t="s">
        <v>4262</v>
      </c>
      <c r="R3495" s="8">
        <v>0.27100000000000002</v>
      </c>
      <c r="S3495" s="8">
        <v>140159582</v>
      </c>
      <c r="T3495" s="8" t="s">
        <v>1064</v>
      </c>
      <c r="U3495" s="8" t="s">
        <v>46</v>
      </c>
    </row>
    <row r="3496" spans="1:21">
      <c r="A3496" s="8" t="s">
        <v>7071</v>
      </c>
      <c r="B3496" s="8" t="s">
        <v>1875</v>
      </c>
      <c r="C3496" s="8">
        <v>27012</v>
      </c>
      <c r="D3496" s="8" t="s">
        <v>279</v>
      </c>
      <c r="E3496" s="8">
        <v>110984671</v>
      </c>
      <c r="F3496" s="8">
        <v>110984671</v>
      </c>
      <c r="G3496" s="8" t="s">
        <v>24</v>
      </c>
      <c r="H3496" s="8"/>
      <c r="I3496" s="8" t="s">
        <v>36</v>
      </c>
      <c r="J3496" s="8" t="s">
        <v>3151</v>
      </c>
      <c r="K3496" s="8" t="s">
        <v>7830</v>
      </c>
      <c r="L3496" s="8" t="s">
        <v>31</v>
      </c>
      <c r="M3496" s="8">
        <v>1149</v>
      </c>
      <c r="N3496" s="8" t="s">
        <v>35</v>
      </c>
      <c r="O3496" s="8">
        <v>269</v>
      </c>
      <c r="P3496" s="8" t="s">
        <v>35</v>
      </c>
      <c r="Q3496" s="8" t="s">
        <v>4262</v>
      </c>
      <c r="R3496" s="8">
        <v>0.183</v>
      </c>
      <c r="S3496" s="8">
        <v>110984670</v>
      </c>
      <c r="T3496" s="8" t="s">
        <v>13811</v>
      </c>
      <c r="U3496" s="8" t="s">
        <v>25</v>
      </c>
    </row>
    <row r="3497" spans="1:21">
      <c r="A3497" s="8" t="s">
        <v>7071</v>
      </c>
      <c r="B3497" s="8" t="s">
        <v>4050</v>
      </c>
      <c r="C3497" s="8">
        <v>4928</v>
      </c>
      <c r="D3497" s="8" t="s">
        <v>83</v>
      </c>
      <c r="E3497" s="8">
        <v>3784224</v>
      </c>
      <c r="F3497" s="8">
        <v>3784225</v>
      </c>
      <c r="G3497" s="8"/>
      <c r="H3497" s="8" t="s">
        <v>25</v>
      </c>
      <c r="I3497" s="8" t="s">
        <v>110</v>
      </c>
      <c r="J3497" s="8" t="s">
        <v>9167</v>
      </c>
      <c r="K3497" s="8" t="s">
        <v>9169</v>
      </c>
      <c r="L3497" s="8" t="s">
        <v>31</v>
      </c>
      <c r="M3497" s="8">
        <v>1414</v>
      </c>
      <c r="N3497" s="8" t="s">
        <v>35</v>
      </c>
      <c r="O3497" s="8">
        <v>331</v>
      </c>
      <c r="P3497" s="8" t="s">
        <v>35</v>
      </c>
      <c r="Q3497" s="8" t="s">
        <v>4262</v>
      </c>
      <c r="R3497" s="8">
        <v>0.21</v>
      </c>
      <c r="S3497" s="8">
        <v>3784224</v>
      </c>
      <c r="T3497" s="8" t="s">
        <v>46</v>
      </c>
      <c r="U3497" s="8" t="s">
        <v>1064</v>
      </c>
    </row>
    <row r="3498" spans="1:21">
      <c r="A3498" s="8" t="s">
        <v>7071</v>
      </c>
      <c r="B3498" s="8" t="s">
        <v>13990</v>
      </c>
      <c r="C3498" s="8">
        <v>646754</v>
      </c>
      <c r="D3498" s="8" t="s">
        <v>83</v>
      </c>
      <c r="E3498" s="8">
        <v>49075355</v>
      </c>
      <c r="F3498" s="8">
        <v>49075356</v>
      </c>
      <c r="G3498" s="8"/>
      <c r="H3498" s="8" t="s">
        <v>25</v>
      </c>
      <c r="I3498" s="8" t="s">
        <v>110</v>
      </c>
      <c r="J3498" s="8" t="s">
        <v>13991</v>
      </c>
      <c r="K3498" s="8" t="s">
        <v>13992</v>
      </c>
      <c r="L3498" s="8" t="s">
        <v>31</v>
      </c>
      <c r="M3498" s="8">
        <v>1263</v>
      </c>
      <c r="N3498" s="8" t="s">
        <v>35</v>
      </c>
      <c r="O3498" s="8">
        <v>421</v>
      </c>
      <c r="P3498" s="8" t="s">
        <v>35</v>
      </c>
      <c r="Q3498" s="8" t="s">
        <v>4262</v>
      </c>
      <c r="R3498" s="8">
        <v>6.9000000000000006E-2</v>
      </c>
      <c r="S3498" s="8">
        <v>49075355</v>
      </c>
      <c r="T3498" s="8" t="s">
        <v>46</v>
      </c>
      <c r="U3498" s="8" t="s">
        <v>1064</v>
      </c>
    </row>
    <row r="3499" spans="1:21">
      <c r="A3499" s="8" t="s">
        <v>7071</v>
      </c>
      <c r="B3499" s="8" t="s">
        <v>1066</v>
      </c>
      <c r="C3499" s="8">
        <v>23269</v>
      </c>
      <c r="D3499" s="8" t="s">
        <v>120</v>
      </c>
      <c r="E3499" s="8">
        <v>42042623</v>
      </c>
      <c r="F3499" s="8">
        <v>42042626</v>
      </c>
      <c r="G3499" s="8" t="s">
        <v>13832</v>
      </c>
      <c r="H3499" s="8"/>
      <c r="I3499" s="8" t="s">
        <v>36</v>
      </c>
      <c r="J3499" s="8" t="s">
        <v>7591</v>
      </c>
      <c r="K3499" s="8" t="s">
        <v>7593</v>
      </c>
      <c r="L3499" s="8" t="s">
        <v>31</v>
      </c>
      <c r="M3499" s="8">
        <v>6999</v>
      </c>
      <c r="N3499" s="8" t="s">
        <v>35</v>
      </c>
      <c r="O3499" s="8">
        <v>2273</v>
      </c>
      <c r="P3499" s="8" t="s">
        <v>35</v>
      </c>
      <c r="Q3499" s="8" t="s">
        <v>4262</v>
      </c>
      <c r="R3499" s="8">
        <v>0.128</v>
      </c>
      <c r="S3499" s="8">
        <v>42042622</v>
      </c>
      <c r="T3499" s="8" t="s">
        <v>13993</v>
      </c>
      <c r="U3499" s="8" t="s">
        <v>46</v>
      </c>
    </row>
    <row r="3500" spans="1:21">
      <c r="A3500" s="8" t="s">
        <v>7071</v>
      </c>
      <c r="B3500" s="8" t="s">
        <v>13994</v>
      </c>
      <c r="C3500" s="8">
        <v>11083</v>
      </c>
      <c r="D3500" s="8" t="s">
        <v>188</v>
      </c>
      <c r="E3500" s="8">
        <v>61525769</v>
      </c>
      <c r="F3500" s="8">
        <v>61525796</v>
      </c>
      <c r="G3500" s="8" t="s">
        <v>13998</v>
      </c>
      <c r="H3500" s="8"/>
      <c r="I3500" s="8" t="s">
        <v>36</v>
      </c>
      <c r="J3500" s="8" t="s">
        <v>13995</v>
      </c>
      <c r="K3500" s="8" t="s">
        <v>13997</v>
      </c>
      <c r="L3500" s="8" t="s">
        <v>31</v>
      </c>
      <c r="M3500" s="8">
        <v>2853</v>
      </c>
      <c r="N3500" s="8" t="s">
        <v>35</v>
      </c>
      <c r="O3500" s="8">
        <v>847</v>
      </c>
      <c r="P3500" s="8" t="s">
        <v>35</v>
      </c>
      <c r="Q3500" s="8" t="s">
        <v>4262</v>
      </c>
      <c r="R3500" s="8">
        <v>4.1000000000000002E-2</v>
      </c>
      <c r="S3500" s="8">
        <v>61525768</v>
      </c>
      <c r="T3500" s="8" t="s">
        <v>13996</v>
      </c>
      <c r="U3500" s="8" t="s">
        <v>41</v>
      </c>
    </row>
    <row r="3501" spans="1:21">
      <c r="A3501" s="8" t="s">
        <v>7071</v>
      </c>
      <c r="B3501" s="8" t="s">
        <v>7760</v>
      </c>
      <c r="C3501" s="8">
        <v>27328</v>
      </c>
      <c r="D3501" s="8" t="s">
        <v>418</v>
      </c>
      <c r="E3501" s="8">
        <v>91873779</v>
      </c>
      <c r="F3501" s="8">
        <v>91873780</v>
      </c>
      <c r="G3501" s="8"/>
      <c r="H3501" s="8" t="s">
        <v>41</v>
      </c>
      <c r="I3501" s="8" t="s">
        <v>110</v>
      </c>
      <c r="J3501" s="8" t="s">
        <v>7761</v>
      </c>
      <c r="K3501" s="8" t="s">
        <v>7763</v>
      </c>
      <c r="L3501" s="8" t="s">
        <v>31</v>
      </c>
      <c r="M3501" s="8">
        <v>3817</v>
      </c>
      <c r="N3501" s="8" t="s">
        <v>35</v>
      </c>
      <c r="O3501" s="8">
        <v>1258</v>
      </c>
      <c r="P3501" s="8" t="s">
        <v>35</v>
      </c>
      <c r="Q3501" s="8" t="s">
        <v>4262</v>
      </c>
      <c r="R3501" s="8">
        <v>0.40699999999999997</v>
      </c>
      <c r="S3501" s="8">
        <v>91873779</v>
      </c>
      <c r="T3501" s="8" t="s">
        <v>24</v>
      </c>
      <c r="U3501" s="8" t="s">
        <v>13911</v>
      </c>
    </row>
    <row r="3502" spans="1:21">
      <c r="A3502" s="8" t="s">
        <v>7774</v>
      </c>
      <c r="B3502" s="8" t="s">
        <v>13999</v>
      </c>
      <c r="C3502" s="8">
        <v>9936</v>
      </c>
      <c r="D3502" s="8" t="s">
        <v>172</v>
      </c>
      <c r="E3502" s="8">
        <v>160628408</v>
      </c>
      <c r="F3502" s="8">
        <v>160628409</v>
      </c>
      <c r="G3502" s="8" t="s">
        <v>1487</v>
      </c>
      <c r="H3502" s="8"/>
      <c r="I3502" s="8" t="s">
        <v>36</v>
      </c>
      <c r="J3502" s="8" t="s">
        <v>14000</v>
      </c>
      <c r="K3502" s="8" t="s">
        <v>14002</v>
      </c>
      <c r="L3502" s="8" t="s">
        <v>31</v>
      </c>
      <c r="M3502" s="8">
        <v>709</v>
      </c>
      <c r="N3502" s="8" t="s">
        <v>35</v>
      </c>
      <c r="O3502" s="8">
        <v>218</v>
      </c>
      <c r="P3502" s="8" t="s">
        <v>35</v>
      </c>
      <c r="Q3502" s="8" t="s">
        <v>4262</v>
      </c>
      <c r="R3502" s="8">
        <v>0.43</v>
      </c>
      <c r="S3502" s="8">
        <v>160628407</v>
      </c>
      <c r="T3502" s="8" t="s">
        <v>14001</v>
      </c>
      <c r="U3502" s="8" t="s">
        <v>25</v>
      </c>
    </row>
    <row r="3503" spans="1:21">
      <c r="A3503" s="8" t="s">
        <v>7774</v>
      </c>
      <c r="B3503" s="8" t="s">
        <v>6412</v>
      </c>
      <c r="C3503" s="8">
        <v>9627</v>
      </c>
      <c r="D3503" s="8" t="s">
        <v>226</v>
      </c>
      <c r="E3503" s="8">
        <v>121758952</v>
      </c>
      <c r="F3503" s="8">
        <v>121758953</v>
      </c>
      <c r="G3503" s="8"/>
      <c r="H3503" s="8" t="s">
        <v>25</v>
      </c>
      <c r="I3503" s="8" t="s">
        <v>110</v>
      </c>
      <c r="J3503" s="8" t="s">
        <v>6413</v>
      </c>
      <c r="K3503" s="8" t="s">
        <v>6415</v>
      </c>
      <c r="L3503" s="8" t="s">
        <v>31</v>
      </c>
      <c r="M3503" s="8">
        <v>726</v>
      </c>
      <c r="N3503" s="8" t="s">
        <v>35</v>
      </c>
      <c r="O3503" s="8">
        <v>174</v>
      </c>
      <c r="P3503" s="8" t="s">
        <v>35</v>
      </c>
      <c r="Q3503" s="8" t="s">
        <v>4262</v>
      </c>
      <c r="R3503" s="8">
        <v>0.44900000000000001</v>
      </c>
      <c r="S3503" s="8">
        <v>121758952</v>
      </c>
      <c r="T3503" s="8" t="s">
        <v>24</v>
      </c>
      <c r="U3503" s="8" t="s">
        <v>227</v>
      </c>
    </row>
    <row r="3504" spans="1:21">
      <c r="A3504" s="8" t="s">
        <v>7774</v>
      </c>
      <c r="B3504" s="8" t="s">
        <v>2738</v>
      </c>
      <c r="C3504" s="8">
        <v>10973</v>
      </c>
      <c r="D3504" s="8" t="s">
        <v>237</v>
      </c>
      <c r="E3504" s="8">
        <v>101296172</v>
      </c>
      <c r="F3504" s="8">
        <v>101296173</v>
      </c>
      <c r="G3504" s="8"/>
      <c r="H3504" s="8" t="s">
        <v>41</v>
      </c>
      <c r="I3504" s="8" t="s">
        <v>110</v>
      </c>
      <c r="J3504" s="8" t="s">
        <v>2739</v>
      </c>
      <c r="K3504" s="8" t="s">
        <v>11489</v>
      </c>
      <c r="L3504" s="8" t="s">
        <v>31</v>
      </c>
      <c r="M3504" s="8">
        <v>981</v>
      </c>
      <c r="N3504" s="8" t="s">
        <v>35</v>
      </c>
      <c r="O3504" s="8">
        <v>218</v>
      </c>
      <c r="P3504" s="8" t="s">
        <v>35</v>
      </c>
      <c r="Q3504" s="8" t="s">
        <v>4262</v>
      </c>
      <c r="R3504" s="8">
        <v>0.60299999999999998</v>
      </c>
      <c r="S3504" s="8">
        <v>101296172</v>
      </c>
      <c r="T3504" s="8" t="s">
        <v>24</v>
      </c>
      <c r="U3504" s="8" t="s">
        <v>13911</v>
      </c>
    </row>
    <row r="3505" spans="1:21">
      <c r="A3505" s="8" t="s">
        <v>7885</v>
      </c>
      <c r="B3505" s="8" t="s">
        <v>2186</v>
      </c>
      <c r="C3505" s="8">
        <v>4627</v>
      </c>
      <c r="D3505" s="8" t="s">
        <v>197</v>
      </c>
      <c r="E3505" s="8">
        <v>36737425</v>
      </c>
      <c r="F3505" s="8">
        <v>36737425</v>
      </c>
      <c r="G3505" s="8" t="s">
        <v>25</v>
      </c>
      <c r="H3505" s="8"/>
      <c r="I3505" s="8" t="s">
        <v>36</v>
      </c>
      <c r="J3505" s="8" t="s">
        <v>2657</v>
      </c>
      <c r="K3505" s="8" t="s">
        <v>6327</v>
      </c>
      <c r="L3505" s="8" t="s">
        <v>31</v>
      </c>
      <c r="M3505" s="8">
        <v>711</v>
      </c>
      <c r="N3505" s="8" t="s">
        <v>35</v>
      </c>
      <c r="O3505" s="8">
        <v>160</v>
      </c>
      <c r="P3505" s="8" t="s">
        <v>35</v>
      </c>
      <c r="Q3505" s="8" t="s">
        <v>4262</v>
      </c>
      <c r="R3505" s="8">
        <v>0.161</v>
      </c>
      <c r="S3505" s="8">
        <v>36737424</v>
      </c>
      <c r="T3505" s="8" t="s">
        <v>1052</v>
      </c>
      <c r="U3505" s="8" t="s">
        <v>41</v>
      </c>
    </row>
    <row r="3506" spans="1:21">
      <c r="A3506" s="8" t="s">
        <v>7885</v>
      </c>
      <c r="B3506" s="8" t="s">
        <v>2186</v>
      </c>
      <c r="C3506" s="8">
        <v>4627</v>
      </c>
      <c r="D3506" s="8" t="s">
        <v>197</v>
      </c>
      <c r="E3506" s="8">
        <v>36737427</v>
      </c>
      <c r="F3506" s="8">
        <v>36737427</v>
      </c>
      <c r="G3506" s="8" t="s">
        <v>41</v>
      </c>
      <c r="H3506" s="8"/>
      <c r="I3506" s="8" t="s">
        <v>36</v>
      </c>
      <c r="J3506" s="8" t="s">
        <v>2657</v>
      </c>
      <c r="K3506" s="8" t="s">
        <v>6327</v>
      </c>
      <c r="L3506" s="8" t="s">
        <v>31</v>
      </c>
      <c r="M3506" s="8">
        <v>709</v>
      </c>
      <c r="N3506" s="8" t="s">
        <v>35</v>
      </c>
      <c r="O3506" s="8">
        <v>160</v>
      </c>
      <c r="P3506" s="8" t="s">
        <v>35</v>
      </c>
      <c r="Q3506" s="8" t="s">
        <v>4262</v>
      </c>
      <c r="R3506" s="8">
        <v>0.161</v>
      </c>
      <c r="S3506" s="8">
        <v>36737426</v>
      </c>
      <c r="T3506" s="8" t="s">
        <v>13932</v>
      </c>
      <c r="U3506" s="8" t="s">
        <v>46</v>
      </c>
    </row>
    <row r="3507" spans="1:21">
      <c r="A3507" s="8" t="s">
        <v>7953</v>
      </c>
      <c r="B3507" s="8" t="s">
        <v>14003</v>
      </c>
      <c r="C3507" s="8">
        <v>7398</v>
      </c>
      <c r="D3507" s="8" t="s">
        <v>22</v>
      </c>
      <c r="E3507" s="8">
        <v>62910483</v>
      </c>
      <c r="F3507" s="8">
        <v>62910483</v>
      </c>
      <c r="G3507" s="8" t="s">
        <v>41</v>
      </c>
      <c r="H3507" s="8"/>
      <c r="I3507" s="8" t="s">
        <v>36</v>
      </c>
      <c r="J3507" s="8" t="s">
        <v>14004</v>
      </c>
      <c r="K3507" s="8" t="s">
        <v>14005</v>
      </c>
      <c r="L3507" s="8" t="s">
        <v>31</v>
      </c>
      <c r="M3507" s="8">
        <v>865</v>
      </c>
      <c r="N3507" s="8" t="s">
        <v>35</v>
      </c>
      <c r="O3507" s="8">
        <v>211</v>
      </c>
      <c r="P3507" s="8" t="s">
        <v>35</v>
      </c>
      <c r="Q3507" s="8" t="s">
        <v>4262</v>
      </c>
      <c r="R3507" s="8">
        <v>0.21099999999999999</v>
      </c>
      <c r="S3507" s="8">
        <v>62910482</v>
      </c>
      <c r="T3507" s="8" t="s">
        <v>1224</v>
      </c>
      <c r="U3507" s="8" t="s">
        <v>25</v>
      </c>
    </row>
    <row r="3508" spans="1:21">
      <c r="A3508" s="8" t="s">
        <v>7953</v>
      </c>
      <c r="B3508" s="8" t="s">
        <v>1847</v>
      </c>
      <c r="C3508" s="8">
        <v>2244</v>
      </c>
      <c r="D3508" s="8" t="s">
        <v>220</v>
      </c>
      <c r="E3508" s="8">
        <v>155490452</v>
      </c>
      <c r="F3508" s="8">
        <v>155490452</v>
      </c>
      <c r="G3508" s="8" t="s">
        <v>46</v>
      </c>
      <c r="H3508" s="8"/>
      <c r="I3508" s="8" t="s">
        <v>36</v>
      </c>
      <c r="J3508" s="8" t="s">
        <v>14006</v>
      </c>
      <c r="K3508" s="8" t="s">
        <v>14008</v>
      </c>
      <c r="L3508" s="8" t="s">
        <v>31</v>
      </c>
      <c r="M3508" s="8">
        <v>990</v>
      </c>
      <c r="N3508" s="8" t="s">
        <v>35</v>
      </c>
      <c r="O3508" s="8">
        <v>317</v>
      </c>
      <c r="P3508" s="8" t="s">
        <v>35</v>
      </c>
      <c r="Q3508" s="8" t="s">
        <v>14007</v>
      </c>
      <c r="R3508" s="8">
        <v>0.67900000000000005</v>
      </c>
      <c r="S3508" s="8">
        <v>155490451</v>
      </c>
      <c r="T3508" s="8" t="s">
        <v>1299</v>
      </c>
      <c r="U3508" s="8" t="s">
        <v>24</v>
      </c>
    </row>
    <row r="3509" spans="1:21">
      <c r="A3509" s="8" t="s">
        <v>7953</v>
      </c>
      <c r="B3509" s="8" t="s">
        <v>2723</v>
      </c>
      <c r="C3509" s="8">
        <v>2196</v>
      </c>
      <c r="D3509" s="8" t="s">
        <v>226</v>
      </c>
      <c r="E3509" s="8">
        <v>150885189</v>
      </c>
      <c r="F3509" s="8">
        <v>150885189</v>
      </c>
      <c r="G3509" s="8" t="s">
        <v>24</v>
      </c>
      <c r="H3509" s="8"/>
      <c r="I3509" s="8" t="s">
        <v>36</v>
      </c>
      <c r="J3509" s="8" t="s">
        <v>2724</v>
      </c>
      <c r="K3509" s="8" t="s">
        <v>14009</v>
      </c>
      <c r="L3509" s="8" t="s">
        <v>31</v>
      </c>
      <c r="M3509" s="8">
        <v>13000</v>
      </c>
      <c r="N3509" s="8" t="s">
        <v>35</v>
      </c>
      <c r="O3509" s="8">
        <v>4329</v>
      </c>
      <c r="P3509" s="8" t="s">
        <v>35</v>
      </c>
      <c r="Q3509" s="8" t="s">
        <v>4262</v>
      </c>
      <c r="R3509" s="8">
        <v>0.39100000000000001</v>
      </c>
      <c r="S3509" s="8">
        <v>150885188</v>
      </c>
      <c r="T3509" s="8" t="s">
        <v>2780</v>
      </c>
      <c r="U3509" s="8" t="s">
        <v>41</v>
      </c>
    </row>
    <row r="3510" spans="1:21">
      <c r="A3510" s="8" t="s">
        <v>7953</v>
      </c>
      <c r="B3510" s="8" t="s">
        <v>14010</v>
      </c>
      <c r="C3510" s="8">
        <v>23036</v>
      </c>
      <c r="D3510" s="8" t="s">
        <v>237</v>
      </c>
      <c r="E3510" s="8">
        <v>87967203</v>
      </c>
      <c r="F3510" s="8">
        <v>87967204</v>
      </c>
      <c r="G3510" s="8"/>
      <c r="H3510" s="8" t="s">
        <v>41</v>
      </c>
      <c r="I3510" s="8" t="s">
        <v>110</v>
      </c>
      <c r="J3510" s="8" t="s">
        <v>14011</v>
      </c>
      <c r="K3510" s="8" t="s">
        <v>14012</v>
      </c>
      <c r="L3510" s="8" t="s">
        <v>31</v>
      </c>
      <c r="M3510" s="8">
        <v>3897</v>
      </c>
      <c r="N3510" s="8" t="s">
        <v>35</v>
      </c>
      <c r="O3510" s="8">
        <v>1286</v>
      </c>
      <c r="P3510" s="8" t="s">
        <v>35</v>
      </c>
      <c r="Q3510" s="8" t="s">
        <v>4262</v>
      </c>
      <c r="R3510" s="8">
        <v>0.68</v>
      </c>
      <c r="S3510" s="8">
        <v>87967203</v>
      </c>
      <c r="T3510" s="8" t="s">
        <v>24</v>
      </c>
      <c r="U3510" s="8" t="s">
        <v>13911</v>
      </c>
    </row>
    <row r="3511" spans="1:21">
      <c r="A3511" s="8" t="s">
        <v>7953</v>
      </c>
      <c r="B3511" s="8" t="s">
        <v>1970</v>
      </c>
      <c r="C3511" s="8">
        <v>27102</v>
      </c>
      <c r="D3511" s="8" t="s">
        <v>257</v>
      </c>
      <c r="E3511" s="8">
        <v>6068263</v>
      </c>
      <c r="F3511" s="8">
        <v>6068263</v>
      </c>
      <c r="G3511" s="8" t="s">
        <v>25</v>
      </c>
      <c r="H3511" s="8"/>
      <c r="I3511" s="8" t="s">
        <v>36</v>
      </c>
      <c r="J3511" s="8" t="s">
        <v>8034</v>
      </c>
      <c r="K3511" s="8" t="s">
        <v>8036</v>
      </c>
      <c r="L3511" s="8" t="s">
        <v>31</v>
      </c>
      <c r="M3511" s="8">
        <v>1659</v>
      </c>
      <c r="N3511" s="8" t="s">
        <v>35</v>
      </c>
      <c r="O3511" s="8">
        <v>505</v>
      </c>
      <c r="P3511" s="8" t="s">
        <v>35</v>
      </c>
      <c r="Q3511" s="8" t="s">
        <v>4262</v>
      </c>
      <c r="R3511" s="8">
        <v>0.35899999999999999</v>
      </c>
      <c r="S3511" s="8">
        <v>6068262</v>
      </c>
      <c r="T3511" s="8" t="s">
        <v>227</v>
      </c>
      <c r="U3511" s="8" t="s">
        <v>24</v>
      </c>
    </row>
    <row r="3512" spans="1:21">
      <c r="A3512" s="8" t="s">
        <v>7953</v>
      </c>
      <c r="B3512" s="8" t="s">
        <v>2159</v>
      </c>
      <c r="C3512" s="8">
        <v>1369</v>
      </c>
      <c r="D3512" s="8" t="s">
        <v>69</v>
      </c>
      <c r="E3512" s="8">
        <v>101816832</v>
      </c>
      <c r="F3512" s="8">
        <v>101816833</v>
      </c>
      <c r="G3512" s="8"/>
      <c r="H3512" s="8" t="s">
        <v>24</v>
      </c>
      <c r="I3512" s="8" t="s">
        <v>110</v>
      </c>
      <c r="J3512" s="8" t="s">
        <v>14013</v>
      </c>
      <c r="K3512" s="8" t="s">
        <v>14014</v>
      </c>
      <c r="L3512" s="8" t="s">
        <v>31</v>
      </c>
      <c r="M3512" s="8">
        <v>1208</v>
      </c>
      <c r="N3512" s="8" t="s">
        <v>35</v>
      </c>
      <c r="O3512" s="8">
        <v>316</v>
      </c>
      <c r="P3512" s="8" t="s">
        <v>35</v>
      </c>
      <c r="Q3512" s="8" t="s">
        <v>4262</v>
      </c>
      <c r="R3512" s="8">
        <v>0.40699999999999997</v>
      </c>
      <c r="S3512" s="8">
        <v>101816832</v>
      </c>
      <c r="T3512" s="8" t="s">
        <v>46</v>
      </c>
      <c r="U3512" s="8" t="s">
        <v>150</v>
      </c>
    </row>
    <row r="3513" spans="1:21">
      <c r="A3513" s="8" t="s">
        <v>7953</v>
      </c>
      <c r="B3513" s="8" t="s">
        <v>3096</v>
      </c>
      <c r="C3513" s="8">
        <v>55671</v>
      </c>
      <c r="D3513" s="8" t="s">
        <v>118</v>
      </c>
      <c r="E3513" s="8">
        <v>91937305</v>
      </c>
      <c r="F3513" s="8">
        <v>91937305</v>
      </c>
      <c r="G3513" s="8" t="s">
        <v>41</v>
      </c>
      <c r="H3513" s="8"/>
      <c r="I3513" s="8" t="s">
        <v>36</v>
      </c>
      <c r="J3513" s="8" t="s">
        <v>3097</v>
      </c>
      <c r="K3513" s="8" t="s">
        <v>8073</v>
      </c>
      <c r="L3513" s="8" t="s">
        <v>31</v>
      </c>
      <c r="M3513" s="8">
        <v>1780</v>
      </c>
      <c r="N3513" s="8" t="s">
        <v>35</v>
      </c>
      <c r="O3513" s="8">
        <v>499</v>
      </c>
      <c r="P3513" s="8" t="s">
        <v>35</v>
      </c>
      <c r="Q3513" s="8" t="s">
        <v>4262</v>
      </c>
      <c r="R3513" s="8">
        <v>0.378</v>
      </c>
      <c r="S3513" s="8">
        <v>91937304</v>
      </c>
      <c r="T3513" s="8" t="s">
        <v>1224</v>
      </c>
      <c r="U3513" s="8" t="s">
        <v>25</v>
      </c>
    </row>
    <row r="3514" spans="1:21">
      <c r="A3514" s="8" t="s">
        <v>7953</v>
      </c>
      <c r="B3514" s="8" t="s">
        <v>3956</v>
      </c>
      <c r="C3514" s="8">
        <v>57674</v>
      </c>
      <c r="D3514" s="8" t="s">
        <v>133</v>
      </c>
      <c r="E3514" s="8">
        <v>78262494</v>
      </c>
      <c r="F3514" s="8">
        <v>78262495</v>
      </c>
      <c r="G3514" s="8"/>
      <c r="H3514" s="8" t="s">
        <v>46</v>
      </c>
      <c r="I3514" s="8" t="s">
        <v>110</v>
      </c>
      <c r="J3514" s="8" t="s">
        <v>14015</v>
      </c>
      <c r="K3514" s="8" t="s">
        <v>14016</v>
      </c>
      <c r="L3514" s="8" t="s">
        <v>31</v>
      </c>
      <c r="M3514" s="8">
        <v>1016</v>
      </c>
      <c r="N3514" s="8" t="s">
        <v>35</v>
      </c>
      <c r="O3514" s="8">
        <v>291</v>
      </c>
      <c r="P3514" s="8" t="s">
        <v>35</v>
      </c>
      <c r="Q3514" s="8" t="s">
        <v>4262</v>
      </c>
      <c r="R3514" s="8">
        <v>0.45300000000000001</v>
      </c>
      <c r="S3514" s="8">
        <v>78262494</v>
      </c>
      <c r="T3514" s="8" t="s">
        <v>24</v>
      </c>
      <c r="U3514" s="8" t="s">
        <v>1299</v>
      </c>
    </row>
    <row r="3515" spans="1:21">
      <c r="A3515" s="8" t="s">
        <v>7953</v>
      </c>
      <c r="B3515" s="8" t="s">
        <v>3956</v>
      </c>
      <c r="C3515" s="8">
        <v>57674</v>
      </c>
      <c r="D3515" s="8" t="s">
        <v>133</v>
      </c>
      <c r="E3515" s="8">
        <v>78262495</v>
      </c>
      <c r="F3515" s="8">
        <v>78262496</v>
      </c>
      <c r="G3515" s="8"/>
      <c r="H3515" s="8" t="s">
        <v>14020</v>
      </c>
      <c r="I3515" s="8" t="s">
        <v>110</v>
      </c>
      <c r="J3515" s="8" t="s">
        <v>14015</v>
      </c>
      <c r="K3515" s="8" t="s">
        <v>14016</v>
      </c>
      <c r="L3515" s="8" t="s">
        <v>19</v>
      </c>
      <c r="M3515" s="8">
        <v>1017</v>
      </c>
      <c r="N3515" s="8" t="s">
        <v>14019</v>
      </c>
      <c r="O3515" s="8">
        <v>292</v>
      </c>
      <c r="P3515" s="8" t="s">
        <v>14017</v>
      </c>
      <c r="Q3515" s="8" t="s">
        <v>4262</v>
      </c>
      <c r="R3515" s="8">
        <v>0.46200000000000002</v>
      </c>
      <c r="S3515" s="8">
        <v>78262495</v>
      </c>
      <c r="T3515" s="8" t="s">
        <v>25</v>
      </c>
      <c r="U3515" s="8" t="s">
        <v>14018</v>
      </c>
    </row>
    <row r="3516" spans="1:21">
      <c r="A3516" s="8" t="s">
        <v>7953</v>
      </c>
      <c r="B3516" s="8" t="s">
        <v>14021</v>
      </c>
      <c r="C3516" s="8">
        <v>641339</v>
      </c>
      <c r="D3516" s="8" t="s">
        <v>418</v>
      </c>
      <c r="E3516" s="8">
        <v>46360083</v>
      </c>
      <c r="F3516" s="8">
        <v>46360083</v>
      </c>
      <c r="G3516" s="8" t="s">
        <v>24</v>
      </c>
      <c r="H3516" s="8"/>
      <c r="I3516" s="8" t="s">
        <v>36</v>
      </c>
      <c r="J3516" s="8" t="s">
        <v>14022</v>
      </c>
      <c r="K3516" s="8" t="s">
        <v>14023</v>
      </c>
      <c r="L3516" s="8" t="s">
        <v>31</v>
      </c>
      <c r="M3516" s="8">
        <v>1168</v>
      </c>
      <c r="N3516" s="8" t="s">
        <v>35</v>
      </c>
      <c r="O3516" s="8">
        <v>314</v>
      </c>
      <c r="P3516" s="8" t="s">
        <v>35</v>
      </c>
      <c r="Q3516" s="8" t="s">
        <v>4262</v>
      </c>
      <c r="R3516" s="8">
        <v>0.748</v>
      </c>
      <c r="S3516" s="8">
        <v>46360082</v>
      </c>
      <c r="T3516" s="8" t="s">
        <v>2780</v>
      </c>
      <c r="U3516" s="8" t="s">
        <v>41</v>
      </c>
    </row>
    <row r="3517" spans="1:21">
      <c r="A3517" s="8" t="s">
        <v>8279</v>
      </c>
      <c r="B3517" s="8" t="s">
        <v>1811</v>
      </c>
      <c r="C3517" s="8">
        <v>1373</v>
      </c>
      <c r="D3517" s="8" t="s">
        <v>172</v>
      </c>
      <c r="E3517" s="8">
        <v>211456583</v>
      </c>
      <c r="F3517" s="8">
        <v>211456586</v>
      </c>
      <c r="G3517" s="8" t="s">
        <v>14025</v>
      </c>
      <c r="H3517" s="8"/>
      <c r="I3517" s="8" t="s">
        <v>36</v>
      </c>
      <c r="J3517" s="8" t="s">
        <v>6635</v>
      </c>
      <c r="K3517" s="8" t="s">
        <v>6637</v>
      </c>
      <c r="L3517" s="8" t="s">
        <v>31</v>
      </c>
      <c r="M3517" s="8">
        <v>1111</v>
      </c>
      <c r="N3517" s="8" t="s">
        <v>35</v>
      </c>
      <c r="O3517" s="8">
        <v>326</v>
      </c>
      <c r="P3517" s="8" t="s">
        <v>35</v>
      </c>
      <c r="Q3517" s="8" t="s">
        <v>4262</v>
      </c>
      <c r="R3517" s="8">
        <v>0.222</v>
      </c>
      <c r="S3517" s="8">
        <v>211456582</v>
      </c>
      <c r="T3517" s="8" t="s">
        <v>14024</v>
      </c>
      <c r="U3517" s="8" t="s">
        <v>46</v>
      </c>
    </row>
    <row r="3518" spans="1:21">
      <c r="A3518" s="8" t="s">
        <v>8279</v>
      </c>
      <c r="B3518" s="8" t="s">
        <v>14026</v>
      </c>
      <c r="C3518" s="8">
        <v>329</v>
      </c>
      <c r="D3518" s="8" t="s">
        <v>83</v>
      </c>
      <c r="E3518" s="8">
        <v>102221335</v>
      </c>
      <c r="F3518" s="8">
        <v>102221335</v>
      </c>
      <c r="G3518" s="8" t="s">
        <v>24</v>
      </c>
      <c r="H3518" s="8"/>
      <c r="I3518" s="8" t="s">
        <v>36</v>
      </c>
      <c r="J3518" s="8" t="s">
        <v>14027</v>
      </c>
      <c r="K3518" s="8" t="s">
        <v>14028</v>
      </c>
      <c r="L3518" s="8" t="s">
        <v>31</v>
      </c>
      <c r="M3518" s="8">
        <v>2149</v>
      </c>
      <c r="N3518" s="8" t="s">
        <v>35</v>
      </c>
      <c r="O3518" s="8">
        <v>250</v>
      </c>
      <c r="P3518" s="8" t="s">
        <v>35</v>
      </c>
      <c r="Q3518" s="8" t="s">
        <v>4262</v>
      </c>
      <c r="R3518" s="8">
        <v>0.17799999999999999</v>
      </c>
      <c r="S3518" s="8">
        <v>102221334</v>
      </c>
      <c r="T3518" s="8" t="s">
        <v>2780</v>
      </c>
      <c r="U3518" s="8" t="s">
        <v>41</v>
      </c>
    </row>
    <row r="3519" spans="1:21">
      <c r="A3519" s="8" t="s">
        <v>8340</v>
      </c>
      <c r="B3519" s="8" t="s">
        <v>14029</v>
      </c>
      <c r="C3519" s="8">
        <v>130162</v>
      </c>
      <c r="D3519" s="8" t="s">
        <v>172</v>
      </c>
      <c r="E3519" s="8">
        <v>55449467</v>
      </c>
      <c r="F3519" s="8">
        <v>55449468</v>
      </c>
      <c r="G3519" s="8" t="s">
        <v>1064</v>
      </c>
      <c r="H3519" s="8"/>
      <c r="I3519" s="8" t="s">
        <v>36</v>
      </c>
      <c r="J3519" s="8" t="s">
        <v>14030</v>
      </c>
      <c r="K3519" s="8" t="s">
        <v>14032</v>
      </c>
      <c r="L3519" s="8" t="s">
        <v>31</v>
      </c>
      <c r="M3519" s="8">
        <v>426</v>
      </c>
      <c r="N3519" s="8" t="s">
        <v>35</v>
      </c>
      <c r="O3519" s="8">
        <v>27</v>
      </c>
      <c r="P3519" s="8" t="s">
        <v>35</v>
      </c>
      <c r="Q3519" s="8" t="s">
        <v>4262</v>
      </c>
      <c r="R3519" s="8">
        <v>0.33</v>
      </c>
      <c r="S3519" s="8">
        <v>55449466</v>
      </c>
      <c r="T3519" s="8" t="s">
        <v>14031</v>
      </c>
      <c r="U3519" s="8" t="s">
        <v>24</v>
      </c>
    </row>
    <row r="3520" spans="1:21">
      <c r="A3520" s="8" t="s">
        <v>8340</v>
      </c>
      <c r="B3520" s="8"/>
      <c r="C3520" s="8">
        <v>200931</v>
      </c>
      <c r="D3520" s="8" t="s">
        <v>201</v>
      </c>
      <c r="E3520" s="8">
        <v>195955038</v>
      </c>
      <c r="F3520" s="8">
        <v>195955038</v>
      </c>
      <c r="G3520" s="8" t="s">
        <v>24</v>
      </c>
      <c r="H3520" s="8"/>
      <c r="I3520" s="8" t="s">
        <v>36</v>
      </c>
      <c r="J3520" s="8" t="s">
        <v>14033</v>
      </c>
      <c r="K3520" s="8" t="s">
        <v>14034</v>
      </c>
      <c r="L3520" s="8" t="s">
        <v>31</v>
      </c>
      <c r="M3520" s="8">
        <v>616</v>
      </c>
      <c r="N3520" s="8" t="s">
        <v>35</v>
      </c>
      <c r="O3520" s="8">
        <v>139</v>
      </c>
      <c r="P3520" s="8" t="s">
        <v>35</v>
      </c>
      <c r="Q3520" s="8" t="s">
        <v>4262</v>
      </c>
      <c r="R3520" s="8">
        <v>0.34399999999999997</v>
      </c>
      <c r="S3520" s="8">
        <v>195955037</v>
      </c>
      <c r="T3520" s="8" t="s">
        <v>2780</v>
      </c>
      <c r="U3520" s="8" t="s">
        <v>41</v>
      </c>
    </row>
    <row r="3521" spans="1:21">
      <c r="A3521" s="8" t="s">
        <v>8340</v>
      </c>
      <c r="B3521" s="8" t="s">
        <v>1783</v>
      </c>
      <c r="C3521" s="8">
        <v>2243</v>
      </c>
      <c r="D3521" s="8" t="s">
        <v>220</v>
      </c>
      <c r="E3521" s="8">
        <v>155506788</v>
      </c>
      <c r="F3521" s="8">
        <v>155506791</v>
      </c>
      <c r="G3521" s="8" t="s">
        <v>14036</v>
      </c>
      <c r="H3521" s="8"/>
      <c r="I3521" s="8" t="s">
        <v>36</v>
      </c>
      <c r="J3521" s="8" t="s">
        <v>2698</v>
      </c>
      <c r="K3521" s="8" t="s">
        <v>8321</v>
      </c>
      <c r="L3521" s="8" t="s">
        <v>31</v>
      </c>
      <c r="M3521" s="8">
        <v>1848</v>
      </c>
      <c r="N3521" s="8" t="s">
        <v>35</v>
      </c>
      <c r="O3521" s="8">
        <v>597</v>
      </c>
      <c r="P3521" s="8" t="s">
        <v>35</v>
      </c>
      <c r="Q3521" s="8" t="s">
        <v>4262</v>
      </c>
      <c r="R3521" s="8">
        <v>0.27500000000000002</v>
      </c>
      <c r="S3521" s="8">
        <v>155506787</v>
      </c>
      <c r="T3521" s="8" t="s">
        <v>14035</v>
      </c>
      <c r="U3521" s="8" t="s">
        <v>24</v>
      </c>
    </row>
    <row r="3522" spans="1:21">
      <c r="A3522" s="8" t="s">
        <v>8340</v>
      </c>
      <c r="B3522" s="8" t="s">
        <v>1783</v>
      </c>
      <c r="C3522" s="8">
        <v>2243</v>
      </c>
      <c r="D3522" s="8" t="s">
        <v>220</v>
      </c>
      <c r="E3522" s="8">
        <v>155506795</v>
      </c>
      <c r="F3522" s="8">
        <v>155506799</v>
      </c>
      <c r="G3522" s="8" t="s">
        <v>14038</v>
      </c>
      <c r="H3522" s="8"/>
      <c r="I3522" s="8" t="s">
        <v>36</v>
      </c>
      <c r="J3522" s="8" t="s">
        <v>2698</v>
      </c>
      <c r="K3522" s="8" t="s">
        <v>8321</v>
      </c>
      <c r="L3522" s="8" t="s">
        <v>31</v>
      </c>
      <c r="M3522" s="8">
        <v>1840</v>
      </c>
      <c r="N3522" s="8" t="s">
        <v>35</v>
      </c>
      <c r="O3522" s="8">
        <v>594</v>
      </c>
      <c r="P3522" s="8" t="s">
        <v>35</v>
      </c>
      <c r="Q3522" s="8" t="s">
        <v>4262</v>
      </c>
      <c r="R3522" s="8">
        <v>0.28599999999999998</v>
      </c>
      <c r="S3522" s="8">
        <v>155506794</v>
      </c>
      <c r="T3522" s="8" t="s">
        <v>14037</v>
      </c>
      <c r="U3522" s="8" t="s">
        <v>25</v>
      </c>
    </row>
    <row r="3523" spans="1:21">
      <c r="A3523" s="8" t="s">
        <v>8340</v>
      </c>
      <c r="B3523" s="8" t="s">
        <v>1783</v>
      </c>
      <c r="C3523" s="8">
        <v>2243</v>
      </c>
      <c r="D3523" s="8" t="s">
        <v>220</v>
      </c>
      <c r="E3523" s="8">
        <v>155506803</v>
      </c>
      <c r="F3523" s="8">
        <v>155506803</v>
      </c>
      <c r="G3523" s="8" t="s">
        <v>41</v>
      </c>
      <c r="H3523" s="8"/>
      <c r="I3523" s="8" t="s">
        <v>36</v>
      </c>
      <c r="J3523" s="8" t="s">
        <v>2698</v>
      </c>
      <c r="K3523" s="8" t="s">
        <v>8321</v>
      </c>
      <c r="L3523" s="8" t="s">
        <v>31</v>
      </c>
      <c r="M3523" s="8">
        <v>1836</v>
      </c>
      <c r="N3523" s="8" t="s">
        <v>35</v>
      </c>
      <c r="O3523" s="8">
        <v>593</v>
      </c>
      <c r="P3523" s="8" t="s">
        <v>35</v>
      </c>
      <c r="Q3523" s="8" t="s">
        <v>4262</v>
      </c>
      <c r="R3523" s="8">
        <v>0.28599999999999998</v>
      </c>
      <c r="S3523" s="8">
        <v>155506802</v>
      </c>
      <c r="T3523" s="8" t="s">
        <v>13911</v>
      </c>
      <c r="U3523" s="8" t="s">
        <v>24</v>
      </c>
    </row>
    <row r="3524" spans="1:21">
      <c r="A3524" s="8" t="s">
        <v>8340</v>
      </c>
      <c r="B3524" s="8" t="s">
        <v>1544</v>
      </c>
      <c r="C3524" s="8">
        <v>64478</v>
      </c>
      <c r="D3524" s="8" t="s">
        <v>279</v>
      </c>
      <c r="E3524" s="8">
        <v>2967808</v>
      </c>
      <c r="F3524" s="8">
        <v>2967808</v>
      </c>
      <c r="G3524" s="8" t="s">
        <v>25</v>
      </c>
      <c r="H3524" s="8"/>
      <c r="I3524" s="8" t="s">
        <v>36</v>
      </c>
      <c r="J3524" s="8" t="s">
        <v>1545</v>
      </c>
      <c r="K3524" s="8" t="s">
        <v>11865</v>
      </c>
      <c r="L3524" s="8" t="s">
        <v>31</v>
      </c>
      <c r="M3524" s="8">
        <v>6870</v>
      </c>
      <c r="N3524" s="8" t="s">
        <v>35</v>
      </c>
      <c r="O3524" s="8">
        <v>2160</v>
      </c>
      <c r="P3524" s="8" t="s">
        <v>35</v>
      </c>
      <c r="Q3524" s="8" t="s">
        <v>4262</v>
      </c>
      <c r="R3524" s="8">
        <v>0.35599999999999998</v>
      </c>
      <c r="S3524" s="8">
        <v>2967807</v>
      </c>
      <c r="T3524" s="8" t="s">
        <v>1064</v>
      </c>
      <c r="U3524" s="8" t="s">
        <v>46</v>
      </c>
    </row>
    <row r="3525" spans="1:21">
      <c r="A3525" s="8" t="s">
        <v>8340</v>
      </c>
      <c r="B3525" s="8" t="s">
        <v>5758</v>
      </c>
      <c r="C3525" s="8">
        <v>120892</v>
      </c>
      <c r="D3525" s="8" t="s">
        <v>104</v>
      </c>
      <c r="E3525" s="8">
        <v>40728914</v>
      </c>
      <c r="F3525" s="8">
        <v>40728915</v>
      </c>
      <c r="G3525" s="8"/>
      <c r="H3525" s="8" t="s">
        <v>25</v>
      </c>
      <c r="I3525" s="8" t="s">
        <v>110</v>
      </c>
      <c r="J3525" s="8" t="s">
        <v>5759</v>
      </c>
      <c r="K3525" s="8" t="s">
        <v>5761</v>
      </c>
      <c r="L3525" s="8" t="s">
        <v>31</v>
      </c>
      <c r="M3525" s="8">
        <v>6024</v>
      </c>
      <c r="N3525" s="8" t="s">
        <v>35</v>
      </c>
      <c r="O3525" s="8">
        <v>1968</v>
      </c>
      <c r="P3525" s="8" t="s">
        <v>35</v>
      </c>
      <c r="Q3525" s="8" t="s">
        <v>4262</v>
      </c>
      <c r="R3525" s="8">
        <v>0.39600000000000002</v>
      </c>
      <c r="S3525" s="8">
        <v>40728914</v>
      </c>
      <c r="T3525" s="8" t="s">
        <v>24</v>
      </c>
      <c r="U3525" s="8" t="s">
        <v>227</v>
      </c>
    </row>
    <row r="3526" spans="1:21">
      <c r="A3526" s="8" t="s">
        <v>8447</v>
      </c>
      <c r="B3526" s="8" t="s">
        <v>14039</v>
      </c>
      <c r="C3526" s="8">
        <v>26524</v>
      </c>
      <c r="D3526" s="8" t="s">
        <v>339</v>
      </c>
      <c r="E3526" s="8">
        <v>21619911</v>
      </c>
      <c r="F3526" s="8">
        <v>21619919</v>
      </c>
      <c r="G3526" s="8" t="s">
        <v>14045</v>
      </c>
      <c r="H3526" s="8"/>
      <c r="I3526" s="8" t="s">
        <v>36</v>
      </c>
      <c r="J3526" s="8" t="s">
        <v>14040</v>
      </c>
      <c r="K3526" s="8" t="s">
        <v>14043</v>
      </c>
      <c r="L3526" s="8" t="s">
        <v>19</v>
      </c>
      <c r="M3526" s="8">
        <v>689</v>
      </c>
      <c r="N3526" s="8" t="s">
        <v>14044</v>
      </c>
      <c r="O3526" s="8">
        <v>83</v>
      </c>
      <c r="P3526" s="8" t="s">
        <v>14041</v>
      </c>
      <c r="Q3526" s="8" t="s">
        <v>4262</v>
      </c>
      <c r="R3526" s="8">
        <v>0.128</v>
      </c>
      <c r="S3526" s="8">
        <v>21619910</v>
      </c>
      <c r="T3526" s="8" t="s">
        <v>14042</v>
      </c>
      <c r="U3526" s="8" t="s">
        <v>24</v>
      </c>
    </row>
    <row r="3527" spans="1:21">
      <c r="A3527" s="8" t="s">
        <v>8447</v>
      </c>
      <c r="B3527" s="8" t="s">
        <v>2059</v>
      </c>
      <c r="C3527" s="8">
        <v>10600</v>
      </c>
      <c r="D3527" s="8" t="s">
        <v>193</v>
      </c>
      <c r="E3527" s="8">
        <v>30421107</v>
      </c>
      <c r="F3527" s="8">
        <v>30421107</v>
      </c>
      <c r="G3527" s="8" t="s">
        <v>41</v>
      </c>
      <c r="H3527" s="8"/>
      <c r="I3527" s="8" t="s">
        <v>36</v>
      </c>
      <c r="J3527" s="8" t="s">
        <v>14046</v>
      </c>
      <c r="K3527" s="8" t="s">
        <v>14047</v>
      </c>
      <c r="L3527" s="8" t="s">
        <v>31</v>
      </c>
      <c r="M3527" s="8">
        <v>2239</v>
      </c>
      <c r="N3527" s="8" t="s">
        <v>35</v>
      </c>
      <c r="O3527" s="8">
        <v>679</v>
      </c>
      <c r="P3527" s="8" t="s">
        <v>35</v>
      </c>
      <c r="Q3527" s="8" t="s">
        <v>4262</v>
      </c>
      <c r="R3527" s="8">
        <v>0.34399999999999997</v>
      </c>
      <c r="S3527" s="8">
        <v>30421106</v>
      </c>
      <c r="T3527" s="8" t="s">
        <v>1224</v>
      </c>
      <c r="U3527" s="8" t="s">
        <v>25</v>
      </c>
    </row>
    <row r="3528" spans="1:21">
      <c r="A3528" s="8" t="s">
        <v>9499</v>
      </c>
      <c r="B3528" s="8" t="s">
        <v>14048</v>
      </c>
      <c r="C3528" s="8">
        <v>5669</v>
      </c>
      <c r="D3528" s="8" t="s">
        <v>139</v>
      </c>
      <c r="E3528" s="8">
        <v>43372344</v>
      </c>
      <c r="F3528" s="8">
        <v>43372344</v>
      </c>
      <c r="G3528" s="8" t="s">
        <v>25</v>
      </c>
      <c r="H3528" s="8"/>
      <c r="I3528" s="8" t="s">
        <v>36</v>
      </c>
      <c r="J3528" s="8" t="s">
        <v>14049</v>
      </c>
      <c r="K3528" s="8" t="s">
        <v>14050</v>
      </c>
      <c r="L3528" s="8" t="s">
        <v>31</v>
      </c>
      <c r="M3528" s="8">
        <v>1290</v>
      </c>
      <c r="N3528" s="8" t="s">
        <v>35</v>
      </c>
      <c r="O3528" s="8">
        <v>384</v>
      </c>
      <c r="P3528" s="8" t="s">
        <v>35</v>
      </c>
      <c r="Q3528" s="8" t="s">
        <v>4262</v>
      </c>
      <c r="R3528" s="8">
        <v>0.107</v>
      </c>
      <c r="S3528" s="8">
        <v>43372343</v>
      </c>
      <c r="T3528" s="8" t="s">
        <v>1052</v>
      </c>
      <c r="U3528" s="8" t="s">
        <v>41</v>
      </c>
    </row>
    <row r="3529" spans="1:21">
      <c r="A3529" s="8" t="s">
        <v>8531</v>
      </c>
      <c r="B3529" s="8" t="s">
        <v>7775</v>
      </c>
      <c r="C3529" s="8">
        <v>910</v>
      </c>
      <c r="D3529" s="8" t="s">
        <v>22</v>
      </c>
      <c r="E3529" s="8">
        <v>158300841</v>
      </c>
      <c r="F3529" s="8">
        <v>158300842</v>
      </c>
      <c r="G3529" s="8"/>
      <c r="H3529" s="8" t="s">
        <v>25</v>
      </c>
      <c r="I3529" s="8" t="s">
        <v>110</v>
      </c>
      <c r="J3529" s="8" t="s">
        <v>7776</v>
      </c>
      <c r="K3529" s="8" t="s">
        <v>7779</v>
      </c>
      <c r="L3529" s="8" t="s">
        <v>31</v>
      </c>
      <c r="M3529" s="8">
        <v>180</v>
      </c>
      <c r="N3529" s="8" t="s">
        <v>35</v>
      </c>
      <c r="O3529" s="8">
        <v>24</v>
      </c>
      <c r="P3529" s="8" t="s">
        <v>35</v>
      </c>
      <c r="Q3529" s="8" t="s">
        <v>4262</v>
      </c>
      <c r="R3529" s="8">
        <v>0.35299999999999998</v>
      </c>
      <c r="S3529" s="8">
        <v>158300841</v>
      </c>
      <c r="T3529" s="8" t="s">
        <v>24</v>
      </c>
      <c r="U3529" s="8" t="s">
        <v>227</v>
      </c>
    </row>
    <row r="3530" spans="1:21">
      <c r="A3530" s="8" t="s">
        <v>8531</v>
      </c>
      <c r="B3530" s="8" t="s">
        <v>14051</v>
      </c>
      <c r="C3530" s="8">
        <v>6578</v>
      </c>
      <c r="D3530" s="8" t="s">
        <v>201</v>
      </c>
      <c r="E3530" s="8">
        <v>133664067</v>
      </c>
      <c r="F3530" s="8">
        <v>133664067</v>
      </c>
      <c r="G3530" s="8" t="s">
        <v>24</v>
      </c>
      <c r="H3530" s="8"/>
      <c r="I3530" s="8" t="s">
        <v>36</v>
      </c>
      <c r="J3530" s="8" t="s">
        <v>14052</v>
      </c>
      <c r="K3530" s="8" t="s">
        <v>14054</v>
      </c>
      <c r="L3530" s="8" t="s">
        <v>31</v>
      </c>
      <c r="M3530" s="8">
        <v>1607</v>
      </c>
      <c r="N3530" s="8" t="s">
        <v>35</v>
      </c>
      <c r="O3530" s="8">
        <v>445</v>
      </c>
      <c r="P3530" s="8" t="s">
        <v>35</v>
      </c>
      <c r="Q3530" s="8" t="s">
        <v>14053</v>
      </c>
      <c r="R3530" s="8">
        <v>0.16300000000000001</v>
      </c>
      <c r="S3530" s="8">
        <v>133664066</v>
      </c>
      <c r="T3530" s="8" t="s">
        <v>150</v>
      </c>
      <c r="U3530" s="8" t="s">
        <v>46</v>
      </c>
    </row>
    <row r="3531" spans="1:21">
      <c r="A3531" s="8" t="s">
        <v>8531</v>
      </c>
      <c r="B3531" s="8" t="s">
        <v>3694</v>
      </c>
      <c r="C3531" s="8">
        <v>1129</v>
      </c>
      <c r="D3531" s="8" t="s">
        <v>257</v>
      </c>
      <c r="E3531" s="8">
        <v>136700551</v>
      </c>
      <c r="F3531" s="8">
        <v>136700551</v>
      </c>
      <c r="G3531" s="8" t="s">
        <v>46</v>
      </c>
      <c r="H3531" s="8"/>
      <c r="I3531" s="8" t="s">
        <v>36</v>
      </c>
      <c r="J3531" s="8" t="s">
        <v>5612</v>
      </c>
      <c r="K3531" s="8" t="s">
        <v>5614</v>
      </c>
      <c r="L3531" s="8" t="s">
        <v>31</v>
      </c>
      <c r="M3531" s="8">
        <v>1232</v>
      </c>
      <c r="N3531" s="8" t="s">
        <v>35</v>
      </c>
      <c r="O3531" s="8">
        <v>313</v>
      </c>
      <c r="P3531" s="8" t="s">
        <v>35</v>
      </c>
      <c r="Q3531" s="8" t="s">
        <v>4262</v>
      </c>
      <c r="R3531" s="8">
        <v>0.106</v>
      </c>
      <c r="S3531" s="8">
        <v>136700550</v>
      </c>
      <c r="T3531" s="8" t="s">
        <v>1299</v>
      </c>
      <c r="U3531" s="8" t="s">
        <v>24</v>
      </c>
    </row>
    <row r="3532" spans="1:21">
      <c r="A3532" s="8" t="s">
        <v>8531</v>
      </c>
      <c r="B3532" s="8" t="s">
        <v>888</v>
      </c>
      <c r="C3532" s="8">
        <v>7007</v>
      </c>
      <c r="D3532" s="8" t="s">
        <v>83</v>
      </c>
      <c r="E3532" s="8">
        <v>120998763</v>
      </c>
      <c r="F3532" s="8">
        <v>120998763</v>
      </c>
      <c r="G3532" s="8" t="s">
        <v>24</v>
      </c>
      <c r="H3532" s="8"/>
      <c r="I3532" s="8" t="s">
        <v>36</v>
      </c>
      <c r="J3532" s="8" t="s">
        <v>889</v>
      </c>
      <c r="K3532" s="8" t="s">
        <v>9542</v>
      </c>
      <c r="L3532" s="8" t="s">
        <v>31</v>
      </c>
      <c r="M3532" s="8">
        <v>2077</v>
      </c>
      <c r="N3532" s="8" t="s">
        <v>35</v>
      </c>
      <c r="O3532" s="8">
        <v>693</v>
      </c>
      <c r="P3532" s="8" t="s">
        <v>35</v>
      </c>
      <c r="Q3532" s="8" t="s">
        <v>4262</v>
      </c>
      <c r="R3532" s="8">
        <v>0.14499999999999999</v>
      </c>
      <c r="S3532" s="8">
        <v>120998762</v>
      </c>
      <c r="T3532" s="8" t="s">
        <v>150</v>
      </c>
      <c r="U3532" s="8" t="s">
        <v>46</v>
      </c>
    </row>
    <row r="3533" spans="1:21">
      <c r="A3533" s="8" t="s">
        <v>8531</v>
      </c>
      <c r="B3533" s="8" t="s">
        <v>14055</v>
      </c>
      <c r="C3533" s="8">
        <v>81285</v>
      </c>
      <c r="D3533" s="8" t="s">
        <v>83</v>
      </c>
      <c r="E3533" s="8">
        <v>4703701</v>
      </c>
      <c r="F3533" s="8">
        <v>4703701</v>
      </c>
      <c r="G3533" s="8" t="s">
        <v>24</v>
      </c>
      <c r="H3533" s="8"/>
      <c r="I3533" s="8" t="s">
        <v>36</v>
      </c>
      <c r="J3533" s="8" t="s">
        <v>14056</v>
      </c>
      <c r="K3533" s="8" t="s">
        <v>14057</v>
      </c>
      <c r="L3533" s="8" t="s">
        <v>31</v>
      </c>
      <c r="M3533" s="8">
        <v>485</v>
      </c>
      <c r="N3533" s="8" t="s">
        <v>35</v>
      </c>
      <c r="O3533" s="8">
        <v>81</v>
      </c>
      <c r="P3533" s="8" t="s">
        <v>35</v>
      </c>
      <c r="Q3533" s="8" t="s">
        <v>4262</v>
      </c>
      <c r="R3533" s="8">
        <v>0.20799999999999999</v>
      </c>
      <c r="S3533" s="8">
        <v>4703700</v>
      </c>
      <c r="T3533" s="8" t="s">
        <v>13811</v>
      </c>
      <c r="U3533" s="8" t="s">
        <v>25</v>
      </c>
    </row>
    <row r="3534" spans="1:21">
      <c r="A3534" s="8" t="s">
        <v>8531</v>
      </c>
      <c r="B3534" s="8" t="s">
        <v>14058</v>
      </c>
      <c r="C3534" s="8">
        <v>22990</v>
      </c>
      <c r="D3534" s="8" t="s">
        <v>118</v>
      </c>
      <c r="E3534" s="8">
        <v>71444741</v>
      </c>
      <c r="F3534" s="8">
        <v>71444741</v>
      </c>
      <c r="G3534" s="8" t="s">
        <v>46</v>
      </c>
      <c r="H3534" s="8"/>
      <c r="I3534" s="8" t="s">
        <v>36</v>
      </c>
      <c r="J3534" s="8" t="s">
        <v>14059</v>
      </c>
      <c r="K3534" s="8" t="s">
        <v>14060</v>
      </c>
      <c r="L3534" s="8" t="s">
        <v>31</v>
      </c>
      <c r="M3534" s="8">
        <v>2133</v>
      </c>
      <c r="N3534" s="8" t="s">
        <v>35</v>
      </c>
      <c r="O3534" s="8">
        <v>563</v>
      </c>
      <c r="P3534" s="8" t="s">
        <v>35</v>
      </c>
      <c r="Q3534" s="8" t="s">
        <v>4262</v>
      </c>
      <c r="R3534" s="8">
        <v>0.13900000000000001</v>
      </c>
      <c r="S3534" s="8">
        <v>71444740</v>
      </c>
      <c r="T3534" s="8" t="s">
        <v>1487</v>
      </c>
      <c r="U3534" s="8" t="s">
        <v>25</v>
      </c>
    </row>
    <row r="3535" spans="1:21">
      <c r="A3535" s="8" t="s">
        <v>8531</v>
      </c>
      <c r="B3535" s="8" t="s">
        <v>14061</v>
      </c>
      <c r="C3535" s="8">
        <v>10782</v>
      </c>
      <c r="D3535" s="8" t="s">
        <v>139</v>
      </c>
      <c r="E3535" s="8">
        <v>58718185</v>
      </c>
      <c r="F3535" s="8">
        <v>58718200</v>
      </c>
      <c r="G3535" s="8" t="s">
        <v>14065</v>
      </c>
      <c r="H3535" s="8"/>
      <c r="I3535" s="8" t="s">
        <v>36</v>
      </c>
      <c r="J3535" s="8" t="s">
        <v>14062</v>
      </c>
      <c r="K3535" s="8" t="s">
        <v>14064</v>
      </c>
      <c r="L3535" s="8" t="s">
        <v>31</v>
      </c>
      <c r="M3535" s="8">
        <v>513</v>
      </c>
      <c r="N3535" s="8" t="s">
        <v>35</v>
      </c>
      <c r="O3535" s="8">
        <v>14</v>
      </c>
      <c r="P3535" s="8" t="s">
        <v>35</v>
      </c>
      <c r="Q3535" s="8" t="s">
        <v>4262</v>
      </c>
      <c r="R3535" s="8">
        <v>0.161</v>
      </c>
      <c r="S3535" s="8">
        <v>58718184</v>
      </c>
      <c r="T3535" s="8" t="s">
        <v>14063</v>
      </c>
      <c r="U3535" s="8" t="s">
        <v>24</v>
      </c>
    </row>
    <row r="3536" spans="1:21">
      <c r="A3536" s="8" t="s">
        <v>8531</v>
      </c>
      <c r="B3536" s="8" t="s">
        <v>2821</v>
      </c>
      <c r="C3536" s="8">
        <v>57529</v>
      </c>
      <c r="D3536" s="8" t="s">
        <v>418</v>
      </c>
      <c r="E3536" s="8">
        <v>109695742</v>
      </c>
      <c r="F3536" s="8">
        <v>109695758</v>
      </c>
      <c r="G3536" s="8" t="s">
        <v>14067</v>
      </c>
      <c r="H3536" s="8"/>
      <c r="I3536" s="8" t="s">
        <v>36</v>
      </c>
      <c r="J3536" s="8" t="s">
        <v>2822</v>
      </c>
      <c r="K3536" s="8" t="s">
        <v>13502</v>
      </c>
      <c r="L3536" s="8" t="s">
        <v>31</v>
      </c>
      <c r="M3536" s="8">
        <v>2143</v>
      </c>
      <c r="N3536" s="8" t="s">
        <v>35</v>
      </c>
      <c r="O3536" s="8">
        <v>633</v>
      </c>
      <c r="P3536" s="8" t="s">
        <v>35</v>
      </c>
      <c r="Q3536" s="8" t="s">
        <v>4262</v>
      </c>
      <c r="R3536" s="8">
        <v>0.20200000000000001</v>
      </c>
      <c r="S3536" s="8">
        <v>109695741</v>
      </c>
      <c r="T3536" s="8" t="s">
        <v>14066</v>
      </c>
      <c r="U3536" s="8" t="s">
        <v>24</v>
      </c>
    </row>
    <row r="3537" spans="1:21">
      <c r="A3537" s="8" t="s">
        <v>9561</v>
      </c>
      <c r="B3537" s="8" t="s">
        <v>14068</v>
      </c>
      <c r="C3537" s="8">
        <v>126969</v>
      </c>
      <c r="D3537" s="8" t="s">
        <v>22</v>
      </c>
      <c r="E3537" s="8">
        <v>95305581</v>
      </c>
      <c r="F3537" s="8">
        <v>95305583</v>
      </c>
      <c r="G3537" s="8" t="s">
        <v>14074</v>
      </c>
      <c r="H3537" s="8"/>
      <c r="I3537" s="8" t="s">
        <v>36</v>
      </c>
      <c r="J3537" s="8" t="s">
        <v>14069</v>
      </c>
      <c r="K3537" s="8" t="s">
        <v>14072</v>
      </c>
      <c r="L3537" s="8" t="s">
        <v>19</v>
      </c>
      <c r="M3537" s="8">
        <v>855</v>
      </c>
      <c r="N3537" s="8" t="s">
        <v>14073</v>
      </c>
      <c r="O3537" s="8">
        <v>250</v>
      </c>
      <c r="P3537" s="8" t="s">
        <v>14070</v>
      </c>
      <c r="Q3537" s="8" t="s">
        <v>4262</v>
      </c>
      <c r="R3537" s="8">
        <v>0.13700000000000001</v>
      </c>
      <c r="S3537" s="8">
        <v>95305580</v>
      </c>
      <c r="T3537" s="8" t="s">
        <v>14071</v>
      </c>
      <c r="U3537" s="8" t="s">
        <v>41</v>
      </c>
    </row>
    <row r="3538" spans="1:21">
      <c r="A3538" s="8" t="s">
        <v>9561</v>
      </c>
      <c r="B3538" s="8" t="s">
        <v>14075</v>
      </c>
      <c r="C3538" s="8">
        <v>375033</v>
      </c>
      <c r="D3538" s="8" t="s">
        <v>22</v>
      </c>
      <c r="E3538" s="8">
        <v>156884475</v>
      </c>
      <c r="F3538" s="8">
        <v>156884476</v>
      </c>
      <c r="G3538" s="8"/>
      <c r="H3538" s="8" t="s">
        <v>24</v>
      </c>
      <c r="I3538" s="8" t="s">
        <v>110</v>
      </c>
      <c r="J3538" s="8" t="s">
        <v>14076</v>
      </c>
      <c r="K3538" s="8" t="s">
        <v>14077</v>
      </c>
      <c r="L3538" s="8" t="s">
        <v>31</v>
      </c>
      <c r="M3538" s="8">
        <v>3115</v>
      </c>
      <c r="N3538" s="8" t="s">
        <v>35</v>
      </c>
      <c r="O3538" s="8">
        <v>1000</v>
      </c>
      <c r="P3538" s="8" t="s">
        <v>35</v>
      </c>
      <c r="Q3538" s="8" t="s">
        <v>4262</v>
      </c>
      <c r="R3538" s="8">
        <v>0.128</v>
      </c>
      <c r="S3538" s="8">
        <v>156884475</v>
      </c>
      <c r="T3538" s="8" t="s">
        <v>46</v>
      </c>
      <c r="U3538" s="8" t="s">
        <v>150</v>
      </c>
    </row>
    <row r="3539" spans="1:21">
      <c r="A3539" s="8" t="s">
        <v>9561</v>
      </c>
      <c r="B3539" s="8" t="s">
        <v>737</v>
      </c>
      <c r="C3539" s="8">
        <v>7273</v>
      </c>
      <c r="D3539" s="8" t="s">
        <v>172</v>
      </c>
      <c r="E3539" s="8">
        <v>179469962</v>
      </c>
      <c r="F3539" s="8">
        <v>179469962</v>
      </c>
      <c r="G3539" s="8" t="s">
        <v>46</v>
      </c>
      <c r="H3539" s="8"/>
      <c r="I3539" s="8" t="s">
        <v>36</v>
      </c>
      <c r="J3539" s="8" t="s">
        <v>4530</v>
      </c>
      <c r="K3539" s="8" t="s">
        <v>4532</v>
      </c>
      <c r="L3539" s="8" t="s">
        <v>31</v>
      </c>
      <c r="M3539" s="8">
        <v>46463</v>
      </c>
      <c r="N3539" s="8" t="s">
        <v>35</v>
      </c>
      <c r="O3539" s="8">
        <v>15413</v>
      </c>
      <c r="P3539" s="8" t="s">
        <v>35</v>
      </c>
      <c r="Q3539" s="8" t="s">
        <v>4262</v>
      </c>
      <c r="R3539" s="8">
        <v>0.29799999999999999</v>
      </c>
      <c r="S3539" s="8">
        <v>179469961</v>
      </c>
      <c r="T3539" s="8" t="s">
        <v>13891</v>
      </c>
      <c r="U3539" s="8" t="s">
        <v>41</v>
      </c>
    </row>
    <row r="3540" spans="1:21">
      <c r="A3540" s="8" t="s">
        <v>9561</v>
      </c>
      <c r="B3540" s="8" t="s">
        <v>769</v>
      </c>
      <c r="C3540" s="8">
        <v>8314</v>
      </c>
      <c r="D3540" s="8" t="s">
        <v>201</v>
      </c>
      <c r="E3540" s="8">
        <v>52439181</v>
      </c>
      <c r="F3540" s="8">
        <v>52439182</v>
      </c>
      <c r="G3540" s="8" t="s">
        <v>1487</v>
      </c>
      <c r="H3540" s="8"/>
      <c r="I3540" s="8" t="s">
        <v>36</v>
      </c>
      <c r="J3540" s="8" t="s">
        <v>770</v>
      </c>
      <c r="K3540" s="8" t="s">
        <v>9628</v>
      </c>
      <c r="L3540" s="8" t="s">
        <v>31</v>
      </c>
      <c r="M3540" s="8">
        <v>1175</v>
      </c>
      <c r="N3540" s="8" t="s">
        <v>35</v>
      </c>
      <c r="O3540" s="8">
        <v>354</v>
      </c>
      <c r="P3540" s="8" t="s">
        <v>35</v>
      </c>
      <c r="Q3540" s="8" t="s">
        <v>4262</v>
      </c>
      <c r="R3540" s="8">
        <v>0.69499999999999995</v>
      </c>
      <c r="S3540" s="8">
        <v>52439180</v>
      </c>
      <c r="T3540" s="8" t="s">
        <v>14078</v>
      </c>
      <c r="U3540" s="8" t="s">
        <v>24</v>
      </c>
    </row>
    <row r="3541" spans="1:21">
      <c r="A3541" s="8" t="s">
        <v>9561</v>
      </c>
      <c r="B3541" s="8" t="s">
        <v>221</v>
      </c>
      <c r="C3541" s="8">
        <v>213</v>
      </c>
      <c r="D3541" s="8" t="s">
        <v>220</v>
      </c>
      <c r="E3541" s="8">
        <v>74280819</v>
      </c>
      <c r="F3541" s="8">
        <v>74280841</v>
      </c>
      <c r="G3541" s="8" t="s">
        <v>14080</v>
      </c>
      <c r="H3541" s="8"/>
      <c r="I3541" s="8" t="s">
        <v>36</v>
      </c>
      <c r="J3541" s="8" t="s">
        <v>222</v>
      </c>
      <c r="K3541" s="8" t="s">
        <v>13760</v>
      </c>
      <c r="L3541" s="8" t="s">
        <v>31</v>
      </c>
      <c r="M3541" s="8">
        <v>1199</v>
      </c>
      <c r="N3541" s="8" t="s">
        <v>35</v>
      </c>
      <c r="O3541" s="8">
        <v>376</v>
      </c>
      <c r="P3541" s="8" t="s">
        <v>35</v>
      </c>
      <c r="Q3541" s="8" t="s">
        <v>4262</v>
      </c>
      <c r="R3541" s="8">
        <v>0.151</v>
      </c>
      <c r="S3541" s="8">
        <v>74280818</v>
      </c>
      <c r="T3541" s="8" t="s">
        <v>14079</v>
      </c>
      <c r="U3541" s="8" t="s">
        <v>24</v>
      </c>
    </row>
    <row r="3542" spans="1:21">
      <c r="A3542" s="8" t="s">
        <v>9561</v>
      </c>
      <c r="B3542" s="8" t="s">
        <v>14081</v>
      </c>
      <c r="C3542" s="8">
        <v>8635</v>
      </c>
      <c r="D3542" s="8" t="s">
        <v>237</v>
      </c>
      <c r="E3542" s="8">
        <v>167343226</v>
      </c>
      <c r="F3542" s="8">
        <v>167343227</v>
      </c>
      <c r="G3542" s="8"/>
      <c r="H3542" s="8" t="s">
        <v>41</v>
      </c>
      <c r="I3542" s="8" t="s">
        <v>110</v>
      </c>
      <c r="J3542" s="8" t="s">
        <v>14082</v>
      </c>
      <c r="K3542" s="8" t="s">
        <v>14083</v>
      </c>
      <c r="L3542" s="8" t="s">
        <v>31</v>
      </c>
      <c r="M3542" s="8">
        <v>1027</v>
      </c>
      <c r="N3542" s="8" t="s">
        <v>35</v>
      </c>
      <c r="O3542" s="8">
        <v>207</v>
      </c>
      <c r="P3542" s="8" t="s">
        <v>35</v>
      </c>
      <c r="Q3542" s="8" t="s">
        <v>4262</v>
      </c>
      <c r="R3542" s="8">
        <v>0.222</v>
      </c>
      <c r="S3542" s="8">
        <v>167343226</v>
      </c>
      <c r="T3542" s="8" t="s">
        <v>24</v>
      </c>
      <c r="U3542" s="8" t="s">
        <v>13911</v>
      </c>
    </row>
    <row r="3543" spans="1:21">
      <c r="A3543" s="8" t="s">
        <v>9561</v>
      </c>
      <c r="B3543" s="8" t="s">
        <v>14084</v>
      </c>
      <c r="C3543" s="8">
        <v>1052</v>
      </c>
      <c r="D3543" s="8" t="s">
        <v>279</v>
      </c>
      <c r="E3543" s="8">
        <v>48650034</v>
      </c>
      <c r="F3543" s="8">
        <v>48650042</v>
      </c>
      <c r="G3543" s="8" t="s">
        <v>14090</v>
      </c>
      <c r="H3543" s="8"/>
      <c r="I3543" s="8" t="s">
        <v>36</v>
      </c>
      <c r="J3543" s="8" t="s">
        <v>14085</v>
      </c>
      <c r="K3543" s="8" t="s">
        <v>14088</v>
      </c>
      <c r="L3543" s="8" t="s">
        <v>19</v>
      </c>
      <c r="M3543" s="8">
        <v>685</v>
      </c>
      <c r="N3543" s="8" t="s">
        <v>14089</v>
      </c>
      <c r="O3543" s="8">
        <v>214</v>
      </c>
      <c r="P3543" s="8" t="s">
        <v>14086</v>
      </c>
      <c r="Q3543" s="8" t="s">
        <v>4262</v>
      </c>
      <c r="R3543" s="8">
        <v>0.33300000000000002</v>
      </c>
      <c r="S3543" s="8">
        <v>48650033</v>
      </c>
      <c r="T3543" s="8" t="s">
        <v>14087</v>
      </c>
      <c r="U3543" s="8" t="s">
        <v>41</v>
      </c>
    </row>
    <row r="3544" spans="1:21">
      <c r="A3544" s="8" t="s">
        <v>9561</v>
      </c>
      <c r="B3544" s="8" t="s">
        <v>14091</v>
      </c>
      <c r="C3544" s="8">
        <v>10527</v>
      </c>
      <c r="D3544" s="8" t="s">
        <v>83</v>
      </c>
      <c r="E3544" s="8">
        <v>9456489</v>
      </c>
      <c r="F3544" s="8">
        <v>9456489</v>
      </c>
      <c r="G3544" s="8" t="s">
        <v>46</v>
      </c>
      <c r="H3544" s="8"/>
      <c r="I3544" s="8" t="s">
        <v>36</v>
      </c>
      <c r="J3544" s="8" t="s">
        <v>14092</v>
      </c>
      <c r="K3544" s="8" t="s">
        <v>14093</v>
      </c>
      <c r="L3544" s="8" t="s">
        <v>31</v>
      </c>
      <c r="M3544" s="8">
        <v>2225</v>
      </c>
      <c r="N3544" s="8" t="s">
        <v>35</v>
      </c>
      <c r="O3544" s="8">
        <v>695</v>
      </c>
      <c r="P3544" s="8" t="s">
        <v>35</v>
      </c>
      <c r="Q3544" s="8" t="s">
        <v>4262</v>
      </c>
      <c r="R3544" s="8">
        <v>0.20399999999999999</v>
      </c>
      <c r="S3544" s="8">
        <v>9456488</v>
      </c>
      <c r="T3544" s="8" t="s">
        <v>1299</v>
      </c>
      <c r="U3544" s="8" t="s">
        <v>24</v>
      </c>
    </row>
    <row r="3545" spans="1:21">
      <c r="A3545" s="8" t="s">
        <v>9561</v>
      </c>
      <c r="B3545" s="8" t="s">
        <v>14094</v>
      </c>
      <c r="C3545" s="8">
        <v>116534</v>
      </c>
      <c r="D3545" s="8" t="s">
        <v>83</v>
      </c>
      <c r="E3545" s="8">
        <v>3249894</v>
      </c>
      <c r="F3545" s="8">
        <v>3249894</v>
      </c>
      <c r="G3545" s="8" t="s">
        <v>24</v>
      </c>
      <c r="H3545" s="8"/>
      <c r="I3545" s="8" t="s">
        <v>36</v>
      </c>
      <c r="J3545" s="8" t="s">
        <v>14095</v>
      </c>
      <c r="K3545" s="8" t="s">
        <v>14096</v>
      </c>
      <c r="L3545" s="8" t="s">
        <v>31</v>
      </c>
      <c r="M3545" s="8">
        <v>443</v>
      </c>
      <c r="N3545" s="8" t="s">
        <v>35</v>
      </c>
      <c r="O3545" s="8">
        <v>45</v>
      </c>
      <c r="P3545" s="8" t="s">
        <v>35</v>
      </c>
      <c r="Q3545" s="8" t="s">
        <v>4262</v>
      </c>
      <c r="R3545" s="8">
        <v>0.129</v>
      </c>
      <c r="S3545" s="8">
        <v>3249893</v>
      </c>
      <c r="T3545" s="8" t="s">
        <v>13811</v>
      </c>
      <c r="U3545" s="8" t="s">
        <v>25</v>
      </c>
    </row>
    <row r="3546" spans="1:21">
      <c r="A3546" s="8" t="s">
        <v>9561</v>
      </c>
      <c r="B3546" s="8" t="s">
        <v>2010</v>
      </c>
      <c r="C3546" s="8">
        <v>341640</v>
      </c>
      <c r="D3546" s="8" t="s">
        <v>339</v>
      </c>
      <c r="E3546" s="8">
        <v>39452309</v>
      </c>
      <c r="F3546" s="8">
        <v>39452314</v>
      </c>
      <c r="G3546" s="8" t="s">
        <v>14100</v>
      </c>
      <c r="H3546" s="8"/>
      <c r="I3546" s="8" t="s">
        <v>36</v>
      </c>
      <c r="J3546" s="8" t="s">
        <v>2932</v>
      </c>
      <c r="K3546" s="8" t="s">
        <v>9984</v>
      </c>
      <c r="L3546" s="8" t="s">
        <v>19</v>
      </c>
      <c r="M3546" s="8">
        <v>9019</v>
      </c>
      <c r="N3546" s="8" t="s">
        <v>14099</v>
      </c>
      <c r="O3546" s="8">
        <v>2904</v>
      </c>
      <c r="P3546" s="8" t="s">
        <v>14097</v>
      </c>
      <c r="Q3546" s="8" t="s">
        <v>4262</v>
      </c>
      <c r="R3546" s="8">
        <v>0.03</v>
      </c>
      <c r="S3546" s="8">
        <v>39452308</v>
      </c>
      <c r="T3546" s="8" t="s">
        <v>14098</v>
      </c>
      <c r="U3546" s="8" t="s">
        <v>46</v>
      </c>
    </row>
    <row r="3547" spans="1:21">
      <c r="A3547" s="8" t="s">
        <v>9561</v>
      </c>
      <c r="B3547" s="8" t="s">
        <v>14101</v>
      </c>
      <c r="C3547" s="8">
        <v>125115</v>
      </c>
      <c r="D3547" s="8" t="s">
        <v>133</v>
      </c>
      <c r="E3547" s="8">
        <v>39135183</v>
      </c>
      <c r="F3547" s="8">
        <v>39135183</v>
      </c>
      <c r="G3547" s="8" t="s">
        <v>24</v>
      </c>
      <c r="H3547" s="8"/>
      <c r="I3547" s="8" t="s">
        <v>36</v>
      </c>
      <c r="J3547" s="8" t="s">
        <v>14102</v>
      </c>
      <c r="K3547" s="8" t="s">
        <v>14103</v>
      </c>
      <c r="L3547" s="8" t="s">
        <v>31</v>
      </c>
      <c r="M3547" s="8">
        <v>1230</v>
      </c>
      <c r="N3547" s="8" t="s">
        <v>35</v>
      </c>
      <c r="O3547" s="8">
        <v>357</v>
      </c>
      <c r="P3547" s="8" t="s">
        <v>35</v>
      </c>
      <c r="Q3547" s="8" t="s">
        <v>4262</v>
      </c>
      <c r="R3547" s="8">
        <v>0.14299999999999999</v>
      </c>
      <c r="S3547" s="8">
        <v>39135182</v>
      </c>
      <c r="T3547" s="8" t="s">
        <v>2780</v>
      </c>
      <c r="U3547" s="8" t="s">
        <v>41</v>
      </c>
    </row>
    <row r="3548" spans="1:21">
      <c r="A3548" s="8" t="s">
        <v>9561</v>
      </c>
      <c r="B3548" s="8" t="s">
        <v>3742</v>
      </c>
      <c r="C3548" s="8">
        <v>6197</v>
      </c>
      <c r="D3548" s="8" t="s">
        <v>418</v>
      </c>
      <c r="E3548" s="8">
        <v>20194409</v>
      </c>
      <c r="F3548" s="8">
        <v>20194409</v>
      </c>
      <c r="G3548" s="8" t="s">
        <v>24</v>
      </c>
      <c r="H3548" s="8"/>
      <c r="I3548" s="8" t="s">
        <v>36</v>
      </c>
      <c r="J3548" s="8" t="s">
        <v>3743</v>
      </c>
      <c r="K3548" s="8" t="s">
        <v>5107</v>
      </c>
      <c r="L3548" s="8" t="s">
        <v>31</v>
      </c>
      <c r="M3548" s="8">
        <v>1061</v>
      </c>
      <c r="N3548" s="8" t="s">
        <v>35</v>
      </c>
      <c r="O3548" s="8">
        <v>354</v>
      </c>
      <c r="P3548" s="8" t="s">
        <v>35</v>
      </c>
      <c r="Q3548" s="8" t="s">
        <v>4262</v>
      </c>
      <c r="R3548" s="8">
        <v>0.63</v>
      </c>
      <c r="S3548" s="8">
        <v>20194408</v>
      </c>
      <c r="T3548" s="8" t="s">
        <v>2780</v>
      </c>
      <c r="U3548" s="8" t="s">
        <v>41</v>
      </c>
    </row>
    <row r="3549" spans="1:21">
      <c r="A3549" s="8" t="s">
        <v>9889</v>
      </c>
      <c r="B3549" s="8" t="s">
        <v>4188</v>
      </c>
      <c r="C3549" s="8">
        <v>256364</v>
      </c>
      <c r="D3549" s="8" t="s">
        <v>83</v>
      </c>
      <c r="E3549" s="8">
        <v>62374494</v>
      </c>
      <c r="F3549" s="8">
        <v>62374494</v>
      </c>
      <c r="G3549" s="8" t="s">
        <v>46</v>
      </c>
      <c r="H3549" s="8"/>
      <c r="I3549" s="8" t="s">
        <v>36</v>
      </c>
      <c r="J3549" s="8" t="s">
        <v>14104</v>
      </c>
      <c r="K3549" s="8" t="s">
        <v>14105</v>
      </c>
      <c r="L3549" s="8" t="s">
        <v>31</v>
      </c>
      <c r="M3549" s="8">
        <v>1748</v>
      </c>
      <c r="N3549" s="8" t="s">
        <v>35</v>
      </c>
      <c r="O3549" s="8">
        <v>480</v>
      </c>
      <c r="P3549" s="8" t="s">
        <v>35</v>
      </c>
      <c r="Q3549" s="8" t="s">
        <v>4262</v>
      </c>
      <c r="R3549" s="8">
        <v>0.378</v>
      </c>
      <c r="S3549" s="8">
        <v>62374493</v>
      </c>
      <c r="T3549" s="8" t="s">
        <v>13891</v>
      </c>
      <c r="U3549" s="8" t="s">
        <v>41</v>
      </c>
    </row>
    <row r="3550" spans="1:21">
      <c r="A3550" s="8" t="s">
        <v>9889</v>
      </c>
      <c r="B3550" s="8" t="s">
        <v>6322</v>
      </c>
      <c r="C3550" s="8">
        <v>23275</v>
      </c>
      <c r="D3550" s="8" t="s">
        <v>193</v>
      </c>
      <c r="E3550" s="8">
        <v>46703387</v>
      </c>
      <c r="F3550" s="8">
        <v>46703387</v>
      </c>
      <c r="G3550" s="8" t="s">
        <v>46</v>
      </c>
      <c r="H3550" s="8"/>
      <c r="I3550" s="8" t="s">
        <v>36</v>
      </c>
      <c r="J3550" s="8" t="s">
        <v>6323</v>
      </c>
      <c r="K3550" s="8" t="s">
        <v>6325</v>
      </c>
      <c r="L3550" s="8" t="s">
        <v>31</v>
      </c>
      <c r="M3550" s="8">
        <v>463</v>
      </c>
      <c r="N3550" s="8" t="s">
        <v>35</v>
      </c>
      <c r="O3550" s="8">
        <v>146</v>
      </c>
      <c r="P3550" s="8" t="s">
        <v>35</v>
      </c>
      <c r="Q3550" s="8" t="s">
        <v>4262</v>
      </c>
      <c r="R3550" s="8">
        <v>0.28100000000000003</v>
      </c>
      <c r="S3550" s="8">
        <v>46703386</v>
      </c>
      <c r="T3550" s="8" t="s">
        <v>1487</v>
      </c>
      <c r="U3550" s="8" t="s">
        <v>25</v>
      </c>
    </row>
    <row r="3551" spans="1:21">
      <c r="A3551" s="8" t="s">
        <v>10085</v>
      </c>
      <c r="B3551" s="8" t="s">
        <v>2247</v>
      </c>
      <c r="C3551" s="8">
        <v>28996</v>
      </c>
      <c r="D3551" s="8" t="s">
        <v>257</v>
      </c>
      <c r="E3551" s="8">
        <v>139416036</v>
      </c>
      <c r="F3551" s="8">
        <v>139416039</v>
      </c>
      <c r="G3551" s="8" t="s">
        <v>14107</v>
      </c>
      <c r="H3551" s="8"/>
      <c r="I3551" s="8" t="s">
        <v>36</v>
      </c>
      <c r="J3551" s="8" t="s">
        <v>11720</v>
      </c>
      <c r="K3551" s="8" t="s">
        <v>11722</v>
      </c>
      <c r="L3551" s="8" t="s">
        <v>31</v>
      </c>
      <c r="M3551" s="8">
        <v>1066</v>
      </c>
      <c r="N3551" s="8" t="s">
        <v>35</v>
      </c>
      <c r="O3551" s="8">
        <v>265</v>
      </c>
      <c r="P3551" s="8" t="s">
        <v>35</v>
      </c>
      <c r="Q3551" s="8" t="s">
        <v>4262</v>
      </c>
      <c r="R3551" s="8">
        <v>0.26800000000000002</v>
      </c>
      <c r="S3551" s="8">
        <v>139416035</v>
      </c>
      <c r="T3551" s="8" t="s">
        <v>14106</v>
      </c>
      <c r="U3551" s="8" t="s">
        <v>25</v>
      </c>
    </row>
    <row r="3552" spans="1:21">
      <c r="A3552" s="8" t="s">
        <v>10085</v>
      </c>
      <c r="B3552" s="8" t="s">
        <v>11851</v>
      </c>
      <c r="C3552" s="8">
        <v>8795</v>
      </c>
      <c r="D3552" s="8" t="s">
        <v>279</v>
      </c>
      <c r="E3552" s="8">
        <v>22884772</v>
      </c>
      <c r="F3552" s="8">
        <v>22884773</v>
      </c>
      <c r="G3552" s="8"/>
      <c r="H3552" s="8" t="s">
        <v>41</v>
      </c>
      <c r="I3552" s="8" t="s">
        <v>110</v>
      </c>
      <c r="J3552" s="8" t="s">
        <v>11852</v>
      </c>
      <c r="K3552" s="8" t="s">
        <v>11854</v>
      </c>
      <c r="L3552" s="8" t="s">
        <v>31</v>
      </c>
      <c r="M3552" s="8">
        <v>1102</v>
      </c>
      <c r="N3552" s="8" t="s">
        <v>35</v>
      </c>
      <c r="O3552" s="8">
        <v>270</v>
      </c>
      <c r="P3552" s="8" t="s">
        <v>35</v>
      </c>
      <c r="Q3552" s="8" t="s">
        <v>4262</v>
      </c>
      <c r="R3552" s="8">
        <v>0.28899999999999998</v>
      </c>
      <c r="S3552" s="8">
        <v>22884772</v>
      </c>
      <c r="T3552" s="8" t="s">
        <v>25</v>
      </c>
      <c r="U3552" s="8" t="s">
        <v>1224</v>
      </c>
    </row>
    <row r="3553" spans="1:21">
      <c r="A3553" s="8" t="s">
        <v>10085</v>
      </c>
      <c r="B3553" s="8" t="s">
        <v>14108</v>
      </c>
      <c r="C3553" s="8">
        <v>254065</v>
      </c>
      <c r="D3553" s="8" t="s">
        <v>418</v>
      </c>
      <c r="E3553" s="8">
        <v>79932442</v>
      </c>
      <c r="F3553" s="8">
        <v>79932456</v>
      </c>
      <c r="G3553" s="8" t="s">
        <v>14114</v>
      </c>
      <c r="H3553" s="8"/>
      <c r="I3553" s="8" t="s">
        <v>36</v>
      </c>
      <c r="J3553" s="8" t="s">
        <v>14109</v>
      </c>
      <c r="K3553" s="8" t="s">
        <v>14112</v>
      </c>
      <c r="L3553" s="8" t="s">
        <v>19</v>
      </c>
      <c r="M3553" s="8">
        <v>5324</v>
      </c>
      <c r="N3553" s="8" t="s">
        <v>14113</v>
      </c>
      <c r="O3553" s="8">
        <v>1687</v>
      </c>
      <c r="P3553" s="8" t="s">
        <v>14110</v>
      </c>
      <c r="Q3553" s="8" t="s">
        <v>4262</v>
      </c>
      <c r="R3553" s="8">
        <v>0.24</v>
      </c>
      <c r="S3553" s="8">
        <v>79932441</v>
      </c>
      <c r="T3553" s="8" t="s">
        <v>14111</v>
      </c>
      <c r="U3553" s="8" t="s">
        <v>46</v>
      </c>
    </row>
    <row r="3554" spans="1:21">
      <c r="A3554" s="8" t="s">
        <v>10155</v>
      </c>
      <c r="B3554" s="8" t="s">
        <v>1811</v>
      </c>
      <c r="C3554" s="8">
        <v>1373</v>
      </c>
      <c r="D3554" s="8" t="s">
        <v>172</v>
      </c>
      <c r="E3554" s="8">
        <v>211532994</v>
      </c>
      <c r="F3554" s="8">
        <v>211532998</v>
      </c>
      <c r="G3554" s="8" t="s">
        <v>14116</v>
      </c>
      <c r="H3554" s="8"/>
      <c r="I3554" s="8" t="s">
        <v>36</v>
      </c>
      <c r="J3554" s="8" t="s">
        <v>6635</v>
      </c>
      <c r="K3554" s="8" t="s">
        <v>6637</v>
      </c>
      <c r="L3554" s="8" t="s">
        <v>31</v>
      </c>
      <c r="M3554" s="8">
        <v>4222</v>
      </c>
      <c r="N3554" s="8" t="s">
        <v>35</v>
      </c>
      <c r="O3554" s="8">
        <v>1363</v>
      </c>
      <c r="P3554" s="8" t="s">
        <v>35</v>
      </c>
      <c r="Q3554" s="8" t="s">
        <v>4262</v>
      </c>
      <c r="R3554" s="8">
        <v>0.13</v>
      </c>
      <c r="S3554" s="8">
        <v>211532993</v>
      </c>
      <c r="T3554" s="8" t="s">
        <v>14115</v>
      </c>
      <c r="U3554" s="8" t="s">
        <v>46</v>
      </c>
    </row>
    <row r="3555" spans="1:21">
      <c r="A3555" s="8" t="s">
        <v>10155</v>
      </c>
      <c r="B3555" s="8" t="s">
        <v>2132</v>
      </c>
      <c r="C3555" s="8">
        <v>9732</v>
      </c>
      <c r="D3555" s="8" t="s">
        <v>257</v>
      </c>
      <c r="E3555" s="8">
        <v>111629095</v>
      </c>
      <c r="F3555" s="8">
        <v>111629096</v>
      </c>
      <c r="G3555" s="8"/>
      <c r="H3555" s="8" t="s">
        <v>25</v>
      </c>
      <c r="I3555" s="8" t="s">
        <v>110</v>
      </c>
      <c r="J3555" s="8" t="s">
        <v>5606</v>
      </c>
      <c r="K3555" s="8" t="s">
        <v>5608</v>
      </c>
      <c r="L3555" s="8" t="s">
        <v>31</v>
      </c>
      <c r="M3555" s="8">
        <v>707</v>
      </c>
      <c r="N3555" s="8" t="s">
        <v>35</v>
      </c>
      <c r="O3555" s="8">
        <v>146</v>
      </c>
      <c r="P3555" s="8" t="s">
        <v>35</v>
      </c>
      <c r="Q3555" s="8" t="s">
        <v>4262</v>
      </c>
      <c r="R3555" s="8">
        <v>0.373</v>
      </c>
      <c r="S3555" s="8">
        <v>111629095</v>
      </c>
      <c r="T3555" s="8" t="s">
        <v>41</v>
      </c>
      <c r="U3555" s="8" t="s">
        <v>1052</v>
      </c>
    </row>
    <row r="3556" spans="1:21">
      <c r="A3556" s="8" t="s">
        <v>10155</v>
      </c>
      <c r="B3556" s="8" t="s">
        <v>10250</v>
      </c>
      <c r="C3556" s="8">
        <v>8031</v>
      </c>
      <c r="D3556" s="8" t="s">
        <v>69</v>
      </c>
      <c r="E3556" s="8">
        <v>51580937</v>
      </c>
      <c r="F3556" s="8">
        <v>51580938</v>
      </c>
      <c r="G3556" s="8"/>
      <c r="H3556" s="8" t="s">
        <v>25</v>
      </c>
      <c r="I3556" s="8" t="s">
        <v>110</v>
      </c>
      <c r="J3556" s="8" t="s">
        <v>10251</v>
      </c>
      <c r="K3556" s="8" t="s">
        <v>10253</v>
      </c>
      <c r="L3556" s="8" t="s">
        <v>31</v>
      </c>
      <c r="M3556" s="8">
        <v>640</v>
      </c>
      <c r="N3556" s="8" t="s">
        <v>35</v>
      </c>
      <c r="O3556" s="8">
        <v>130</v>
      </c>
      <c r="P3556" s="8" t="s">
        <v>35</v>
      </c>
      <c r="Q3556" s="8" t="s">
        <v>4262</v>
      </c>
      <c r="R3556" s="8">
        <v>0.30099999999999999</v>
      </c>
      <c r="S3556" s="8">
        <v>51580937</v>
      </c>
      <c r="T3556" s="8" t="s">
        <v>46</v>
      </c>
      <c r="U3556" s="8" t="s">
        <v>1064</v>
      </c>
    </row>
    <row r="3557" spans="1:21">
      <c r="A3557" s="8" t="s">
        <v>10155</v>
      </c>
      <c r="B3557" s="8" t="s">
        <v>5349</v>
      </c>
      <c r="C3557" s="8">
        <v>55626</v>
      </c>
      <c r="D3557" s="8" t="s">
        <v>83</v>
      </c>
      <c r="E3557" s="8">
        <v>46563745</v>
      </c>
      <c r="F3557" s="8">
        <v>46563749</v>
      </c>
      <c r="G3557" s="8" t="s">
        <v>14118</v>
      </c>
      <c r="H3557" s="8"/>
      <c r="I3557" s="8" t="s">
        <v>36</v>
      </c>
      <c r="J3557" s="8" t="s">
        <v>5350</v>
      </c>
      <c r="K3557" s="8" t="s">
        <v>5352</v>
      </c>
      <c r="L3557" s="8" t="s">
        <v>31</v>
      </c>
      <c r="M3557" s="8">
        <v>1908</v>
      </c>
      <c r="N3557" s="8" t="s">
        <v>35</v>
      </c>
      <c r="O3557" s="8">
        <v>516</v>
      </c>
      <c r="P3557" s="8" t="s">
        <v>35</v>
      </c>
      <c r="Q3557" s="8" t="s">
        <v>4262</v>
      </c>
      <c r="R3557" s="8">
        <v>0.33300000000000002</v>
      </c>
      <c r="S3557" s="8">
        <v>46563744</v>
      </c>
      <c r="T3557" s="8" t="s">
        <v>14117</v>
      </c>
      <c r="U3557" s="8" t="s">
        <v>46</v>
      </c>
    </row>
    <row r="3558" spans="1:21">
      <c r="A3558" s="8" t="s">
        <v>10155</v>
      </c>
      <c r="B3558" s="8" t="s">
        <v>14119</v>
      </c>
      <c r="C3558" s="8">
        <v>92293</v>
      </c>
      <c r="D3558" s="8" t="s">
        <v>104</v>
      </c>
      <c r="E3558" s="8">
        <v>128899734</v>
      </c>
      <c r="F3558" s="8">
        <v>128899734</v>
      </c>
      <c r="G3558" s="8" t="s">
        <v>24</v>
      </c>
      <c r="H3558" s="8"/>
      <c r="I3558" s="8" t="s">
        <v>36</v>
      </c>
      <c r="J3558" s="8" t="s">
        <v>14120</v>
      </c>
      <c r="K3558" s="8" t="s">
        <v>14121</v>
      </c>
      <c r="L3558" s="8" t="s">
        <v>31</v>
      </c>
      <c r="M3558" s="8">
        <v>543</v>
      </c>
      <c r="N3558" s="8" t="s">
        <v>35</v>
      </c>
      <c r="O3558" s="8">
        <v>181</v>
      </c>
      <c r="P3558" s="8" t="s">
        <v>35</v>
      </c>
      <c r="Q3558" s="8" t="s">
        <v>4262</v>
      </c>
      <c r="R3558" s="8">
        <v>0.314</v>
      </c>
      <c r="S3558" s="8">
        <v>128899733</v>
      </c>
      <c r="T3558" s="8" t="s">
        <v>2780</v>
      </c>
      <c r="U3558" s="8" t="s">
        <v>41</v>
      </c>
    </row>
    <row r="3559" spans="1:21">
      <c r="A3559" s="8" t="s">
        <v>10155</v>
      </c>
      <c r="B3559" s="8" t="s">
        <v>14122</v>
      </c>
      <c r="C3559" s="8">
        <v>57478</v>
      </c>
      <c r="D3559" s="8" t="s">
        <v>129</v>
      </c>
      <c r="E3559" s="8">
        <v>23116808</v>
      </c>
      <c r="F3559" s="8">
        <v>23116814</v>
      </c>
      <c r="G3559" s="8" t="s">
        <v>14126</v>
      </c>
      <c r="H3559" s="8"/>
      <c r="I3559" s="8" t="s">
        <v>36</v>
      </c>
      <c r="J3559" s="8" t="s">
        <v>14123</v>
      </c>
      <c r="K3559" s="8" t="s">
        <v>14125</v>
      </c>
      <c r="L3559" s="8" t="s">
        <v>31</v>
      </c>
      <c r="M3559" s="8">
        <v>1037</v>
      </c>
      <c r="N3559" s="8" t="s">
        <v>35</v>
      </c>
      <c r="O3559" s="8">
        <v>346</v>
      </c>
      <c r="P3559" s="8" t="s">
        <v>35</v>
      </c>
      <c r="Q3559" s="8" t="s">
        <v>4262</v>
      </c>
      <c r="R3559" s="8">
        <v>0.28399999999999997</v>
      </c>
      <c r="S3559" s="8">
        <v>23116807</v>
      </c>
      <c r="T3559" s="8" t="s">
        <v>14124</v>
      </c>
      <c r="U3559" s="8" t="s">
        <v>41</v>
      </c>
    </row>
    <row r="3560" spans="1:21">
      <c r="A3560" s="8" t="s">
        <v>10155</v>
      </c>
      <c r="B3560" s="8" t="s">
        <v>14127</v>
      </c>
      <c r="C3560" s="8">
        <v>146542</v>
      </c>
      <c r="D3560" s="8" t="s">
        <v>129</v>
      </c>
      <c r="E3560" s="8">
        <v>30583537</v>
      </c>
      <c r="F3560" s="8">
        <v>30583546</v>
      </c>
      <c r="G3560" s="8" t="s">
        <v>14131</v>
      </c>
      <c r="H3560" s="8"/>
      <c r="I3560" s="8" t="s">
        <v>36</v>
      </c>
      <c r="J3560" s="8" t="s">
        <v>14128</v>
      </c>
      <c r="K3560" s="8" t="s">
        <v>14130</v>
      </c>
      <c r="L3560" s="8" t="s">
        <v>31</v>
      </c>
      <c r="M3560" s="8">
        <v>183</v>
      </c>
      <c r="N3560" s="8" t="s">
        <v>35</v>
      </c>
      <c r="O3560" s="8">
        <v>17</v>
      </c>
      <c r="P3560" s="8" t="s">
        <v>35</v>
      </c>
      <c r="Q3560" s="8" t="s">
        <v>4262</v>
      </c>
      <c r="R3560" s="8">
        <v>0.247</v>
      </c>
      <c r="S3560" s="8">
        <v>30583536</v>
      </c>
      <c r="T3560" s="8" t="s">
        <v>14129</v>
      </c>
      <c r="U3560" s="8" t="s">
        <v>25</v>
      </c>
    </row>
    <row r="3561" spans="1:21">
      <c r="A3561" s="8" t="s">
        <v>10155</v>
      </c>
      <c r="B3561" s="8" t="s">
        <v>14132</v>
      </c>
      <c r="C3561" s="8">
        <v>148206</v>
      </c>
      <c r="D3561" s="8" t="s">
        <v>139</v>
      </c>
      <c r="E3561" s="8">
        <v>21300093</v>
      </c>
      <c r="F3561" s="8">
        <v>21300093</v>
      </c>
      <c r="G3561" s="8" t="s">
        <v>46</v>
      </c>
      <c r="H3561" s="8"/>
      <c r="I3561" s="8" t="s">
        <v>36</v>
      </c>
      <c r="J3561" s="8" t="s">
        <v>14133</v>
      </c>
      <c r="K3561" s="8" t="s">
        <v>14134</v>
      </c>
      <c r="L3561" s="8" t="s">
        <v>31</v>
      </c>
      <c r="M3561" s="8">
        <v>1001</v>
      </c>
      <c r="N3561" s="8" t="s">
        <v>35</v>
      </c>
      <c r="O3561" s="8">
        <v>208</v>
      </c>
      <c r="P3561" s="8" t="s">
        <v>35</v>
      </c>
      <c r="Q3561" s="8" t="s">
        <v>4262</v>
      </c>
      <c r="R3561" s="8">
        <v>0.36199999999999999</v>
      </c>
      <c r="S3561" s="8">
        <v>21300092</v>
      </c>
      <c r="T3561" s="8" t="s">
        <v>1299</v>
      </c>
      <c r="U3561" s="8" t="s">
        <v>24</v>
      </c>
    </row>
    <row r="3562" spans="1:21">
      <c r="A3562" s="8" t="s">
        <v>10155</v>
      </c>
      <c r="B3562" s="8" t="s">
        <v>7745</v>
      </c>
      <c r="C3562" s="8">
        <v>9681</v>
      </c>
      <c r="D3562" s="8" t="s">
        <v>197</v>
      </c>
      <c r="E3562" s="8">
        <v>32179959</v>
      </c>
      <c r="F3562" s="8">
        <v>32179960</v>
      </c>
      <c r="G3562" s="8"/>
      <c r="H3562" s="8" t="s">
        <v>1052</v>
      </c>
      <c r="I3562" s="8" t="s">
        <v>110</v>
      </c>
      <c r="J3562" s="8" t="s">
        <v>7746</v>
      </c>
      <c r="K3562" s="8" t="s">
        <v>7747</v>
      </c>
      <c r="L3562" s="8" t="s">
        <v>31</v>
      </c>
      <c r="M3562" s="8">
        <v>752</v>
      </c>
      <c r="N3562" s="8" t="s">
        <v>35</v>
      </c>
      <c r="O3562" s="8">
        <v>184</v>
      </c>
      <c r="P3562" s="8" t="s">
        <v>35</v>
      </c>
      <c r="Q3562" s="8" t="s">
        <v>4262</v>
      </c>
      <c r="R3562" s="8">
        <v>0.112</v>
      </c>
      <c r="S3562" s="8">
        <v>32179959</v>
      </c>
      <c r="T3562" s="8" t="s">
        <v>41</v>
      </c>
      <c r="U3562" s="8" t="s">
        <v>14135</v>
      </c>
    </row>
    <row r="3563" spans="1:21">
      <c r="A3563" s="8" t="s">
        <v>10155</v>
      </c>
      <c r="B3563" s="8" t="s">
        <v>2222</v>
      </c>
      <c r="C3563" s="8">
        <v>23112</v>
      </c>
      <c r="D3563" s="8" t="s">
        <v>197</v>
      </c>
      <c r="E3563" s="8">
        <v>40661940</v>
      </c>
      <c r="F3563" s="8">
        <v>40661940</v>
      </c>
      <c r="G3563" s="8" t="s">
        <v>41</v>
      </c>
      <c r="H3563" s="8"/>
      <c r="I3563" s="8" t="s">
        <v>36</v>
      </c>
      <c r="J3563" s="8" t="s">
        <v>14136</v>
      </c>
      <c r="K3563" s="8" t="s">
        <v>14137</v>
      </c>
      <c r="L3563" s="8" t="s">
        <v>31</v>
      </c>
      <c r="M3563" s="8">
        <v>1917</v>
      </c>
      <c r="N3563" s="8" t="s">
        <v>35</v>
      </c>
      <c r="O3563" s="8">
        <v>569</v>
      </c>
      <c r="P3563" s="8" t="s">
        <v>35</v>
      </c>
      <c r="Q3563" s="8" t="s">
        <v>4262</v>
      </c>
      <c r="R3563" s="8">
        <v>0.50900000000000001</v>
      </c>
      <c r="S3563" s="8">
        <v>40661939</v>
      </c>
      <c r="T3563" s="8" t="s">
        <v>13911</v>
      </c>
      <c r="U3563" s="8" t="s">
        <v>24</v>
      </c>
    </row>
    <row r="3564" spans="1:21">
      <c r="A3564" s="8" t="s">
        <v>13544</v>
      </c>
      <c r="B3564" s="8" t="s">
        <v>2795</v>
      </c>
      <c r="C3564" s="8">
        <v>55636</v>
      </c>
      <c r="D3564" s="8" t="s">
        <v>279</v>
      </c>
      <c r="E3564" s="8">
        <v>61778356</v>
      </c>
      <c r="F3564" s="8">
        <v>61778374</v>
      </c>
      <c r="G3564" s="8" t="s">
        <v>14139</v>
      </c>
      <c r="H3564" s="8"/>
      <c r="I3564" s="8" t="s">
        <v>36</v>
      </c>
      <c r="J3564" s="8" t="s">
        <v>2796</v>
      </c>
      <c r="K3564" s="8" t="s">
        <v>11754</v>
      </c>
      <c r="L3564" s="8" t="s">
        <v>31</v>
      </c>
      <c r="M3564" s="8">
        <v>9350</v>
      </c>
      <c r="N3564" s="8" t="s">
        <v>35</v>
      </c>
      <c r="O3564" s="8">
        <v>2953</v>
      </c>
      <c r="P3564" s="8" t="s">
        <v>35</v>
      </c>
      <c r="Q3564" s="8" t="s">
        <v>4262</v>
      </c>
      <c r="R3564" s="8">
        <v>2.7E-2</v>
      </c>
      <c r="S3564" s="8">
        <v>61778355</v>
      </c>
      <c r="T3564" s="8" t="s">
        <v>14138</v>
      </c>
      <c r="U3564" s="8" t="s">
        <v>46</v>
      </c>
    </row>
    <row r="3565" spans="1:21">
      <c r="A3565" s="8" t="s">
        <v>13544</v>
      </c>
      <c r="B3565" s="8" t="s">
        <v>14140</v>
      </c>
      <c r="C3565" s="8">
        <v>124512</v>
      </c>
      <c r="D3565" s="8" t="s">
        <v>133</v>
      </c>
      <c r="E3565" s="8">
        <v>74729631</v>
      </c>
      <c r="F3565" s="8">
        <v>74729641</v>
      </c>
      <c r="G3565" s="8" t="s">
        <v>14144</v>
      </c>
      <c r="H3565" s="8"/>
      <c r="I3565" s="8" t="s">
        <v>36</v>
      </c>
      <c r="J3565" s="8" t="s">
        <v>14141</v>
      </c>
      <c r="K3565" s="8" t="s">
        <v>14143</v>
      </c>
      <c r="L3565" s="8" t="s">
        <v>31</v>
      </c>
      <c r="M3565" s="8">
        <v>507</v>
      </c>
      <c r="N3565" s="8" t="s">
        <v>35</v>
      </c>
      <c r="O3565" s="8">
        <v>146</v>
      </c>
      <c r="P3565" s="8" t="s">
        <v>35</v>
      </c>
      <c r="Q3565" s="8" t="s">
        <v>4262</v>
      </c>
      <c r="R3565" s="8">
        <v>0.156</v>
      </c>
      <c r="S3565" s="8">
        <v>74729630</v>
      </c>
      <c r="T3565" s="8" t="s">
        <v>14142</v>
      </c>
      <c r="U3565" s="8" t="s">
        <v>46</v>
      </c>
    </row>
  </sheetData>
  <mergeCells count="1">
    <mergeCell ref="A1:P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7"/>
  <sheetViews>
    <sheetView zoomScale="120" zoomScaleNormal="120" zoomScalePageLayoutView="120" workbookViewId="0">
      <pane ySplit="3" topLeftCell="A4" activePane="bottomLeft" state="frozen"/>
      <selection pane="bottomLeft" activeCell="A2" sqref="A2"/>
    </sheetView>
  </sheetViews>
  <sheetFormatPr baseColWidth="10" defaultRowHeight="15" x14ac:dyDescent="0"/>
  <cols>
    <col min="1" max="1" width="8.6640625" bestFit="1" customWidth="1"/>
    <col min="2" max="2" width="13.6640625" bestFit="1" customWidth="1"/>
    <col min="3" max="3" width="12.5" bestFit="1" customWidth="1"/>
    <col min="4" max="4" width="10.1640625" bestFit="1" customWidth="1"/>
    <col min="5" max="5" width="11.5" bestFit="1" customWidth="1"/>
    <col min="6" max="6" width="10.6640625" bestFit="1" customWidth="1"/>
    <col min="7" max="7" width="7.6640625" customWidth="1"/>
    <col min="8" max="8" width="9.6640625" bestFit="1" customWidth="1"/>
    <col min="9" max="9" width="9" bestFit="1" customWidth="1"/>
    <col min="10" max="10" width="11.1640625" bestFit="1" customWidth="1"/>
    <col min="11" max="11" width="9.6640625" customWidth="1"/>
  </cols>
  <sheetData>
    <row r="1" spans="1:12" ht="73" customHeight="1">
      <c r="A1" s="19" t="s">
        <v>14271</v>
      </c>
      <c r="B1" s="19"/>
      <c r="C1" s="19"/>
      <c r="D1" s="19"/>
      <c r="E1" s="19"/>
      <c r="F1" s="19"/>
      <c r="G1" s="19"/>
      <c r="H1" s="19"/>
      <c r="I1" s="19"/>
      <c r="J1" s="19"/>
      <c r="K1" s="19"/>
      <c r="L1" s="19"/>
    </row>
    <row r="3" spans="1:12" ht="33" customHeight="1">
      <c r="A3" s="11" t="s">
        <v>1642</v>
      </c>
      <c r="B3" s="11" t="s">
        <v>1644</v>
      </c>
      <c r="C3" s="11" t="s">
        <v>1645</v>
      </c>
      <c r="D3" s="11" t="s">
        <v>1646</v>
      </c>
      <c r="E3" s="11" t="s">
        <v>1647</v>
      </c>
      <c r="F3" s="11" t="s">
        <v>1648</v>
      </c>
      <c r="G3" s="11" t="s">
        <v>1649</v>
      </c>
      <c r="H3" s="11" t="s">
        <v>1650</v>
      </c>
      <c r="I3" s="11" t="s">
        <v>1651</v>
      </c>
      <c r="J3" s="11" t="s">
        <v>1652</v>
      </c>
      <c r="K3" s="11" t="s">
        <v>1643</v>
      </c>
      <c r="L3" s="11" t="s">
        <v>3941</v>
      </c>
    </row>
    <row r="4" spans="1:12">
      <c r="A4" t="s">
        <v>1685</v>
      </c>
      <c r="B4" t="s">
        <v>1688</v>
      </c>
      <c r="C4">
        <v>898</v>
      </c>
      <c r="D4" t="s">
        <v>139</v>
      </c>
      <c r="E4">
        <v>30289689</v>
      </c>
      <c r="F4">
        <v>30290190</v>
      </c>
      <c r="G4" t="s">
        <v>35</v>
      </c>
      <c r="H4">
        <v>620</v>
      </c>
      <c r="I4">
        <v>1105</v>
      </c>
      <c r="J4" t="s">
        <v>1656</v>
      </c>
      <c r="K4">
        <v>636</v>
      </c>
      <c r="L4" s="9">
        <v>166.10905215980901</v>
      </c>
    </row>
    <row r="5" spans="1:12">
      <c r="A5" t="s">
        <v>1753</v>
      </c>
      <c r="B5" t="s">
        <v>1756</v>
      </c>
      <c r="C5">
        <v>116328</v>
      </c>
      <c r="D5" t="s">
        <v>279</v>
      </c>
      <c r="E5">
        <v>69506957</v>
      </c>
      <c r="F5">
        <v>69507359</v>
      </c>
      <c r="G5" t="s">
        <v>35</v>
      </c>
      <c r="H5">
        <v>250</v>
      </c>
      <c r="I5">
        <v>780</v>
      </c>
      <c r="J5" t="s">
        <v>1656</v>
      </c>
      <c r="K5">
        <v>312</v>
      </c>
      <c r="L5" s="9">
        <v>103.446903887216</v>
      </c>
    </row>
    <row r="6" spans="1:12">
      <c r="A6" t="s">
        <v>1706</v>
      </c>
      <c r="B6" t="s">
        <v>1707</v>
      </c>
      <c r="C6">
        <v>7292</v>
      </c>
      <c r="D6" t="s">
        <v>22</v>
      </c>
      <c r="E6">
        <v>173141355</v>
      </c>
      <c r="F6">
        <v>173141898</v>
      </c>
      <c r="G6" t="s">
        <v>1656</v>
      </c>
      <c r="H6">
        <v>1828</v>
      </c>
      <c r="I6">
        <v>2368</v>
      </c>
      <c r="J6" t="s">
        <v>1656</v>
      </c>
      <c r="K6">
        <v>323</v>
      </c>
      <c r="L6" s="9">
        <v>86.132873958005504</v>
      </c>
    </row>
    <row r="7" spans="1:12">
      <c r="A7" t="s">
        <v>1682</v>
      </c>
      <c r="B7" t="s">
        <v>1684</v>
      </c>
      <c r="C7">
        <v>100506742</v>
      </c>
      <c r="D7" t="s">
        <v>83</v>
      </c>
      <c r="E7">
        <v>104641352</v>
      </c>
      <c r="F7">
        <v>104641757</v>
      </c>
      <c r="G7" t="s">
        <v>1656</v>
      </c>
      <c r="H7">
        <v>1416</v>
      </c>
      <c r="I7">
        <v>1839</v>
      </c>
      <c r="J7" t="s">
        <v>35</v>
      </c>
      <c r="K7">
        <v>145</v>
      </c>
      <c r="L7" s="9">
        <v>61.826042834787998</v>
      </c>
    </row>
    <row r="8" spans="1:12">
      <c r="A8" t="s">
        <v>1753</v>
      </c>
      <c r="B8" t="s">
        <v>1664</v>
      </c>
      <c r="C8">
        <v>23284</v>
      </c>
      <c r="D8" t="s">
        <v>220</v>
      </c>
      <c r="E8">
        <v>61079396</v>
      </c>
      <c r="F8">
        <v>61079764</v>
      </c>
      <c r="G8" t="s">
        <v>1656</v>
      </c>
      <c r="H8">
        <v>511</v>
      </c>
      <c r="I8">
        <v>1057</v>
      </c>
      <c r="J8" t="s">
        <v>1656</v>
      </c>
      <c r="K8">
        <v>164</v>
      </c>
      <c r="L8" s="9">
        <v>54.375936658664997</v>
      </c>
    </row>
    <row r="9" spans="1:12">
      <c r="A9" t="s">
        <v>1706</v>
      </c>
      <c r="B9" t="s">
        <v>1692</v>
      </c>
      <c r="C9">
        <v>7015</v>
      </c>
      <c r="D9" t="s">
        <v>226</v>
      </c>
      <c r="E9">
        <v>1296394</v>
      </c>
      <c r="F9">
        <v>1296928</v>
      </c>
      <c r="G9" t="s">
        <v>1656</v>
      </c>
      <c r="H9">
        <v>1830</v>
      </c>
      <c r="I9">
        <v>2462</v>
      </c>
      <c r="J9" t="s">
        <v>1656</v>
      </c>
      <c r="K9">
        <v>169</v>
      </c>
      <c r="L9" s="9">
        <v>45.066426312392998</v>
      </c>
    </row>
    <row r="10" spans="1:12">
      <c r="A10" t="s">
        <v>1682</v>
      </c>
      <c r="B10" t="s">
        <v>1683</v>
      </c>
      <c r="C10">
        <v>100616347</v>
      </c>
      <c r="D10" t="s">
        <v>118</v>
      </c>
      <c r="E10">
        <v>29829314</v>
      </c>
      <c r="F10">
        <v>29829671</v>
      </c>
      <c r="G10" t="s">
        <v>1656</v>
      </c>
      <c r="H10">
        <v>1215</v>
      </c>
      <c r="I10">
        <v>1730</v>
      </c>
      <c r="J10" t="s">
        <v>35</v>
      </c>
      <c r="K10">
        <v>96</v>
      </c>
      <c r="L10" s="9">
        <v>40.933104221652798</v>
      </c>
    </row>
    <row r="11" spans="1:12">
      <c r="A11" t="s">
        <v>1739</v>
      </c>
      <c r="B11" t="s">
        <v>1743</v>
      </c>
      <c r="C11">
        <v>120237</v>
      </c>
      <c r="D11" t="s">
        <v>83</v>
      </c>
      <c r="E11">
        <v>20224018</v>
      </c>
      <c r="F11">
        <v>20224428</v>
      </c>
      <c r="G11" t="s">
        <v>35</v>
      </c>
      <c r="H11">
        <v>1849</v>
      </c>
      <c r="I11">
        <v>2480</v>
      </c>
      <c r="J11" t="s">
        <v>1656</v>
      </c>
      <c r="K11">
        <v>125</v>
      </c>
      <c r="L11" s="9">
        <v>37.822627008381502</v>
      </c>
    </row>
    <row r="12" spans="1:12">
      <c r="A12" t="s">
        <v>1706</v>
      </c>
      <c r="B12" t="s">
        <v>1713</v>
      </c>
      <c r="C12">
        <v>100506688</v>
      </c>
      <c r="D12" t="s">
        <v>226</v>
      </c>
      <c r="E12">
        <v>995637</v>
      </c>
      <c r="F12">
        <v>996054</v>
      </c>
      <c r="G12" t="s">
        <v>35</v>
      </c>
      <c r="H12">
        <v>2123</v>
      </c>
      <c r="I12">
        <v>2633</v>
      </c>
      <c r="J12" t="s">
        <v>1656</v>
      </c>
      <c r="K12">
        <v>131</v>
      </c>
      <c r="L12" s="9">
        <v>34.933147023215902</v>
      </c>
    </row>
    <row r="13" spans="1:12">
      <c r="A13" t="s">
        <v>1739</v>
      </c>
      <c r="B13" t="s">
        <v>1742</v>
      </c>
      <c r="C13">
        <v>26973</v>
      </c>
      <c r="D13" t="s">
        <v>83</v>
      </c>
      <c r="E13">
        <v>90018793</v>
      </c>
      <c r="F13">
        <v>90019113</v>
      </c>
      <c r="G13" t="s">
        <v>35</v>
      </c>
      <c r="H13">
        <v>1940</v>
      </c>
      <c r="I13">
        <v>2319</v>
      </c>
      <c r="J13" t="s">
        <v>1656</v>
      </c>
      <c r="K13">
        <v>115</v>
      </c>
      <c r="L13" s="9">
        <v>34.796816847711</v>
      </c>
    </row>
    <row r="14" spans="1:12">
      <c r="A14" t="s">
        <v>1657</v>
      </c>
      <c r="B14" t="s">
        <v>1658</v>
      </c>
      <c r="C14">
        <v>100462977</v>
      </c>
      <c r="D14" t="s">
        <v>133</v>
      </c>
      <c r="E14">
        <v>22215660</v>
      </c>
      <c r="F14">
        <v>22216205</v>
      </c>
      <c r="G14" t="s">
        <v>35</v>
      </c>
      <c r="H14">
        <v>222</v>
      </c>
      <c r="I14">
        <v>708</v>
      </c>
      <c r="J14" t="s">
        <v>1656</v>
      </c>
      <c r="K14">
        <v>80</v>
      </c>
      <c r="L14" s="9">
        <v>33.849109133759001</v>
      </c>
    </row>
    <row r="15" spans="1:12">
      <c r="A15" t="s">
        <v>1657</v>
      </c>
      <c r="B15" t="s">
        <v>1659</v>
      </c>
      <c r="C15">
        <v>9757</v>
      </c>
      <c r="D15" t="s">
        <v>139</v>
      </c>
      <c r="E15">
        <v>36212137</v>
      </c>
      <c r="F15">
        <v>36212642</v>
      </c>
      <c r="G15" t="s">
        <v>1656</v>
      </c>
      <c r="H15">
        <v>1441</v>
      </c>
      <c r="I15">
        <v>1834</v>
      </c>
      <c r="J15" t="s">
        <v>35</v>
      </c>
      <c r="K15">
        <v>65</v>
      </c>
      <c r="L15" s="9">
        <v>27.502401171179201</v>
      </c>
    </row>
    <row r="16" spans="1:12">
      <c r="A16" t="s">
        <v>1753</v>
      </c>
      <c r="B16" t="s">
        <v>1754</v>
      </c>
      <c r="C16">
        <v>22838</v>
      </c>
      <c r="D16" t="s">
        <v>226</v>
      </c>
      <c r="E16">
        <v>175950047</v>
      </c>
      <c r="F16">
        <v>175950252</v>
      </c>
      <c r="G16" t="s">
        <v>35</v>
      </c>
      <c r="H16">
        <v>688</v>
      </c>
      <c r="I16">
        <v>1156</v>
      </c>
      <c r="J16" t="s">
        <v>35</v>
      </c>
      <c r="K16">
        <v>76</v>
      </c>
      <c r="L16" s="9">
        <v>25.198604793039902</v>
      </c>
    </row>
    <row r="17" spans="1:12">
      <c r="A17" t="s">
        <v>1657</v>
      </c>
      <c r="B17" t="s">
        <v>1663</v>
      </c>
      <c r="C17">
        <v>5028</v>
      </c>
      <c r="D17" t="s">
        <v>201</v>
      </c>
      <c r="E17">
        <v>152577626</v>
      </c>
      <c r="F17">
        <v>152578085</v>
      </c>
      <c r="G17" t="s">
        <v>35</v>
      </c>
      <c r="H17">
        <v>1275</v>
      </c>
      <c r="I17">
        <v>1831</v>
      </c>
      <c r="J17" t="s">
        <v>1656</v>
      </c>
      <c r="K17">
        <v>45</v>
      </c>
      <c r="L17" s="9">
        <v>19.040123887739401</v>
      </c>
    </row>
    <row r="18" spans="1:12">
      <c r="A18" t="s">
        <v>1739</v>
      </c>
      <c r="B18" t="s">
        <v>1741</v>
      </c>
      <c r="C18">
        <v>10553</v>
      </c>
      <c r="D18" t="s">
        <v>83</v>
      </c>
      <c r="E18">
        <v>20313084</v>
      </c>
      <c r="F18">
        <v>20313451</v>
      </c>
      <c r="G18" t="s">
        <v>1656</v>
      </c>
      <c r="H18">
        <v>1055</v>
      </c>
      <c r="I18">
        <v>1493</v>
      </c>
      <c r="J18" t="s">
        <v>35</v>
      </c>
      <c r="K18">
        <v>52</v>
      </c>
      <c r="L18" s="9">
        <v>15.7342128354867</v>
      </c>
    </row>
    <row r="19" spans="1:12">
      <c r="A19" t="s">
        <v>1734</v>
      </c>
      <c r="B19" t="s">
        <v>1738</v>
      </c>
      <c r="C19">
        <v>137964</v>
      </c>
      <c r="D19" t="s">
        <v>279</v>
      </c>
      <c r="E19">
        <v>41464860</v>
      </c>
      <c r="F19">
        <v>41465384</v>
      </c>
      <c r="G19" t="s">
        <v>35</v>
      </c>
      <c r="H19">
        <v>1314</v>
      </c>
      <c r="I19">
        <v>1786</v>
      </c>
      <c r="J19" t="s">
        <v>35</v>
      </c>
      <c r="K19">
        <v>54</v>
      </c>
      <c r="L19" s="9">
        <v>15.7317904525512</v>
      </c>
    </row>
    <row r="20" spans="1:12">
      <c r="A20" t="s">
        <v>1739</v>
      </c>
      <c r="B20" t="s">
        <v>1742</v>
      </c>
      <c r="C20">
        <v>26973</v>
      </c>
      <c r="D20" t="s">
        <v>83</v>
      </c>
      <c r="E20">
        <v>90033622</v>
      </c>
      <c r="F20">
        <v>90033988</v>
      </c>
      <c r="G20" t="s">
        <v>1656</v>
      </c>
      <c r="H20">
        <v>180</v>
      </c>
      <c r="I20">
        <v>738</v>
      </c>
      <c r="J20" t="s">
        <v>1656</v>
      </c>
      <c r="K20">
        <v>50</v>
      </c>
      <c r="L20" s="9">
        <v>15.1290508033526</v>
      </c>
    </row>
    <row r="21" spans="1:12">
      <c r="A21" t="s">
        <v>1774</v>
      </c>
      <c r="B21" t="s">
        <v>1775</v>
      </c>
      <c r="C21">
        <v>388276</v>
      </c>
      <c r="D21" t="s">
        <v>129</v>
      </c>
      <c r="E21">
        <v>51908713</v>
      </c>
      <c r="F21">
        <v>51909157</v>
      </c>
      <c r="G21" t="s">
        <v>1656</v>
      </c>
      <c r="H21">
        <v>1077</v>
      </c>
      <c r="I21">
        <v>1579</v>
      </c>
      <c r="J21" t="s">
        <v>35</v>
      </c>
      <c r="K21">
        <v>34</v>
      </c>
      <c r="L21" s="9">
        <v>14.608262261273101</v>
      </c>
    </row>
    <row r="22" spans="1:12">
      <c r="A22" t="s">
        <v>1774</v>
      </c>
      <c r="B22" t="s">
        <v>528</v>
      </c>
      <c r="C22">
        <v>284</v>
      </c>
      <c r="D22" t="s">
        <v>279</v>
      </c>
      <c r="E22">
        <v>108520664</v>
      </c>
      <c r="F22">
        <v>108521131</v>
      </c>
      <c r="G22" t="s">
        <v>35</v>
      </c>
      <c r="H22">
        <v>1826</v>
      </c>
      <c r="I22">
        <v>2330</v>
      </c>
      <c r="J22" t="s">
        <v>1656</v>
      </c>
      <c r="K22">
        <v>34</v>
      </c>
      <c r="L22" s="9">
        <v>14.608262261273101</v>
      </c>
    </row>
    <row r="23" spans="1:12">
      <c r="A23" t="s">
        <v>1657</v>
      </c>
      <c r="B23" t="s">
        <v>1664</v>
      </c>
      <c r="C23">
        <v>23284</v>
      </c>
      <c r="D23" t="s">
        <v>220</v>
      </c>
      <c r="E23">
        <v>62501185</v>
      </c>
      <c r="F23">
        <v>62501658</v>
      </c>
      <c r="G23" t="s">
        <v>1656</v>
      </c>
      <c r="H23">
        <v>1584</v>
      </c>
      <c r="I23">
        <v>1836</v>
      </c>
      <c r="J23" t="s">
        <v>1656</v>
      </c>
      <c r="K23">
        <v>32</v>
      </c>
      <c r="L23" s="9">
        <v>13.5396436535036</v>
      </c>
    </row>
    <row r="24" spans="1:12">
      <c r="A24" t="s">
        <v>1657</v>
      </c>
      <c r="B24" t="s">
        <v>1660</v>
      </c>
      <c r="C24">
        <v>390892</v>
      </c>
      <c r="D24" t="s">
        <v>139</v>
      </c>
      <c r="E24">
        <v>14946843</v>
      </c>
      <c r="F24">
        <v>14947168</v>
      </c>
      <c r="G24" t="s">
        <v>35</v>
      </c>
      <c r="H24">
        <v>607</v>
      </c>
      <c r="I24">
        <v>1031</v>
      </c>
      <c r="J24" t="s">
        <v>35</v>
      </c>
      <c r="K24">
        <v>27</v>
      </c>
      <c r="L24" s="9">
        <v>11.4240743326437</v>
      </c>
    </row>
    <row r="25" spans="1:12">
      <c r="A25" t="s">
        <v>1685</v>
      </c>
      <c r="B25" t="s">
        <v>1692</v>
      </c>
      <c r="C25">
        <v>7015</v>
      </c>
      <c r="D25" t="s">
        <v>226</v>
      </c>
      <c r="E25">
        <v>1295235</v>
      </c>
      <c r="F25">
        <v>1295363</v>
      </c>
      <c r="G25" t="s">
        <v>1656</v>
      </c>
      <c r="H25">
        <v>18</v>
      </c>
      <c r="I25">
        <v>68</v>
      </c>
      <c r="J25" t="s">
        <v>1656</v>
      </c>
      <c r="K25">
        <v>29</v>
      </c>
      <c r="L25" s="9">
        <v>7.5741548940793599</v>
      </c>
    </row>
    <row r="26" spans="1:12">
      <c r="A26" t="s">
        <v>1734</v>
      </c>
      <c r="B26" t="s">
        <v>1735</v>
      </c>
      <c r="C26">
        <v>1258</v>
      </c>
      <c r="D26" t="s">
        <v>129</v>
      </c>
      <c r="E26">
        <v>57893471</v>
      </c>
      <c r="F26">
        <v>57893851</v>
      </c>
      <c r="G26" t="s">
        <v>1656</v>
      </c>
      <c r="H26">
        <v>893</v>
      </c>
      <c r="I26">
        <v>1097</v>
      </c>
      <c r="J26" t="s">
        <v>1656</v>
      </c>
      <c r="K26">
        <v>19</v>
      </c>
      <c r="L26" s="9">
        <v>5.53525960367541</v>
      </c>
    </row>
    <row r="27" spans="1:12">
      <c r="A27" t="s">
        <v>1666</v>
      </c>
      <c r="B27" t="s">
        <v>1669</v>
      </c>
      <c r="C27">
        <v>100505776</v>
      </c>
      <c r="D27" t="s">
        <v>135</v>
      </c>
      <c r="E27">
        <v>69318057</v>
      </c>
      <c r="F27">
        <v>69318357</v>
      </c>
      <c r="G27" t="s">
        <v>1656</v>
      </c>
      <c r="H27">
        <v>1673</v>
      </c>
      <c r="I27">
        <v>2127</v>
      </c>
      <c r="J27" t="s">
        <v>35</v>
      </c>
      <c r="K27">
        <v>10</v>
      </c>
      <c r="L27" s="9">
        <v>4.1338029333465602</v>
      </c>
    </row>
    <row r="28" spans="1:12">
      <c r="A28" t="s">
        <v>1753</v>
      </c>
      <c r="B28" t="s">
        <v>1761</v>
      </c>
      <c r="C28">
        <v>119749</v>
      </c>
      <c r="D28" t="s">
        <v>83</v>
      </c>
      <c r="E28">
        <v>51574766</v>
      </c>
      <c r="F28">
        <v>51575071</v>
      </c>
      <c r="G28" t="s">
        <v>35</v>
      </c>
      <c r="H28">
        <v>701</v>
      </c>
      <c r="I28">
        <v>868</v>
      </c>
      <c r="J28" t="s">
        <v>1656</v>
      </c>
      <c r="K28">
        <v>10</v>
      </c>
      <c r="L28" s="9">
        <v>3.31560589382104</v>
      </c>
    </row>
    <row r="29" spans="1:12">
      <c r="A29" t="s">
        <v>1666</v>
      </c>
      <c r="B29" t="s">
        <v>1679</v>
      </c>
      <c r="C29">
        <v>51001</v>
      </c>
      <c r="D29" t="s">
        <v>279</v>
      </c>
      <c r="E29">
        <v>97262601</v>
      </c>
      <c r="F29">
        <v>97262838</v>
      </c>
      <c r="G29" t="s">
        <v>1656</v>
      </c>
      <c r="H29">
        <v>1867</v>
      </c>
      <c r="I29">
        <v>2337</v>
      </c>
      <c r="J29" t="s">
        <v>1656</v>
      </c>
      <c r="K29">
        <v>8</v>
      </c>
      <c r="L29" s="9">
        <v>3.3070423466772501</v>
      </c>
    </row>
    <row r="30" spans="1:12">
      <c r="A30" t="s">
        <v>1718</v>
      </c>
      <c r="B30" t="s">
        <v>1729</v>
      </c>
      <c r="C30">
        <v>285386</v>
      </c>
      <c r="D30" t="s">
        <v>201</v>
      </c>
      <c r="E30">
        <v>189051331</v>
      </c>
      <c r="F30">
        <v>189051546</v>
      </c>
      <c r="G30" t="s">
        <v>35</v>
      </c>
      <c r="H30">
        <v>15</v>
      </c>
      <c r="I30">
        <v>213</v>
      </c>
      <c r="J30" t="s">
        <v>1656</v>
      </c>
      <c r="K30">
        <v>10</v>
      </c>
      <c r="L30" s="9">
        <v>2.9761107589379998</v>
      </c>
    </row>
    <row r="31" spans="1:12">
      <c r="A31" t="s">
        <v>1695</v>
      </c>
      <c r="B31" t="s">
        <v>1696</v>
      </c>
      <c r="C31">
        <v>283491</v>
      </c>
      <c r="D31" t="s">
        <v>339</v>
      </c>
      <c r="E31">
        <v>65335213</v>
      </c>
      <c r="F31">
        <v>65335457</v>
      </c>
      <c r="G31" t="s">
        <v>1656</v>
      </c>
      <c r="H31">
        <v>1566</v>
      </c>
      <c r="I31">
        <v>1815</v>
      </c>
      <c r="J31" t="s">
        <v>35</v>
      </c>
      <c r="K31">
        <v>11</v>
      </c>
      <c r="L31" s="9">
        <v>2.8943255432122799</v>
      </c>
    </row>
    <row r="32" spans="1:12">
      <c r="A32" t="s">
        <v>1706</v>
      </c>
      <c r="B32" t="s">
        <v>1716</v>
      </c>
      <c r="C32">
        <v>441666</v>
      </c>
      <c r="D32" t="s">
        <v>69</v>
      </c>
      <c r="E32">
        <v>42358466</v>
      </c>
      <c r="F32">
        <v>42359271</v>
      </c>
      <c r="G32" t="s">
        <v>35</v>
      </c>
      <c r="H32">
        <v>1527</v>
      </c>
      <c r="I32">
        <v>1764</v>
      </c>
      <c r="J32" t="s">
        <v>1656</v>
      </c>
      <c r="K32">
        <v>10</v>
      </c>
      <c r="L32" s="9">
        <v>2.6666524445203001</v>
      </c>
    </row>
    <row r="33" spans="1:12">
      <c r="A33" t="s">
        <v>1706</v>
      </c>
      <c r="B33" t="s">
        <v>1708</v>
      </c>
      <c r="C33">
        <v>124149</v>
      </c>
      <c r="D33" t="s">
        <v>129</v>
      </c>
      <c r="E33">
        <v>46403372</v>
      </c>
      <c r="F33">
        <v>46403433</v>
      </c>
      <c r="G33" t="s">
        <v>1656</v>
      </c>
      <c r="H33">
        <v>1603</v>
      </c>
      <c r="I33">
        <v>1802</v>
      </c>
      <c r="J33" t="s">
        <v>35</v>
      </c>
      <c r="K33">
        <v>10</v>
      </c>
      <c r="L33" s="9">
        <v>2.6666524445203001</v>
      </c>
    </row>
    <row r="34" spans="1:12">
      <c r="A34" t="s">
        <v>1666</v>
      </c>
      <c r="B34" t="s">
        <v>1681</v>
      </c>
      <c r="C34">
        <v>100130613</v>
      </c>
      <c r="D34" t="s">
        <v>418</v>
      </c>
      <c r="E34">
        <v>126560734</v>
      </c>
      <c r="F34">
        <v>126561057</v>
      </c>
      <c r="G34" t="s">
        <v>35</v>
      </c>
      <c r="H34">
        <v>1566</v>
      </c>
      <c r="I34">
        <v>1806</v>
      </c>
      <c r="J34" t="s">
        <v>35</v>
      </c>
      <c r="K34">
        <v>6</v>
      </c>
      <c r="L34" s="9">
        <v>2.4802817600079399</v>
      </c>
    </row>
    <row r="35" spans="1:12">
      <c r="A35" t="s">
        <v>1706</v>
      </c>
      <c r="B35" t="s">
        <v>1708</v>
      </c>
      <c r="C35">
        <v>124149</v>
      </c>
      <c r="D35" t="s">
        <v>129</v>
      </c>
      <c r="E35">
        <v>46395396</v>
      </c>
      <c r="F35">
        <v>46395563</v>
      </c>
      <c r="G35" t="s">
        <v>1656</v>
      </c>
      <c r="H35">
        <v>205</v>
      </c>
      <c r="I35">
        <v>611</v>
      </c>
      <c r="J35" t="s">
        <v>35</v>
      </c>
      <c r="K35">
        <v>8</v>
      </c>
      <c r="L35" s="9">
        <v>2.1333219556162399</v>
      </c>
    </row>
    <row r="36" spans="1:12">
      <c r="A36" t="s">
        <v>1767</v>
      </c>
      <c r="B36" t="s">
        <v>1770</v>
      </c>
      <c r="C36">
        <v>6868</v>
      </c>
      <c r="D36" t="s">
        <v>172</v>
      </c>
      <c r="E36">
        <v>9685697</v>
      </c>
      <c r="F36">
        <v>9685931</v>
      </c>
      <c r="G36" t="s">
        <v>1656</v>
      </c>
      <c r="H36">
        <v>1980</v>
      </c>
      <c r="I36">
        <v>2254</v>
      </c>
      <c r="J36" t="s">
        <v>1656</v>
      </c>
      <c r="K36">
        <v>5</v>
      </c>
      <c r="L36" s="9">
        <v>2.1071351811504102</v>
      </c>
    </row>
    <row r="37" spans="1:12">
      <c r="A37" t="s">
        <v>1695</v>
      </c>
      <c r="B37" t="s">
        <v>1699</v>
      </c>
      <c r="C37">
        <v>92521</v>
      </c>
      <c r="D37" t="s">
        <v>133</v>
      </c>
      <c r="E37">
        <v>20002177</v>
      </c>
      <c r="F37">
        <v>20002486</v>
      </c>
      <c r="G37" t="s">
        <v>35</v>
      </c>
      <c r="H37">
        <v>1278</v>
      </c>
      <c r="I37">
        <v>1798</v>
      </c>
      <c r="J37" t="s">
        <v>35</v>
      </c>
      <c r="K37">
        <v>8</v>
      </c>
      <c r="L37" s="9">
        <v>2.1049640314271101</v>
      </c>
    </row>
    <row r="38" spans="1:12">
      <c r="A38" t="s">
        <v>1718</v>
      </c>
      <c r="B38" t="s">
        <v>1725</v>
      </c>
      <c r="C38">
        <v>64430</v>
      </c>
      <c r="D38" t="s">
        <v>118</v>
      </c>
      <c r="E38">
        <v>60546760</v>
      </c>
      <c r="F38">
        <v>60547063</v>
      </c>
      <c r="G38" t="s">
        <v>35</v>
      </c>
      <c r="H38">
        <v>694</v>
      </c>
      <c r="I38">
        <v>979</v>
      </c>
      <c r="J38" t="s">
        <v>35</v>
      </c>
      <c r="K38">
        <v>7</v>
      </c>
      <c r="L38" s="9">
        <v>2.0832775312565999</v>
      </c>
    </row>
    <row r="39" spans="1:12">
      <c r="A39" t="s">
        <v>1753</v>
      </c>
      <c r="B39" t="s">
        <v>1761</v>
      </c>
      <c r="C39">
        <v>119749</v>
      </c>
      <c r="D39" t="s">
        <v>83</v>
      </c>
      <c r="E39">
        <v>51570072</v>
      </c>
      <c r="F39">
        <v>51570267</v>
      </c>
      <c r="G39" t="s">
        <v>35</v>
      </c>
      <c r="H39">
        <v>732</v>
      </c>
      <c r="I39">
        <v>873</v>
      </c>
      <c r="J39" t="s">
        <v>1656</v>
      </c>
      <c r="K39">
        <v>6</v>
      </c>
      <c r="L39" s="9">
        <v>1.9893635362926201</v>
      </c>
    </row>
    <row r="40" spans="1:12">
      <c r="A40" t="s">
        <v>1753</v>
      </c>
      <c r="B40" t="s">
        <v>1765</v>
      </c>
      <c r="C40">
        <v>284801</v>
      </c>
      <c r="D40" t="s">
        <v>188</v>
      </c>
      <c r="E40">
        <v>26317138</v>
      </c>
      <c r="F40">
        <v>26317340</v>
      </c>
      <c r="G40" t="s">
        <v>1656</v>
      </c>
      <c r="H40">
        <v>2448</v>
      </c>
      <c r="I40">
        <v>2573</v>
      </c>
      <c r="J40" t="s">
        <v>1656</v>
      </c>
      <c r="K40">
        <v>6</v>
      </c>
      <c r="L40" s="9">
        <v>1.9893635362926201</v>
      </c>
    </row>
    <row r="41" spans="1:12">
      <c r="A41" t="s">
        <v>1706</v>
      </c>
      <c r="B41" t="s">
        <v>1716</v>
      </c>
      <c r="C41">
        <v>441666</v>
      </c>
      <c r="D41" t="s">
        <v>69</v>
      </c>
      <c r="E41">
        <v>42384527</v>
      </c>
      <c r="F41">
        <v>42384594</v>
      </c>
      <c r="G41" t="s">
        <v>1656</v>
      </c>
      <c r="H41">
        <v>1569</v>
      </c>
      <c r="I41">
        <v>1721</v>
      </c>
      <c r="J41" t="s">
        <v>35</v>
      </c>
      <c r="K41">
        <v>7</v>
      </c>
      <c r="L41" s="9">
        <v>1.8666567111642101</v>
      </c>
    </row>
    <row r="42" spans="1:12">
      <c r="A42" t="s">
        <v>1706</v>
      </c>
      <c r="B42" t="s">
        <v>1708</v>
      </c>
      <c r="C42">
        <v>124149</v>
      </c>
      <c r="D42" t="s">
        <v>129</v>
      </c>
      <c r="E42">
        <v>46390121</v>
      </c>
      <c r="F42">
        <v>46390199</v>
      </c>
      <c r="G42" t="s">
        <v>1656</v>
      </c>
      <c r="H42">
        <v>3046</v>
      </c>
      <c r="I42">
        <v>3262</v>
      </c>
      <c r="J42" t="s">
        <v>1656</v>
      </c>
      <c r="K42">
        <v>7</v>
      </c>
      <c r="L42" s="9">
        <v>1.8666567111642101</v>
      </c>
    </row>
    <row r="43" spans="1:12">
      <c r="A43" t="s">
        <v>1706</v>
      </c>
      <c r="B43" t="s">
        <v>1708</v>
      </c>
      <c r="C43">
        <v>124149</v>
      </c>
      <c r="D43" t="s">
        <v>129</v>
      </c>
      <c r="E43">
        <v>46407335</v>
      </c>
      <c r="F43">
        <v>46407422</v>
      </c>
      <c r="G43" t="s">
        <v>1656</v>
      </c>
      <c r="H43">
        <v>367</v>
      </c>
      <c r="I43">
        <v>626</v>
      </c>
      <c r="J43" t="s">
        <v>35</v>
      </c>
      <c r="K43">
        <v>7</v>
      </c>
      <c r="L43" s="9">
        <v>1.8666567111642101</v>
      </c>
    </row>
    <row r="44" spans="1:12">
      <c r="A44" t="s">
        <v>1718</v>
      </c>
      <c r="B44" t="s">
        <v>1008</v>
      </c>
      <c r="C44">
        <v>8945</v>
      </c>
      <c r="D44" t="s">
        <v>69</v>
      </c>
      <c r="E44">
        <v>103058125</v>
      </c>
      <c r="F44">
        <v>103058405</v>
      </c>
      <c r="G44" t="s">
        <v>35</v>
      </c>
      <c r="H44">
        <v>44</v>
      </c>
      <c r="I44">
        <v>206</v>
      </c>
      <c r="J44" t="s">
        <v>1656</v>
      </c>
      <c r="K44">
        <v>6</v>
      </c>
      <c r="L44" s="9">
        <v>1.7856664553628001</v>
      </c>
    </row>
    <row r="45" spans="1:12">
      <c r="A45" t="s">
        <v>1657</v>
      </c>
      <c r="B45" t="s">
        <v>1661</v>
      </c>
      <c r="C45">
        <v>100130691</v>
      </c>
      <c r="D45" t="s">
        <v>172</v>
      </c>
      <c r="E45">
        <v>178244824</v>
      </c>
      <c r="F45">
        <v>178244890</v>
      </c>
      <c r="G45" t="s">
        <v>1656</v>
      </c>
      <c r="H45">
        <v>1709</v>
      </c>
      <c r="I45">
        <v>1820</v>
      </c>
      <c r="J45" t="s">
        <v>35</v>
      </c>
      <c r="K45">
        <v>4</v>
      </c>
      <c r="L45" s="9">
        <v>1.6924554566879499</v>
      </c>
    </row>
    <row r="46" spans="1:12">
      <c r="A46" t="s">
        <v>1767</v>
      </c>
      <c r="B46" t="s">
        <v>1773</v>
      </c>
      <c r="C46">
        <v>1975</v>
      </c>
      <c r="D46" t="s">
        <v>104</v>
      </c>
      <c r="E46">
        <v>53410570</v>
      </c>
      <c r="F46">
        <v>53410650</v>
      </c>
      <c r="G46" t="s">
        <v>35</v>
      </c>
      <c r="H46">
        <v>1585</v>
      </c>
      <c r="I46">
        <v>1711</v>
      </c>
      <c r="J46" t="s">
        <v>35</v>
      </c>
      <c r="K46">
        <v>4</v>
      </c>
      <c r="L46" s="9">
        <v>1.6857081449203299</v>
      </c>
    </row>
    <row r="47" spans="1:12">
      <c r="A47" t="s">
        <v>1767</v>
      </c>
      <c r="B47" t="s">
        <v>1768</v>
      </c>
      <c r="C47">
        <v>2806</v>
      </c>
      <c r="D47" t="s">
        <v>129</v>
      </c>
      <c r="E47">
        <v>59229826</v>
      </c>
      <c r="F47">
        <v>59230093</v>
      </c>
      <c r="G47" t="s">
        <v>35</v>
      </c>
      <c r="H47">
        <v>1527</v>
      </c>
      <c r="I47">
        <v>1711</v>
      </c>
      <c r="J47" t="s">
        <v>35</v>
      </c>
      <c r="K47">
        <v>4</v>
      </c>
      <c r="L47" s="9">
        <v>1.6857081449203299</v>
      </c>
    </row>
    <row r="48" spans="1:12">
      <c r="A48" t="s">
        <v>1753</v>
      </c>
      <c r="B48" t="s">
        <v>3942</v>
      </c>
      <c r="C48">
        <v>100313824</v>
      </c>
      <c r="D48" t="s">
        <v>172</v>
      </c>
      <c r="E48">
        <v>132999198</v>
      </c>
      <c r="F48">
        <v>132999236</v>
      </c>
      <c r="G48" t="s">
        <v>1656</v>
      </c>
      <c r="H48">
        <v>719</v>
      </c>
      <c r="I48">
        <v>859</v>
      </c>
      <c r="J48" t="s">
        <v>1656</v>
      </c>
      <c r="K48">
        <v>5</v>
      </c>
      <c r="L48" s="9">
        <v>1.65780294691052</v>
      </c>
    </row>
    <row r="49" spans="1:12">
      <c r="A49" t="s">
        <v>1666</v>
      </c>
      <c r="B49" t="s">
        <v>1667</v>
      </c>
      <c r="C49">
        <v>10524</v>
      </c>
      <c r="D49" t="s">
        <v>83</v>
      </c>
      <c r="E49">
        <v>65478596</v>
      </c>
      <c r="F49">
        <v>65478757</v>
      </c>
      <c r="G49" t="s">
        <v>35</v>
      </c>
      <c r="H49">
        <v>586</v>
      </c>
      <c r="I49">
        <v>780</v>
      </c>
      <c r="J49" t="s">
        <v>1656</v>
      </c>
      <c r="K49">
        <v>4</v>
      </c>
      <c r="L49" s="9">
        <v>1.6535211733386199</v>
      </c>
    </row>
    <row r="50" spans="1:12">
      <c r="A50" t="s">
        <v>1666</v>
      </c>
      <c r="B50" t="s">
        <v>1672</v>
      </c>
      <c r="C50">
        <v>64002</v>
      </c>
      <c r="D50" t="s">
        <v>172</v>
      </c>
      <c r="E50">
        <v>194448270</v>
      </c>
      <c r="F50">
        <v>194448537</v>
      </c>
      <c r="G50" t="s">
        <v>35</v>
      </c>
      <c r="H50">
        <v>1571</v>
      </c>
      <c r="I50">
        <v>1756</v>
      </c>
      <c r="J50" t="s">
        <v>35</v>
      </c>
      <c r="K50">
        <v>4</v>
      </c>
      <c r="L50" s="9">
        <v>1.6535211733386199</v>
      </c>
    </row>
    <row r="51" spans="1:12">
      <c r="A51" t="s">
        <v>1666</v>
      </c>
      <c r="B51" t="s">
        <v>1673</v>
      </c>
      <c r="C51">
        <v>57404</v>
      </c>
      <c r="D51" t="s">
        <v>172</v>
      </c>
      <c r="E51">
        <v>204104921</v>
      </c>
      <c r="F51">
        <v>204105087</v>
      </c>
      <c r="G51" t="s">
        <v>35</v>
      </c>
      <c r="H51">
        <v>1504</v>
      </c>
      <c r="I51">
        <v>1603</v>
      </c>
      <c r="J51" t="s">
        <v>35</v>
      </c>
      <c r="K51">
        <v>4</v>
      </c>
      <c r="L51" s="9">
        <v>1.6535211733386199</v>
      </c>
    </row>
    <row r="52" spans="1:12">
      <c r="A52" t="s">
        <v>1706</v>
      </c>
      <c r="B52" t="s">
        <v>1712</v>
      </c>
      <c r="C52">
        <v>221078</v>
      </c>
      <c r="D52" t="s">
        <v>69</v>
      </c>
      <c r="E52">
        <v>18845082</v>
      </c>
      <c r="F52">
        <v>18845461</v>
      </c>
      <c r="G52" t="s">
        <v>1656</v>
      </c>
      <c r="H52">
        <v>1547</v>
      </c>
      <c r="I52">
        <v>1669</v>
      </c>
      <c r="J52" t="s">
        <v>1656</v>
      </c>
      <c r="K52">
        <v>6</v>
      </c>
      <c r="L52" s="9">
        <v>1.59999146671218</v>
      </c>
    </row>
    <row r="53" spans="1:12">
      <c r="A53" t="s">
        <v>1706</v>
      </c>
      <c r="B53" t="s">
        <v>1711</v>
      </c>
      <c r="C53">
        <v>80157</v>
      </c>
      <c r="D53" t="s">
        <v>220</v>
      </c>
      <c r="E53">
        <v>49643300</v>
      </c>
      <c r="F53">
        <v>49643339</v>
      </c>
      <c r="G53" t="s">
        <v>1656</v>
      </c>
      <c r="H53">
        <v>1556</v>
      </c>
      <c r="I53">
        <v>1784</v>
      </c>
      <c r="J53" t="s">
        <v>1656</v>
      </c>
      <c r="K53">
        <v>5</v>
      </c>
      <c r="L53" s="9">
        <v>1.3333262222601501</v>
      </c>
    </row>
    <row r="54" spans="1:12">
      <c r="A54" t="s">
        <v>1753</v>
      </c>
      <c r="B54" t="s">
        <v>1760</v>
      </c>
      <c r="C54">
        <v>120824</v>
      </c>
      <c r="D54" t="s">
        <v>83</v>
      </c>
      <c r="E54">
        <v>48881740</v>
      </c>
      <c r="F54">
        <v>48881779</v>
      </c>
      <c r="G54" t="s">
        <v>1656</v>
      </c>
      <c r="H54">
        <v>2401</v>
      </c>
      <c r="I54">
        <v>2569</v>
      </c>
      <c r="J54" t="s">
        <v>1656</v>
      </c>
      <c r="K54">
        <v>4</v>
      </c>
      <c r="L54" s="9">
        <v>1.3262423575284099</v>
      </c>
    </row>
    <row r="55" spans="1:12">
      <c r="A55" t="s">
        <v>1753</v>
      </c>
      <c r="B55" t="s">
        <v>1761</v>
      </c>
      <c r="C55">
        <v>119749</v>
      </c>
      <c r="D55" t="s">
        <v>83</v>
      </c>
      <c r="E55">
        <v>51580477</v>
      </c>
      <c r="F55">
        <v>51580515</v>
      </c>
      <c r="G55" t="s">
        <v>35</v>
      </c>
      <c r="H55">
        <v>796</v>
      </c>
      <c r="I55">
        <v>875</v>
      </c>
      <c r="J55" t="s">
        <v>1656</v>
      </c>
      <c r="K55">
        <v>4</v>
      </c>
      <c r="L55" s="9">
        <v>1.3262423575284099</v>
      </c>
    </row>
    <row r="56" spans="1:12">
      <c r="A56" t="s">
        <v>1753</v>
      </c>
      <c r="B56" t="s">
        <v>1766</v>
      </c>
      <c r="C56">
        <v>2042</v>
      </c>
      <c r="D56" t="s">
        <v>201</v>
      </c>
      <c r="E56">
        <v>90367896</v>
      </c>
      <c r="F56">
        <v>90367934</v>
      </c>
      <c r="G56" t="s">
        <v>35</v>
      </c>
      <c r="H56">
        <v>2412</v>
      </c>
      <c r="I56">
        <v>2460</v>
      </c>
      <c r="J56" t="s">
        <v>1656</v>
      </c>
      <c r="K56">
        <v>4</v>
      </c>
      <c r="L56" s="9">
        <v>1.3262423575284099</v>
      </c>
    </row>
    <row r="57" spans="1:12">
      <c r="A57" t="s">
        <v>1695</v>
      </c>
      <c r="B57" t="s">
        <v>1705</v>
      </c>
      <c r="C57">
        <v>157638</v>
      </c>
      <c r="D57" t="s">
        <v>279</v>
      </c>
      <c r="E57">
        <v>127441703</v>
      </c>
      <c r="F57">
        <v>127441950</v>
      </c>
      <c r="G57" t="s">
        <v>35</v>
      </c>
      <c r="H57">
        <v>1105</v>
      </c>
      <c r="I57">
        <v>1328</v>
      </c>
      <c r="J57" t="s">
        <v>35</v>
      </c>
      <c r="K57">
        <v>5</v>
      </c>
      <c r="L57" s="9">
        <v>1.3156025196419501</v>
      </c>
    </row>
    <row r="58" spans="1:12">
      <c r="A58" t="s">
        <v>1695</v>
      </c>
      <c r="B58" t="s">
        <v>3946</v>
      </c>
      <c r="C58">
        <v>406897</v>
      </c>
      <c r="D58" t="s">
        <v>418</v>
      </c>
      <c r="E58">
        <v>151506572</v>
      </c>
      <c r="F58">
        <v>151506750</v>
      </c>
      <c r="G58" t="s">
        <v>35</v>
      </c>
      <c r="H58">
        <v>47</v>
      </c>
      <c r="I58">
        <v>252</v>
      </c>
      <c r="J58" t="s">
        <v>35</v>
      </c>
      <c r="K58">
        <v>5</v>
      </c>
      <c r="L58" s="9">
        <v>1.3156025196419501</v>
      </c>
    </row>
    <row r="59" spans="1:12">
      <c r="A59" t="s">
        <v>1685</v>
      </c>
      <c r="B59" t="s">
        <v>1687</v>
      </c>
      <c r="C59">
        <v>8505</v>
      </c>
      <c r="D59" t="s">
        <v>69</v>
      </c>
      <c r="E59">
        <v>51022287</v>
      </c>
      <c r="F59">
        <v>51022329</v>
      </c>
      <c r="G59" t="s">
        <v>1656</v>
      </c>
      <c r="H59">
        <v>777</v>
      </c>
      <c r="I59">
        <v>901</v>
      </c>
      <c r="J59" t="s">
        <v>1656</v>
      </c>
      <c r="K59">
        <v>5</v>
      </c>
      <c r="L59" s="9">
        <v>1.30588877484127</v>
      </c>
    </row>
    <row r="60" spans="1:12">
      <c r="A60" t="s">
        <v>1767</v>
      </c>
      <c r="B60" t="s">
        <v>1771</v>
      </c>
      <c r="C60">
        <v>10971</v>
      </c>
      <c r="D60" t="s">
        <v>172</v>
      </c>
      <c r="E60">
        <v>9756844</v>
      </c>
      <c r="F60">
        <v>9756923</v>
      </c>
      <c r="G60" t="s">
        <v>35</v>
      </c>
      <c r="H60">
        <v>1595</v>
      </c>
      <c r="I60">
        <v>1671</v>
      </c>
      <c r="J60" t="s">
        <v>35</v>
      </c>
      <c r="K60">
        <v>3</v>
      </c>
      <c r="L60" s="9">
        <v>1.2642811086902499</v>
      </c>
    </row>
    <row r="61" spans="1:12">
      <c r="A61" t="s">
        <v>1666</v>
      </c>
      <c r="B61" t="s">
        <v>1668</v>
      </c>
      <c r="C61">
        <v>81617</v>
      </c>
      <c r="D61" t="s">
        <v>339</v>
      </c>
      <c r="E61">
        <v>50004014</v>
      </c>
      <c r="F61">
        <v>50004231</v>
      </c>
      <c r="G61" t="s">
        <v>35</v>
      </c>
      <c r="H61">
        <v>1557</v>
      </c>
      <c r="I61">
        <v>1788</v>
      </c>
      <c r="J61" t="s">
        <v>35</v>
      </c>
      <c r="K61">
        <v>3</v>
      </c>
      <c r="L61" s="9">
        <v>1.2401408800039699</v>
      </c>
    </row>
    <row r="62" spans="1:12">
      <c r="A62" t="s">
        <v>1666</v>
      </c>
      <c r="B62" t="s">
        <v>1671</v>
      </c>
      <c r="C62">
        <v>1496</v>
      </c>
      <c r="D62" t="s">
        <v>172</v>
      </c>
      <c r="E62">
        <v>81097602</v>
      </c>
      <c r="F62">
        <v>81097640</v>
      </c>
      <c r="G62" t="s">
        <v>1656</v>
      </c>
      <c r="H62">
        <v>161</v>
      </c>
      <c r="I62">
        <v>199</v>
      </c>
      <c r="J62" t="s">
        <v>1656</v>
      </c>
      <c r="K62">
        <v>3</v>
      </c>
      <c r="L62" s="9">
        <v>1.2401408800039699</v>
      </c>
    </row>
    <row r="63" spans="1:12">
      <c r="A63" t="s">
        <v>1666</v>
      </c>
      <c r="B63" t="s">
        <v>1675</v>
      </c>
      <c r="C63">
        <v>693158</v>
      </c>
      <c r="D63" t="s">
        <v>220</v>
      </c>
      <c r="E63">
        <v>24234779</v>
      </c>
      <c r="F63">
        <v>24234937</v>
      </c>
      <c r="G63" t="s">
        <v>35</v>
      </c>
      <c r="H63">
        <v>1244</v>
      </c>
      <c r="I63">
        <v>1421</v>
      </c>
      <c r="J63" t="s">
        <v>35</v>
      </c>
      <c r="K63">
        <v>3</v>
      </c>
      <c r="L63" s="9">
        <v>1.2401408800039699</v>
      </c>
    </row>
    <row r="64" spans="1:12">
      <c r="A64" t="s">
        <v>1666</v>
      </c>
      <c r="B64" t="s">
        <v>1678</v>
      </c>
      <c r="C64">
        <v>9652</v>
      </c>
      <c r="D64" t="s">
        <v>226</v>
      </c>
      <c r="E64">
        <v>94817876</v>
      </c>
      <c r="F64">
        <v>94818167</v>
      </c>
      <c r="G64" t="s">
        <v>35</v>
      </c>
      <c r="H64">
        <v>631</v>
      </c>
      <c r="I64">
        <v>696</v>
      </c>
      <c r="J64" t="s">
        <v>35</v>
      </c>
      <c r="K64">
        <v>3</v>
      </c>
      <c r="L64" s="9">
        <v>1.2401408800039699</v>
      </c>
    </row>
    <row r="65" spans="1:12">
      <c r="A65" t="s">
        <v>1666</v>
      </c>
      <c r="B65" t="s">
        <v>1681</v>
      </c>
      <c r="C65">
        <v>100130613</v>
      </c>
      <c r="D65" t="s">
        <v>418</v>
      </c>
      <c r="E65">
        <v>126542281</v>
      </c>
      <c r="F65">
        <v>126542457</v>
      </c>
      <c r="G65" t="s">
        <v>1656</v>
      </c>
      <c r="H65">
        <v>2047</v>
      </c>
      <c r="I65">
        <v>2115</v>
      </c>
      <c r="J65" t="s">
        <v>1656</v>
      </c>
      <c r="K65">
        <v>3</v>
      </c>
      <c r="L65" s="9">
        <v>1.2401408800039699</v>
      </c>
    </row>
    <row r="66" spans="1:12">
      <c r="A66" t="s">
        <v>1718</v>
      </c>
      <c r="B66" t="s">
        <v>1719</v>
      </c>
      <c r="C66">
        <v>23254</v>
      </c>
      <c r="D66" t="s">
        <v>22</v>
      </c>
      <c r="E66">
        <v>15359079</v>
      </c>
      <c r="F66">
        <v>15359153</v>
      </c>
      <c r="G66" t="s">
        <v>35</v>
      </c>
      <c r="H66">
        <v>2079</v>
      </c>
      <c r="I66">
        <v>2127</v>
      </c>
      <c r="J66" t="s">
        <v>1656</v>
      </c>
      <c r="K66">
        <v>4</v>
      </c>
      <c r="L66" s="9">
        <v>1.1904443035751999</v>
      </c>
    </row>
    <row r="67" spans="1:12">
      <c r="A67" t="s">
        <v>1706</v>
      </c>
      <c r="B67" t="s">
        <v>1708</v>
      </c>
      <c r="C67">
        <v>124149</v>
      </c>
      <c r="D67" t="s">
        <v>129</v>
      </c>
      <c r="E67">
        <v>46420238</v>
      </c>
      <c r="F67">
        <v>46420361</v>
      </c>
      <c r="G67" t="s">
        <v>35</v>
      </c>
      <c r="H67">
        <v>1748</v>
      </c>
      <c r="I67">
        <v>1825</v>
      </c>
      <c r="J67" t="s">
        <v>35</v>
      </c>
      <c r="K67">
        <v>4</v>
      </c>
      <c r="L67" s="9">
        <v>1.06666097780812</v>
      </c>
    </row>
    <row r="68" spans="1:12">
      <c r="A68" t="s">
        <v>1753</v>
      </c>
      <c r="B68" t="s">
        <v>1757</v>
      </c>
      <c r="C68">
        <v>647121</v>
      </c>
      <c r="D68" t="s">
        <v>22</v>
      </c>
      <c r="E68">
        <v>121479925</v>
      </c>
      <c r="F68">
        <v>121479962</v>
      </c>
      <c r="G68" t="s">
        <v>35</v>
      </c>
      <c r="H68">
        <v>2428</v>
      </c>
      <c r="I68">
        <v>2496</v>
      </c>
      <c r="J68" t="s">
        <v>1656</v>
      </c>
      <c r="K68">
        <v>3</v>
      </c>
      <c r="L68" s="9">
        <v>0.99468176814631104</v>
      </c>
    </row>
    <row r="69" spans="1:12">
      <c r="A69" t="s">
        <v>1739</v>
      </c>
      <c r="B69" t="s">
        <v>1749</v>
      </c>
      <c r="C69">
        <v>26002</v>
      </c>
      <c r="D69" t="s">
        <v>237</v>
      </c>
      <c r="E69">
        <v>132650398</v>
      </c>
      <c r="F69">
        <v>132650436</v>
      </c>
      <c r="G69" t="s">
        <v>35</v>
      </c>
      <c r="H69">
        <v>2133</v>
      </c>
      <c r="I69">
        <v>2171</v>
      </c>
      <c r="J69" t="s">
        <v>1656</v>
      </c>
      <c r="K69">
        <v>3</v>
      </c>
      <c r="L69" s="9">
        <v>0.90774304820115603</v>
      </c>
    </row>
    <row r="70" spans="1:12">
      <c r="A70" t="s">
        <v>1739</v>
      </c>
      <c r="B70" t="s">
        <v>1752</v>
      </c>
      <c r="C70">
        <v>100507404</v>
      </c>
      <c r="D70" t="s">
        <v>418</v>
      </c>
      <c r="E70">
        <v>154585162</v>
      </c>
      <c r="F70">
        <v>154585200</v>
      </c>
      <c r="G70" t="s">
        <v>35</v>
      </c>
      <c r="H70">
        <v>370</v>
      </c>
      <c r="I70">
        <v>408</v>
      </c>
      <c r="J70" t="s">
        <v>1656</v>
      </c>
      <c r="K70">
        <v>3</v>
      </c>
      <c r="L70" s="9">
        <v>0.90774304820115603</v>
      </c>
    </row>
    <row r="71" spans="1:12">
      <c r="A71" t="s">
        <v>1718</v>
      </c>
      <c r="B71" t="s">
        <v>1724</v>
      </c>
      <c r="C71">
        <v>4009</v>
      </c>
      <c r="D71" t="s">
        <v>22</v>
      </c>
      <c r="E71">
        <v>165227240</v>
      </c>
      <c r="F71">
        <v>165227278</v>
      </c>
      <c r="G71" t="s">
        <v>1656</v>
      </c>
      <c r="H71">
        <v>2931</v>
      </c>
      <c r="I71">
        <v>2968</v>
      </c>
      <c r="J71" t="s">
        <v>1656</v>
      </c>
      <c r="K71">
        <v>3</v>
      </c>
      <c r="L71" s="9">
        <v>0.89283322768140105</v>
      </c>
    </row>
    <row r="72" spans="1:12">
      <c r="A72" t="s">
        <v>1718</v>
      </c>
      <c r="B72" t="s">
        <v>1727</v>
      </c>
      <c r="C72">
        <v>79577</v>
      </c>
      <c r="D72" t="s">
        <v>22</v>
      </c>
      <c r="E72">
        <v>193869867</v>
      </c>
      <c r="F72">
        <v>193869907</v>
      </c>
      <c r="G72" t="s">
        <v>35</v>
      </c>
      <c r="H72">
        <v>1218</v>
      </c>
      <c r="I72">
        <v>1289</v>
      </c>
      <c r="J72" t="s">
        <v>35</v>
      </c>
      <c r="K72">
        <v>3</v>
      </c>
      <c r="L72" s="9">
        <v>0.89283322768140105</v>
      </c>
    </row>
    <row r="73" spans="1:12">
      <c r="A73" t="s">
        <v>1718</v>
      </c>
      <c r="B73" t="s">
        <v>1726</v>
      </c>
      <c r="C73">
        <v>161725</v>
      </c>
      <c r="D73" t="s">
        <v>120</v>
      </c>
      <c r="E73">
        <v>31862288</v>
      </c>
      <c r="F73">
        <v>31862459</v>
      </c>
      <c r="G73" t="s">
        <v>35</v>
      </c>
      <c r="H73">
        <v>2267</v>
      </c>
      <c r="I73">
        <v>2545</v>
      </c>
      <c r="J73" t="s">
        <v>35</v>
      </c>
      <c r="K73">
        <v>3</v>
      </c>
      <c r="L73" s="9">
        <v>0.89283322768140105</v>
      </c>
    </row>
    <row r="74" spans="1:12">
      <c r="A74" t="s">
        <v>1718</v>
      </c>
      <c r="B74" t="s">
        <v>1731</v>
      </c>
      <c r="C74">
        <v>64839</v>
      </c>
      <c r="D74" t="s">
        <v>226</v>
      </c>
      <c r="E74">
        <v>107776945</v>
      </c>
      <c r="F74">
        <v>107776987</v>
      </c>
      <c r="G74" t="s">
        <v>1656</v>
      </c>
      <c r="H74">
        <v>1829</v>
      </c>
      <c r="I74">
        <v>2004</v>
      </c>
      <c r="J74" t="s">
        <v>1656</v>
      </c>
      <c r="K74">
        <v>3</v>
      </c>
      <c r="L74" s="9">
        <v>0.89283322768140105</v>
      </c>
    </row>
    <row r="75" spans="1:12">
      <c r="A75" t="s">
        <v>1718</v>
      </c>
      <c r="B75" t="s">
        <v>1733</v>
      </c>
      <c r="C75">
        <v>83844</v>
      </c>
      <c r="D75" t="s">
        <v>418</v>
      </c>
      <c r="E75">
        <v>132219607</v>
      </c>
      <c r="F75">
        <v>132219655</v>
      </c>
      <c r="G75" t="s">
        <v>1656</v>
      </c>
      <c r="H75">
        <v>3194</v>
      </c>
      <c r="I75">
        <v>3236</v>
      </c>
      <c r="J75" t="s">
        <v>1656</v>
      </c>
      <c r="K75">
        <v>3</v>
      </c>
      <c r="L75" s="9">
        <v>0.89283322768140105</v>
      </c>
    </row>
    <row r="76" spans="1:12">
      <c r="A76" t="s">
        <v>1654</v>
      </c>
      <c r="B76" t="s">
        <v>1655</v>
      </c>
      <c r="C76">
        <v>348013</v>
      </c>
      <c r="D76" t="s">
        <v>339</v>
      </c>
      <c r="E76">
        <v>114512524</v>
      </c>
      <c r="F76">
        <v>114512562</v>
      </c>
      <c r="G76" t="s">
        <v>1656</v>
      </c>
      <c r="H76">
        <v>1580</v>
      </c>
      <c r="I76">
        <v>1617</v>
      </c>
      <c r="J76" t="s">
        <v>35</v>
      </c>
      <c r="K76">
        <v>2</v>
      </c>
      <c r="L76" s="9">
        <v>0.85517229583830401</v>
      </c>
    </row>
    <row r="77" spans="1:12">
      <c r="A77" t="s">
        <v>1657</v>
      </c>
      <c r="B77" t="s">
        <v>1662</v>
      </c>
      <c r="C77">
        <v>1002</v>
      </c>
      <c r="D77" t="s">
        <v>188</v>
      </c>
      <c r="E77">
        <v>60027192</v>
      </c>
      <c r="F77">
        <v>60027231</v>
      </c>
      <c r="G77" t="s">
        <v>1656</v>
      </c>
      <c r="H77">
        <v>1067</v>
      </c>
      <c r="I77">
        <v>1105</v>
      </c>
      <c r="J77" t="s">
        <v>35</v>
      </c>
      <c r="K77">
        <v>2</v>
      </c>
      <c r="L77" s="9">
        <v>0.84622772834397497</v>
      </c>
    </row>
    <row r="78" spans="1:12">
      <c r="A78" t="s">
        <v>1657</v>
      </c>
      <c r="B78" t="s">
        <v>1665</v>
      </c>
      <c r="C78">
        <v>497634</v>
      </c>
      <c r="D78" t="s">
        <v>279</v>
      </c>
      <c r="E78">
        <v>47795570</v>
      </c>
      <c r="F78">
        <v>47795657</v>
      </c>
      <c r="G78" t="s">
        <v>35</v>
      </c>
      <c r="H78">
        <v>1686</v>
      </c>
      <c r="I78">
        <v>1783</v>
      </c>
      <c r="J78" t="s">
        <v>35</v>
      </c>
      <c r="K78">
        <v>2</v>
      </c>
      <c r="L78" s="9">
        <v>0.84622772834397497</v>
      </c>
    </row>
    <row r="79" spans="1:12">
      <c r="A79" t="s">
        <v>1767</v>
      </c>
      <c r="B79" t="s">
        <v>1769</v>
      </c>
      <c r="C79">
        <v>400566</v>
      </c>
      <c r="D79" t="s">
        <v>133</v>
      </c>
      <c r="E79">
        <v>231774</v>
      </c>
      <c r="F79">
        <v>232073</v>
      </c>
      <c r="G79" t="s">
        <v>1656</v>
      </c>
      <c r="H79">
        <v>1518</v>
      </c>
      <c r="I79">
        <v>1786</v>
      </c>
      <c r="J79" t="s">
        <v>35</v>
      </c>
      <c r="K79">
        <v>2</v>
      </c>
      <c r="L79" s="9">
        <v>0.84285407246016497</v>
      </c>
    </row>
    <row r="80" spans="1:12">
      <c r="A80" t="s">
        <v>1767</v>
      </c>
      <c r="B80" t="s">
        <v>1664</v>
      </c>
      <c r="C80">
        <v>23284</v>
      </c>
      <c r="D80" t="s">
        <v>220</v>
      </c>
      <c r="E80">
        <v>60905959</v>
      </c>
      <c r="F80">
        <v>60906250</v>
      </c>
      <c r="G80" t="s">
        <v>35</v>
      </c>
      <c r="H80">
        <v>1544</v>
      </c>
      <c r="I80">
        <v>1778</v>
      </c>
      <c r="J80" t="s">
        <v>35</v>
      </c>
      <c r="K80">
        <v>2</v>
      </c>
      <c r="L80" s="9">
        <v>0.84285407246016497</v>
      </c>
    </row>
    <row r="81" spans="1:12">
      <c r="A81" t="s">
        <v>1767</v>
      </c>
      <c r="B81" t="s">
        <v>1772</v>
      </c>
      <c r="C81">
        <v>65267</v>
      </c>
      <c r="D81" t="s">
        <v>418</v>
      </c>
      <c r="E81">
        <v>54401003</v>
      </c>
      <c r="F81">
        <v>54401138</v>
      </c>
      <c r="G81" t="s">
        <v>1656</v>
      </c>
      <c r="H81">
        <v>1509</v>
      </c>
      <c r="I81">
        <v>1634</v>
      </c>
      <c r="J81" t="s">
        <v>35</v>
      </c>
      <c r="K81">
        <v>2</v>
      </c>
      <c r="L81" s="9">
        <v>0.84285407246016497</v>
      </c>
    </row>
    <row r="82" spans="1:12">
      <c r="A82" t="s">
        <v>1666</v>
      </c>
      <c r="B82" t="s">
        <v>1670</v>
      </c>
      <c r="C82">
        <v>7644</v>
      </c>
      <c r="D82" t="s">
        <v>139</v>
      </c>
      <c r="E82">
        <v>23632980</v>
      </c>
      <c r="F82">
        <v>23633026</v>
      </c>
      <c r="G82" t="s">
        <v>1656</v>
      </c>
      <c r="H82">
        <v>1101</v>
      </c>
      <c r="I82">
        <v>1571</v>
      </c>
      <c r="J82" t="s">
        <v>35</v>
      </c>
      <c r="K82">
        <v>2</v>
      </c>
      <c r="L82" s="9">
        <v>0.82676058666931196</v>
      </c>
    </row>
    <row r="83" spans="1:12">
      <c r="A83" t="s">
        <v>1666</v>
      </c>
      <c r="B83" t="s">
        <v>1674</v>
      </c>
      <c r="C83">
        <v>1493</v>
      </c>
      <c r="D83" t="s">
        <v>172</v>
      </c>
      <c r="E83">
        <v>204692134</v>
      </c>
      <c r="F83">
        <v>204692172</v>
      </c>
      <c r="G83" t="s">
        <v>35</v>
      </c>
      <c r="H83">
        <v>2153</v>
      </c>
      <c r="I83">
        <v>2191</v>
      </c>
      <c r="J83" t="s">
        <v>1656</v>
      </c>
      <c r="K83">
        <v>2</v>
      </c>
      <c r="L83" s="9">
        <v>0.82676058666931196</v>
      </c>
    </row>
    <row r="84" spans="1:12">
      <c r="A84" t="s">
        <v>1666</v>
      </c>
      <c r="B84" t="s">
        <v>1676</v>
      </c>
      <c r="C84">
        <v>729862</v>
      </c>
      <c r="D84" t="s">
        <v>226</v>
      </c>
      <c r="E84">
        <v>28325370</v>
      </c>
      <c r="F84">
        <v>28325434</v>
      </c>
      <c r="G84" t="s">
        <v>1656</v>
      </c>
      <c r="H84">
        <v>1656</v>
      </c>
      <c r="I84">
        <v>1702</v>
      </c>
      <c r="J84" t="s">
        <v>35</v>
      </c>
      <c r="K84">
        <v>2</v>
      </c>
      <c r="L84" s="9">
        <v>0.82676058666931196</v>
      </c>
    </row>
    <row r="85" spans="1:12">
      <c r="A85" t="s">
        <v>1666</v>
      </c>
      <c r="B85" t="s">
        <v>1677</v>
      </c>
      <c r="C85">
        <v>5295</v>
      </c>
      <c r="D85" t="s">
        <v>226</v>
      </c>
      <c r="E85">
        <v>67420688</v>
      </c>
      <c r="F85">
        <v>67420746</v>
      </c>
      <c r="G85" t="s">
        <v>35</v>
      </c>
      <c r="H85">
        <v>1600</v>
      </c>
      <c r="I85">
        <v>1801</v>
      </c>
      <c r="J85" t="s">
        <v>35</v>
      </c>
      <c r="K85">
        <v>2</v>
      </c>
      <c r="L85" s="9">
        <v>0.82676058666931196</v>
      </c>
    </row>
    <row r="86" spans="1:12">
      <c r="A86" t="s">
        <v>1666</v>
      </c>
      <c r="B86" t="s">
        <v>1680</v>
      </c>
      <c r="C86">
        <v>4068</v>
      </c>
      <c r="D86" t="s">
        <v>418</v>
      </c>
      <c r="E86">
        <v>123504193</v>
      </c>
      <c r="F86">
        <v>123504231</v>
      </c>
      <c r="G86" t="s">
        <v>1656</v>
      </c>
      <c r="H86">
        <v>2133</v>
      </c>
      <c r="I86">
        <v>2171</v>
      </c>
      <c r="J86" t="s">
        <v>1656</v>
      </c>
      <c r="K86">
        <v>2</v>
      </c>
      <c r="L86" s="9">
        <v>0.82676058666931196</v>
      </c>
    </row>
    <row r="87" spans="1:12">
      <c r="A87" t="s">
        <v>1706</v>
      </c>
      <c r="B87" t="s">
        <v>1716</v>
      </c>
      <c r="C87">
        <v>441666</v>
      </c>
      <c r="D87" t="s">
        <v>69</v>
      </c>
      <c r="E87">
        <v>42390942</v>
      </c>
      <c r="F87">
        <v>42390980</v>
      </c>
      <c r="G87" t="s">
        <v>35</v>
      </c>
      <c r="H87">
        <v>1716</v>
      </c>
      <c r="I87">
        <v>1788</v>
      </c>
      <c r="J87" t="s">
        <v>35</v>
      </c>
      <c r="K87">
        <v>3</v>
      </c>
      <c r="L87" s="9">
        <v>0.79999573335608898</v>
      </c>
    </row>
    <row r="88" spans="1:12">
      <c r="A88" t="s">
        <v>1706</v>
      </c>
      <c r="B88" t="s">
        <v>1708</v>
      </c>
      <c r="C88">
        <v>124149</v>
      </c>
      <c r="D88" t="s">
        <v>129</v>
      </c>
      <c r="E88">
        <v>46432349</v>
      </c>
      <c r="F88">
        <v>46432388</v>
      </c>
      <c r="G88" t="s">
        <v>35</v>
      </c>
      <c r="H88">
        <v>1776</v>
      </c>
      <c r="I88">
        <v>1814</v>
      </c>
      <c r="J88" t="s">
        <v>35</v>
      </c>
      <c r="K88">
        <v>3</v>
      </c>
      <c r="L88" s="9">
        <v>0.79999573335608898</v>
      </c>
    </row>
    <row r="89" spans="1:12">
      <c r="A89" t="s">
        <v>1706</v>
      </c>
      <c r="B89" t="s">
        <v>1709</v>
      </c>
      <c r="C89">
        <v>100616399</v>
      </c>
      <c r="D89" t="s">
        <v>172</v>
      </c>
      <c r="E89">
        <v>89877768</v>
      </c>
      <c r="F89">
        <v>89877806</v>
      </c>
      <c r="G89" t="s">
        <v>1656</v>
      </c>
      <c r="H89">
        <v>1517</v>
      </c>
      <c r="I89">
        <v>1657</v>
      </c>
      <c r="J89" t="s">
        <v>1656</v>
      </c>
      <c r="K89">
        <v>3</v>
      </c>
      <c r="L89" s="9">
        <v>0.79999573335608898</v>
      </c>
    </row>
    <row r="90" spans="1:12">
      <c r="A90" t="s">
        <v>1706</v>
      </c>
      <c r="B90" t="s">
        <v>1710</v>
      </c>
      <c r="C90">
        <v>7179</v>
      </c>
      <c r="D90" t="s">
        <v>193</v>
      </c>
      <c r="E90">
        <v>10791580</v>
      </c>
      <c r="F90">
        <v>10791618</v>
      </c>
      <c r="G90" t="s">
        <v>1656</v>
      </c>
      <c r="H90">
        <v>1737</v>
      </c>
      <c r="I90">
        <v>1800</v>
      </c>
      <c r="J90" t="s">
        <v>1656</v>
      </c>
      <c r="K90">
        <v>3</v>
      </c>
      <c r="L90" s="9">
        <v>0.79999573335608898</v>
      </c>
    </row>
    <row r="91" spans="1:12">
      <c r="A91" t="s">
        <v>1706</v>
      </c>
      <c r="B91" t="s">
        <v>1711</v>
      </c>
      <c r="C91">
        <v>80157</v>
      </c>
      <c r="D91" t="s">
        <v>220</v>
      </c>
      <c r="E91">
        <v>49646658</v>
      </c>
      <c r="F91">
        <v>49646696</v>
      </c>
      <c r="G91" t="s">
        <v>1656</v>
      </c>
      <c r="H91">
        <v>1565</v>
      </c>
      <c r="I91">
        <v>1820</v>
      </c>
      <c r="J91" t="s">
        <v>1656</v>
      </c>
      <c r="K91">
        <v>3</v>
      </c>
      <c r="L91" s="9">
        <v>0.79999573335608898</v>
      </c>
    </row>
    <row r="92" spans="1:12">
      <c r="A92" t="s">
        <v>1706</v>
      </c>
      <c r="B92" t="s">
        <v>1711</v>
      </c>
      <c r="C92">
        <v>80157</v>
      </c>
      <c r="D92" t="s">
        <v>220</v>
      </c>
      <c r="E92">
        <v>49653379</v>
      </c>
      <c r="F92">
        <v>49653417</v>
      </c>
      <c r="G92" t="s">
        <v>1656</v>
      </c>
      <c r="H92">
        <v>1613</v>
      </c>
      <c r="I92">
        <v>1786</v>
      </c>
      <c r="J92" t="s">
        <v>1656</v>
      </c>
      <c r="K92">
        <v>3</v>
      </c>
      <c r="L92" s="9">
        <v>0.79999573335608898</v>
      </c>
    </row>
    <row r="93" spans="1:12">
      <c r="A93" t="s">
        <v>1695</v>
      </c>
      <c r="B93" t="s">
        <v>3948</v>
      </c>
      <c r="C93">
        <v>474338</v>
      </c>
      <c r="D93" t="s">
        <v>22</v>
      </c>
      <c r="E93">
        <v>160274575</v>
      </c>
      <c r="F93">
        <v>160274810</v>
      </c>
      <c r="G93" t="s">
        <v>35</v>
      </c>
      <c r="H93">
        <v>1626</v>
      </c>
      <c r="I93">
        <v>1774</v>
      </c>
      <c r="J93" t="s">
        <v>35</v>
      </c>
      <c r="K93">
        <v>3</v>
      </c>
      <c r="L93" s="9">
        <v>0.789361511785167</v>
      </c>
    </row>
    <row r="94" spans="1:12">
      <c r="A94" t="s">
        <v>1695</v>
      </c>
      <c r="B94" t="s">
        <v>1701</v>
      </c>
      <c r="C94">
        <v>151651</v>
      </c>
      <c r="D94" t="s">
        <v>201</v>
      </c>
      <c r="E94">
        <v>19959174</v>
      </c>
      <c r="F94">
        <v>19959358</v>
      </c>
      <c r="G94" t="s">
        <v>1656</v>
      </c>
      <c r="H94">
        <v>202</v>
      </c>
      <c r="I94">
        <v>436</v>
      </c>
      <c r="J94" t="s">
        <v>35</v>
      </c>
      <c r="K94">
        <v>3</v>
      </c>
      <c r="L94" s="9">
        <v>0.789361511785167</v>
      </c>
    </row>
    <row r="95" spans="1:12">
      <c r="A95" t="s">
        <v>1685</v>
      </c>
      <c r="B95" t="s">
        <v>1689</v>
      </c>
      <c r="C95">
        <v>55157</v>
      </c>
      <c r="D95" t="s">
        <v>22</v>
      </c>
      <c r="E95">
        <v>173807932</v>
      </c>
      <c r="F95">
        <v>173807972</v>
      </c>
      <c r="G95" t="s">
        <v>1656</v>
      </c>
      <c r="H95">
        <v>760</v>
      </c>
      <c r="I95">
        <v>852</v>
      </c>
      <c r="J95" t="s">
        <v>1656</v>
      </c>
      <c r="K95">
        <v>3</v>
      </c>
      <c r="L95" s="9">
        <v>0.78353326490476205</v>
      </c>
    </row>
    <row r="96" spans="1:12">
      <c r="A96" t="s">
        <v>1685</v>
      </c>
      <c r="B96" t="s">
        <v>1690</v>
      </c>
      <c r="C96">
        <v>10005</v>
      </c>
      <c r="D96" t="s">
        <v>188</v>
      </c>
      <c r="E96">
        <v>44479353</v>
      </c>
      <c r="F96">
        <v>44479392</v>
      </c>
      <c r="G96" t="s">
        <v>35</v>
      </c>
      <c r="H96">
        <v>836</v>
      </c>
      <c r="I96">
        <v>1111</v>
      </c>
      <c r="J96" t="s">
        <v>1656</v>
      </c>
      <c r="K96">
        <v>3</v>
      </c>
      <c r="L96" s="9">
        <v>0.78353326490476205</v>
      </c>
    </row>
    <row r="97" spans="1:12">
      <c r="A97" t="s">
        <v>1685</v>
      </c>
      <c r="B97" t="s">
        <v>1693</v>
      </c>
      <c r="C97">
        <v>57691</v>
      </c>
      <c r="D97" t="s">
        <v>237</v>
      </c>
      <c r="E97">
        <v>56925782</v>
      </c>
      <c r="F97">
        <v>56925821</v>
      </c>
      <c r="G97" t="s">
        <v>1656</v>
      </c>
      <c r="H97">
        <v>697</v>
      </c>
      <c r="I97">
        <v>835</v>
      </c>
      <c r="J97" t="s">
        <v>1656</v>
      </c>
      <c r="K97">
        <v>3</v>
      </c>
      <c r="L97" s="9">
        <v>0.78353326490476205</v>
      </c>
    </row>
    <row r="98" spans="1:12">
      <c r="A98" t="s">
        <v>1753</v>
      </c>
      <c r="B98" t="s">
        <v>1716</v>
      </c>
      <c r="C98">
        <v>441666</v>
      </c>
      <c r="D98" t="s">
        <v>69</v>
      </c>
      <c r="E98">
        <v>42532992</v>
      </c>
      <c r="F98">
        <v>42533030</v>
      </c>
      <c r="G98" t="s">
        <v>35</v>
      </c>
      <c r="H98">
        <v>2469</v>
      </c>
      <c r="I98">
        <v>2509</v>
      </c>
      <c r="J98" t="s">
        <v>1656</v>
      </c>
      <c r="K98">
        <v>2</v>
      </c>
      <c r="L98" s="9">
        <v>0.66312117876420695</v>
      </c>
    </row>
    <row r="99" spans="1:12">
      <c r="A99" t="s">
        <v>1753</v>
      </c>
      <c r="B99" t="s">
        <v>1760</v>
      </c>
      <c r="C99">
        <v>120824</v>
      </c>
      <c r="D99" t="s">
        <v>83</v>
      </c>
      <c r="E99">
        <v>48835201</v>
      </c>
      <c r="F99">
        <v>48835239</v>
      </c>
      <c r="G99" t="s">
        <v>1656</v>
      </c>
      <c r="H99">
        <v>778</v>
      </c>
      <c r="I99">
        <v>846</v>
      </c>
      <c r="J99" t="s">
        <v>1656</v>
      </c>
      <c r="K99">
        <v>2</v>
      </c>
      <c r="L99" s="9">
        <v>0.66312117876420695</v>
      </c>
    </row>
    <row r="100" spans="1:12">
      <c r="A100" t="s">
        <v>1753</v>
      </c>
      <c r="B100" t="s">
        <v>1762</v>
      </c>
      <c r="C100">
        <v>79097</v>
      </c>
      <c r="D100" t="s">
        <v>83</v>
      </c>
      <c r="E100">
        <v>55015001</v>
      </c>
      <c r="F100">
        <v>55015039</v>
      </c>
      <c r="G100" t="s">
        <v>35</v>
      </c>
      <c r="H100">
        <v>2476</v>
      </c>
      <c r="I100">
        <v>2600</v>
      </c>
      <c r="J100" t="s">
        <v>1656</v>
      </c>
      <c r="K100">
        <v>2</v>
      </c>
      <c r="L100" s="9">
        <v>0.66312117876420695</v>
      </c>
    </row>
    <row r="101" spans="1:12">
      <c r="A101" t="s">
        <v>1753</v>
      </c>
      <c r="B101" t="s">
        <v>1763</v>
      </c>
      <c r="C101">
        <v>84920</v>
      </c>
      <c r="D101" t="s">
        <v>104</v>
      </c>
      <c r="E101">
        <v>34814574</v>
      </c>
      <c r="F101">
        <v>34814611</v>
      </c>
      <c r="G101" t="s">
        <v>1656</v>
      </c>
      <c r="H101">
        <v>766</v>
      </c>
      <c r="I101">
        <v>823</v>
      </c>
      <c r="J101" t="s">
        <v>1656</v>
      </c>
      <c r="K101">
        <v>2</v>
      </c>
      <c r="L101" s="9">
        <v>0.66312117876420695</v>
      </c>
    </row>
    <row r="102" spans="1:12">
      <c r="A102" t="s">
        <v>1753</v>
      </c>
      <c r="B102" t="s">
        <v>1764</v>
      </c>
      <c r="C102">
        <v>148189</v>
      </c>
      <c r="D102" t="s">
        <v>139</v>
      </c>
      <c r="E102">
        <v>27754516</v>
      </c>
      <c r="F102">
        <v>27754553</v>
      </c>
      <c r="G102" t="s">
        <v>1656</v>
      </c>
      <c r="H102">
        <v>765</v>
      </c>
      <c r="I102">
        <v>822</v>
      </c>
      <c r="J102" t="s">
        <v>1656</v>
      </c>
      <c r="K102">
        <v>2</v>
      </c>
      <c r="L102" s="9">
        <v>0.66312117876420695</v>
      </c>
    </row>
    <row r="103" spans="1:12">
      <c r="A103" t="s">
        <v>1753</v>
      </c>
      <c r="B103" t="s">
        <v>1765</v>
      </c>
      <c r="C103">
        <v>284801</v>
      </c>
      <c r="D103" t="s">
        <v>188</v>
      </c>
      <c r="E103">
        <v>26309326</v>
      </c>
      <c r="F103">
        <v>26309364</v>
      </c>
      <c r="G103" t="s">
        <v>1656</v>
      </c>
      <c r="H103">
        <v>753</v>
      </c>
      <c r="I103">
        <v>847</v>
      </c>
      <c r="J103" t="s">
        <v>1656</v>
      </c>
      <c r="K103">
        <v>2</v>
      </c>
      <c r="L103" s="9">
        <v>0.66312117876420695</v>
      </c>
    </row>
    <row r="104" spans="1:12">
      <c r="A104" t="s">
        <v>1753</v>
      </c>
      <c r="B104" t="s">
        <v>1710</v>
      </c>
      <c r="C104">
        <v>7179</v>
      </c>
      <c r="D104" t="s">
        <v>193</v>
      </c>
      <c r="E104">
        <v>10749250</v>
      </c>
      <c r="F104">
        <v>10749287</v>
      </c>
      <c r="G104" t="s">
        <v>1656</v>
      </c>
      <c r="H104">
        <v>2430</v>
      </c>
      <c r="I104">
        <v>2468</v>
      </c>
      <c r="J104" t="s">
        <v>1656</v>
      </c>
      <c r="K104">
        <v>2</v>
      </c>
      <c r="L104" s="9">
        <v>0.66312117876420695</v>
      </c>
    </row>
    <row r="105" spans="1:12">
      <c r="A105" t="s">
        <v>1753</v>
      </c>
      <c r="B105" t="s">
        <v>1766</v>
      </c>
      <c r="C105">
        <v>2042</v>
      </c>
      <c r="D105" t="s">
        <v>201</v>
      </c>
      <c r="E105">
        <v>90490779</v>
      </c>
      <c r="F105">
        <v>90490816</v>
      </c>
      <c r="G105" t="s">
        <v>35</v>
      </c>
      <c r="H105">
        <v>676</v>
      </c>
      <c r="I105">
        <v>714</v>
      </c>
      <c r="J105" t="s">
        <v>1656</v>
      </c>
      <c r="K105">
        <v>2</v>
      </c>
      <c r="L105" s="9">
        <v>0.66312117876420695</v>
      </c>
    </row>
    <row r="106" spans="1:12">
      <c r="A106" t="s">
        <v>1753</v>
      </c>
      <c r="B106" t="s">
        <v>1755</v>
      </c>
      <c r="C106">
        <v>340441</v>
      </c>
      <c r="D106" t="s">
        <v>279</v>
      </c>
      <c r="E106">
        <v>43465551</v>
      </c>
      <c r="F106">
        <v>43465590</v>
      </c>
      <c r="G106" t="s">
        <v>1656</v>
      </c>
      <c r="H106">
        <v>704</v>
      </c>
      <c r="I106">
        <v>801</v>
      </c>
      <c r="J106" t="s">
        <v>1656</v>
      </c>
      <c r="K106">
        <v>2</v>
      </c>
      <c r="L106" s="9">
        <v>0.66312117876420695</v>
      </c>
    </row>
    <row r="107" spans="1:12">
      <c r="A107" t="s">
        <v>1753</v>
      </c>
      <c r="B107" t="s">
        <v>1758</v>
      </c>
      <c r="C107">
        <v>7789</v>
      </c>
      <c r="D107" t="s">
        <v>418</v>
      </c>
      <c r="E107">
        <v>58562330</v>
      </c>
      <c r="F107">
        <v>58562468</v>
      </c>
      <c r="G107" t="s">
        <v>35</v>
      </c>
      <c r="H107">
        <v>702</v>
      </c>
      <c r="I107">
        <v>806</v>
      </c>
      <c r="J107" t="s">
        <v>1656</v>
      </c>
      <c r="K107">
        <v>2</v>
      </c>
      <c r="L107" s="9">
        <v>0.66312117876420695</v>
      </c>
    </row>
    <row r="108" spans="1:12">
      <c r="A108" t="s">
        <v>1753</v>
      </c>
      <c r="B108" t="s">
        <v>1759</v>
      </c>
      <c r="C108">
        <v>139886</v>
      </c>
      <c r="D108" t="s">
        <v>418</v>
      </c>
      <c r="E108">
        <v>61700234</v>
      </c>
      <c r="F108">
        <v>61700272</v>
      </c>
      <c r="G108" t="s">
        <v>35</v>
      </c>
      <c r="H108">
        <v>810</v>
      </c>
      <c r="I108">
        <v>848</v>
      </c>
      <c r="J108" t="s">
        <v>1656</v>
      </c>
      <c r="K108">
        <v>2</v>
      </c>
      <c r="L108" s="9">
        <v>0.66312117876420695</v>
      </c>
    </row>
    <row r="109" spans="1:12">
      <c r="A109" t="s">
        <v>1739</v>
      </c>
      <c r="B109" t="s">
        <v>1740</v>
      </c>
      <c r="C109">
        <v>255725</v>
      </c>
      <c r="D109" t="s">
        <v>83</v>
      </c>
      <c r="E109">
        <v>6180437</v>
      </c>
      <c r="F109">
        <v>6180488</v>
      </c>
      <c r="G109" t="s">
        <v>1656</v>
      </c>
      <c r="H109">
        <v>2186</v>
      </c>
      <c r="I109">
        <v>2237</v>
      </c>
      <c r="J109" t="s">
        <v>1656</v>
      </c>
      <c r="K109">
        <v>2</v>
      </c>
      <c r="L109" s="9">
        <v>0.60516203213410402</v>
      </c>
    </row>
    <row r="110" spans="1:12">
      <c r="A110" t="s">
        <v>1739</v>
      </c>
      <c r="B110" t="s">
        <v>1744</v>
      </c>
      <c r="C110">
        <v>636</v>
      </c>
      <c r="D110" t="s">
        <v>104</v>
      </c>
      <c r="E110">
        <v>32389754</v>
      </c>
      <c r="F110">
        <v>32389791</v>
      </c>
      <c r="G110" t="s">
        <v>1656</v>
      </c>
      <c r="H110">
        <v>2127</v>
      </c>
      <c r="I110">
        <v>2164</v>
      </c>
      <c r="J110" t="s">
        <v>1656</v>
      </c>
      <c r="K110">
        <v>2</v>
      </c>
      <c r="L110" s="9">
        <v>0.60516203213410402</v>
      </c>
    </row>
    <row r="111" spans="1:12">
      <c r="A111" t="s">
        <v>1739</v>
      </c>
      <c r="B111" t="s">
        <v>1746</v>
      </c>
      <c r="C111">
        <v>6751</v>
      </c>
      <c r="D111" t="s">
        <v>118</v>
      </c>
      <c r="E111">
        <v>38389579</v>
      </c>
      <c r="F111">
        <v>38389617</v>
      </c>
      <c r="G111" t="s">
        <v>35</v>
      </c>
      <c r="H111">
        <v>2178</v>
      </c>
      <c r="I111">
        <v>2216</v>
      </c>
      <c r="J111" t="s">
        <v>1656</v>
      </c>
      <c r="K111">
        <v>2</v>
      </c>
      <c r="L111" s="9">
        <v>0.60516203213410402</v>
      </c>
    </row>
    <row r="112" spans="1:12">
      <c r="A112" t="s">
        <v>1739</v>
      </c>
      <c r="B112" t="s">
        <v>1745</v>
      </c>
      <c r="C112">
        <v>100129345</v>
      </c>
      <c r="D112" t="s">
        <v>118</v>
      </c>
      <c r="E112">
        <v>98252055</v>
      </c>
      <c r="F112">
        <v>98252091</v>
      </c>
      <c r="G112" t="s">
        <v>1656</v>
      </c>
      <c r="H112">
        <v>2058</v>
      </c>
      <c r="I112">
        <v>2096</v>
      </c>
      <c r="J112" t="s">
        <v>1656</v>
      </c>
      <c r="K112">
        <v>2</v>
      </c>
      <c r="L112" s="9">
        <v>0.60516203213410402</v>
      </c>
    </row>
    <row r="113" spans="1:12">
      <c r="A113" t="s">
        <v>1739</v>
      </c>
      <c r="B113" t="s">
        <v>3945</v>
      </c>
      <c r="C113">
        <v>100616316</v>
      </c>
      <c r="D113" t="s">
        <v>133</v>
      </c>
      <c r="E113">
        <v>67110369</v>
      </c>
      <c r="F113">
        <v>67110408</v>
      </c>
      <c r="G113" t="s">
        <v>1656</v>
      </c>
      <c r="H113">
        <v>2258</v>
      </c>
      <c r="I113">
        <v>2337</v>
      </c>
      <c r="J113" t="s">
        <v>1656</v>
      </c>
      <c r="K113">
        <v>2</v>
      </c>
      <c r="L113" s="9">
        <v>0.60516203213410402</v>
      </c>
    </row>
    <row r="114" spans="1:12">
      <c r="A114" t="s">
        <v>1739</v>
      </c>
      <c r="B114" t="s">
        <v>1747</v>
      </c>
      <c r="C114">
        <v>9595</v>
      </c>
      <c r="D114" t="s">
        <v>172</v>
      </c>
      <c r="E114">
        <v>158246561</v>
      </c>
      <c r="F114">
        <v>158246598</v>
      </c>
      <c r="G114" t="s">
        <v>35</v>
      </c>
      <c r="H114">
        <v>2199</v>
      </c>
      <c r="I114">
        <v>2355</v>
      </c>
      <c r="J114" t="s">
        <v>1656</v>
      </c>
      <c r="K114">
        <v>2</v>
      </c>
      <c r="L114" s="9">
        <v>0.60516203213410402</v>
      </c>
    </row>
    <row r="115" spans="1:12">
      <c r="A115" t="s">
        <v>1739</v>
      </c>
      <c r="B115" t="s">
        <v>1748</v>
      </c>
      <c r="C115">
        <v>64924</v>
      </c>
      <c r="D115" t="s">
        <v>226</v>
      </c>
      <c r="E115">
        <v>68153925</v>
      </c>
      <c r="F115">
        <v>68153963</v>
      </c>
      <c r="G115" t="s">
        <v>35</v>
      </c>
      <c r="H115">
        <v>2047</v>
      </c>
      <c r="I115">
        <v>2089</v>
      </c>
      <c r="J115" t="s">
        <v>1656</v>
      </c>
      <c r="K115">
        <v>2</v>
      </c>
      <c r="L115" s="9">
        <v>0.60516203213410402</v>
      </c>
    </row>
    <row r="116" spans="1:12">
      <c r="A116" t="s">
        <v>1739</v>
      </c>
      <c r="B116" t="s">
        <v>799</v>
      </c>
      <c r="C116">
        <v>346007</v>
      </c>
      <c r="D116" t="s">
        <v>237</v>
      </c>
      <c r="E116">
        <v>65350277</v>
      </c>
      <c r="F116">
        <v>65350338</v>
      </c>
      <c r="G116" t="s">
        <v>1656</v>
      </c>
      <c r="H116">
        <v>2158</v>
      </c>
      <c r="I116">
        <v>2317</v>
      </c>
      <c r="J116" t="s">
        <v>1656</v>
      </c>
      <c r="K116">
        <v>2</v>
      </c>
      <c r="L116" s="9">
        <v>0.60516203213410402</v>
      </c>
    </row>
    <row r="117" spans="1:12">
      <c r="A117" t="s">
        <v>1739</v>
      </c>
      <c r="B117" t="s">
        <v>1750</v>
      </c>
      <c r="C117">
        <v>285954</v>
      </c>
      <c r="D117" t="s">
        <v>257</v>
      </c>
      <c r="E117">
        <v>41797640</v>
      </c>
      <c r="F117">
        <v>41797680</v>
      </c>
      <c r="G117" t="s">
        <v>1656</v>
      </c>
      <c r="H117">
        <v>2152</v>
      </c>
      <c r="I117">
        <v>2302</v>
      </c>
      <c r="J117" t="s">
        <v>1656</v>
      </c>
      <c r="K117">
        <v>2</v>
      </c>
      <c r="L117" s="9">
        <v>0.60516203213410402</v>
      </c>
    </row>
    <row r="118" spans="1:12">
      <c r="A118" t="s">
        <v>1739</v>
      </c>
      <c r="B118" t="s">
        <v>1751</v>
      </c>
      <c r="C118">
        <v>158584</v>
      </c>
      <c r="D118" t="s">
        <v>418</v>
      </c>
      <c r="E118">
        <v>57533997</v>
      </c>
      <c r="F118">
        <v>57534035</v>
      </c>
      <c r="G118" t="s">
        <v>1656</v>
      </c>
      <c r="H118">
        <v>2178</v>
      </c>
      <c r="I118">
        <v>2215</v>
      </c>
      <c r="J118" t="s">
        <v>1656</v>
      </c>
      <c r="K118">
        <v>2</v>
      </c>
      <c r="L118" s="9">
        <v>0.60516203213410402</v>
      </c>
    </row>
    <row r="119" spans="1:12">
      <c r="A119" t="s">
        <v>1718</v>
      </c>
      <c r="B119" t="s">
        <v>1723</v>
      </c>
      <c r="C119">
        <v>7062</v>
      </c>
      <c r="D119" t="s">
        <v>22</v>
      </c>
      <c r="E119">
        <v>152071718</v>
      </c>
      <c r="F119">
        <v>152071756</v>
      </c>
      <c r="G119" t="s">
        <v>1656</v>
      </c>
      <c r="H119">
        <v>1409</v>
      </c>
      <c r="I119">
        <v>1447</v>
      </c>
      <c r="J119" t="s">
        <v>35</v>
      </c>
      <c r="K119">
        <v>2</v>
      </c>
      <c r="L119" s="9">
        <v>0.59522215178760096</v>
      </c>
    </row>
    <row r="120" spans="1:12">
      <c r="A120" t="s">
        <v>1718</v>
      </c>
      <c r="B120" t="s">
        <v>1720</v>
      </c>
      <c r="C120">
        <v>399806</v>
      </c>
      <c r="D120" t="s">
        <v>69</v>
      </c>
      <c r="E120">
        <v>103043358</v>
      </c>
      <c r="F120">
        <v>103043395</v>
      </c>
      <c r="G120" t="s">
        <v>1656</v>
      </c>
      <c r="H120">
        <v>2241</v>
      </c>
      <c r="I120">
        <v>2278</v>
      </c>
      <c r="J120" t="s">
        <v>1656</v>
      </c>
      <c r="K120">
        <v>2</v>
      </c>
      <c r="L120" s="9">
        <v>0.59522215178760096</v>
      </c>
    </row>
    <row r="121" spans="1:12">
      <c r="A121" t="s">
        <v>1718</v>
      </c>
      <c r="B121" t="s">
        <v>1721</v>
      </c>
      <c r="C121">
        <v>55107</v>
      </c>
      <c r="D121" t="s">
        <v>83</v>
      </c>
      <c r="E121">
        <v>70030439</v>
      </c>
      <c r="F121">
        <v>70030706</v>
      </c>
      <c r="G121" t="s">
        <v>1656</v>
      </c>
      <c r="H121">
        <v>1666</v>
      </c>
      <c r="I121">
        <v>1756</v>
      </c>
      <c r="J121" t="s">
        <v>35</v>
      </c>
      <c r="K121">
        <v>2</v>
      </c>
      <c r="L121" s="9">
        <v>0.59522215178760096</v>
      </c>
    </row>
    <row r="122" spans="1:12">
      <c r="A122" t="s">
        <v>1718</v>
      </c>
      <c r="B122" t="s">
        <v>1722</v>
      </c>
      <c r="C122">
        <v>399979</v>
      </c>
      <c r="D122" t="s">
        <v>83</v>
      </c>
      <c r="E122">
        <v>130587631</v>
      </c>
      <c r="F122">
        <v>130587668</v>
      </c>
      <c r="G122" t="s">
        <v>1656</v>
      </c>
      <c r="H122">
        <v>1975</v>
      </c>
      <c r="I122">
        <v>2013</v>
      </c>
      <c r="J122" t="s">
        <v>1656</v>
      </c>
      <c r="K122">
        <v>2</v>
      </c>
      <c r="L122" s="9">
        <v>0.59522215178760096</v>
      </c>
    </row>
    <row r="123" spans="1:12">
      <c r="A123" t="s">
        <v>1718</v>
      </c>
      <c r="B123" t="s">
        <v>1455</v>
      </c>
      <c r="C123">
        <v>79596</v>
      </c>
      <c r="D123" t="s">
        <v>339</v>
      </c>
      <c r="E123">
        <v>79285632</v>
      </c>
      <c r="F123">
        <v>79285677</v>
      </c>
      <c r="G123" t="s">
        <v>1656</v>
      </c>
      <c r="H123">
        <v>598</v>
      </c>
      <c r="I123">
        <v>796</v>
      </c>
      <c r="J123" t="s">
        <v>1656</v>
      </c>
      <c r="K123">
        <v>2</v>
      </c>
      <c r="L123" s="9">
        <v>0.59522215178760096</v>
      </c>
    </row>
    <row r="124" spans="1:12">
      <c r="A124" t="s">
        <v>1718</v>
      </c>
      <c r="B124" t="s">
        <v>3943</v>
      </c>
      <c r="C124">
        <v>146862</v>
      </c>
      <c r="D124" t="s">
        <v>133</v>
      </c>
      <c r="E124">
        <v>33478168</v>
      </c>
      <c r="F124">
        <v>33478217</v>
      </c>
      <c r="G124" t="s">
        <v>35</v>
      </c>
      <c r="H124">
        <v>3187</v>
      </c>
      <c r="I124">
        <v>3226</v>
      </c>
      <c r="J124" t="s">
        <v>1656</v>
      </c>
      <c r="K124">
        <v>2</v>
      </c>
      <c r="L124" s="9">
        <v>0.59522215178760096</v>
      </c>
    </row>
    <row r="125" spans="1:12">
      <c r="A125" t="s">
        <v>1718</v>
      </c>
      <c r="B125" t="s">
        <v>1728</v>
      </c>
      <c r="C125">
        <v>3838</v>
      </c>
      <c r="D125" t="s">
        <v>133</v>
      </c>
      <c r="E125">
        <v>66021542</v>
      </c>
      <c r="F125">
        <v>66021583</v>
      </c>
      <c r="G125" t="s">
        <v>35</v>
      </c>
      <c r="H125">
        <v>1610</v>
      </c>
      <c r="I125">
        <v>1702</v>
      </c>
      <c r="J125" t="s">
        <v>1656</v>
      </c>
      <c r="K125">
        <v>2</v>
      </c>
      <c r="L125" s="9">
        <v>0.59522215178760096</v>
      </c>
    </row>
    <row r="126" spans="1:12">
      <c r="A126" t="s">
        <v>1718</v>
      </c>
      <c r="B126" t="s">
        <v>1730</v>
      </c>
      <c r="C126">
        <v>85443</v>
      </c>
      <c r="D126" t="s">
        <v>201</v>
      </c>
      <c r="E126">
        <v>36679113</v>
      </c>
      <c r="F126">
        <v>36679219</v>
      </c>
      <c r="G126" t="s">
        <v>35</v>
      </c>
      <c r="H126">
        <v>2260</v>
      </c>
      <c r="I126">
        <v>2327</v>
      </c>
      <c r="J126" t="s">
        <v>35</v>
      </c>
      <c r="K126">
        <v>2</v>
      </c>
      <c r="L126" s="9">
        <v>0.59522215178760096</v>
      </c>
    </row>
    <row r="127" spans="1:12">
      <c r="A127" t="s">
        <v>1718</v>
      </c>
      <c r="B127" t="s">
        <v>1729</v>
      </c>
      <c r="C127">
        <v>285386</v>
      </c>
      <c r="D127" t="s">
        <v>201</v>
      </c>
      <c r="E127">
        <v>189069781</v>
      </c>
      <c r="F127">
        <v>189069875</v>
      </c>
      <c r="G127" t="s">
        <v>1656</v>
      </c>
      <c r="H127">
        <v>3065</v>
      </c>
      <c r="I127">
        <v>3260</v>
      </c>
      <c r="J127" t="s">
        <v>35</v>
      </c>
      <c r="K127">
        <v>2</v>
      </c>
      <c r="L127" s="9">
        <v>0.59522215178760096</v>
      </c>
    </row>
    <row r="128" spans="1:12">
      <c r="A128" t="s">
        <v>1718</v>
      </c>
      <c r="B128" t="s">
        <v>3944</v>
      </c>
      <c r="C128">
        <v>692226</v>
      </c>
      <c r="D128" t="s">
        <v>418</v>
      </c>
      <c r="E128">
        <v>109556747</v>
      </c>
      <c r="F128">
        <v>109556785</v>
      </c>
      <c r="G128" t="s">
        <v>1656</v>
      </c>
      <c r="H128">
        <v>2235</v>
      </c>
      <c r="I128">
        <v>2273</v>
      </c>
      <c r="J128" t="s">
        <v>1656</v>
      </c>
      <c r="K128">
        <v>2</v>
      </c>
      <c r="L128" s="9">
        <v>0.59522215178760096</v>
      </c>
    </row>
    <row r="129" spans="1:12">
      <c r="A129" t="s">
        <v>1734</v>
      </c>
      <c r="B129" t="s">
        <v>1736</v>
      </c>
      <c r="C129">
        <v>129293</v>
      </c>
      <c r="D129" t="s">
        <v>172</v>
      </c>
      <c r="E129">
        <v>85062666</v>
      </c>
      <c r="F129">
        <v>85062707</v>
      </c>
      <c r="G129" t="s">
        <v>35</v>
      </c>
      <c r="H129">
        <v>1660</v>
      </c>
      <c r="I129">
        <v>1786</v>
      </c>
      <c r="J129" t="s">
        <v>35</v>
      </c>
      <c r="K129">
        <v>2</v>
      </c>
      <c r="L129" s="9">
        <v>0.58265890565004297</v>
      </c>
    </row>
    <row r="130" spans="1:12">
      <c r="A130" t="s">
        <v>1734</v>
      </c>
      <c r="B130" t="s">
        <v>1737</v>
      </c>
      <c r="C130">
        <v>112495</v>
      </c>
      <c r="D130" t="s">
        <v>237</v>
      </c>
      <c r="E130">
        <v>111271831</v>
      </c>
      <c r="F130">
        <v>111271869</v>
      </c>
      <c r="G130" t="s">
        <v>1656</v>
      </c>
      <c r="H130">
        <v>1578</v>
      </c>
      <c r="I130">
        <v>1616</v>
      </c>
      <c r="J130" t="s">
        <v>35</v>
      </c>
      <c r="K130">
        <v>2</v>
      </c>
      <c r="L130" s="9">
        <v>0.58265890565004297</v>
      </c>
    </row>
    <row r="131" spans="1:12">
      <c r="A131" t="s">
        <v>1706</v>
      </c>
      <c r="B131" t="s">
        <v>1716</v>
      </c>
      <c r="C131">
        <v>441666</v>
      </c>
      <c r="D131" t="s">
        <v>69</v>
      </c>
      <c r="E131">
        <v>42396368</v>
      </c>
      <c r="F131">
        <v>42396726</v>
      </c>
      <c r="G131" t="s">
        <v>1656</v>
      </c>
      <c r="H131">
        <v>3043</v>
      </c>
      <c r="I131">
        <v>3135</v>
      </c>
      <c r="J131" t="s">
        <v>1656</v>
      </c>
      <c r="K131">
        <v>2</v>
      </c>
      <c r="L131" s="9">
        <v>0.53333048890405899</v>
      </c>
    </row>
    <row r="132" spans="1:12">
      <c r="A132" t="s">
        <v>1706</v>
      </c>
      <c r="B132" t="s">
        <v>1717</v>
      </c>
      <c r="C132">
        <v>114815</v>
      </c>
      <c r="D132" t="s">
        <v>69</v>
      </c>
      <c r="E132">
        <v>109045371</v>
      </c>
      <c r="F132">
        <v>109045409</v>
      </c>
      <c r="G132" t="s">
        <v>35</v>
      </c>
      <c r="H132">
        <v>1537</v>
      </c>
      <c r="I132">
        <v>1576</v>
      </c>
      <c r="J132" t="s">
        <v>1656</v>
      </c>
      <c r="K132">
        <v>2</v>
      </c>
      <c r="L132" s="9">
        <v>0.53333048890405899</v>
      </c>
    </row>
    <row r="133" spans="1:12">
      <c r="A133" t="s">
        <v>1706</v>
      </c>
      <c r="B133" t="s">
        <v>1709</v>
      </c>
      <c r="C133">
        <v>100616399</v>
      </c>
      <c r="D133" t="s">
        <v>172</v>
      </c>
      <c r="E133">
        <v>89865687</v>
      </c>
      <c r="F133">
        <v>89865726</v>
      </c>
      <c r="G133" t="s">
        <v>35</v>
      </c>
      <c r="H133">
        <v>1432</v>
      </c>
      <c r="I133">
        <v>1570</v>
      </c>
      <c r="J133" t="s">
        <v>1656</v>
      </c>
      <c r="K133">
        <v>2</v>
      </c>
      <c r="L133" s="9">
        <v>0.53333048890405899</v>
      </c>
    </row>
    <row r="134" spans="1:12">
      <c r="A134" t="s">
        <v>1706</v>
      </c>
      <c r="B134" t="s">
        <v>1710</v>
      </c>
      <c r="C134">
        <v>7179</v>
      </c>
      <c r="D134" t="s">
        <v>193</v>
      </c>
      <c r="E134">
        <v>10850241</v>
      </c>
      <c r="F134">
        <v>10850279</v>
      </c>
      <c r="G134" t="s">
        <v>1656</v>
      </c>
      <c r="H134">
        <v>1676</v>
      </c>
      <c r="I134">
        <v>1768</v>
      </c>
      <c r="J134" t="s">
        <v>1656</v>
      </c>
      <c r="K134">
        <v>2</v>
      </c>
      <c r="L134" s="9">
        <v>0.53333048890405899</v>
      </c>
    </row>
    <row r="135" spans="1:12">
      <c r="A135" t="s">
        <v>1706</v>
      </c>
      <c r="B135" t="s">
        <v>1711</v>
      </c>
      <c r="C135">
        <v>80157</v>
      </c>
      <c r="D135" t="s">
        <v>220</v>
      </c>
      <c r="E135">
        <v>49101879</v>
      </c>
      <c r="F135">
        <v>49101917</v>
      </c>
      <c r="G135" t="s">
        <v>35</v>
      </c>
      <c r="H135">
        <v>1385</v>
      </c>
      <c r="I135">
        <v>1423</v>
      </c>
      <c r="J135" t="s">
        <v>1656</v>
      </c>
      <c r="K135">
        <v>2</v>
      </c>
      <c r="L135" s="9">
        <v>0.53333048890405899</v>
      </c>
    </row>
    <row r="136" spans="1:12">
      <c r="A136" t="s">
        <v>1706</v>
      </c>
      <c r="B136" t="s">
        <v>1711</v>
      </c>
      <c r="C136">
        <v>80157</v>
      </c>
      <c r="D136" t="s">
        <v>220</v>
      </c>
      <c r="E136">
        <v>49155349</v>
      </c>
      <c r="F136">
        <v>49155388</v>
      </c>
      <c r="G136" t="s">
        <v>35</v>
      </c>
      <c r="H136">
        <v>1737</v>
      </c>
      <c r="I136">
        <v>1812</v>
      </c>
      <c r="J136" t="s">
        <v>1656</v>
      </c>
      <c r="K136">
        <v>2</v>
      </c>
      <c r="L136" s="9">
        <v>0.53333048890405899</v>
      </c>
    </row>
    <row r="137" spans="1:12">
      <c r="A137" t="s">
        <v>1706</v>
      </c>
      <c r="B137" t="s">
        <v>1711</v>
      </c>
      <c r="C137">
        <v>80157</v>
      </c>
      <c r="D137" t="s">
        <v>220</v>
      </c>
      <c r="E137">
        <v>49635546</v>
      </c>
      <c r="F137">
        <v>49635584</v>
      </c>
      <c r="G137" t="s">
        <v>1656</v>
      </c>
      <c r="H137">
        <v>1537</v>
      </c>
      <c r="I137">
        <v>1582</v>
      </c>
      <c r="J137" t="s">
        <v>1656</v>
      </c>
      <c r="K137">
        <v>2</v>
      </c>
      <c r="L137" s="9">
        <v>0.53333048890405899</v>
      </c>
    </row>
    <row r="138" spans="1:12">
      <c r="A138" t="s">
        <v>1706</v>
      </c>
      <c r="B138" t="s">
        <v>1714</v>
      </c>
      <c r="C138">
        <v>441234</v>
      </c>
      <c r="D138" t="s">
        <v>257</v>
      </c>
      <c r="E138">
        <v>57549462</v>
      </c>
      <c r="F138">
        <v>57549507</v>
      </c>
      <c r="G138" t="s">
        <v>1656</v>
      </c>
      <c r="H138">
        <v>1562</v>
      </c>
      <c r="I138">
        <v>1639</v>
      </c>
      <c r="J138" t="s">
        <v>1656</v>
      </c>
      <c r="K138">
        <v>2</v>
      </c>
      <c r="L138" s="9">
        <v>0.53333048890405899</v>
      </c>
    </row>
    <row r="139" spans="1:12">
      <c r="A139" t="s">
        <v>1706</v>
      </c>
      <c r="B139" t="s">
        <v>1715</v>
      </c>
      <c r="C139">
        <v>643955</v>
      </c>
      <c r="D139" t="s">
        <v>257</v>
      </c>
      <c r="E139">
        <v>61745457</v>
      </c>
      <c r="F139">
        <v>61745496</v>
      </c>
      <c r="G139" t="s">
        <v>35</v>
      </c>
      <c r="H139">
        <v>684</v>
      </c>
      <c r="I139">
        <v>765</v>
      </c>
      <c r="J139" t="s">
        <v>35</v>
      </c>
      <c r="K139">
        <v>2</v>
      </c>
      <c r="L139" s="9">
        <v>0.53333048890405899</v>
      </c>
    </row>
    <row r="140" spans="1:12">
      <c r="A140" t="s">
        <v>1706</v>
      </c>
      <c r="B140" t="s">
        <v>1715</v>
      </c>
      <c r="C140">
        <v>643955</v>
      </c>
      <c r="D140" t="s">
        <v>257</v>
      </c>
      <c r="E140">
        <v>61792354</v>
      </c>
      <c r="F140">
        <v>61792393</v>
      </c>
      <c r="G140" t="s">
        <v>35</v>
      </c>
      <c r="H140">
        <v>554</v>
      </c>
      <c r="I140">
        <v>750</v>
      </c>
      <c r="J140" t="s">
        <v>35</v>
      </c>
      <c r="K140">
        <v>2</v>
      </c>
      <c r="L140" s="9">
        <v>0.53333048890405899</v>
      </c>
    </row>
    <row r="141" spans="1:12">
      <c r="A141" t="s">
        <v>1695</v>
      </c>
      <c r="B141" t="s">
        <v>3947</v>
      </c>
      <c r="C141">
        <v>652</v>
      </c>
      <c r="D141" t="s">
        <v>118</v>
      </c>
      <c r="E141">
        <v>54097588</v>
      </c>
      <c r="F141">
        <v>54097626</v>
      </c>
      <c r="G141" t="s">
        <v>35</v>
      </c>
      <c r="H141">
        <v>1559</v>
      </c>
      <c r="I141">
        <v>1597</v>
      </c>
      <c r="J141" t="s">
        <v>35</v>
      </c>
      <c r="K141">
        <v>2</v>
      </c>
      <c r="L141" s="9">
        <v>0.52624100785677796</v>
      </c>
    </row>
    <row r="142" spans="1:12">
      <c r="A142" t="s">
        <v>1695</v>
      </c>
      <c r="B142" t="s">
        <v>1698</v>
      </c>
      <c r="C142">
        <v>100506581</v>
      </c>
      <c r="D142" t="s">
        <v>129</v>
      </c>
      <c r="E142">
        <v>87197867</v>
      </c>
      <c r="F142">
        <v>87197906</v>
      </c>
      <c r="G142" t="s">
        <v>35</v>
      </c>
      <c r="H142">
        <v>2244</v>
      </c>
      <c r="I142">
        <v>2282</v>
      </c>
      <c r="J142" t="s">
        <v>1656</v>
      </c>
      <c r="K142">
        <v>2</v>
      </c>
      <c r="L142" s="9">
        <v>0.52624100785677796</v>
      </c>
    </row>
    <row r="143" spans="1:12">
      <c r="A143" t="s">
        <v>1695</v>
      </c>
      <c r="B143" t="s">
        <v>1700</v>
      </c>
      <c r="C143">
        <v>375295</v>
      </c>
      <c r="D143" t="s">
        <v>172</v>
      </c>
      <c r="E143">
        <v>177492272</v>
      </c>
      <c r="F143">
        <v>177492574</v>
      </c>
      <c r="G143" t="s">
        <v>35</v>
      </c>
      <c r="H143">
        <v>1527</v>
      </c>
      <c r="I143">
        <v>1695</v>
      </c>
      <c r="J143" t="s">
        <v>35</v>
      </c>
      <c r="K143">
        <v>2</v>
      </c>
      <c r="L143" s="9">
        <v>0.52624100785677796</v>
      </c>
    </row>
    <row r="144" spans="1:12">
      <c r="A144" t="s">
        <v>1695</v>
      </c>
      <c r="B144" t="s">
        <v>1702</v>
      </c>
      <c r="C144">
        <v>57633</v>
      </c>
      <c r="D144" t="s">
        <v>201</v>
      </c>
      <c r="E144">
        <v>3807364</v>
      </c>
      <c r="F144">
        <v>3807455</v>
      </c>
      <c r="G144" t="s">
        <v>35</v>
      </c>
      <c r="H144">
        <v>1836</v>
      </c>
      <c r="I144">
        <v>1992</v>
      </c>
      <c r="J144" t="s">
        <v>35</v>
      </c>
      <c r="K144">
        <v>2</v>
      </c>
      <c r="L144" s="9">
        <v>0.52624100785677796</v>
      </c>
    </row>
    <row r="145" spans="1:12">
      <c r="A145" t="s">
        <v>1695</v>
      </c>
      <c r="B145" t="s">
        <v>1703</v>
      </c>
      <c r="C145">
        <v>26053</v>
      </c>
      <c r="D145" t="s">
        <v>257</v>
      </c>
      <c r="E145">
        <v>68582155</v>
      </c>
      <c r="F145">
        <v>68582253</v>
      </c>
      <c r="G145" t="s">
        <v>1656</v>
      </c>
      <c r="H145">
        <v>1709</v>
      </c>
      <c r="I145">
        <v>1751</v>
      </c>
      <c r="J145" t="s">
        <v>35</v>
      </c>
      <c r="K145">
        <v>2</v>
      </c>
      <c r="L145" s="9">
        <v>0.52624100785677796</v>
      </c>
    </row>
    <row r="146" spans="1:12">
      <c r="A146" t="s">
        <v>1685</v>
      </c>
      <c r="B146" t="s">
        <v>1691</v>
      </c>
      <c r="C146">
        <v>401164</v>
      </c>
      <c r="D146" t="s">
        <v>220</v>
      </c>
      <c r="E146">
        <v>189302931</v>
      </c>
      <c r="F146">
        <v>189302971</v>
      </c>
      <c r="G146" t="s">
        <v>1656</v>
      </c>
      <c r="H146">
        <v>778</v>
      </c>
      <c r="I146">
        <v>990</v>
      </c>
      <c r="J146" t="s">
        <v>1656</v>
      </c>
      <c r="K146">
        <v>2</v>
      </c>
      <c r="L146" s="9">
        <v>0.52235550993650803</v>
      </c>
    </row>
    <row r="147" spans="1:12">
      <c r="A147" t="s">
        <v>1685</v>
      </c>
      <c r="B147" t="s">
        <v>1694</v>
      </c>
      <c r="C147">
        <v>29960</v>
      </c>
      <c r="D147" t="s">
        <v>257</v>
      </c>
      <c r="E147">
        <v>2273573</v>
      </c>
      <c r="F147">
        <v>2273613</v>
      </c>
      <c r="G147" t="s">
        <v>35</v>
      </c>
      <c r="H147">
        <v>727</v>
      </c>
      <c r="I147">
        <v>825</v>
      </c>
      <c r="J147" t="s">
        <v>1656</v>
      </c>
      <c r="K147">
        <v>2</v>
      </c>
      <c r="L147" s="9">
        <v>0.52235550993650803</v>
      </c>
    </row>
    <row r="148" spans="1:12">
      <c r="A148" t="s">
        <v>1685</v>
      </c>
      <c r="B148" t="s">
        <v>3949</v>
      </c>
      <c r="C148">
        <v>2516</v>
      </c>
      <c r="D148" t="s">
        <v>292</v>
      </c>
      <c r="E148">
        <v>127298840</v>
      </c>
      <c r="F148">
        <v>127298878</v>
      </c>
      <c r="G148" t="s">
        <v>35</v>
      </c>
      <c r="H148">
        <v>847</v>
      </c>
      <c r="I148">
        <v>1006</v>
      </c>
      <c r="J148" t="s">
        <v>1656</v>
      </c>
      <c r="K148">
        <v>2</v>
      </c>
      <c r="L148" s="9">
        <v>0.52235550993650803</v>
      </c>
    </row>
    <row r="149" spans="1:12">
      <c r="A149" t="s">
        <v>1685</v>
      </c>
      <c r="B149" t="s">
        <v>1686</v>
      </c>
      <c r="C149">
        <v>393</v>
      </c>
      <c r="D149" t="s">
        <v>418</v>
      </c>
      <c r="E149">
        <v>153181100</v>
      </c>
      <c r="F149">
        <v>153181137</v>
      </c>
      <c r="G149" t="s">
        <v>35</v>
      </c>
      <c r="H149">
        <v>940</v>
      </c>
      <c r="I149">
        <v>985</v>
      </c>
      <c r="J149" t="s">
        <v>1656</v>
      </c>
      <c r="K149">
        <v>2</v>
      </c>
      <c r="L149" s="9">
        <v>0.52235550993650803</v>
      </c>
    </row>
    <row r="150" spans="1:12">
      <c r="A150" s="8"/>
      <c r="B150" s="8"/>
      <c r="C150" s="8"/>
      <c r="D150" s="8"/>
      <c r="E150" s="8"/>
      <c r="F150" s="8"/>
      <c r="G150" s="8"/>
      <c r="H150" s="8"/>
      <c r="I150" s="8"/>
      <c r="J150" s="8"/>
      <c r="K150" s="8"/>
    </row>
    <row r="151" spans="1:12">
      <c r="A151" s="8"/>
      <c r="B151" s="8"/>
      <c r="C151" s="8"/>
      <c r="D151" s="8"/>
      <c r="E151" s="8"/>
      <c r="F151" s="8"/>
      <c r="G151" s="8"/>
      <c r="H151" s="8"/>
      <c r="I151" s="8"/>
      <c r="J151" s="8"/>
      <c r="K151" s="8"/>
    </row>
    <row r="152" spans="1:12">
      <c r="A152" s="8"/>
      <c r="B152" s="8"/>
      <c r="C152" s="8"/>
      <c r="D152" s="8"/>
      <c r="E152" s="8"/>
      <c r="F152" s="8"/>
      <c r="G152" s="8"/>
      <c r="H152" s="8"/>
      <c r="I152" s="8"/>
      <c r="J152" s="8"/>
      <c r="K152" s="8"/>
    </row>
    <row r="153" spans="1:12">
      <c r="A153" s="8"/>
      <c r="B153" s="8"/>
      <c r="C153" s="8"/>
      <c r="D153" s="8"/>
      <c r="E153" s="8"/>
      <c r="F153" s="8"/>
      <c r="G153" s="8"/>
      <c r="H153" s="8"/>
      <c r="I153" s="8"/>
      <c r="J153" s="8"/>
      <c r="K153" s="8"/>
    </row>
    <row r="154" spans="1:12">
      <c r="A154" s="8"/>
      <c r="B154" s="8"/>
      <c r="C154" s="8"/>
      <c r="D154" s="8"/>
      <c r="E154" s="8"/>
      <c r="F154" s="8"/>
      <c r="G154" s="8"/>
      <c r="H154" s="8"/>
      <c r="I154" s="8"/>
      <c r="J154" s="8"/>
      <c r="K154" s="8"/>
    </row>
    <row r="155" spans="1:12">
      <c r="A155" s="8"/>
      <c r="B155" s="8"/>
      <c r="C155" s="8"/>
      <c r="D155" s="8"/>
      <c r="E155" s="8"/>
      <c r="F155" s="8"/>
      <c r="G155" s="8"/>
      <c r="H155" s="8"/>
      <c r="I155" s="8"/>
      <c r="J155" s="8"/>
      <c r="K155" s="8"/>
    </row>
    <row r="156" spans="1:12">
      <c r="A156" s="8"/>
      <c r="B156" s="8"/>
      <c r="C156" s="8"/>
      <c r="D156" s="8"/>
      <c r="E156" s="8"/>
      <c r="F156" s="8"/>
      <c r="G156" s="8"/>
      <c r="H156" s="8"/>
      <c r="I156" s="8"/>
      <c r="J156" s="8"/>
      <c r="K156" s="8"/>
    </row>
    <row r="157" spans="1:12">
      <c r="A157" s="8"/>
      <c r="B157" s="8"/>
      <c r="C157" s="8"/>
      <c r="D157" s="8"/>
      <c r="E157" s="8"/>
      <c r="F157" s="8"/>
      <c r="G157" s="8"/>
      <c r="H157" s="8"/>
      <c r="I157" s="8"/>
      <c r="J157" s="8"/>
      <c r="K157" s="8"/>
    </row>
    <row r="158" spans="1:12">
      <c r="A158" s="8"/>
      <c r="B158" s="8"/>
      <c r="C158" s="8"/>
      <c r="D158" s="8"/>
      <c r="E158" s="8"/>
      <c r="F158" s="8"/>
      <c r="G158" s="8"/>
      <c r="H158" s="8"/>
      <c r="I158" s="8"/>
      <c r="J158" s="8"/>
      <c r="K158" s="8"/>
    </row>
    <row r="159" spans="1:12">
      <c r="A159" s="8"/>
      <c r="B159" s="8"/>
      <c r="C159" s="8"/>
      <c r="D159" s="8"/>
      <c r="E159" s="8"/>
      <c r="F159" s="8"/>
      <c r="G159" s="8"/>
      <c r="H159" s="8"/>
      <c r="I159" s="8"/>
      <c r="J159" s="8"/>
      <c r="K159" s="8"/>
    </row>
    <row r="160" spans="1:12">
      <c r="A160" s="8"/>
      <c r="B160" s="8"/>
      <c r="C160" s="8"/>
      <c r="D160" s="8"/>
      <c r="E160" s="8"/>
      <c r="F160" s="8"/>
      <c r="G160" s="8"/>
      <c r="H160" s="8"/>
      <c r="I160" s="8"/>
      <c r="J160" s="8"/>
      <c r="K160" s="8"/>
    </row>
    <row r="161" spans="1:11">
      <c r="A161" s="8"/>
      <c r="B161" s="8"/>
      <c r="C161" s="8"/>
      <c r="D161" s="8"/>
      <c r="E161" s="8"/>
      <c r="F161" s="8"/>
      <c r="G161" s="8"/>
      <c r="H161" s="8"/>
      <c r="I161" s="8"/>
      <c r="J161" s="8"/>
      <c r="K161" s="8"/>
    </row>
    <row r="162" spans="1:11">
      <c r="A162" s="8"/>
      <c r="B162" s="8"/>
      <c r="C162" s="8"/>
      <c r="D162" s="8"/>
      <c r="E162" s="8"/>
      <c r="F162" s="8"/>
      <c r="G162" s="8"/>
      <c r="H162" s="8"/>
      <c r="I162" s="8"/>
      <c r="J162" s="8"/>
      <c r="K162" s="8"/>
    </row>
    <row r="163" spans="1:11">
      <c r="A163" s="8"/>
      <c r="B163" s="8"/>
      <c r="C163" s="8"/>
      <c r="D163" s="8"/>
      <c r="E163" s="8"/>
      <c r="F163" s="8"/>
      <c r="G163" s="8"/>
      <c r="H163" s="8"/>
      <c r="I163" s="8"/>
      <c r="J163" s="8"/>
      <c r="K163" s="8"/>
    </row>
    <row r="164" spans="1:11">
      <c r="A164" s="8"/>
      <c r="B164" s="8"/>
      <c r="C164" s="8"/>
      <c r="D164" s="8"/>
      <c r="E164" s="8"/>
      <c r="F164" s="8"/>
      <c r="G164" s="8"/>
      <c r="H164" s="8"/>
      <c r="I164" s="8"/>
      <c r="J164" s="8"/>
      <c r="K164" s="8"/>
    </row>
    <row r="165" spans="1:11">
      <c r="A165" s="8"/>
      <c r="B165" s="8"/>
      <c r="C165" s="8"/>
      <c r="D165" s="8"/>
      <c r="E165" s="8"/>
      <c r="F165" s="8"/>
      <c r="G165" s="8"/>
      <c r="H165" s="8"/>
      <c r="I165" s="8"/>
      <c r="J165" s="8"/>
      <c r="K165" s="8"/>
    </row>
    <row r="166" spans="1:11">
      <c r="A166" s="8"/>
      <c r="B166" s="8"/>
      <c r="C166" s="8"/>
      <c r="D166" s="8"/>
      <c r="E166" s="8"/>
      <c r="F166" s="8"/>
      <c r="G166" s="8"/>
      <c r="H166" s="8"/>
      <c r="I166" s="8"/>
      <c r="J166" s="8"/>
      <c r="K166" s="8"/>
    </row>
    <row r="167" spans="1:11">
      <c r="A167" s="8"/>
      <c r="B167" s="8"/>
      <c r="C167" s="8"/>
      <c r="D167" s="8"/>
      <c r="E167" s="8"/>
      <c r="F167" s="8"/>
      <c r="G167" s="8"/>
      <c r="H167" s="8"/>
      <c r="I167" s="8"/>
      <c r="J167" s="8"/>
      <c r="K167" s="8"/>
    </row>
    <row r="168" spans="1:11">
      <c r="A168" s="8"/>
      <c r="B168" s="8"/>
      <c r="C168" s="8"/>
      <c r="D168" s="8"/>
      <c r="E168" s="8"/>
      <c r="F168" s="8"/>
      <c r="G168" s="8"/>
      <c r="H168" s="8"/>
      <c r="I168" s="8"/>
      <c r="J168" s="8"/>
      <c r="K168" s="8"/>
    </row>
    <row r="169" spans="1:11">
      <c r="A169" s="8"/>
      <c r="B169" s="8"/>
      <c r="C169" s="8"/>
      <c r="D169" s="8"/>
      <c r="E169" s="8"/>
      <c r="F169" s="8"/>
      <c r="G169" s="8"/>
      <c r="H169" s="8"/>
      <c r="I169" s="8"/>
      <c r="J169" s="8"/>
      <c r="K169" s="8"/>
    </row>
    <row r="170" spans="1:11">
      <c r="A170" s="8"/>
      <c r="B170" s="8"/>
      <c r="C170" s="8"/>
      <c r="D170" s="8"/>
      <c r="E170" s="8"/>
      <c r="F170" s="8"/>
      <c r="G170" s="8"/>
      <c r="H170" s="8"/>
      <c r="I170" s="8"/>
      <c r="J170" s="8"/>
      <c r="K170" s="8"/>
    </row>
    <row r="171" spans="1:11">
      <c r="A171" s="8"/>
      <c r="B171" s="8"/>
      <c r="C171" s="8"/>
      <c r="D171" s="8"/>
      <c r="E171" s="8"/>
      <c r="F171" s="8"/>
      <c r="G171" s="8"/>
      <c r="H171" s="8"/>
      <c r="I171" s="8"/>
      <c r="J171" s="8"/>
      <c r="K171" s="8"/>
    </row>
    <row r="172" spans="1:11">
      <c r="A172" s="8"/>
      <c r="B172" s="8"/>
      <c r="C172" s="8"/>
      <c r="D172" s="8"/>
      <c r="E172" s="8"/>
      <c r="F172" s="8"/>
      <c r="G172" s="8"/>
      <c r="H172" s="8"/>
      <c r="I172" s="8"/>
      <c r="J172" s="8"/>
      <c r="K172" s="8"/>
    </row>
    <row r="173" spans="1:11">
      <c r="A173" s="8"/>
      <c r="B173" s="8"/>
      <c r="C173" s="8"/>
      <c r="D173" s="8"/>
      <c r="E173" s="8"/>
      <c r="F173" s="8"/>
      <c r="G173" s="8"/>
      <c r="H173" s="8"/>
      <c r="I173" s="8"/>
      <c r="J173" s="8"/>
      <c r="K173" s="8"/>
    </row>
    <row r="174" spans="1:11">
      <c r="A174" s="8"/>
      <c r="B174" s="8"/>
      <c r="C174" s="8"/>
      <c r="D174" s="8"/>
      <c r="E174" s="8"/>
      <c r="F174" s="8"/>
      <c r="G174" s="8"/>
      <c r="H174" s="8"/>
      <c r="I174" s="8"/>
      <c r="J174" s="8"/>
      <c r="K174" s="8"/>
    </row>
    <row r="175" spans="1:11">
      <c r="A175" s="8"/>
      <c r="B175" s="8"/>
      <c r="C175" s="8"/>
      <c r="D175" s="8"/>
      <c r="E175" s="8"/>
      <c r="F175" s="8"/>
      <c r="G175" s="8"/>
      <c r="H175" s="8"/>
      <c r="I175" s="8"/>
      <c r="J175" s="8"/>
      <c r="K175" s="8"/>
    </row>
    <row r="176" spans="1:11">
      <c r="A176" s="8"/>
      <c r="B176" s="8"/>
      <c r="C176" s="8"/>
      <c r="D176" s="8"/>
      <c r="E176" s="8"/>
      <c r="F176" s="8"/>
      <c r="G176" s="8"/>
      <c r="H176" s="8"/>
      <c r="I176" s="8"/>
      <c r="J176" s="8"/>
      <c r="K176" s="8"/>
    </row>
    <row r="177" spans="1:11">
      <c r="A177" s="8"/>
      <c r="B177" s="8"/>
      <c r="C177" s="8"/>
      <c r="D177" s="8"/>
      <c r="E177" s="8"/>
      <c r="F177" s="8"/>
      <c r="G177" s="8"/>
      <c r="H177" s="8"/>
      <c r="I177" s="8"/>
      <c r="J177" s="8"/>
      <c r="K177" s="8"/>
    </row>
  </sheetData>
  <sortState ref="A2:L147">
    <sortCondition descending="1" ref="L2"/>
  </sortState>
  <mergeCells count="1">
    <mergeCell ref="A1:L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2"/>
  <sheetViews>
    <sheetView tabSelected="1" zoomScale="120" zoomScaleNormal="120" zoomScalePageLayoutView="120" workbookViewId="0">
      <pane ySplit="3" topLeftCell="A4" activePane="bottomLeft" state="frozen"/>
      <selection pane="bottomLeft" activeCell="D9" sqref="D9"/>
    </sheetView>
  </sheetViews>
  <sheetFormatPr baseColWidth="10" defaultRowHeight="15" x14ac:dyDescent="0"/>
  <cols>
    <col min="1" max="1" width="21.6640625" customWidth="1"/>
    <col min="2" max="2" width="10.1640625" bestFit="1" customWidth="1"/>
    <col min="3" max="3" width="19" customWidth="1"/>
    <col min="4" max="4" width="12.6640625" customWidth="1"/>
    <col min="5" max="5" width="10.5" customWidth="1"/>
    <col min="6" max="6" width="13.1640625" bestFit="1" customWidth="1"/>
    <col min="7" max="7" width="12" bestFit="1" customWidth="1"/>
    <col min="8" max="8" width="12.83203125" style="15" bestFit="1" customWidth="1"/>
    <col min="9" max="9" width="9.6640625" bestFit="1" customWidth="1"/>
    <col min="10" max="10" width="9" bestFit="1" customWidth="1"/>
    <col min="11" max="11" width="11.1640625" style="15" bestFit="1" customWidth="1"/>
    <col min="12" max="12" width="8.1640625" bestFit="1" customWidth="1"/>
    <col min="13" max="13" width="10.83203125" style="15"/>
  </cols>
  <sheetData>
    <row r="1" spans="1:13" ht="46" customHeight="1">
      <c r="A1" s="19" t="s">
        <v>14272</v>
      </c>
      <c r="B1" s="19"/>
      <c r="C1" s="19"/>
      <c r="D1" s="19"/>
      <c r="E1" s="19"/>
      <c r="F1" s="19"/>
      <c r="G1" s="19"/>
      <c r="H1" s="19"/>
      <c r="I1" s="19"/>
      <c r="J1" s="19"/>
      <c r="K1" s="19"/>
      <c r="L1" s="19"/>
      <c r="M1" s="7"/>
    </row>
    <row r="3" spans="1:13" ht="30">
      <c r="A3" s="10" t="s">
        <v>1642</v>
      </c>
      <c r="B3" s="11" t="s">
        <v>1643</v>
      </c>
      <c r="C3" s="10" t="s">
        <v>1644</v>
      </c>
      <c r="D3" s="10" t="s">
        <v>1646</v>
      </c>
      <c r="E3" s="10" t="s">
        <v>1647</v>
      </c>
      <c r="F3" s="10" t="s">
        <v>1648</v>
      </c>
      <c r="G3" s="18" t="s">
        <v>1649</v>
      </c>
      <c r="H3" s="10" t="s">
        <v>1650</v>
      </c>
      <c r="I3" s="10" t="s">
        <v>1651</v>
      </c>
      <c r="J3" s="18" t="s">
        <v>1652</v>
      </c>
      <c r="K3" s="10" t="s">
        <v>1653</v>
      </c>
      <c r="L3" s="18" t="s">
        <v>2322</v>
      </c>
    </row>
    <row r="4" spans="1:13">
      <c r="A4" t="s">
        <v>1657</v>
      </c>
      <c r="B4">
        <v>948</v>
      </c>
      <c r="C4" t="s">
        <v>1659</v>
      </c>
      <c r="D4" t="s">
        <v>139</v>
      </c>
      <c r="E4">
        <v>36212309</v>
      </c>
      <c r="F4">
        <v>36212652</v>
      </c>
      <c r="G4" s="15" t="s">
        <v>1656</v>
      </c>
      <c r="H4">
        <v>1558</v>
      </c>
      <c r="I4">
        <v>1833</v>
      </c>
      <c r="J4" s="15" t="s">
        <v>1656</v>
      </c>
      <c r="K4">
        <v>0</v>
      </c>
      <c r="L4" s="15" t="s">
        <v>41</v>
      </c>
    </row>
    <row r="5" spans="1:13">
      <c r="A5" t="s">
        <v>1718</v>
      </c>
      <c r="B5">
        <v>531</v>
      </c>
      <c r="C5" t="s">
        <v>221</v>
      </c>
      <c r="D5" t="s">
        <v>220</v>
      </c>
      <c r="E5">
        <v>74270152</v>
      </c>
      <c r="F5">
        <v>74285358</v>
      </c>
      <c r="G5" s="15" t="s">
        <v>1656</v>
      </c>
      <c r="H5">
        <v>1387</v>
      </c>
      <c r="I5">
        <v>2000</v>
      </c>
      <c r="J5" s="15" t="s">
        <v>1656</v>
      </c>
      <c r="K5">
        <v>0</v>
      </c>
      <c r="L5" s="15" t="s">
        <v>1262</v>
      </c>
    </row>
    <row r="6" spans="1:13">
      <c r="A6" t="s">
        <v>1718</v>
      </c>
      <c r="B6">
        <v>500</v>
      </c>
      <c r="C6" t="s">
        <v>1455</v>
      </c>
      <c r="D6" t="s">
        <v>339</v>
      </c>
      <c r="E6">
        <v>79285781</v>
      </c>
      <c r="F6">
        <v>79286084</v>
      </c>
      <c r="G6" s="15" t="s">
        <v>35</v>
      </c>
      <c r="H6">
        <v>1560</v>
      </c>
      <c r="I6">
        <v>1765</v>
      </c>
      <c r="J6" s="15" t="s">
        <v>1656</v>
      </c>
      <c r="K6">
        <v>52467</v>
      </c>
      <c r="L6" s="15" t="s">
        <v>1262</v>
      </c>
    </row>
    <row r="7" spans="1:13">
      <c r="A7" t="s">
        <v>1695</v>
      </c>
      <c r="B7">
        <v>436</v>
      </c>
      <c r="C7" t="s">
        <v>1699</v>
      </c>
      <c r="D7" t="s">
        <v>133</v>
      </c>
      <c r="E7">
        <v>20002178</v>
      </c>
      <c r="F7">
        <v>20002496</v>
      </c>
      <c r="G7" s="15" t="s">
        <v>35</v>
      </c>
      <c r="H7">
        <v>1503</v>
      </c>
      <c r="I7">
        <v>1833</v>
      </c>
      <c r="J7" s="15" t="s">
        <v>1656</v>
      </c>
      <c r="K7">
        <v>0</v>
      </c>
      <c r="L7" s="15" t="s">
        <v>1262</v>
      </c>
    </row>
    <row r="8" spans="1:13">
      <c r="A8" t="s">
        <v>1718</v>
      </c>
      <c r="B8">
        <v>400</v>
      </c>
      <c r="C8" t="s">
        <v>2329</v>
      </c>
      <c r="D8" t="s">
        <v>201</v>
      </c>
      <c r="E8">
        <v>151500602</v>
      </c>
      <c r="F8">
        <v>151501897</v>
      </c>
      <c r="G8" s="15" t="s">
        <v>35</v>
      </c>
      <c r="H8">
        <v>1375</v>
      </c>
      <c r="I8">
        <v>1833</v>
      </c>
      <c r="J8" s="15" t="s">
        <v>1656</v>
      </c>
      <c r="K8">
        <v>0</v>
      </c>
      <c r="L8" s="15" t="s">
        <v>1262</v>
      </c>
    </row>
    <row r="9" spans="1:13">
      <c r="A9" t="s">
        <v>1695</v>
      </c>
      <c r="B9">
        <v>400</v>
      </c>
      <c r="C9" t="s">
        <v>1696</v>
      </c>
      <c r="D9" t="s">
        <v>339</v>
      </c>
      <c r="E9">
        <v>65335247</v>
      </c>
      <c r="F9">
        <v>65335566</v>
      </c>
      <c r="G9" s="15" t="s">
        <v>1656</v>
      </c>
      <c r="H9">
        <v>1505</v>
      </c>
      <c r="I9">
        <v>1838</v>
      </c>
      <c r="J9" s="15" t="s">
        <v>1656</v>
      </c>
      <c r="K9">
        <v>1018865</v>
      </c>
      <c r="L9" s="15" t="s">
        <v>1262</v>
      </c>
    </row>
    <row r="10" spans="1:13">
      <c r="A10" t="s">
        <v>1767</v>
      </c>
      <c r="B10">
        <v>253</v>
      </c>
      <c r="C10" t="s">
        <v>2119</v>
      </c>
      <c r="D10" t="s">
        <v>22</v>
      </c>
      <c r="E10">
        <v>187812919</v>
      </c>
      <c r="F10">
        <v>187813213</v>
      </c>
      <c r="G10" s="15" t="s">
        <v>1656</v>
      </c>
      <c r="H10">
        <v>1505</v>
      </c>
      <c r="I10">
        <v>1810</v>
      </c>
      <c r="J10" s="15" t="s">
        <v>1656</v>
      </c>
      <c r="K10">
        <v>855100</v>
      </c>
      <c r="L10" s="15" t="s">
        <v>1262</v>
      </c>
    </row>
    <row r="11" spans="1:13">
      <c r="A11" t="s">
        <v>1739</v>
      </c>
      <c r="B11">
        <v>246</v>
      </c>
      <c r="C11" t="s">
        <v>1741</v>
      </c>
      <c r="D11" t="s">
        <v>83</v>
      </c>
      <c r="E11">
        <v>20313081</v>
      </c>
      <c r="F11">
        <v>20313457</v>
      </c>
      <c r="G11" s="15" t="s">
        <v>1656</v>
      </c>
      <c r="H11">
        <v>1183</v>
      </c>
      <c r="I11">
        <v>1494</v>
      </c>
      <c r="J11" s="15" t="s">
        <v>1656</v>
      </c>
      <c r="K11">
        <v>71773</v>
      </c>
      <c r="L11" s="15" t="s">
        <v>41</v>
      </c>
    </row>
    <row r="12" spans="1:13">
      <c r="A12" t="s">
        <v>1718</v>
      </c>
      <c r="B12">
        <v>245</v>
      </c>
      <c r="C12" t="s">
        <v>1794</v>
      </c>
      <c r="D12" t="s">
        <v>118</v>
      </c>
      <c r="E12">
        <v>69270965</v>
      </c>
      <c r="F12">
        <v>69271249</v>
      </c>
      <c r="G12" s="15" t="s">
        <v>35</v>
      </c>
      <c r="H12">
        <v>1387</v>
      </c>
      <c r="I12">
        <v>1749</v>
      </c>
      <c r="J12" s="15" t="s">
        <v>1656</v>
      </c>
      <c r="K12">
        <v>8005</v>
      </c>
      <c r="L12" s="15" t="s">
        <v>1262</v>
      </c>
    </row>
    <row r="13" spans="1:13">
      <c r="A13" t="s">
        <v>1718</v>
      </c>
      <c r="B13">
        <v>231</v>
      </c>
      <c r="C13" t="s">
        <v>1829</v>
      </c>
      <c r="D13" t="s">
        <v>201</v>
      </c>
      <c r="E13">
        <v>165066671</v>
      </c>
      <c r="F13">
        <v>165066976</v>
      </c>
      <c r="G13" s="15" t="s">
        <v>1656</v>
      </c>
      <c r="H13">
        <v>1551</v>
      </c>
      <c r="I13">
        <v>1802</v>
      </c>
      <c r="J13" s="15" t="s">
        <v>1656</v>
      </c>
      <c r="K13">
        <v>152507</v>
      </c>
      <c r="L13" s="15" t="s">
        <v>1262</v>
      </c>
    </row>
    <row r="14" spans="1:13">
      <c r="A14" t="s">
        <v>1666</v>
      </c>
      <c r="B14">
        <v>226</v>
      </c>
      <c r="C14" t="s">
        <v>2312</v>
      </c>
      <c r="D14" t="s">
        <v>339</v>
      </c>
      <c r="E14">
        <v>50263045</v>
      </c>
      <c r="F14">
        <v>50263378</v>
      </c>
      <c r="G14" s="15" t="s">
        <v>1656</v>
      </c>
      <c r="H14">
        <v>1519</v>
      </c>
      <c r="I14">
        <v>1792</v>
      </c>
      <c r="J14" s="15" t="s">
        <v>1656</v>
      </c>
      <c r="K14">
        <v>0</v>
      </c>
      <c r="L14" s="15" t="s">
        <v>1262</v>
      </c>
    </row>
    <row r="15" spans="1:13">
      <c r="A15" t="s">
        <v>1685</v>
      </c>
      <c r="B15">
        <v>192</v>
      </c>
      <c r="C15" t="s">
        <v>1692</v>
      </c>
      <c r="D15" t="s">
        <v>226</v>
      </c>
      <c r="E15">
        <v>1295840</v>
      </c>
      <c r="F15">
        <v>1296859</v>
      </c>
      <c r="G15" s="15" t="s">
        <v>35</v>
      </c>
      <c r="H15">
        <v>242</v>
      </c>
      <c r="I15">
        <v>461</v>
      </c>
      <c r="J15" s="15" t="s">
        <v>1656</v>
      </c>
      <c r="K15">
        <v>678</v>
      </c>
      <c r="L15" s="15" t="s">
        <v>41</v>
      </c>
    </row>
    <row r="16" spans="1:13">
      <c r="A16" t="s">
        <v>1718</v>
      </c>
      <c r="B16">
        <v>164</v>
      </c>
      <c r="C16" t="s">
        <v>1811</v>
      </c>
      <c r="D16" t="s">
        <v>172</v>
      </c>
      <c r="E16">
        <v>211428921</v>
      </c>
      <c r="F16">
        <v>211429135</v>
      </c>
      <c r="G16" s="15" t="s">
        <v>35</v>
      </c>
      <c r="H16">
        <v>1560</v>
      </c>
      <c r="I16">
        <v>1821</v>
      </c>
      <c r="J16" s="15" t="s">
        <v>1656</v>
      </c>
      <c r="K16">
        <v>0</v>
      </c>
      <c r="L16" s="15" t="s">
        <v>1262</v>
      </c>
    </row>
    <row r="17" spans="1:12">
      <c r="A17" t="s">
        <v>1695</v>
      </c>
      <c r="B17">
        <v>140</v>
      </c>
      <c r="C17" t="s">
        <v>1998</v>
      </c>
      <c r="D17" t="s">
        <v>104</v>
      </c>
      <c r="E17">
        <v>45019687</v>
      </c>
      <c r="F17">
        <v>45020026</v>
      </c>
      <c r="G17" s="15" t="s">
        <v>1656</v>
      </c>
      <c r="H17">
        <v>1505</v>
      </c>
      <c r="I17">
        <v>1808</v>
      </c>
      <c r="J17" s="15" t="s">
        <v>1656</v>
      </c>
      <c r="K17">
        <v>0</v>
      </c>
      <c r="L17" s="15" t="s">
        <v>1262</v>
      </c>
    </row>
    <row r="18" spans="1:12">
      <c r="A18" t="s">
        <v>1718</v>
      </c>
      <c r="B18">
        <v>126</v>
      </c>
      <c r="C18" t="s">
        <v>1697</v>
      </c>
      <c r="D18" t="s">
        <v>339</v>
      </c>
      <c r="E18">
        <v>90290286</v>
      </c>
      <c r="F18">
        <v>90290605</v>
      </c>
      <c r="G18" s="15" t="s">
        <v>1656</v>
      </c>
      <c r="H18">
        <v>1560</v>
      </c>
      <c r="I18">
        <v>1810</v>
      </c>
      <c r="J18" s="15" t="s">
        <v>1656</v>
      </c>
      <c r="K18">
        <v>73938</v>
      </c>
      <c r="L18" s="15" t="s">
        <v>1262</v>
      </c>
    </row>
    <row r="19" spans="1:12">
      <c r="A19" t="s">
        <v>1718</v>
      </c>
      <c r="B19">
        <v>111</v>
      </c>
      <c r="C19" t="s">
        <v>1733</v>
      </c>
      <c r="D19" t="s">
        <v>418</v>
      </c>
      <c r="E19">
        <v>132219852</v>
      </c>
      <c r="F19">
        <v>132220147</v>
      </c>
      <c r="G19" s="15" t="s">
        <v>35</v>
      </c>
      <c r="H19">
        <v>1560</v>
      </c>
      <c r="I19">
        <v>1769</v>
      </c>
      <c r="J19" s="15" t="s">
        <v>1656</v>
      </c>
      <c r="K19">
        <v>57552</v>
      </c>
      <c r="L19" s="15" t="s">
        <v>1262</v>
      </c>
    </row>
    <row r="20" spans="1:12">
      <c r="A20" t="s">
        <v>1695</v>
      </c>
      <c r="B20">
        <v>105</v>
      </c>
      <c r="C20" t="s">
        <v>2002</v>
      </c>
      <c r="D20" t="s">
        <v>104</v>
      </c>
      <c r="E20">
        <v>127797758</v>
      </c>
      <c r="F20">
        <v>127797990</v>
      </c>
      <c r="G20" s="15" t="s">
        <v>1656</v>
      </c>
      <c r="H20">
        <v>1509</v>
      </c>
      <c r="I20">
        <v>1784</v>
      </c>
      <c r="J20" s="15" t="s">
        <v>1656</v>
      </c>
      <c r="K20">
        <v>438754</v>
      </c>
      <c r="L20" s="15" t="s">
        <v>1262</v>
      </c>
    </row>
    <row r="21" spans="1:12">
      <c r="A21" t="s">
        <v>1718</v>
      </c>
      <c r="B21">
        <v>100</v>
      </c>
      <c r="C21" t="s">
        <v>1904</v>
      </c>
      <c r="D21" t="s">
        <v>339</v>
      </c>
      <c r="E21">
        <v>73485358</v>
      </c>
      <c r="F21">
        <v>73485589</v>
      </c>
      <c r="G21" s="15" t="s">
        <v>1656</v>
      </c>
      <c r="H21">
        <v>1553</v>
      </c>
      <c r="I21">
        <v>1815</v>
      </c>
      <c r="J21" s="15" t="s">
        <v>1656</v>
      </c>
      <c r="K21">
        <v>0</v>
      </c>
      <c r="L21" s="15" t="s">
        <v>1262</v>
      </c>
    </row>
    <row r="22" spans="1:12">
      <c r="A22" t="s">
        <v>1695</v>
      </c>
      <c r="B22">
        <v>90</v>
      </c>
      <c r="C22" t="s">
        <v>2153</v>
      </c>
      <c r="D22" t="s">
        <v>69</v>
      </c>
      <c r="E22">
        <v>92635142</v>
      </c>
      <c r="F22">
        <v>92635538</v>
      </c>
      <c r="G22" s="15" t="s">
        <v>1656</v>
      </c>
      <c r="H22">
        <v>1509</v>
      </c>
      <c r="I22">
        <v>1808</v>
      </c>
      <c r="J22" s="15" t="s">
        <v>1656</v>
      </c>
      <c r="K22">
        <v>0</v>
      </c>
      <c r="L22" s="15" t="s">
        <v>1262</v>
      </c>
    </row>
    <row r="23" spans="1:12">
      <c r="A23" t="s">
        <v>1718</v>
      </c>
      <c r="B23">
        <v>88</v>
      </c>
      <c r="C23" t="s">
        <v>1872</v>
      </c>
      <c r="D23" t="s">
        <v>279</v>
      </c>
      <c r="E23">
        <v>124895860</v>
      </c>
      <c r="F23">
        <v>124896079</v>
      </c>
      <c r="G23" s="15" t="s">
        <v>1656</v>
      </c>
      <c r="H23">
        <v>1563</v>
      </c>
      <c r="I23">
        <v>1912</v>
      </c>
      <c r="J23" s="15" t="s">
        <v>1656</v>
      </c>
      <c r="K23">
        <v>0</v>
      </c>
      <c r="L23" s="15" t="s">
        <v>1262</v>
      </c>
    </row>
    <row r="24" spans="1:12">
      <c r="A24" t="s">
        <v>1718</v>
      </c>
      <c r="B24">
        <v>83</v>
      </c>
      <c r="C24" t="s">
        <v>1842</v>
      </c>
      <c r="D24" t="s">
        <v>220</v>
      </c>
      <c r="E24">
        <v>169755031</v>
      </c>
      <c r="F24">
        <v>169755273</v>
      </c>
      <c r="G24" s="15" t="s">
        <v>1656</v>
      </c>
      <c r="H24">
        <v>1387</v>
      </c>
      <c r="I24">
        <v>1789</v>
      </c>
      <c r="J24" s="15" t="s">
        <v>1656</v>
      </c>
      <c r="K24">
        <v>0</v>
      </c>
      <c r="L24" s="15" t="s">
        <v>1262</v>
      </c>
    </row>
    <row r="25" spans="1:12">
      <c r="A25" t="s">
        <v>1718</v>
      </c>
      <c r="B25">
        <v>81</v>
      </c>
      <c r="C25" t="s">
        <v>1697</v>
      </c>
      <c r="D25" t="s">
        <v>69</v>
      </c>
      <c r="E25">
        <v>110081910</v>
      </c>
      <c r="F25">
        <v>110082178</v>
      </c>
      <c r="G25" s="15" t="s">
        <v>35</v>
      </c>
      <c r="H25">
        <v>1158</v>
      </c>
      <c r="I25">
        <v>1455</v>
      </c>
      <c r="J25" s="15" t="s">
        <v>1656</v>
      </c>
      <c r="K25">
        <v>848504</v>
      </c>
      <c r="L25" s="15" t="s">
        <v>1262</v>
      </c>
    </row>
    <row r="26" spans="1:12">
      <c r="A26" t="s">
        <v>1718</v>
      </c>
      <c r="B26">
        <v>77</v>
      </c>
      <c r="C26" t="s">
        <v>1807</v>
      </c>
      <c r="D26" t="s">
        <v>172</v>
      </c>
      <c r="E26">
        <v>88820471</v>
      </c>
      <c r="F26">
        <v>88820780</v>
      </c>
      <c r="G26" s="15" t="s">
        <v>1656</v>
      </c>
      <c r="H26">
        <v>1560</v>
      </c>
      <c r="I26">
        <v>1788</v>
      </c>
      <c r="J26" s="15" t="s">
        <v>1656</v>
      </c>
      <c r="K26">
        <v>3388</v>
      </c>
      <c r="L26" s="15" t="s">
        <v>1262</v>
      </c>
    </row>
    <row r="27" spans="1:12">
      <c r="A27" t="s">
        <v>1695</v>
      </c>
      <c r="B27">
        <v>77</v>
      </c>
      <c r="C27" t="s">
        <v>2018</v>
      </c>
      <c r="D27" t="s">
        <v>120</v>
      </c>
      <c r="E27">
        <v>53807694</v>
      </c>
      <c r="F27">
        <v>53808009</v>
      </c>
      <c r="G27" s="15" t="s">
        <v>1656</v>
      </c>
      <c r="H27">
        <v>1375</v>
      </c>
      <c r="I27">
        <v>1712</v>
      </c>
      <c r="J27" s="15" t="s">
        <v>1656</v>
      </c>
      <c r="K27">
        <v>0</v>
      </c>
      <c r="L27" s="15" t="s">
        <v>1262</v>
      </c>
    </row>
    <row r="28" spans="1:12">
      <c r="A28" t="s">
        <v>1695</v>
      </c>
      <c r="B28">
        <v>76</v>
      </c>
      <c r="C28" t="s">
        <v>402</v>
      </c>
      <c r="D28" t="s">
        <v>257</v>
      </c>
      <c r="E28">
        <v>33965832</v>
      </c>
      <c r="F28">
        <v>33966165</v>
      </c>
      <c r="G28" s="15" t="s">
        <v>1656</v>
      </c>
      <c r="H28">
        <v>1519</v>
      </c>
      <c r="I28">
        <v>1799</v>
      </c>
      <c r="J28" s="15" t="s">
        <v>1656</v>
      </c>
      <c r="K28">
        <v>0</v>
      </c>
      <c r="L28" s="15" t="s">
        <v>1262</v>
      </c>
    </row>
    <row r="29" spans="1:12">
      <c r="A29" t="s">
        <v>1718</v>
      </c>
      <c r="B29">
        <v>71</v>
      </c>
      <c r="C29" t="s">
        <v>1719</v>
      </c>
      <c r="D29" t="s">
        <v>22</v>
      </c>
      <c r="E29">
        <v>15358554</v>
      </c>
      <c r="F29">
        <v>15358707</v>
      </c>
      <c r="G29" s="15" t="s">
        <v>1656</v>
      </c>
      <c r="H29">
        <v>1563</v>
      </c>
      <c r="I29">
        <v>1753</v>
      </c>
      <c r="J29" s="15" t="s">
        <v>1656</v>
      </c>
      <c r="K29">
        <v>0</v>
      </c>
      <c r="L29" s="15" t="s">
        <v>1262</v>
      </c>
    </row>
    <row r="30" spans="1:12">
      <c r="A30" t="s">
        <v>1666</v>
      </c>
      <c r="B30">
        <v>69</v>
      </c>
      <c r="C30" t="s">
        <v>2285</v>
      </c>
      <c r="D30" t="s">
        <v>172</v>
      </c>
      <c r="E30">
        <v>98769613</v>
      </c>
      <c r="F30">
        <v>98769879</v>
      </c>
      <c r="G30" s="15" t="s">
        <v>1656</v>
      </c>
      <c r="H30">
        <v>1554</v>
      </c>
      <c r="I30">
        <v>1840</v>
      </c>
      <c r="J30" s="15" t="s">
        <v>1656</v>
      </c>
      <c r="K30">
        <v>0</v>
      </c>
      <c r="L30" s="15" t="s">
        <v>1262</v>
      </c>
    </row>
    <row r="31" spans="1:12">
      <c r="A31" t="s">
        <v>1666</v>
      </c>
      <c r="B31">
        <v>66</v>
      </c>
      <c r="C31" t="s">
        <v>1677</v>
      </c>
      <c r="D31" t="s">
        <v>226</v>
      </c>
      <c r="E31">
        <v>67420481</v>
      </c>
      <c r="F31">
        <v>67420626</v>
      </c>
      <c r="G31" s="15" t="s">
        <v>35</v>
      </c>
      <c r="H31">
        <v>1585</v>
      </c>
      <c r="I31">
        <v>1834</v>
      </c>
      <c r="J31" s="15" t="s">
        <v>1656</v>
      </c>
      <c r="K31">
        <v>91102</v>
      </c>
      <c r="L31" s="15" t="s">
        <v>1262</v>
      </c>
    </row>
    <row r="32" spans="1:12">
      <c r="A32" t="s">
        <v>1682</v>
      </c>
      <c r="B32">
        <v>64</v>
      </c>
      <c r="C32" t="s">
        <v>1684</v>
      </c>
      <c r="D32" t="s">
        <v>83</v>
      </c>
      <c r="E32">
        <v>104641519</v>
      </c>
      <c r="F32">
        <v>104641773</v>
      </c>
      <c r="G32" s="15" t="s">
        <v>1656</v>
      </c>
      <c r="H32">
        <v>1670</v>
      </c>
      <c r="I32">
        <v>1842</v>
      </c>
      <c r="J32" s="15" t="s">
        <v>1656</v>
      </c>
      <c r="K32">
        <v>114671</v>
      </c>
      <c r="L32" s="15" t="s">
        <v>41</v>
      </c>
    </row>
    <row r="33" spans="1:12">
      <c r="A33" t="s">
        <v>1718</v>
      </c>
      <c r="B33">
        <v>58</v>
      </c>
      <c r="C33" t="s">
        <v>1727</v>
      </c>
      <c r="D33" t="s">
        <v>22</v>
      </c>
      <c r="E33">
        <v>193869797</v>
      </c>
      <c r="F33">
        <v>193870102</v>
      </c>
      <c r="G33" s="15" t="s">
        <v>35</v>
      </c>
      <c r="H33">
        <v>1143</v>
      </c>
      <c r="I33">
        <v>1501</v>
      </c>
      <c r="J33" s="15" t="s">
        <v>1656</v>
      </c>
      <c r="K33">
        <v>645855</v>
      </c>
      <c r="L33" s="15" t="s">
        <v>1262</v>
      </c>
    </row>
    <row r="34" spans="1:12">
      <c r="A34" t="s">
        <v>1718</v>
      </c>
      <c r="B34">
        <v>55</v>
      </c>
      <c r="C34" t="s">
        <v>1900</v>
      </c>
      <c r="D34" t="s">
        <v>339</v>
      </c>
      <c r="E34">
        <v>38941057</v>
      </c>
      <c r="F34">
        <v>38941335</v>
      </c>
      <c r="G34" s="15" t="s">
        <v>1656</v>
      </c>
      <c r="H34">
        <v>1560</v>
      </c>
      <c r="I34">
        <v>1809</v>
      </c>
      <c r="J34" s="15" t="s">
        <v>1656</v>
      </c>
      <c r="K34">
        <v>4192</v>
      </c>
      <c r="L34" s="15" t="s">
        <v>1262</v>
      </c>
    </row>
    <row r="35" spans="1:12">
      <c r="A35" t="s">
        <v>1666</v>
      </c>
      <c r="B35">
        <v>52</v>
      </c>
      <c r="C35" t="s">
        <v>1681</v>
      </c>
      <c r="D35" t="s">
        <v>418</v>
      </c>
      <c r="E35">
        <v>126560592</v>
      </c>
      <c r="F35">
        <v>126560861</v>
      </c>
      <c r="G35" s="15" t="s">
        <v>35</v>
      </c>
      <c r="H35">
        <v>1554</v>
      </c>
      <c r="I35">
        <v>1812</v>
      </c>
      <c r="J35" s="15" t="s">
        <v>1656</v>
      </c>
      <c r="K35">
        <v>604824</v>
      </c>
      <c r="L35" s="15" t="s">
        <v>1262</v>
      </c>
    </row>
    <row r="36" spans="1:12">
      <c r="A36" t="s">
        <v>1666</v>
      </c>
      <c r="B36">
        <v>52</v>
      </c>
      <c r="C36" t="s">
        <v>2306</v>
      </c>
      <c r="D36" t="s">
        <v>83</v>
      </c>
      <c r="E36">
        <v>24313926</v>
      </c>
      <c r="F36">
        <v>24314181</v>
      </c>
      <c r="G36" s="15" t="s">
        <v>35</v>
      </c>
      <c r="H36">
        <v>1560</v>
      </c>
      <c r="I36">
        <v>1833</v>
      </c>
      <c r="J36" s="15" t="s">
        <v>1656</v>
      </c>
      <c r="K36">
        <v>204589</v>
      </c>
      <c r="L36" s="15" t="s">
        <v>1262</v>
      </c>
    </row>
    <row r="37" spans="1:12">
      <c r="A37" t="s">
        <v>1695</v>
      </c>
      <c r="B37">
        <v>51</v>
      </c>
      <c r="C37" t="s">
        <v>1701</v>
      </c>
      <c r="D37" t="s">
        <v>201</v>
      </c>
      <c r="E37">
        <v>19959439</v>
      </c>
      <c r="F37">
        <v>19959766</v>
      </c>
      <c r="G37" s="15" t="s">
        <v>35</v>
      </c>
      <c r="H37">
        <v>1519</v>
      </c>
      <c r="I37">
        <v>1824</v>
      </c>
      <c r="J37" s="15" t="s">
        <v>1656</v>
      </c>
      <c r="K37">
        <v>0</v>
      </c>
      <c r="L37" s="15" t="s">
        <v>1262</v>
      </c>
    </row>
    <row r="38" spans="1:12">
      <c r="A38" t="s">
        <v>1695</v>
      </c>
      <c r="B38">
        <v>48</v>
      </c>
      <c r="C38" t="s">
        <v>1700</v>
      </c>
      <c r="D38" t="s">
        <v>172</v>
      </c>
      <c r="E38">
        <v>177492251</v>
      </c>
      <c r="F38">
        <v>177492538</v>
      </c>
      <c r="G38" s="15" t="s">
        <v>35</v>
      </c>
      <c r="H38">
        <v>1519</v>
      </c>
      <c r="I38">
        <v>1821</v>
      </c>
      <c r="J38" s="15" t="s">
        <v>1656</v>
      </c>
      <c r="K38">
        <v>2057</v>
      </c>
      <c r="L38" s="15" t="s">
        <v>1262</v>
      </c>
    </row>
    <row r="39" spans="1:12">
      <c r="A39" t="s">
        <v>1666</v>
      </c>
      <c r="B39">
        <v>47</v>
      </c>
      <c r="C39" t="s">
        <v>1676</v>
      </c>
      <c r="D39" t="s">
        <v>226</v>
      </c>
      <c r="E39">
        <v>28325435</v>
      </c>
      <c r="F39">
        <v>28325636</v>
      </c>
      <c r="G39" s="15" t="s">
        <v>1656</v>
      </c>
      <c r="H39">
        <v>1524</v>
      </c>
      <c r="I39">
        <v>1782</v>
      </c>
      <c r="J39" s="15" t="s">
        <v>1656</v>
      </c>
      <c r="K39">
        <v>601340</v>
      </c>
      <c r="L39" s="15" t="s">
        <v>1262</v>
      </c>
    </row>
    <row r="40" spans="1:12">
      <c r="A40" t="s">
        <v>1666</v>
      </c>
      <c r="B40">
        <v>45</v>
      </c>
      <c r="C40" t="s">
        <v>2276</v>
      </c>
      <c r="D40" t="s">
        <v>257</v>
      </c>
      <c r="E40">
        <v>109658074</v>
      </c>
      <c r="F40">
        <v>109658224</v>
      </c>
      <c r="G40" s="15" t="s">
        <v>1656</v>
      </c>
      <c r="H40">
        <v>1551</v>
      </c>
      <c r="I40">
        <v>1829</v>
      </c>
      <c r="J40" s="15" t="s">
        <v>1656</v>
      </c>
      <c r="K40">
        <v>57954</v>
      </c>
      <c r="L40" s="15" t="s">
        <v>1262</v>
      </c>
    </row>
    <row r="41" spans="1:12">
      <c r="A41" t="s">
        <v>1695</v>
      </c>
      <c r="B41">
        <v>42</v>
      </c>
      <c r="C41" t="s">
        <v>2049</v>
      </c>
      <c r="D41" t="s">
        <v>172</v>
      </c>
      <c r="E41">
        <v>169759641</v>
      </c>
      <c r="F41">
        <v>169759838</v>
      </c>
      <c r="G41" s="15" t="s">
        <v>1656</v>
      </c>
      <c r="H41">
        <v>1503</v>
      </c>
      <c r="I41">
        <v>1797</v>
      </c>
      <c r="J41" s="15" t="s">
        <v>1656</v>
      </c>
      <c r="K41">
        <v>0</v>
      </c>
      <c r="L41" s="15" t="s">
        <v>1262</v>
      </c>
    </row>
    <row r="42" spans="1:12">
      <c r="A42" t="s">
        <v>1695</v>
      </c>
      <c r="B42">
        <v>42</v>
      </c>
      <c r="C42" t="s">
        <v>2138</v>
      </c>
      <c r="D42" t="s">
        <v>279</v>
      </c>
      <c r="E42">
        <v>33996681</v>
      </c>
      <c r="F42">
        <v>33996828</v>
      </c>
      <c r="G42" s="15" t="s">
        <v>35</v>
      </c>
      <c r="H42">
        <v>1501</v>
      </c>
      <c r="I42">
        <v>1833</v>
      </c>
      <c r="J42" s="15" t="s">
        <v>1656</v>
      </c>
      <c r="K42">
        <v>539242</v>
      </c>
      <c r="L42" s="15" t="s">
        <v>1262</v>
      </c>
    </row>
    <row r="43" spans="1:12">
      <c r="A43" t="s">
        <v>1666</v>
      </c>
      <c r="B43">
        <v>42</v>
      </c>
      <c r="C43" t="s">
        <v>2305</v>
      </c>
      <c r="D43" t="s">
        <v>83</v>
      </c>
      <c r="E43">
        <v>105234842</v>
      </c>
      <c r="F43">
        <v>105235043</v>
      </c>
      <c r="G43" s="15" t="s">
        <v>1656</v>
      </c>
      <c r="H43">
        <v>1629</v>
      </c>
      <c r="I43">
        <v>1833</v>
      </c>
      <c r="J43" s="15" t="s">
        <v>1656</v>
      </c>
      <c r="K43">
        <v>224582</v>
      </c>
      <c r="L43" s="15" t="s">
        <v>1262</v>
      </c>
    </row>
    <row r="44" spans="1:12">
      <c r="A44" t="s">
        <v>1718</v>
      </c>
      <c r="B44">
        <v>41</v>
      </c>
      <c r="C44" t="s">
        <v>1889</v>
      </c>
      <c r="D44" t="s">
        <v>83</v>
      </c>
      <c r="E44">
        <v>26597467</v>
      </c>
      <c r="F44">
        <v>26597681</v>
      </c>
      <c r="G44" s="15" t="s">
        <v>1656</v>
      </c>
      <c r="H44">
        <v>1560</v>
      </c>
      <c r="I44">
        <v>1729</v>
      </c>
      <c r="J44" s="15" t="s">
        <v>1656</v>
      </c>
      <c r="K44">
        <v>0</v>
      </c>
      <c r="L44" s="15" t="s">
        <v>1262</v>
      </c>
    </row>
    <row r="45" spans="1:12">
      <c r="A45" t="s">
        <v>1695</v>
      </c>
      <c r="B45">
        <v>41</v>
      </c>
      <c r="C45" t="s">
        <v>2133</v>
      </c>
      <c r="D45" t="s">
        <v>257</v>
      </c>
      <c r="E45">
        <v>119570179</v>
      </c>
      <c r="F45">
        <v>119570401</v>
      </c>
      <c r="G45" s="15" t="s">
        <v>35</v>
      </c>
      <c r="H45">
        <v>1519</v>
      </c>
      <c r="I45">
        <v>1826</v>
      </c>
      <c r="J45" s="15" t="s">
        <v>1656</v>
      </c>
      <c r="K45">
        <v>343542</v>
      </c>
      <c r="L45" s="15" t="s">
        <v>1262</v>
      </c>
    </row>
    <row r="46" spans="1:12">
      <c r="A46" t="s">
        <v>1666</v>
      </c>
      <c r="B46">
        <v>41</v>
      </c>
      <c r="C46" t="s">
        <v>2276</v>
      </c>
      <c r="D46" t="s">
        <v>257</v>
      </c>
      <c r="E46">
        <v>109658150</v>
      </c>
      <c r="F46">
        <v>109658393</v>
      </c>
      <c r="G46" s="15" t="s">
        <v>35</v>
      </c>
      <c r="H46">
        <v>1614</v>
      </c>
      <c r="I46">
        <v>1833</v>
      </c>
      <c r="J46" s="15" t="s">
        <v>1656</v>
      </c>
      <c r="K46">
        <v>57880</v>
      </c>
      <c r="L46" s="15" t="s">
        <v>1262</v>
      </c>
    </row>
    <row r="47" spans="1:12">
      <c r="A47" t="s">
        <v>1718</v>
      </c>
      <c r="B47">
        <v>40</v>
      </c>
      <c r="C47" t="s">
        <v>1732</v>
      </c>
      <c r="D47" t="s">
        <v>418</v>
      </c>
      <c r="E47">
        <v>109556797</v>
      </c>
      <c r="F47">
        <v>109557018</v>
      </c>
      <c r="G47" s="15" t="s">
        <v>35</v>
      </c>
      <c r="H47">
        <v>1560</v>
      </c>
      <c r="I47">
        <v>1806</v>
      </c>
      <c r="J47" s="15" t="s">
        <v>1656</v>
      </c>
      <c r="K47">
        <v>0</v>
      </c>
      <c r="L47" s="15" t="s">
        <v>1262</v>
      </c>
    </row>
    <row r="48" spans="1:12">
      <c r="A48" t="s">
        <v>1695</v>
      </c>
      <c r="B48">
        <v>40</v>
      </c>
      <c r="C48" t="s">
        <v>2083</v>
      </c>
      <c r="D48" t="s">
        <v>201</v>
      </c>
      <c r="E48">
        <v>126178046</v>
      </c>
      <c r="F48">
        <v>126178296</v>
      </c>
      <c r="G48" s="15" t="s">
        <v>35</v>
      </c>
      <c r="H48">
        <v>1540</v>
      </c>
      <c r="I48">
        <v>1777</v>
      </c>
      <c r="J48" s="15" t="s">
        <v>1656</v>
      </c>
      <c r="K48">
        <v>0</v>
      </c>
      <c r="L48" s="15" t="s">
        <v>1262</v>
      </c>
    </row>
    <row r="49" spans="1:12">
      <c r="A49" t="s">
        <v>1657</v>
      </c>
      <c r="B49">
        <v>39</v>
      </c>
      <c r="C49" t="s">
        <v>1671</v>
      </c>
      <c r="D49" t="s">
        <v>172</v>
      </c>
      <c r="E49">
        <v>80251723</v>
      </c>
      <c r="F49">
        <v>80252051</v>
      </c>
      <c r="G49" s="15" t="s">
        <v>1656</v>
      </c>
      <c r="H49">
        <v>1557</v>
      </c>
      <c r="I49">
        <v>1836</v>
      </c>
      <c r="J49" s="15" t="s">
        <v>1656</v>
      </c>
      <c r="K49">
        <v>0</v>
      </c>
      <c r="L49" s="15" t="s">
        <v>41</v>
      </c>
    </row>
    <row r="50" spans="1:12">
      <c r="A50" t="s">
        <v>1718</v>
      </c>
      <c r="B50">
        <v>38</v>
      </c>
      <c r="C50" t="s">
        <v>1888</v>
      </c>
      <c r="D50" t="s">
        <v>83</v>
      </c>
      <c r="E50">
        <v>1704325</v>
      </c>
      <c r="F50">
        <v>1704462</v>
      </c>
      <c r="G50" s="15" t="s">
        <v>35</v>
      </c>
      <c r="H50">
        <v>1560</v>
      </c>
      <c r="I50">
        <v>1839</v>
      </c>
      <c r="J50" s="15" t="s">
        <v>1656</v>
      </c>
      <c r="K50">
        <v>0</v>
      </c>
      <c r="L50" s="15" t="s">
        <v>1262</v>
      </c>
    </row>
    <row r="51" spans="1:12">
      <c r="A51" t="s">
        <v>1685</v>
      </c>
      <c r="B51">
        <v>38</v>
      </c>
      <c r="C51" t="s">
        <v>1688</v>
      </c>
      <c r="D51" t="s">
        <v>139</v>
      </c>
      <c r="E51">
        <v>30268632</v>
      </c>
      <c r="F51">
        <v>30287357</v>
      </c>
      <c r="G51" s="15" t="s">
        <v>1656</v>
      </c>
      <c r="H51">
        <v>2853</v>
      </c>
      <c r="I51">
        <v>3038</v>
      </c>
      <c r="J51" s="15" t="s">
        <v>1656</v>
      </c>
      <c r="K51">
        <v>15543</v>
      </c>
      <c r="L51" s="15" t="s">
        <v>41</v>
      </c>
    </row>
    <row r="52" spans="1:12">
      <c r="A52" t="s">
        <v>1718</v>
      </c>
      <c r="B52">
        <v>37</v>
      </c>
      <c r="C52" t="s">
        <v>1729</v>
      </c>
      <c r="D52" t="s">
        <v>201</v>
      </c>
      <c r="E52">
        <v>189069754</v>
      </c>
      <c r="F52">
        <v>189069941</v>
      </c>
      <c r="G52" s="15" t="s">
        <v>1656</v>
      </c>
      <c r="H52">
        <v>3082</v>
      </c>
      <c r="I52">
        <v>3264</v>
      </c>
      <c r="J52" s="15" t="s">
        <v>1656</v>
      </c>
      <c r="K52">
        <v>28670</v>
      </c>
      <c r="L52" s="15" t="s">
        <v>1262</v>
      </c>
    </row>
    <row r="53" spans="1:12">
      <c r="A53" t="s">
        <v>1666</v>
      </c>
      <c r="B53">
        <v>37</v>
      </c>
      <c r="C53" t="s">
        <v>2330</v>
      </c>
      <c r="D53" t="s">
        <v>220</v>
      </c>
      <c r="E53">
        <v>100047751</v>
      </c>
      <c r="F53">
        <v>100063308</v>
      </c>
      <c r="G53" s="15" t="s">
        <v>1656</v>
      </c>
      <c r="H53">
        <v>1554</v>
      </c>
      <c r="I53">
        <v>1881</v>
      </c>
      <c r="J53" s="15" t="s">
        <v>1656</v>
      </c>
      <c r="K53">
        <v>0</v>
      </c>
      <c r="L53" s="15" t="s">
        <v>1262</v>
      </c>
    </row>
    <row r="54" spans="1:12">
      <c r="A54" t="s">
        <v>1666</v>
      </c>
      <c r="B54">
        <v>35</v>
      </c>
      <c r="C54" t="s">
        <v>2309</v>
      </c>
      <c r="D54" t="s">
        <v>104</v>
      </c>
      <c r="E54">
        <v>91085695</v>
      </c>
      <c r="F54">
        <v>91085878</v>
      </c>
      <c r="G54" s="15" t="s">
        <v>1656</v>
      </c>
      <c r="H54">
        <v>1554</v>
      </c>
      <c r="I54">
        <v>1781</v>
      </c>
      <c r="J54" s="15" t="s">
        <v>1656</v>
      </c>
      <c r="K54">
        <v>225921</v>
      </c>
      <c r="L54" s="15" t="s">
        <v>1262</v>
      </c>
    </row>
    <row r="55" spans="1:12">
      <c r="A55" t="s">
        <v>1695</v>
      </c>
      <c r="B55">
        <v>33</v>
      </c>
      <c r="C55" t="s">
        <v>1997</v>
      </c>
      <c r="D55" t="s">
        <v>104</v>
      </c>
      <c r="E55">
        <v>20634562</v>
      </c>
      <c r="F55">
        <v>20634687</v>
      </c>
      <c r="G55" s="15" t="s">
        <v>1656</v>
      </c>
      <c r="H55">
        <v>1509</v>
      </c>
      <c r="I55">
        <v>1753</v>
      </c>
      <c r="J55" s="15" t="s">
        <v>1656</v>
      </c>
      <c r="K55">
        <v>0</v>
      </c>
      <c r="L55" s="15" t="s">
        <v>1262</v>
      </c>
    </row>
    <row r="56" spans="1:12">
      <c r="A56" t="s">
        <v>1695</v>
      </c>
      <c r="B56">
        <v>32</v>
      </c>
      <c r="C56" t="s">
        <v>2109</v>
      </c>
      <c r="D56" t="s">
        <v>237</v>
      </c>
      <c r="E56">
        <v>45705371</v>
      </c>
      <c r="F56">
        <v>45705658</v>
      </c>
      <c r="G56" s="15" t="s">
        <v>1656</v>
      </c>
      <c r="H56">
        <v>1510</v>
      </c>
      <c r="I56">
        <v>1768</v>
      </c>
      <c r="J56" s="15" t="s">
        <v>1656</v>
      </c>
      <c r="K56">
        <v>160531</v>
      </c>
      <c r="L56" s="15" t="s">
        <v>1262</v>
      </c>
    </row>
    <row r="57" spans="1:12">
      <c r="A57" t="s">
        <v>1718</v>
      </c>
      <c r="B57">
        <v>31</v>
      </c>
      <c r="C57" t="s">
        <v>1906</v>
      </c>
      <c r="D57" t="s">
        <v>339</v>
      </c>
      <c r="E57">
        <v>49802807</v>
      </c>
      <c r="F57">
        <v>49803087</v>
      </c>
      <c r="G57" s="15" t="s">
        <v>35</v>
      </c>
      <c r="H57">
        <v>1398</v>
      </c>
      <c r="I57">
        <v>1795</v>
      </c>
      <c r="J57" s="15" t="s">
        <v>1656</v>
      </c>
      <c r="K57">
        <v>6294</v>
      </c>
      <c r="L57" s="15" t="s">
        <v>1262</v>
      </c>
    </row>
    <row r="58" spans="1:12">
      <c r="A58" t="s">
        <v>1654</v>
      </c>
      <c r="B58">
        <v>31</v>
      </c>
      <c r="C58" t="s">
        <v>2279</v>
      </c>
      <c r="D58" t="s">
        <v>418</v>
      </c>
      <c r="E58">
        <v>53295001</v>
      </c>
      <c r="F58">
        <v>53295137</v>
      </c>
      <c r="G58" s="15" t="s">
        <v>35</v>
      </c>
      <c r="H58">
        <v>1505</v>
      </c>
      <c r="I58">
        <v>1796</v>
      </c>
      <c r="J58" s="15" t="s">
        <v>1656</v>
      </c>
      <c r="K58">
        <v>0</v>
      </c>
      <c r="L58" s="15" t="s">
        <v>1262</v>
      </c>
    </row>
    <row r="59" spans="1:12">
      <c r="A59" t="s">
        <v>1695</v>
      </c>
      <c r="B59">
        <v>30</v>
      </c>
      <c r="C59" t="s">
        <v>2055</v>
      </c>
      <c r="D59" t="s">
        <v>172</v>
      </c>
      <c r="E59">
        <v>171341231</v>
      </c>
      <c r="F59">
        <v>171341522</v>
      </c>
      <c r="G59" s="15" t="s">
        <v>35</v>
      </c>
      <c r="H59">
        <v>1526</v>
      </c>
      <c r="I59">
        <v>1801</v>
      </c>
      <c r="J59" s="15" t="s">
        <v>1656</v>
      </c>
      <c r="K59">
        <v>0</v>
      </c>
      <c r="L59" s="15" t="s">
        <v>1262</v>
      </c>
    </row>
    <row r="60" spans="1:12">
      <c r="A60" t="s">
        <v>1657</v>
      </c>
      <c r="B60">
        <v>30</v>
      </c>
      <c r="C60" t="s">
        <v>1659</v>
      </c>
      <c r="D60" t="s">
        <v>139</v>
      </c>
      <c r="E60">
        <v>36212640</v>
      </c>
      <c r="F60">
        <v>36213596</v>
      </c>
      <c r="G60" s="15" t="s">
        <v>35</v>
      </c>
      <c r="H60">
        <v>1652</v>
      </c>
      <c r="I60">
        <v>2497</v>
      </c>
      <c r="J60" s="15" t="s">
        <v>1656</v>
      </c>
      <c r="K60">
        <v>0</v>
      </c>
      <c r="L60" s="15" t="s">
        <v>41</v>
      </c>
    </row>
    <row r="61" spans="1:12">
      <c r="A61" t="s">
        <v>1718</v>
      </c>
      <c r="B61">
        <v>29</v>
      </c>
      <c r="C61" t="s">
        <v>1825</v>
      </c>
      <c r="D61" t="s">
        <v>201</v>
      </c>
      <c r="E61">
        <v>6402169</v>
      </c>
      <c r="F61">
        <v>6402443</v>
      </c>
      <c r="G61" s="15" t="s">
        <v>1656</v>
      </c>
      <c r="H61">
        <v>1560</v>
      </c>
      <c r="I61">
        <v>1796</v>
      </c>
      <c r="J61" s="15" t="s">
        <v>1656</v>
      </c>
      <c r="K61">
        <v>500358</v>
      </c>
      <c r="L61" s="15" t="s">
        <v>1262</v>
      </c>
    </row>
    <row r="62" spans="1:12">
      <c r="A62" t="s">
        <v>1718</v>
      </c>
      <c r="B62">
        <v>29</v>
      </c>
      <c r="C62" t="s">
        <v>1859</v>
      </c>
      <c r="D62" t="s">
        <v>237</v>
      </c>
      <c r="E62">
        <v>29291988</v>
      </c>
      <c r="F62">
        <v>29292287</v>
      </c>
      <c r="G62" s="15" t="s">
        <v>35</v>
      </c>
      <c r="H62">
        <v>1560</v>
      </c>
      <c r="I62">
        <v>1807</v>
      </c>
      <c r="J62" s="15" t="s">
        <v>1656</v>
      </c>
      <c r="K62">
        <v>16556</v>
      </c>
      <c r="L62" s="15" t="s">
        <v>1262</v>
      </c>
    </row>
    <row r="63" spans="1:12">
      <c r="A63" t="s">
        <v>1718</v>
      </c>
      <c r="B63">
        <v>29</v>
      </c>
      <c r="C63" t="s">
        <v>1889</v>
      </c>
      <c r="D63" t="s">
        <v>83</v>
      </c>
      <c r="E63">
        <v>26406167</v>
      </c>
      <c r="F63">
        <v>26406263</v>
      </c>
      <c r="G63" s="15" t="s">
        <v>35</v>
      </c>
      <c r="H63">
        <v>1415</v>
      </c>
      <c r="I63">
        <v>1729</v>
      </c>
      <c r="J63" s="15" t="s">
        <v>1656</v>
      </c>
      <c r="K63">
        <v>0</v>
      </c>
      <c r="L63" s="15" t="s">
        <v>1262</v>
      </c>
    </row>
    <row r="64" spans="1:12">
      <c r="A64" t="s">
        <v>1695</v>
      </c>
      <c r="B64">
        <v>29</v>
      </c>
      <c r="C64" t="s">
        <v>2113</v>
      </c>
      <c r="D64" t="s">
        <v>237</v>
      </c>
      <c r="E64">
        <v>115742893</v>
      </c>
      <c r="F64">
        <v>115743189</v>
      </c>
      <c r="G64" s="15" t="s">
        <v>35</v>
      </c>
      <c r="H64">
        <v>1536</v>
      </c>
      <c r="I64">
        <v>1829</v>
      </c>
      <c r="J64" s="15" t="s">
        <v>1656</v>
      </c>
      <c r="K64">
        <v>519799</v>
      </c>
      <c r="L64" s="15" t="s">
        <v>1262</v>
      </c>
    </row>
    <row r="65" spans="1:12">
      <c r="A65" t="s">
        <v>1718</v>
      </c>
      <c r="B65">
        <v>28</v>
      </c>
      <c r="C65" t="s">
        <v>1805</v>
      </c>
      <c r="D65" t="s">
        <v>172</v>
      </c>
      <c r="E65">
        <v>44743583</v>
      </c>
      <c r="F65">
        <v>44743836</v>
      </c>
      <c r="G65" s="15" t="s">
        <v>1656</v>
      </c>
      <c r="H65">
        <v>1560</v>
      </c>
      <c r="I65">
        <v>1799</v>
      </c>
      <c r="J65" s="15" t="s">
        <v>1656</v>
      </c>
      <c r="K65">
        <v>0</v>
      </c>
      <c r="L65" s="15" t="s">
        <v>1262</v>
      </c>
    </row>
    <row r="66" spans="1:12">
      <c r="A66" t="s">
        <v>1718</v>
      </c>
      <c r="B66">
        <v>28</v>
      </c>
      <c r="C66" t="s">
        <v>1844</v>
      </c>
      <c r="D66" t="s">
        <v>220</v>
      </c>
      <c r="E66">
        <v>177937646</v>
      </c>
      <c r="F66">
        <v>177937975</v>
      </c>
      <c r="G66" s="15" t="s">
        <v>1656</v>
      </c>
      <c r="H66">
        <v>1581</v>
      </c>
      <c r="I66">
        <v>1831</v>
      </c>
      <c r="J66" s="15" t="s">
        <v>1656</v>
      </c>
      <c r="K66">
        <v>224080</v>
      </c>
      <c r="L66" s="15" t="s">
        <v>1262</v>
      </c>
    </row>
    <row r="67" spans="1:12">
      <c r="A67" t="s">
        <v>1695</v>
      </c>
      <c r="B67">
        <v>28</v>
      </c>
      <c r="C67" t="s">
        <v>2011</v>
      </c>
      <c r="D67" t="s">
        <v>118</v>
      </c>
      <c r="E67">
        <v>26405879</v>
      </c>
      <c r="F67">
        <v>26406176</v>
      </c>
      <c r="G67" s="15" t="s">
        <v>35</v>
      </c>
      <c r="H67">
        <v>1519</v>
      </c>
      <c r="I67">
        <v>1767</v>
      </c>
      <c r="J67" s="15" t="s">
        <v>1656</v>
      </c>
      <c r="K67">
        <v>509209</v>
      </c>
      <c r="L67" s="15" t="s">
        <v>1262</v>
      </c>
    </row>
    <row r="68" spans="1:12">
      <c r="A68" t="s">
        <v>1718</v>
      </c>
      <c r="B68">
        <v>27</v>
      </c>
      <c r="C68" t="s">
        <v>1729</v>
      </c>
      <c r="D68" t="s">
        <v>201</v>
      </c>
      <c r="E68">
        <v>189069623</v>
      </c>
      <c r="F68">
        <v>189069944</v>
      </c>
      <c r="G68" s="15" t="s">
        <v>1656</v>
      </c>
      <c r="H68">
        <v>10</v>
      </c>
      <c r="I68">
        <v>73</v>
      </c>
      <c r="J68" s="15" t="s">
        <v>1656</v>
      </c>
      <c r="K68">
        <v>28673</v>
      </c>
      <c r="L68" s="15" t="s">
        <v>1262</v>
      </c>
    </row>
    <row r="69" spans="1:12">
      <c r="A69" t="s">
        <v>1910</v>
      </c>
      <c r="B69">
        <v>27</v>
      </c>
      <c r="C69" t="s">
        <v>1913</v>
      </c>
      <c r="D69" t="s">
        <v>292</v>
      </c>
      <c r="E69">
        <v>105438043</v>
      </c>
      <c r="F69">
        <v>105438297</v>
      </c>
      <c r="G69" s="15" t="s">
        <v>1656</v>
      </c>
      <c r="H69">
        <v>1521</v>
      </c>
      <c r="I69">
        <v>1832</v>
      </c>
      <c r="J69" s="15" t="s">
        <v>1656</v>
      </c>
      <c r="K69">
        <v>319295</v>
      </c>
      <c r="L69" s="15" t="s">
        <v>1262</v>
      </c>
    </row>
    <row r="70" spans="1:12">
      <c r="A70" t="s">
        <v>1666</v>
      </c>
      <c r="B70">
        <v>27</v>
      </c>
      <c r="C70" t="s">
        <v>1673</v>
      </c>
      <c r="D70" t="s">
        <v>172</v>
      </c>
      <c r="E70">
        <v>204104880</v>
      </c>
      <c r="F70">
        <v>204105093</v>
      </c>
      <c r="G70" s="15" t="s">
        <v>35</v>
      </c>
      <c r="H70">
        <v>1586</v>
      </c>
      <c r="I70">
        <v>1805</v>
      </c>
      <c r="J70" s="15" t="s">
        <v>1656</v>
      </c>
      <c r="K70">
        <v>0</v>
      </c>
      <c r="L70" s="15" t="s">
        <v>1262</v>
      </c>
    </row>
    <row r="71" spans="1:12">
      <c r="A71" t="s">
        <v>1654</v>
      </c>
      <c r="B71">
        <v>26</v>
      </c>
      <c r="C71" t="s">
        <v>2263</v>
      </c>
      <c r="D71" t="s">
        <v>120</v>
      </c>
      <c r="E71">
        <v>32971056</v>
      </c>
      <c r="F71">
        <v>32971305</v>
      </c>
      <c r="G71" s="15" t="s">
        <v>1656</v>
      </c>
      <c r="H71">
        <v>1501</v>
      </c>
      <c r="I71">
        <v>1730</v>
      </c>
      <c r="J71" s="15" t="s">
        <v>1656</v>
      </c>
      <c r="K71">
        <v>0</v>
      </c>
      <c r="L71" s="15" t="s">
        <v>1262</v>
      </c>
    </row>
    <row r="72" spans="1:12">
      <c r="A72" t="s">
        <v>1718</v>
      </c>
      <c r="B72">
        <v>25</v>
      </c>
      <c r="C72" t="s">
        <v>1855</v>
      </c>
      <c r="D72" t="s">
        <v>226</v>
      </c>
      <c r="E72">
        <v>82994910</v>
      </c>
      <c r="F72">
        <v>82995129</v>
      </c>
      <c r="G72" s="15" t="s">
        <v>35</v>
      </c>
      <c r="H72">
        <v>2018</v>
      </c>
      <c r="I72">
        <v>2141</v>
      </c>
      <c r="J72" s="15" t="s">
        <v>35</v>
      </c>
      <c r="K72">
        <v>0</v>
      </c>
      <c r="L72" s="15" t="s">
        <v>1262</v>
      </c>
    </row>
    <row r="73" spans="1:12">
      <c r="A73" t="s">
        <v>1666</v>
      </c>
      <c r="B73">
        <v>25</v>
      </c>
      <c r="C73" t="s">
        <v>1848</v>
      </c>
      <c r="D73" t="s">
        <v>220</v>
      </c>
      <c r="E73">
        <v>160189887</v>
      </c>
      <c r="F73">
        <v>160190079</v>
      </c>
      <c r="G73" s="15" t="s">
        <v>1656</v>
      </c>
      <c r="H73">
        <v>1590</v>
      </c>
      <c r="I73">
        <v>1817</v>
      </c>
      <c r="J73" s="15" t="s">
        <v>1656</v>
      </c>
      <c r="K73">
        <v>0</v>
      </c>
      <c r="L73" s="15" t="s">
        <v>1262</v>
      </c>
    </row>
    <row r="74" spans="1:12">
      <c r="A74" t="s">
        <v>1718</v>
      </c>
      <c r="B74">
        <v>24</v>
      </c>
      <c r="C74" t="s">
        <v>2334</v>
      </c>
      <c r="D74" t="s">
        <v>292</v>
      </c>
      <c r="E74">
        <v>28082446</v>
      </c>
      <c r="F74">
        <v>28082692</v>
      </c>
      <c r="G74" s="15" t="s">
        <v>1656</v>
      </c>
      <c r="H74">
        <v>1583</v>
      </c>
      <c r="I74">
        <v>1804</v>
      </c>
      <c r="J74" s="15" t="s">
        <v>1656</v>
      </c>
      <c r="K74">
        <v>0</v>
      </c>
      <c r="L74" s="15" t="s">
        <v>1262</v>
      </c>
    </row>
    <row r="75" spans="1:12">
      <c r="A75" t="s">
        <v>1666</v>
      </c>
      <c r="B75">
        <v>24</v>
      </c>
      <c r="C75" t="s">
        <v>2290</v>
      </c>
      <c r="D75" t="s">
        <v>201</v>
      </c>
      <c r="E75">
        <v>94038832</v>
      </c>
      <c r="F75">
        <v>94039096</v>
      </c>
      <c r="G75" s="15" t="s">
        <v>1656</v>
      </c>
      <c r="H75">
        <v>1583</v>
      </c>
      <c r="I75">
        <v>1832</v>
      </c>
      <c r="J75" s="15" t="s">
        <v>1656</v>
      </c>
      <c r="K75">
        <v>193466</v>
      </c>
      <c r="L75" s="15" t="s">
        <v>1262</v>
      </c>
    </row>
    <row r="76" spans="1:12">
      <c r="A76" t="s">
        <v>1718</v>
      </c>
      <c r="B76">
        <v>23</v>
      </c>
      <c r="C76" t="s">
        <v>1845</v>
      </c>
      <c r="D76" t="s">
        <v>220</v>
      </c>
      <c r="E76">
        <v>85778042</v>
      </c>
      <c r="F76">
        <v>85779451</v>
      </c>
      <c r="G76" s="15" t="s">
        <v>35</v>
      </c>
      <c r="H76">
        <v>1404</v>
      </c>
      <c r="I76">
        <v>1765</v>
      </c>
      <c r="J76" s="15" t="s">
        <v>1656</v>
      </c>
      <c r="K76">
        <v>0</v>
      </c>
      <c r="L76" s="15" t="s">
        <v>1262</v>
      </c>
    </row>
    <row r="77" spans="1:12">
      <c r="A77" t="s">
        <v>1718</v>
      </c>
      <c r="B77">
        <v>23</v>
      </c>
      <c r="C77" t="s">
        <v>1908</v>
      </c>
      <c r="D77" t="s">
        <v>118</v>
      </c>
      <c r="E77">
        <v>48758277</v>
      </c>
      <c r="F77">
        <v>48758533</v>
      </c>
      <c r="G77" s="15" t="s">
        <v>1656</v>
      </c>
      <c r="H77">
        <v>1568</v>
      </c>
      <c r="I77">
        <v>1797</v>
      </c>
      <c r="J77" s="15" t="s">
        <v>1656</v>
      </c>
      <c r="K77">
        <v>494316</v>
      </c>
      <c r="L77" s="15" t="s">
        <v>1262</v>
      </c>
    </row>
    <row r="78" spans="1:12">
      <c r="A78" t="s">
        <v>1666</v>
      </c>
      <c r="B78">
        <v>23</v>
      </c>
      <c r="C78" t="s">
        <v>2303</v>
      </c>
      <c r="D78" t="s">
        <v>83</v>
      </c>
      <c r="E78">
        <v>20486140</v>
      </c>
      <c r="F78">
        <v>20486373</v>
      </c>
      <c r="G78" s="15" t="s">
        <v>1656</v>
      </c>
      <c r="H78">
        <v>1579</v>
      </c>
      <c r="I78">
        <v>1818</v>
      </c>
      <c r="J78" s="15" t="s">
        <v>1656</v>
      </c>
      <c r="K78">
        <v>0</v>
      </c>
      <c r="L78" s="15" t="s">
        <v>1262</v>
      </c>
    </row>
    <row r="79" spans="1:12">
      <c r="A79" t="s">
        <v>1695</v>
      </c>
      <c r="B79">
        <v>22</v>
      </c>
      <c r="C79" t="s">
        <v>2044</v>
      </c>
      <c r="D79" t="s">
        <v>22</v>
      </c>
      <c r="E79">
        <v>237668139</v>
      </c>
      <c r="F79">
        <v>237668376</v>
      </c>
      <c r="G79" s="15" t="s">
        <v>1656</v>
      </c>
      <c r="H79">
        <v>1519</v>
      </c>
      <c r="I79">
        <v>1808</v>
      </c>
      <c r="J79" s="15" t="s">
        <v>1656</v>
      </c>
      <c r="K79">
        <v>0</v>
      </c>
      <c r="L79" s="15" t="s">
        <v>1262</v>
      </c>
    </row>
    <row r="80" spans="1:12">
      <c r="A80" t="s">
        <v>1695</v>
      </c>
      <c r="B80">
        <v>21</v>
      </c>
      <c r="C80" t="s">
        <v>2031</v>
      </c>
      <c r="D80" t="s">
        <v>133</v>
      </c>
      <c r="E80">
        <v>27696880</v>
      </c>
      <c r="F80">
        <v>27697165</v>
      </c>
      <c r="G80" s="15" t="s">
        <v>35</v>
      </c>
      <c r="H80">
        <v>1590</v>
      </c>
      <c r="I80">
        <v>1833</v>
      </c>
      <c r="J80" s="15" t="s">
        <v>1656</v>
      </c>
      <c r="K80">
        <v>20799</v>
      </c>
      <c r="L80" s="15" t="s">
        <v>1262</v>
      </c>
    </row>
    <row r="81" spans="1:12">
      <c r="A81" t="s">
        <v>1695</v>
      </c>
      <c r="B81">
        <v>21</v>
      </c>
      <c r="C81" t="s">
        <v>2348</v>
      </c>
      <c r="D81" t="s">
        <v>22</v>
      </c>
      <c r="E81">
        <v>197237556</v>
      </c>
      <c r="F81">
        <v>197237796</v>
      </c>
      <c r="G81" s="15" t="s">
        <v>35</v>
      </c>
      <c r="H81">
        <v>1350</v>
      </c>
      <c r="I81">
        <v>1686</v>
      </c>
      <c r="J81" s="15" t="s">
        <v>1656</v>
      </c>
      <c r="K81">
        <v>0</v>
      </c>
      <c r="L81" s="15" t="s">
        <v>1262</v>
      </c>
    </row>
    <row r="82" spans="1:12">
      <c r="A82" t="s">
        <v>1695</v>
      </c>
      <c r="B82">
        <v>21</v>
      </c>
      <c r="C82" t="s">
        <v>1705</v>
      </c>
      <c r="D82" t="s">
        <v>279</v>
      </c>
      <c r="E82">
        <v>127441633</v>
      </c>
      <c r="F82">
        <v>127441808</v>
      </c>
      <c r="G82" s="15" t="s">
        <v>35</v>
      </c>
      <c r="H82">
        <v>1090</v>
      </c>
      <c r="I82">
        <v>1340</v>
      </c>
      <c r="J82" s="15" t="s">
        <v>1656</v>
      </c>
      <c r="K82">
        <v>123049</v>
      </c>
      <c r="L82" s="15" t="s">
        <v>1262</v>
      </c>
    </row>
    <row r="83" spans="1:12">
      <c r="A83" t="s">
        <v>1685</v>
      </c>
      <c r="B83">
        <v>21</v>
      </c>
      <c r="C83" t="s">
        <v>1692</v>
      </c>
      <c r="D83" t="s">
        <v>226</v>
      </c>
      <c r="E83">
        <v>1295840</v>
      </c>
      <c r="F83">
        <v>1296008</v>
      </c>
      <c r="G83" s="15" t="s">
        <v>35</v>
      </c>
      <c r="H83">
        <v>1736</v>
      </c>
      <c r="I83">
        <v>1825</v>
      </c>
      <c r="J83" s="15" t="s">
        <v>1656</v>
      </c>
      <c r="K83">
        <v>678</v>
      </c>
      <c r="L83" s="15" t="s">
        <v>41</v>
      </c>
    </row>
    <row r="84" spans="1:12">
      <c r="A84" t="s">
        <v>1718</v>
      </c>
      <c r="B84">
        <v>20</v>
      </c>
      <c r="C84" t="s">
        <v>2329</v>
      </c>
      <c r="D84" t="s">
        <v>201</v>
      </c>
      <c r="E84">
        <v>151501618</v>
      </c>
      <c r="F84">
        <v>151501893</v>
      </c>
      <c r="G84" s="15" t="s">
        <v>35</v>
      </c>
      <c r="H84">
        <v>168</v>
      </c>
      <c r="I84">
        <v>459</v>
      </c>
      <c r="J84" s="15" t="s">
        <v>1656</v>
      </c>
      <c r="K84">
        <v>0</v>
      </c>
      <c r="L84" s="15" t="s">
        <v>1262</v>
      </c>
    </row>
    <row r="85" spans="1:12">
      <c r="A85" t="s">
        <v>1695</v>
      </c>
      <c r="B85">
        <v>20</v>
      </c>
      <c r="C85" t="s">
        <v>2073</v>
      </c>
      <c r="D85" t="s">
        <v>201</v>
      </c>
      <c r="E85">
        <v>132849492</v>
      </c>
      <c r="F85">
        <v>132849735</v>
      </c>
      <c r="G85" s="15" t="s">
        <v>1656</v>
      </c>
      <c r="H85">
        <v>1554</v>
      </c>
      <c r="I85">
        <v>1808</v>
      </c>
      <c r="J85" s="15" t="s">
        <v>1656</v>
      </c>
      <c r="K85">
        <v>0</v>
      </c>
      <c r="L85" s="15" t="s">
        <v>1262</v>
      </c>
    </row>
    <row r="86" spans="1:12">
      <c r="A86" t="s">
        <v>1695</v>
      </c>
      <c r="B86">
        <v>20</v>
      </c>
      <c r="C86" t="s">
        <v>2166</v>
      </c>
      <c r="D86" t="s">
        <v>22</v>
      </c>
      <c r="E86">
        <v>61575542</v>
      </c>
      <c r="F86">
        <v>61575839</v>
      </c>
      <c r="G86" s="15" t="s">
        <v>1656</v>
      </c>
      <c r="H86">
        <v>1637</v>
      </c>
      <c r="I86">
        <v>1912</v>
      </c>
      <c r="J86" s="15" t="s">
        <v>1656</v>
      </c>
      <c r="K86">
        <v>0</v>
      </c>
      <c r="L86" s="15" t="s">
        <v>1262</v>
      </c>
    </row>
    <row r="87" spans="1:12">
      <c r="A87" t="s">
        <v>1666</v>
      </c>
      <c r="B87">
        <v>20</v>
      </c>
      <c r="C87" t="s">
        <v>2301</v>
      </c>
      <c r="D87" t="s">
        <v>69</v>
      </c>
      <c r="E87">
        <v>42956757</v>
      </c>
      <c r="F87">
        <v>42956883</v>
      </c>
      <c r="G87" s="15" t="s">
        <v>35</v>
      </c>
      <c r="H87">
        <v>1584</v>
      </c>
      <c r="I87">
        <v>1823</v>
      </c>
      <c r="J87" s="15" t="s">
        <v>1656</v>
      </c>
      <c r="K87">
        <v>14181</v>
      </c>
      <c r="L87" s="15" t="s">
        <v>1262</v>
      </c>
    </row>
    <row r="88" spans="1:12">
      <c r="A88" t="s">
        <v>1706</v>
      </c>
      <c r="B88">
        <v>20</v>
      </c>
      <c r="C88" t="s">
        <v>1692</v>
      </c>
      <c r="D88" t="s">
        <v>226</v>
      </c>
      <c r="E88">
        <v>1296653</v>
      </c>
      <c r="F88">
        <v>1296893</v>
      </c>
      <c r="G88" s="15" t="s">
        <v>1656</v>
      </c>
      <c r="H88">
        <v>1834</v>
      </c>
      <c r="I88">
        <v>2020</v>
      </c>
      <c r="J88" s="15" t="s">
        <v>35</v>
      </c>
      <c r="K88">
        <v>1731</v>
      </c>
      <c r="L88" s="15" t="s">
        <v>41</v>
      </c>
    </row>
    <row r="89" spans="1:12">
      <c r="A89" t="s">
        <v>1657</v>
      </c>
      <c r="B89">
        <v>20</v>
      </c>
      <c r="C89" t="s">
        <v>2257</v>
      </c>
      <c r="D89" t="s">
        <v>118</v>
      </c>
      <c r="E89">
        <v>64506127</v>
      </c>
      <c r="F89">
        <v>64506380</v>
      </c>
      <c r="G89" s="15" t="s">
        <v>35</v>
      </c>
      <c r="H89">
        <v>1574</v>
      </c>
      <c r="I89">
        <v>1831</v>
      </c>
      <c r="J89" s="15" t="s">
        <v>1656</v>
      </c>
      <c r="K89">
        <v>0</v>
      </c>
      <c r="L89" s="15" t="s">
        <v>41</v>
      </c>
    </row>
    <row r="90" spans="1:12">
      <c r="A90" t="s">
        <v>1695</v>
      </c>
      <c r="B90">
        <v>19</v>
      </c>
      <c r="C90" t="s">
        <v>1697</v>
      </c>
      <c r="D90" t="s">
        <v>118</v>
      </c>
      <c r="E90">
        <v>54097581</v>
      </c>
      <c r="F90">
        <v>54098034</v>
      </c>
      <c r="G90" s="15" t="s">
        <v>35</v>
      </c>
      <c r="H90">
        <v>1525</v>
      </c>
      <c r="I90">
        <v>1798</v>
      </c>
      <c r="J90" s="15" t="s">
        <v>1656</v>
      </c>
      <c r="K90">
        <v>317563</v>
      </c>
      <c r="L90" s="15" t="s">
        <v>1262</v>
      </c>
    </row>
    <row r="91" spans="1:12">
      <c r="A91" t="s">
        <v>1695</v>
      </c>
      <c r="B91">
        <v>19</v>
      </c>
      <c r="C91" t="s">
        <v>1662</v>
      </c>
      <c r="D91" t="s">
        <v>188</v>
      </c>
      <c r="E91">
        <v>59678993</v>
      </c>
      <c r="F91">
        <v>59679313</v>
      </c>
      <c r="G91" s="15" t="s">
        <v>1656</v>
      </c>
      <c r="H91">
        <v>1568</v>
      </c>
      <c r="I91">
        <v>1808</v>
      </c>
      <c r="J91" s="15" t="s">
        <v>1656</v>
      </c>
      <c r="K91">
        <v>148168</v>
      </c>
      <c r="L91" s="15" t="s">
        <v>1262</v>
      </c>
    </row>
    <row r="92" spans="1:12">
      <c r="A92" t="s">
        <v>1695</v>
      </c>
      <c r="B92">
        <v>19</v>
      </c>
      <c r="C92" t="s">
        <v>2064</v>
      </c>
      <c r="D92" t="s">
        <v>201</v>
      </c>
      <c r="E92">
        <v>2223163</v>
      </c>
      <c r="F92">
        <v>2223330</v>
      </c>
      <c r="G92" s="15" t="s">
        <v>1656</v>
      </c>
      <c r="H92">
        <v>1554</v>
      </c>
      <c r="I92">
        <v>1808</v>
      </c>
      <c r="J92" s="15" t="s">
        <v>1656</v>
      </c>
      <c r="K92">
        <v>0</v>
      </c>
      <c r="L92" s="15" t="s">
        <v>1262</v>
      </c>
    </row>
    <row r="93" spans="1:12">
      <c r="A93" t="s">
        <v>1654</v>
      </c>
      <c r="B93">
        <v>19</v>
      </c>
      <c r="C93" t="s">
        <v>2268</v>
      </c>
      <c r="D93" t="s">
        <v>226</v>
      </c>
      <c r="E93">
        <v>24470599</v>
      </c>
      <c r="F93">
        <v>24470870</v>
      </c>
      <c r="G93" s="15" t="s">
        <v>35</v>
      </c>
      <c r="H93">
        <v>1545</v>
      </c>
      <c r="I93">
        <v>1822</v>
      </c>
      <c r="J93" s="15" t="s">
        <v>1656</v>
      </c>
      <c r="K93">
        <v>16609</v>
      </c>
      <c r="L93" s="15" t="s">
        <v>1262</v>
      </c>
    </row>
    <row r="94" spans="1:12">
      <c r="A94" t="s">
        <v>1718</v>
      </c>
      <c r="B94">
        <v>18</v>
      </c>
      <c r="C94" t="s">
        <v>1838</v>
      </c>
      <c r="D94" t="s">
        <v>220</v>
      </c>
      <c r="E94">
        <v>18113069</v>
      </c>
      <c r="F94">
        <v>18113316</v>
      </c>
      <c r="G94" s="15" t="s">
        <v>1656</v>
      </c>
      <c r="H94">
        <v>1585</v>
      </c>
      <c r="I94">
        <v>1829</v>
      </c>
      <c r="J94" s="15" t="s">
        <v>1656</v>
      </c>
      <c r="K94">
        <v>89833</v>
      </c>
      <c r="L94" s="15" t="s">
        <v>1262</v>
      </c>
    </row>
    <row r="95" spans="1:12">
      <c r="A95" t="s">
        <v>1718</v>
      </c>
      <c r="B95">
        <v>18</v>
      </c>
      <c r="C95" t="s">
        <v>1872</v>
      </c>
      <c r="D95" t="s">
        <v>279</v>
      </c>
      <c r="E95">
        <v>124889724</v>
      </c>
      <c r="F95">
        <v>124890005</v>
      </c>
      <c r="G95" s="15" t="s">
        <v>1656</v>
      </c>
      <c r="H95">
        <v>207</v>
      </c>
      <c r="I95">
        <v>460</v>
      </c>
      <c r="J95" s="15" t="s">
        <v>1656</v>
      </c>
      <c r="K95">
        <v>0</v>
      </c>
      <c r="L95" s="15" t="s">
        <v>1262</v>
      </c>
    </row>
    <row r="96" spans="1:12">
      <c r="A96" t="s">
        <v>1695</v>
      </c>
      <c r="B96">
        <v>18</v>
      </c>
      <c r="C96" t="s">
        <v>2056</v>
      </c>
      <c r="D96" t="s">
        <v>172</v>
      </c>
      <c r="E96">
        <v>172527082</v>
      </c>
      <c r="F96">
        <v>172527260</v>
      </c>
      <c r="G96" s="15" t="s">
        <v>35</v>
      </c>
      <c r="H96">
        <v>1510</v>
      </c>
      <c r="I96">
        <v>1808</v>
      </c>
      <c r="J96" s="15" t="s">
        <v>1656</v>
      </c>
      <c r="K96">
        <v>16899</v>
      </c>
      <c r="L96" s="15" t="s">
        <v>1262</v>
      </c>
    </row>
    <row r="97" spans="1:12">
      <c r="A97" t="s">
        <v>1695</v>
      </c>
      <c r="B97">
        <v>18</v>
      </c>
      <c r="C97" t="s">
        <v>2067</v>
      </c>
      <c r="D97" t="s">
        <v>201</v>
      </c>
      <c r="E97">
        <v>61056755</v>
      </c>
      <c r="F97">
        <v>61057033</v>
      </c>
      <c r="G97" s="15" t="s">
        <v>1656</v>
      </c>
      <c r="H97">
        <v>1519</v>
      </c>
      <c r="I97">
        <v>1808</v>
      </c>
      <c r="J97" s="15" t="s">
        <v>1656</v>
      </c>
      <c r="K97">
        <v>0</v>
      </c>
      <c r="L97" s="15" t="s">
        <v>1262</v>
      </c>
    </row>
    <row r="98" spans="1:12">
      <c r="A98" t="s">
        <v>1695</v>
      </c>
      <c r="B98">
        <v>18</v>
      </c>
      <c r="C98" t="s">
        <v>2084</v>
      </c>
      <c r="D98" t="s">
        <v>220</v>
      </c>
      <c r="E98">
        <v>19723434</v>
      </c>
      <c r="F98">
        <v>19723685</v>
      </c>
      <c r="G98" s="15" t="s">
        <v>1656</v>
      </c>
      <c r="H98">
        <v>1641</v>
      </c>
      <c r="I98">
        <v>2020</v>
      </c>
      <c r="J98" s="15" t="s">
        <v>1656</v>
      </c>
      <c r="K98">
        <v>531549</v>
      </c>
      <c r="L98" s="15" t="s">
        <v>1262</v>
      </c>
    </row>
    <row r="99" spans="1:12">
      <c r="A99" t="s">
        <v>1695</v>
      </c>
      <c r="B99">
        <v>18</v>
      </c>
      <c r="C99" t="s">
        <v>2119</v>
      </c>
      <c r="D99" t="s">
        <v>22</v>
      </c>
      <c r="E99">
        <v>188362855</v>
      </c>
      <c r="F99">
        <v>188363112</v>
      </c>
      <c r="G99" s="15" t="s">
        <v>35</v>
      </c>
      <c r="H99">
        <v>1510</v>
      </c>
      <c r="I99">
        <v>1783</v>
      </c>
      <c r="J99" s="15" t="s">
        <v>1656</v>
      </c>
      <c r="K99">
        <v>1404742</v>
      </c>
      <c r="L99" s="15" t="s">
        <v>1262</v>
      </c>
    </row>
    <row r="100" spans="1:12">
      <c r="A100" t="s">
        <v>1695</v>
      </c>
      <c r="B100">
        <v>18</v>
      </c>
      <c r="C100" t="s">
        <v>2149</v>
      </c>
      <c r="D100" t="s">
        <v>292</v>
      </c>
      <c r="E100">
        <v>101890955</v>
      </c>
      <c r="F100">
        <v>101891156</v>
      </c>
      <c r="G100" s="15" t="s">
        <v>1656</v>
      </c>
      <c r="H100">
        <v>1540</v>
      </c>
      <c r="I100">
        <v>1828</v>
      </c>
      <c r="J100" s="15" t="s">
        <v>1656</v>
      </c>
      <c r="K100">
        <v>0</v>
      </c>
      <c r="L100" s="15" t="s">
        <v>1262</v>
      </c>
    </row>
    <row r="101" spans="1:12">
      <c r="A101" t="s">
        <v>1695</v>
      </c>
      <c r="B101">
        <v>18</v>
      </c>
      <c r="C101" t="s">
        <v>2164</v>
      </c>
      <c r="D101" t="s">
        <v>69</v>
      </c>
      <c r="E101">
        <v>52261435</v>
      </c>
      <c r="F101">
        <v>52261674</v>
      </c>
      <c r="G101" s="15" t="s">
        <v>35</v>
      </c>
      <c r="H101">
        <v>1510</v>
      </c>
      <c r="I101">
        <v>1805</v>
      </c>
      <c r="J101" s="15" t="s">
        <v>1656</v>
      </c>
      <c r="K101">
        <v>0</v>
      </c>
      <c r="L101" s="15" t="s">
        <v>1262</v>
      </c>
    </row>
    <row r="102" spans="1:12">
      <c r="A102" t="s">
        <v>1666</v>
      </c>
      <c r="B102">
        <v>18</v>
      </c>
      <c r="C102" t="s">
        <v>2251</v>
      </c>
      <c r="D102" t="s">
        <v>69</v>
      </c>
      <c r="E102">
        <v>52582747</v>
      </c>
      <c r="F102">
        <v>52582961</v>
      </c>
      <c r="G102" s="15" t="s">
        <v>35</v>
      </c>
      <c r="H102">
        <v>1519</v>
      </c>
      <c r="I102">
        <v>1768</v>
      </c>
      <c r="J102" s="15" t="s">
        <v>1656</v>
      </c>
      <c r="K102">
        <v>0</v>
      </c>
      <c r="L102" s="15" t="s">
        <v>1262</v>
      </c>
    </row>
    <row r="103" spans="1:12">
      <c r="A103" t="s">
        <v>1666</v>
      </c>
      <c r="B103">
        <v>18</v>
      </c>
      <c r="C103" t="s">
        <v>2302</v>
      </c>
      <c r="D103" t="s">
        <v>69</v>
      </c>
      <c r="E103">
        <v>101878517</v>
      </c>
      <c r="F103">
        <v>101878780</v>
      </c>
      <c r="G103" s="15" t="s">
        <v>35</v>
      </c>
      <c r="H103">
        <v>1545</v>
      </c>
      <c r="I103">
        <v>1803</v>
      </c>
      <c r="J103" s="15" t="s">
        <v>1656</v>
      </c>
      <c r="K103">
        <v>31329</v>
      </c>
      <c r="L103" s="15" t="s">
        <v>1262</v>
      </c>
    </row>
    <row r="104" spans="1:12">
      <c r="A104" t="s">
        <v>1718</v>
      </c>
      <c r="B104">
        <v>17</v>
      </c>
      <c r="C104" t="s">
        <v>1830</v>
      </c>
      <c r="D104" t="s">
        <v>201</v>
      </c>
      <c r="E104">
        <v>186436224</v>
      </c>
      <c r="F104">
        <v>186436376</v>
      </c>
      <c r="G104" s="15" t="s">
        <v>1656</v>
      </c>
      <c r="H104">
        <v>1560</v>
      </c>
      <c r="I104">
        <v>1821</v>
      </c>
      <c r="J104" s="15" t="s">
        <v>1656</v>
      </c>
      <c r="K104">
        <v>0</v>
      </c>
      <c r="L104" s="15" t="s">
        <v>1262</v>
      </c>
    </row>
    <row r="105" spans="1:12">
      <c r="A105" t="s">
        <v>1695</v>
      </c>
      <c r="B105">
        <v>17</v>
      </c>
      <c r="C105" t="s">
        <v>2342</v>
      </c>
      <c r="D105" t="s">
        <v>135</v>
      </c>
      <c r="E105">
        <v>39751848</v>
      </c>
      <c r="F105">
        <v>39752141</v>
      </c>
      <c r="G105" s="15" t="s">
        <v>1656</v>
      </c>
      <c r="H105">
        <v>1211</v>
      </c>
      <c r="I105">
        <v>1576</v>
      </c>
      <c r="J105" s="15" t="s">
        <v>1656</v>
      </c>
      <c r="K105">
        <v>14491</v>
      </c>
      <c r="L105" s="15" t="s">
        <v>1262</v>
      </c>
    </row>
    <row r="106" spans="1:12">
      <c r="A106" t="s">
        <v>1718</v>
      </c>
      <c r="B106">
        <v>16</v>
      </c>
      <c r="C106" t="s">
        <v>1823</v>
      </c>
      <c r="D106" t="s">
        <v>197</v>
      </c>
      <c r="E106">
        <v>18114287</v>
      </c>
      <c r="F106">
        <v>18114453</v>
      </c>
      <c r="G106" s="15" t="s">
        <v>1656</v>
      </c>
      <c r="H106">
        <v>1565</v>
      </c>
      <c r="I106">
        <v>1832</v>
      </c>
      <c r="J106" s="15" t="s">
        <v>1656</v>
      </c>
      <c r="K106">
        <v>2865</v>
      </c>
      <c r="L106" s="15" t="s">
        <v>1262</v>
      </c>
    </row>
    <row r="107" spans="1:12">
      <c r="A107" t="s">
        <v>1718</v>
      </c>
      <c r="B107">
        <v>16</v>
      </c>
      <c r="C107" t="s">
        <v>1895</v>
      </c>
      <c r="D107" t="s">
        <v>104</v>
      </c>
      <c r="E107">
        <v>14995278</v>
      </c>
      <c r="F107">
        <v>14995459</v>
      </c>
      <c r="G107" s="15" t="s">
        <v>1656</v>
      </c>
      <c r="H107">
        <v>1568</v>
      </c>
      <c r="I107">
        <v>1832</v>
      </c>
      <c r="J107" s="15" t="s">
        <v>1656</v>
      </c>
      <c r="K107">
        <v>0</v>
      </c>
      <c r="L107" s="15" t="s">
        <v>1262</v>
      </c>
    </row>
    <row r="108" spans="1:12">
      <c r="A108" t="s">
        <v>1695</v>
      </c>
      <c r="B108">
        <v>16</v>
      </c>
      <c r="C108" t="s">
        <v>2125</v>
      </c>
      <c r="D108" t="s">
        <v>257</v>
      </c>
      <c r="E108">
        <v>79827285</v>
      </c>
      <c r="F108">
        <v>79827558</v>
      </c>
      <c r="G108" s="15" t="s">
        <v>1656</v>
      </c>
      <c r="H108">
        <v>1701</v>
      </c>
      <c r="I108">
        <v>1877</v>
      </c>
      <c r="J108" s="15" t="s">
        <v>1656</v>
      </c>
      <c r="K108">
        <v>0</v>
      </c>
      <c r="L108" s="15" t="s">
        <v>1262</v>
      </c>
    </row>
    <row r="109" spans="1:12">
      <c r="A109" t="s">
        <v>1718</v>
      </c>
      <c r="B109">
        <v>15</v>
      </c>
      <c r="C109" t="s">
        <v>1884</v>
      </c>
      <c r="D109" t="s">
        <v>292</v>
      </c>
      <c r="E109">
        <v>138902838</v>
      </c>
      <c r="F109">
        <v>138903062</v>
      </c>
      <c r="G109" s="15" t="s">
        <v>35</v>
      </c>
      <c r="H109">
        <v>1825</v>
      </c>
      <c r="I109">
        <v>2014</v>
      </c>
      <c r="J109" s="15" t="s">
        <v>35</v>
      </c>
      <c r="K109">
        <v>0</v>
      </c>
      <c r="L109" s="15" t="s">
        <v>1262</v>
      </c>
    </row>
    <row r="110" spans="1:12">
      <c r="A110" t="s">
        <v>1695</v>
      </c>
      <c r="B110">
        <v>15</v>
      </c>
      <c r="C110" t="s">
        <v>2020</v>
      </c>
      <c r="D110" t="s">
        <v>120</v>
      </c>
      <c r="E110">
        <v>54179611</v>
      </c>
      <c r="F110">
        <v>54179872</v>
      </c>
      <c r="G110" s="15" t="s">
        <v>1656</v>
      </c>
      <c r="H110">
        <v>1535</v>
      </c>
      <c r="I110">
        <v>1808</v>
      </c>
      <c r="J110" s="15" t="s">
        <v>1656</v>
      </c>
      <c r="K110">
        <v>125228</v>
      </c>
      <c r="L110" s="15" t="s">
        <v>1262</v>
      </c>
    </row>
    <row r="111" spans="1:12">
      <c r="A111" t="s">
        <v>1695</v>
      </c>
      <c r="B111">
        <v>15</v>
      </c>
      <c r="C111" t="s">
        <v>1877</v>
      </c>
      <c r="D111" t="s">
        <v>292</v>
      </c>
      <c r="E111">
        <v>79219702</v>
      </c>
      <c r="F111">
        <v>79219862</v>
      </c>
      <c r="G111" s="15" t="s">
        <v>1656</v>
      </c>
      <c r="H111">
        <v>1632</v>
      </c>
      <c r="I111">
        <v>1821</v>
      </c>
      <c r="J111" s="15" t="s">
        <v>1656</v>
      </c>
      <c r="K111">
        <v>6429</v>
      </c>
      <c r="L111" s="15" t="s">
        <v>1262</v>
      </c>
    </row>
    <row r="112" spans="1:12">
      <c r="A112" t="s">
        <v>1666</v>
      </c>
      <c r="B112">
        <v>15</v>
      </c>
      <c r="C112" t="s">
        <v>2291</v>
      </c>
      <c r="D112" t="s">
        <v>22</v>
      </c>
      <c r="E112">
        <v>90022077</v>
      </c>
      <c r="F112">
        <v>90022297</v>
      </c>
      <c r="G112" s="15" t="s">
        <v>1656</v>
      </c>
      <c r="H112">
        <v>1585</v>
      </c>
      <c r="I112">
        <v>1833</v>
      </c>
      <c r="J112" s="15" t="s">
        <v>1656</v>
      </c>
      <c r="K112">
        <v>0</v>
      </c>
      <c r="L112" s="15" t="s">
        <v>1262</v>
      </c>
    </row>
    <row r="113" spans="1:12">
      <c r="A113" t="s">
        <v>1657</v>
      </c>
      <c r="B113">
        <v>15</v>
      </c>
      <c r="C113" t="s">
        <v>2233</v>
      </c>
      <c r="D113" t="s">
        <v>172</v>
      </c>
      <c r="E113">
        <v>200072326</v>
      </c>
      <c r="F113">
        <v>200072532</v>
      </c>
      <c r="G113" s="15" t="s">
        <v>35</v>
      </c>
      <c r="H113">
        <v>1590</v>
      </c>
      <c r="I113">
        <v>1811</v>
      </c>
      <c r="J113" s="15" t="s">
        <v>1656</v>
      </c>
      <c r="K113">
        <v>61896</v>
      </c>
      <c r="L113" s="15" t="s">
        <v>41</v>
      </c>
    </row>
    <row r="114" spans="1:12">
      <c r="A114" t="s">
        <v>1657</v>
      </c>
      <c r="B114">
        <v>15</v>
      </c>
      <c r="C114" t="s">
        <v>1663</v>
      </c>
      <c r="D114" t="s">
        <v>201</v>
      </c>
      <c r="E114">
        <v>152561638</v>
      </c>
      <c r="F114">
        <v>152576785</v>
      </c>
      <c r="G114" s="15" t="s">
        <v>1656</v>
      </c>
      <c r="H114">
        <v>2252</v>
      </c>
      <c r="I114">
        <v>2520</v>
      </c>
      <c r="J114" s="15" t="s">
        <v>1656</v>
      </c>
      <c r="K114">
        <v>20942</v>
      </c>
      <c r="L114" s="15" t="s">
        <v>41</v>
      </c>
    </row>
    <row r="115" spans="1:12">
      <c r="A115" t="s">
        <v>1718</v>
      </c>
      <c r="B115">
        <v>14</v>
      </c>
      <c r="C115" t="s">
        <v>1843</v>
      </c>
      <c r="D115" t="s">
        <v>220</v>
      </c>
      <c r="E115">
        <v>171152916</v>
      </c>
      <c r="F115">
        <v>171153132</v>
      </c>
      <c r="G115" s="15" t="s">
        <v>1656</v>
      </c>
      <c r="H115">
        <v>1642</v>
      </c>
      <c r="I115">
        <v>1826</v>
      </c>
      <c r="J115" s="15" t="s">
        <v>1656</v>
      </c>
      <c r="K115">
        <v>141760</v>
      </c>
      <c r="L115" s="15" t="s">
        <v>1262</v>
      </c>
    </row>
    <row r="116" spans="1:12">
      <c r="A116" t="s">
        <v>1695</v>
      </c>
      <c r="B116">
        <v>14</v>
      </c>
      <c r="C116" t="s">
        <v>1905</v>
      </c>
      <c r="D116" t="s">
        <v>339</v>
      </c>
      <c r="E116">
        <v>83854267</v>
      </c>
      <c r="F116">
        <v>83854355</v>
      </c>
      <c r="G116" s="15" t="s">
        <v>35</v>
      </c>
      <c r="H116">
        <v>1586</v>
      </c>
      <c r="I116">
        <v>1808</v>
      </c>
      <c r="J116" s="15" t="s">
        <v>1656</v>
      </c>
      <c r="K116">
        <v>597075</v>
      </c>
      <c r="L116" s="15" t="s">
        <v>1262</v>
      </c>
    </row>
    <row r="117" spans="1:12">
      <c r="A117" t="s">
        <v>1695</v>
      </c>
      <c r="B117">
        <v>14</v>
      </c>
      <c r="C117" t="s">
        <v>2052</v>
      </c>
      <c r="D117" t="s">
        <v>172</v>
      </c>
      <c r="E117">
        <v>47545912</v>
      </c>
      <c r="F117">
        <v>47546031</v>
      </c>
      <c r="G117" s="15" t="s">
        <v>35</v>
      </c>
      <c r="H117">
        <v>1509</v>
      </c>
      <c r="I117">
        <v>1767</v>
      </c>
      <c r="J117" s="15" t="s">
        <v>1656</v>
      </c>
      <c r="K117">
        <v>50374</v>
      </c>
      <c r="L117" s="15" t="s">
        <v>1262</v>
      </c>
    </row>
    <row r="118" spans="1:12">
      <c r="A118" t="s">
        <v>1695</v>
      </c>
      <c r="B118">
        <v>14</v>
      </c>
      <c r="C118" t="s">
        <v>2091</v>
      </c>
      <c r="D118" t="s">
        <v>220</v>
      </c>
      <c r="E118">
        <v>100266487</v>
      </c>
      <c r="F118">
        <v>100266711</v>
      </c>
      <c r="G118" s="15" t="s">
        <v>35</v>
      </c>
      <c r="H118">
        <v>1581</v>
      </c>
      <c r="I118">
        <v>1829</v>
      </c>
      <c r="J118" s="15" t="s">
        <v>1656</v>
      </c>
      <c r="K118">
        <v>0</v>
      </c>
      <c r="L118" s="15" t="s">
        <v>1262</v>
      </c>
    </row>
    <row r="119" spans="1:12">
      <c r="A119" t="s">
        <v>1666</v>
      </c>
      <c r="B119">
        <v>14</v>
      </c>
      <c r="C119" t="s">
        <v>221</v>
      </c>
      <c r="D119" t="s">
        <v>220</v>
      </c>
      <c r="E119">
        <v>74270017</v>
      </c>
      <c r="F119">
        <v>74286905</v>
      </c>
      <c r="G119" s="15" t="s">
        <v>1656</v>
      </c>
      <c r="H119">
        <v>981</v>
      </c>
      <c r="I119">
        <v>1772</v>
      </c>
      <c r="J119" s="15" t="s">
        <v>1656</v>
      </c>
      <c r="K119">
        <v>0</v>
      </c>
      <c r="L119" s="15" t="s">
        <v>1262</v>
      </c>
    </row>
    <row r="120" spans="1:12">
      <c r="A120" t="s">
        <v>1666</v>
      </c>
      <c r="B120">
        <v>14</v>
      </c>
      <c r="C120" t="s">
        <v>2311</v>
      </c>
      <c r="D120" t="s">
        <v>104</v>
      </c>
      <c r="E120">
        <v>14632526</v>
      </c>
      <c r="F120">
        <v>14632641</v>
      </c>
      <c r="G120" s="15" t="s">
        <v>35</v>
      </c>
      <c r="H120">
        <v>1519</v>
      </c>
      <c r="I120">
        <v>1754</v>
      </c>
      <c r="J120" s="15" t="s">
        <v>1656</v>
      </c>
      <c r="K120">
        <v>0</v>
      </c>
      <c r="L120" s="15" t="s">
        <v>1262</v>
      </c>
    </row>
    <row r="121" spans="1:12">
      <c r="A121" t="s">
        <v>1657</v>
      </c>
      <c r="B121">
        <v>14</v>
      </c>
      <c r="C121" t="s">
        <v>2238</v>
      </c>
      <c r="D121" t="s">
        <v>201</v>
      </c>
      <c r="E121">
        <v>191715387</v>
      </c>
      <c r="F121">
        <v>191715531</v>
      </c>
      <c r="G121" s="15" t="s">
        <v>35</v>
      </c>
      <c r="H121">
        <v>1522</v>
      </c>
      <c r="I121">
        <v>1732</v>
      </c>
      <c r="J121" s="15" t="s">
        <v>1656</v>
      </c>
      <c r="K121">
        <v>141794</v>
      </c>
      <c r="L121" s="15" t="s">
        <v>41</v>
      </c>
    </row>
    <row r="122" spans="1:12">
      <c r="A122" t="s">
        <v>1718</v>
      </c>
      <c r="B122">
        <v>13</v>
      </c>
      <c r="C122" t="s">
        <v>1797</v>
      </c>
      <c r="D122" t="s">
        <v>129</v>
      </c>
      <c r="E122">
        <v>6071170</v>
      </c>
      <c r="F122">
        <v>6071327</v>
      </c>
      <c r="G122" s="15" t="s">
        <v>1656</v>
      </c>
      <c r="H122">
        <v>1367</v>
      </c>
      <c r="I122">
        <v>1731</v>
      </c>
      <c r="J122" s="15" t="s">
        <v>1656</v>
      </c>
      <c r="K122">
        <v>0</v>
      </c>
      <c r="L122" s="15" t="s">
        <v>1262</v>
      </c>
    </row>
    <row r="123" spans="1:12">
      <c r="A123" t="s">
        <v>1695</v>
      </c>
      <c r="B123">
        <v>13</v>
      </c>
      <c r="C123" t="s">
        <v>2009</v>
      </c>
      <c r="D123" t="s">
        <v>339</v>
      </c>
      <c r="E123">
        <v>71981150</v>
      </c>
      <c r="F123">
        <v>71981354</v>
      </c>
      <c r="G123" s="15" t="s">
        <v>1656</v>
      </c>
      <c r="H123">
        <v>1540</v>
      </c>
      <c r="I123">
        <v>1808</v>
      </c>
      <c r="J123" s="15" t="s">
        <v>1656</v>
      </c>
      <c r="K123">
        <v>30743</v>
      </c>
      <c r="L123" s="15" t="s">
        <v>1262</v>
      </c>
    </row>
    <row r="124" spans="1:12">
      <c r="A124" t="s">
        <v>1695</v>
      </c>
      <c r="B124">
        <v>13</v>
      </c>
      <c r="C124" t="s">
        <v>2121</v>
      </c>
      <c r="D124" t="s">
        <v>237</v>
      </c>
      <c r="E124">
        <v>147018988</v>
      </c>
      <c r="F124">
        <v>147019312</v>
      </c>
      <c r="G124" s="15" t="s">
        <v>35</v>
      </c>
      <c r="H124">
        <v>1501</v>
      </c>
      <c r="I124">
        <v>1735</v>
      </c>
      <c r="J124" s="15" t="s">
        <v>1656</v>
      </c>
      <c r="K124">
        <v>0</v>
      </c>
      <c r="L124" s="15" t="s">
        <v>1262</v>
      </c>
    </row>
    <row r="125" spans="1:12">
      <c r="A125" t="s">
        <v>1695</v>
      </c>
      <c r="B125">
        <v>13</v>
      </c>
      <c r="C125" t="s">
        <v>2122</v>
      </c>
      <c r="D125" t="s">
        <v>237</v>
      </c>
      <c r="E125">
        <v>156049599</v>
      </c>
      <c r="F125">
        <v>156050141</v>
      </c>
      <c r="G125" s="15" t="s">
        <v>35</v>
      </c>
      <c r="H125">
        <v>1509</v>
      </c>
      <c r="I125">
        <v>1784</v>
      </c>
      <c r="J125" s="15" t="s">
        <v>1656</v>
      </c>
      <c r="K125">
        <v>272562</v>
      </c>
      <c r="L125" s="15" t="s">
        <v>1262</v>
      </c>
    </row>
    <row r="126" spans="1:12">
      <c r="A126" t="s">
        <v>1695</v>
      </c>
      <c r="B126">
        <v>13</v>
      </c>
      <c r="C126" t="s">
        <v>2142</v>
      </c>
      <c r="D126" t="s">
        <v>279</v>
      </c>
      <c r="E126">
        <v>78324317</v>
      </c>
      <c r="F126">
        <v>78324570</v>
      </c>
      <c r="G126" s="15" t="s">
        <v>35</v>
      </c>
      <c r="H126">
        <v>1510</v>
      </c>
      <c r="I126">
        <v>1831</v>
      </c>
      <c r="J126" s="15" t="s">
        <v>1656</v>
      </c>
      <c r="K126">
        <v>411037</v>
      </c>
      <c r="L126" s="15" t="s">
        <v>1262</v>
      </c>
    </row>
    <row r="127" spans="1:12">
      <c r="A127" t="s">
        <v>1666</v>
      </c>
      <c r="B127">
        <v>13</v>
      </c>
      <c r="C127" t="s">
        <v>1675</v>
      </c>
      <c r="D127" t="s">
        <v>220</v>
      </c>
      <c r="E127">
        <v>24234780</v>
      </c>
      <c r="F127">
        <v>24234862</v>
      </c>
      <c r="G127" s="15" t="s">
        <v>35</v>
      </c>
      <c r="H127">
        <v>1265</v>
      </c>
      <c r="I127">
        <v>1479</v>
      </c>
      <c r="J127" s="15" t="s">
        <v>1656</v>
      </c>
      <c r="K127">
        <v>287034</v>
      </c>
      <c r="L127" s="15" t="s">
        <v>1262</v>
      </c>
    </row>
    <row r="128" spans="1:12">
      <c r="A128" t="s">
        <v>1734</v>
      </c>
      <c r="B128">
        <v>13</v>
      </c>
      <c r="C128" t="s">
        <v>1738</v>
      </c>
      <c r="D128" t="s">
        <v>279</v>
      </c>
      <c r="E128">
        <v>41466933</v>
      </c>
      <c r="F128">
        <v>41467296</v>
      </c>
      <c r="G128" s="15" t="s">
        <v>35</v>
      </c>
      <c r="H128">
        <v>1394</v>
      </c>
      <c r="I128">
        <v>1653</v>
      </c>
      <c r="J128" s="15" t="s">
        <v>1656</v>
      </c>
      <c r="K128">
        <v>0</v>
      </c>
      <c r="L128" s="15" t="s">
        <v>41</v>
      </c>
    </row>
    <row r="129" spans="1:12">
      <c r="A129" t="s">
        <v>1657</v>
      </c>
      <c r="B129">
        <v>13</v>
      </c>
      <c r="C129" t="s">
        <v>1696</v>
      </c>
      <c r="D129" t="s">
        <v>339</v>
      </c>
      <c r="E129">
        <v>63981835</v>
      </c>
      <c r="F129">
        <v>63982130</v>
      </c>
      <c r="G129" s="15" t="s">
        <v>1656</v>
      </c>
      <c r="H129">
        <v>1590</v>
      </c>
      <c r="I129">
        <v>1789</v>
      </c>
      <c r="J129" s="15" t="s">
        <v>1656</v>
      </c>
      <c r="K129">
        <v>329437</v>
      </c>
      <c r="L129" s="15" t="s">
        <v>41</v>
      </c>
    </row>
    <row r="130" spans="1:12">
      <c r="A130" t="s">
        <v>1657</v>
      </c>
      <c r="B130">
        <v>13</v>
      </c>
      <c r="C130" t="s">
        <v>1929</v>
      </c>
      <c r="D130" t="s">
        <v>135</v>
      </c>
      <c r="E130">
        <v>3028637</v>
      </c>
      <c r="F130">
        <v>3028908</v>
      </c>
      <c r="G130" s="15" t="s">
        <v>1656</v>
      </c>
      <c r="H130">
        <v>1652</v>
      </c>
      <c r="I130">
        <v>1793</v>
      </c>
      <c r="J130" s="15" t="s">
        <v>1656</v>
      </c>
      <c r="K130">
        <v>16963</v>
      </c>
      <c r="L130" s="15" t="s">
        <v>41</v>
      </c>
    </row>
    <row r="131" spans="1:12">
      <c r="A131" t="s">
        <v>1718</v>
      </c>
      <c r="B131">
        <v>12</v>
      </c>
      <c r="C131" t="s">
        <v>1828</v>
      </c>
      <c r="D131" t="s">
        <v>201</v>
      </c>
      <c r="E131">
        <v>130319746</v>
      </c>
      <c r="F131">
        <v>130319932</v>
      </c>
      <c r="G131" s="15" t="s">
        <v>1656</v>
      </c>
      <c r="H131">
        <v>1560</v>
      </c>
      <c r="I131">
        <v>1799</v>
      </c>
      <c r="J131" s="15" t="s">
        <v>1656</v>
      </c>
      <c r="K131">
        <v>0</v>
      </c>
      <c r="L131" s="15" t="s">
        <v>1262</v>
      </c>
    </row>
    <row r="132" spans="1:12">
      <c r="A132" t="s">
        <v>1718</v>
      </c>
      <c r="B132">
        <v>12</v>
      </c>
      <c r="C132" t="s">
        <v>1677</v>
      </c>
      <c r="D132" t="s">
        <v>226</v>
      </c>
      <c r="E132">
        <v>67100200</v>
      </c>
      <c r="F132">
        <v>67100474</v>
      </c>
      <c r="G132" s="15" t="s">
        <v>1656</v>
      </c>
      <c r="H132">
        <v>1643</v>
      </c>
      <c r="I132">
        <v>1833</v>
      </c>
      <c r="J132" s="15" t="s">
        <v>1656</v>
      </c>
      <c r="K132">
        <v>411109</v>
      </c>
      <c r="L132" s="15" t="s">
        <v>1262</v>
      </c>
    </row>
    <row r="133" spans="1:12">
      <c r="A133" t="s">
        <v>1718</v>
      </c>
      <c r="B133">
        <v>12</v>
      </c>
      <c r="C133" t="s">
        <v>2332</v>
      </c>
      <c r="D133" t="s">
        <v>257</v>
      </c>
      <c r="E133">
        <v>135623459</v>
      </c>
      <c r="F133">
        <v>135623650</v>
      </c>
      <c r="G133" s="15" t="s">
        <v>1656</v>
      </c>
      <c r="H133">
        <v>1642</v>
      </c>
      <c r="I133">
        <v>1808</v>
      </c>
      <c r="J133" s="15" t="s">
        <v>1656</v>
      </c>
      <c r="K133">
        <v>0</v>
      </c>
      <c r="L133" s="15" t="s">
        <v>1262</v>
      </c>
    </row>
    <row r="134" spans="1:12">
      <c r="A134" t="s">
        <v>1718</v>
      </c>
      <c r="B134">
        <v>12</v>
      </c>
      <c r="C134" t="s">
        <v>1789</v>
      </c>
      <c r="D134" t="s">
        <v>83</v>
      </c>
      <c r="E134">
        <v>116701596</v>
      </c>
      <c r="F134">
        <v>116706786</v>
      </c>
      <c r="G134" s="15" t="s">
        <v>35</v>
      </c>
      <c r="H134">
        <v>1404</v>
      </c>
      <c r="I134">
        <v>1828</v>
      </c>
      <c r="J134" s="15" t="s">
        <v>1656</v>
      </c>
      <c r="K134">
        <v>0</v>
      </c>
      <c r="L134" s="15" t="s">
        <v>1262</v>
      </c>
    </row>
    <row r="135" spans="1:12">
      <c r="A135" t="s">
        <v>1695</v>
      </c>
      <c r="B135">
        <v>12</v>
      </c>
      <c r="C135" t="s">
        <v>2057</v>
      </c>
      <c r="D135" t="s">
        <v>22</v>
      </c>
      <c r="E135">
        <v>48255623</v>
      </c>
      <c r="F135">
        <v>48255792</v>
      </c>
      <c r="G135" s="15" t="s">
        <v>35</v>
      </c>
      <c r="H135">
        <v>1568</v>
      </c>
      <c r="I135">
        <v>1801</v>
      </c>
      <c r="J135" s="15" t="s">
        <v>1656</v>
      </c>
      <c r="K135">
        <v>0</v>
      </c>
      <c r="L135" s="15" t="s">
        <v>1262</v>
      </c>
    </row>
    <row r="136" spans="1:12">
      <c r="A136" t="s">
        <v>1695</v>
      </c>
      <c r="B136">
        <v>12</v>
      </c>
      <c r="C136" t="s">
        <v>2141</v>
      </c>
      <c r="D136" t="s">
        <v>279</v>
      </c>
      <c r="E136">
        <v>64740411</v>
      </c>
      <c r="F136">
        <v>64740646</v>
      </c>
      <c r="G136" s="15" t="s">
        <v>35</v>
      </c>
      <c r="H136">
        <v>1585</v>
      </c>
      <c r="I136">
        <v>1883</v>
      </c>
      <c r="J136" s="15" t="s">
        <v>1656</v>
      </c>
      <c r="K136">
        <v>42357</v>
      </c>
      <c r="L136" s="15" t="s">
        <v>1262</v>
      </c>
    </row>
    <row r="137" spans="1:12">
      <c r="A137" t="s">
        <v>1695</v>
      </c>
      <c r="B137">
        <v>12</v>
      </c>
      <c r="C137" t="s">
        <v>2145</v>
      </c>
      <c r="D137" t="s">
        <v>279</v>
      </c>
      <c r="E137">
        <v>140735618</v>
      </c>
      <c r="F137">
        <v>140735870</v>
      </c>
      <c r="G137" s="15" t="s">
        <v>35</v>
      </c>
      <c r="H137">
        <v>1585</v>
      </c>
      <c r="I137">
        <v>1808</v>
      </c>
      <c r="J137" s="15" t="s">
        <v>1656</v>
      </c>
      <c r="K137">
        <v>6967</v>
      </c>
      <c r="L137" s="15" t="s">
        <v>1262</v>
      </c>
    </row>
    <row r="138" spans="1:12">
      <c r="A138" t="s">
        <v>1666</v>
      </c>
      <c r="B138">
        <v>12</v>
      </c>
      <c r="C138" t="s">
        <v>2304</v>
      </c>
      <c r="D138" t="s">
        <v>83</v>
      </c>
      <c r="E138">
        <v>76946088</v>
      </c>
      <c r="F138">
        <v>76946339</v>
      </c>
      <c r="G138" s="15" t="s">
        <v>35</v>
      </c>
      <c r="H138">
        <v>1588</v>
      </c>
      <c r="I138">
        <v>1830</v>
      </c>
      <c r="J138" s="15" t="s">
        <v>1656</v>
      </c>
      <c r="K138">
        <v>0</v>
      </c>
      <c r="L138" s="15" t="s">
        <v>1262</v>
      </c>
    </row>
    <row r="139" spans="1:12">
      <c r="A139" t="s">
        <v>1718</v>
      </c>
      <c r="B139">
        <v>11</v>
      </c>
      <c r="C139" t="s">
        <v>1849</v>
      </c>
      <c r="D139" t="s">
        <v>226</v>
      </c>
      <c r="E139">
        <v>64948820</v>
      </c>
      <c r="F139">
        <v>64949093</v>
      </c>
      <c r="G139" s="15" t="s">
        <v>1656</v>
      </c>
      <c r="H139">
        <v>1582</v>
      </c>
      <c r="I139">
        <v>1833</v>
      </c>
      <c r="J139" s="15" t="s">
        <v>1656</v>
      </c>
      <c r="K139">
        <v>0</v>
      </c>
      <c r="L139" s="15" t="s">
        <v>1262</v>
      </c>
    </row>
    <row r="140" spans="1:12">
      <c r="A140" t="s">
        <v>1695</v>
      </c>
      <c r="B140">
        <v>11</v>
      </c>
      <c r="C140" t="s">
        <v>2011</v>
      </c>
      <c r="D140" t="s">
        <v>118</v>
      </c>
      <c r="E140">
        <v>26405592</v>
      </c>
      <c r="F140">
        <v>26405860</v>
      </c>
      <c r="G140" s="15" t="s">
        <v>1656</v>
      </c>
      <c r="H140">
        <v>1568</v>
      </c>
      <c r="I140">
        <v>1767</v>
      </c>
      <c r="J140" s="15" t="s">
        <v>1656</v>
      </c>
      <c r="K140">
        <v>509228</v>
      </c>
      <c r="L140" s="15" t="s">
        <v>1262</v>
      </c>
    </row>
    <row r="141" spans="1:12">
      <c r="A141" t="s">
        <v>1695</v>
      </c>
      <c r="B141">
        <v>11</v>
      </c>
      <c r="C141" t="s">
        <v>2026</v>
      </c>
      <c r="D141" t="s">
        <v>129</v>
      </c>
      <c r="E141">
        <v>59895680</v>
      </c>
      <c r="F141">
        <v>59895824</v>
      </c>
      <c r="G141" s="15" t="s">
        <v>35</v>
      </c>
      <c r="H141">
        <v>1501</v>
      </c>
      <c r="I141">
        <v>1800</v>
      </c>
      <c r="J141" s="15" t="s">
        <v>1656</v>
      </c>
      <c r="K141">
        <v>106585</v>
      </c>
      <c r="L141" s="15" t="s">
        <v>1262</v>
      </c>
    </row>
    <row r="142" spans="1:12">
      <c r="A142" t="s">
        <v>1695</v>
      </c>
      <c r="B142">
        <v>11</v>
      </c>
      <c r="C142" t="s">
        <v>221</v>
      </c>
      <c r="D142" t="s">
        <v>220</v>
      </c>
      <c r="E142">
        <v>74270043</v>
      </c>
      <c r="F142">
        <v>74285361</v>
      </c>
      <c r="G142" s="15" t="s">
        <v>35</v>
      </c>
      <c r="H142">
        <v>163</v>
      </c>
      <c r="I142">
        <v>1808</v>
      </c>
      <c r="J142" s="15" t="s">
        <v>35</v>
      </c>
      <c r="K142">
        <v>0</v>
      </c>
      <c r="L142" s="15" t="s">
        <v>1262</v>
      </c>
    </row>
    <row r="143" spans="1:12">
      <c r="A143" t="s">
        <v>1695</v>
      </c>
      <c r="B143">
        <v>11</v>
      </c>
      <c r="C143" t="s">
        <v>2339</v>
      </c>
      <c r="D143" t="s">
        <v>220</v>
      </c>
      <c r="E143">
        <v>186640714</v>
      </c>
      <c r="F143">
        <v>186640979</v>
      </c>
      <c r="G143" s="15" t="s">
        <v>35</v>
      </c>
      <c r="H143">
        <v>1609</v>
      </c>
      <c r="I143">
        <v>1834</v>
      </c>
      <c r="J143" s="15" t="s">
        <v>1656</v>
      </c>
      <c r="K143">
        <v>0</v>
      </c>
      <c r="L143" s="15" t="s">
        <v>1262</v>
      </c>
    </row>
    <row r="144" spans="1:12">
      <c r="A144" t="s">
        <v>1695</v>
      </c>
      <c r="B144">
        <v>11</v>
      </c>
      <c r="C144" t="s">
        <v>2095</v>
      </c>
      <c r="D144" t="s">
        <v>226</v>
      </c>
      <c r="E144">
        <v>8596396</v>
      </c>
      <c r="F144">
        <v>8596489</v>
      </c>
      <c r="G144" s="15" t="s">
        <v>1656</v>
      </c>
      <c r="H144">
        <v>1519</v>
      </c>
      <c r="I144">
        <v>1833</v>
      </c>
      <c r="J144" s="15" t="s">
        <v>1656</v>
      </c>
      <c r="K144">
        <v>133280</v>
      </c>
      <c r="L144" s="15" t="s">
        <v>1262</v>
      </c>
    </row>
    <row r="145" spans="1:12">
      <c r="A145" t="s">
        <v>1695</v>
      </c>
      <c r="B145">
        <v>11</v>
      </c>
      <c r="C145" t="s">
        <v>2347</v>
      </c>
      <c r="D145" t="s">
        <v>237</v>
      </c>
      <c r="E145">
        <v>150210631</v>
      </c>
      <c r="F145">
        <v>150210857</v>
      </c>
      <c r="G145" s="15" t="s">
        <v>35</v>
      </c>
      <c r="H145">
        <v>1561</v>
      </c>
      <c r="I145">
        <v>1808</v>
      </c>
      <c r="J145" s="15" t="s">
        <v>1656</v>
      </c>
      <c r="K145">
        <v>0</v>
      </c>
      <c r="L145" s="15" t="s">
        <v>1262</v>
      </c>
    </row>
    <row r="146" spans="1:12">
      <c r="A146" t="s">
        <v>1695</v>
      </c>
      <c r="B146">
        <v>11</v>
      </c>
      <c r="C146" t="s">
        <v>2127</v>
      </c>
      <c r="D146" t="s">
        <v>257</v>
      </c>
      <c r="E146">
        <v>24570019</v>
      </c>
      <c r="F146">
        <v>24570219</v>
      </c>
      <c r="G146" s="15" t="s">
        <v>35</v>
      </c>
      <c r="H146">
        <v>1523</v>
      </c>
      <c r="I146">
        <v>1796</v>
      </c>
      <c r="J146" s="15" t="s">
        <v>1656</v>
      </c>
      <c r="K146">
        <v>43065</v>
      </c>
      <c r="L146" s="15" t="s">
        <v>1262</v>
      </c>
    </row>
    <row r="147" spans="1:12">
      <c r="A147" t="s">
        <v>1654</v>
      </c>
      <c r="B147">
        <v>11</v>
      </c>
      <c r="C147" t="s">
        <v>2273</v>
      </c>
      <c r="D147" t="s">
        <v>237</v>
      </c>
      <c r="E147">
        <v>63986411</v>
      </c>
      <c r="F147">
        <v>63986706</v>
      </c>
      <c r="G147" s="15" t="s">
        <v>1656</v>
      </c>
      <c r="H147">
        <v>1652</v>
      </c>
      <c r="I147">
        <v>1808</v>
      </c>
      <c r="J147" s="15" t="s">
        <v>1656</v>
      </c>
      <c r="K147">
        <v>0</v>
      </c>
      <c r="L147" s="15" t="s">
        <v>1262</v>
      </c>
    </row>
    <row r="148" spans="1:12">
      <c r="A148" t="s">
        <v>1666</v>
      </c>
      <c r="B148">
        <v>11</v>
      </c>
      <c r="C148" t="s">
        <v>2300</v>
      </c>
      <c r="D148" t="s">
        <v>418</v>
      </c>
      <c r="E148">
        <v>131544156</v>
      </c>
      <c r="F148">
        <v>131544439</v>
      </c>
      <c r="G148" s="15" t="s">
        <v>1656</v>
      </c>
      <c r="H148">
        <v>1546</v>
      </c>
      <c r="I148">
        <v>1804</v>
      </c>
      <c r="J148" s="15" t="s">
        <v>1656</v>
      </c>
      <c r="K148">
        <v>0</v>
      </c>
      <c r="L148" s="15" t="s">
        <v>1262</v>
      </c>
    </row>
    <row r="149" spans="1:12">
      <c r="A149" t="s">
        <v>1685</v>
      </c>
      <c r="B149">
        <v>11</v>
      </c>
      <c r="C149" t="s">
        <v>1697</v>
      </c>
      <c r="D149" t="s">
        <v>1787</v>
      </c>
      <c r="E149">
        <v>3318</v>
      </c>
      <c r="F149">
        <v>14204</v>
      </c>
      <c r="G149" s="15" t="s">
        <v>35</v>
      </c>
      <c r="H149">
        <v>136</v>
      </c>
      <c r="I149">
        <v>462</v>
      </c>
      <c r="J149" s="15" t="s">
        <v>1656</v>
      </c>
      <c r="K149" t="s">
        <v>1697</v>
      </c>
      <c r="L149" s="15" t="s">
        <v>41</v>
      </c>
    </row>
    <row r="150" spans="1:12">
      <c r="A150" t="s">
        <v>1682</v>
      </c>
      <c r="B150">
        <v>11</v>
      </c>
      <c r="C150" t="s">
        <v>1683</v>
      </c>
      <c r="D150" t="s">
        <v>118</v>
      </c>
      <c r="E150">
        <v>29829479</v>
      </c>
      <c r="F150">
        <v>29829659</v>
      </c>
      <c r="G150" s="15" t="s">
        <v>1656</v>
      </c>
      <c r="H150">
        <v>1554</v>
      </c>
      <c r="I150">
        <v>1725</v>
      </c>
      <c r="J150" s="15" t="s">
        <v>1656</v>
      </c>
      <c r="K150">
        <v>66457</v>
      </c>
      <c r="L150" s="15" t="s">
        <v>41</v>
      </c>
    </row>
    <row r="151" spans="1:12">
      <c r="A151" t="s">
        <v>1718</v>
      </c>
      <c r="B151">
        <v>10</v>
      </c>
      <c r="C151" t="s">
        <v>1853</v>
      </c>
      <c r="D151" t="s">
        <v>226</v>
      </c>
      <c r="E151">
        <v>6099947</v>
      </c>
      <c r="F151">
        <v>6100063</v>
      </c>
      <c r="G151" s="15" t="s">
        <v>35</v>
      </c>
      <c r="H151">
        <v>1560</v>
      </c>
      <c r="I151">
        <v>1757</v>
      </c>
      <c r="J151" s="15" t="s">
        <v>1656</v>
      </c>
      <c r="K151">
        <v>210606</v>
      </c>
      <c r="L151" s="15" t="s">
        <v>1262</v>
      </c>
    </row>
    <row r="152" spans="1:12">
      <c r="A152" t="s">
        <v>1718</v>
      </c>
      <c r="B152">
        <v>10</v>
      </c>
      <c r="C152" t="s">
        <v>2333</v>
      </c>
      <c r="D152" t="s">
        <v>292</v>
      </c>
      <c r="E152">
        <v>12985238</v>
      </c>
      <c r="F152">
        <v>12985495</v>
      </c>
      <c r="G152" s="15" t="s">
        <v>1656</v>
      </c>
      <c r="H152">
        <v>1560</v>
      </c>
      <c r="I152">
        <v>1760</v>
      </c>
      <c r="J152" s="15" t="s">
        <v>1656</v>
      </c>
      <c r="K152">
        <v>120207</v>
      </c>
      <c r="L152" s="15" t="s">
        <v>1262</v>
      </c>
    </row>
    <row r="153" spans="1:12">
      <c r="A153" t="s">
        <v>1695</v>
      </c>
      <c r="B153">
        <v>10</v>
      </c>
      <c r="C153" t="s">
        <v>1999</v>
      </c>
      <c r="D153" t="s">
        <v>104</v>
      </c>
      <c r="E153">
        <v>87901776</v>
      </c>
      <c r="F153">
        <v>87902019</v>
      </c>
      <c r="G153" s="15" t="s">
        <v>1656</v>
      </c>
      <c r="H153">
        <v>1576</v>
      </c>
      <c r="I153">
        <v>1831</v>
      </c>
      <c r="J153" s="15" t="s">
        <v>1656</v>
      </c>
      <c r="K153">
        <v>274643</v>
      </c>
      <c r="L153" s="15" t="s">
        <v>1262</v>
      </c>
    </row>
    <row r="154" spans="1:12">
      <c r="A154" t="s">
        <v>1695</v>
      </c>
      <c r="B154">
        <v>10</v>
      </c>
      <c r="C154" t="s">
        <v>1908</v>
      </c>
      <c r="D154" t="s">
        <v>118</v>
      </c>
      <c r="E154">
        <v>48986286</v>
      </c>
      <c r="F154">
        <v>48987339</v>
      </c>
      <c r="G154" s="15" t="s">
        <v>1656</v>
      </c>
      <c r="H154">
        <v>1377</v>
      </c>
      <c r="I154">
        <v>1762</v>
      </c>
      <c r="J154" s="15" t="s">
        <v>1656</v>
      </c>
      <c r="K154">
        <v>723122</v>
      </c>
      <c r="L154" s="15" t="s">
        <v>1262</v>
      </c>
    </row>
    <row r="155" spans="1:12">
      <c r="A155" t="s">
        <v>1695</v>
      </c>
      <c r="B155">
        <v>10</v>
      </c>
      <c r="C155" t="s">
        <v>1703</v>
      </c>
      <c r="D155" t="s">
        <v>257</v>
      </c>
      <c r="E155">
        <v>68582226</v>
      </c>
      <c r="F155">
        <v>68582551</v>
      </c>
      <c r="G155" s="15" t="s">
        <v>1656</v>
      </c>
      <c r="H155">
        <v>1590</v>
      </c>
      <c r="I155">
        <v>1808</v>
      </c>
      <c r="J155" s="15" t="s">
        <v>1656</v>
      </c>
      <c r="K155">
        <v>481353</v>
      </c>
      <c r="L155" s="15" t="s">
        <v>1262</v>
      </c>
    </row>
    <row r="156" spans="1:12">
      <c r="A156" t="s">
        <v>1666</v>
      </c>
      <c r="B156">
        <v>10</v>
      </c>
      <c r="C156" t="s">
        <v>2315</v>
      </c>
      <c r="D156" t="s">
        <v>120</v>
      </c>
      <c r="E156">
        <v>99934008</v>
      </c>
      <c r="F156">
        <v>99934162</v>
      </c>
      <c r="G156" s="15" t="s">
        <v>1656</v>
      </c>
      <c r="H156">
        <v>1554</v>
      </c>
      <c r="I156">
        <v>1802</v>
      </c>
      <c r="J156" s="15" t="s">
        <v>1656</v>
      </c>
      <c r="K156">
        <v>7664</v>
      </c>
      <c r="L156" s="15" t="s">
        <v>1262</v>
      </c>
    </row>
    <row r="157" spans="1:12">
      <c r="A157" t="s">
        <v>1718</v>
      </c>
      <c r="B157">
        <v>9</v>
      </c>
      <c r="C157" t="s">
        <v>1819</v>
      </c>
      <c r="D157" t="s">
        <v>188</v>
      </c>
      <c r="E157">
        <v>16977737</v>
      </c>
      <c r="F157">
        <v>16977985</v>
      </c>
      <c r="G157" s="15" t="s">
        <v>35</v>
      </c>
      <c r="H157">
        <v>1715</v>
      </c>
      <c r="I157">
        <v>1880</v>
      </c>
      <c r="J157" s="15" t="s">
        <v>1656</v>
      </c>
      <c r="K157">
        <v>229014</v>
      </c>
      <c r="L157" s="15" t="s">
        <v>1262</v>
      </c>
    </row>
    <row r="158" spans="1:12">
      <c r="A158" t="s">
        <v>1718</v>
      </c>
      <c r="B158">
        <v>9</v>
      </c>
      <c r="C158" t="s">
        <v>1891</v>
      </c>
      <c r="D158" t="s">
        <v>83</v>
      </c>
      <c r="E158">
        <v>116705029</v>
      </c>
      <c r="F158">
        <v>116707067</v>
      </c>
      <c r="G158" s="15" t="s">
        <v>1656</v>
      </c>
      <c r="H158">
        <v>1155</v>
      </c>
      <c r="I158">
        <v>1833</v>
      </c>
      <c r="J158" s="15" t="s">
        <v>1656</v>
      </c>
      <c r="K158">
        <v>0</v>
      </c>
      <c r="L158" s="15" t="s">
        <v>1262</v>
      </c>
    </row>
    <row r="159" spans="1:12">
      <c r="A159" t="s">
        <v>1695</v>
      </c>
      <c r="B159">
        <v>9</v>
      </c>
      <c r="C159" t="s">
        <v>2081</v>
      </c>
      <c r="D159" t="s">
        <v>201</v>
      </c>
      <c r="E159">
        <v>100640522</v>
      </c>
      <c r="F159">
        <v>100640762</v>
      </c>
      <c r="G159" s="15" t="s">
        <v>35</v>
      </c>
      <c r="H159">
        <v>1546</v>
      </c>
      <c r="I159">
        <v>1805</v>
      </c>
      <c r="J159" s="15" t="s">
        <v>1656</v>
      </c>
      <c r="K159">
        <v>0</v>
      </c>
      <c r="L159" s="15" t="s">
        <v>1262</v>
      </c>
    </row>
    <row r="160" spans="1:12">
      <c r="A160" t="s">
        <v>1695</v>
      </c>
      <c r="B160">
        <v>9</v>
      </c>
      <c r="C160" t="s">
        <v>2108</v>
      </c>
      <c r="D160" t="s">
        <v>226</v>
      </c>
      <c r="E160">
        <v>162036235</v>
      </c>
      <c r="F160">
        <v>162036373</v>
      </c>
      <c r="G160" s="15" t="s">
        <v>35</v>
      </c>
      <c r="H160">
        <v>1533</v>
      </c>
      <c r="I160">
        <v>1833</v>
      </c>
      <c r="J160" s="15" t="s">
        <v>1656</v>
      </c>
      <c r="K160">
        <v>453690</v>
      </c>
      <c r="L160" s="15" t="s">
        <v>1262</v>
      </c>
    </row>
    <row r="161" spans="1:12">
      <c r="A161" t="s">
        <v>1666</v>
      </c>
      <c r="B161">
        <v>9</v>
      </c>
      <c r="C161" t="s">
        <v>2282</v>
      </c>
      <c r="D161" t="s">
        <v>172</v>
      </c>
      <c r="E161">
        <v>167276557</v>
      </c>
      <c r="F161">
        <v>167276664</v>
      </c>
      <c r="G161" s="15" t="s">
        <v>35</v>
      </c>
      <c r="H161">
        <v>1554</v>
      </c>
      <c r="I161">
        <v>1834</v>
      </c>
      <c r="J161" s="15" t="s">
        <v>1656</v>
      </c>
      <c r="K161">
        <v>0</v>
      </c>
      <c r="L161" s="15" t="s">
        <v>1262</v>
      </c>
    </row>
    <row r="162" spans="1:12">
      <c r="A162" t="s">
        <v>1666</v>
      </c>
      <c r="B162">
        <v>9</v>
      </c>
      <c r="C162" t="s">
        <v>2296</v>
      </c>
      <c r="D162" t="s">
        <v>226</v>
      </c>
      <c r="E162">
        <v>90963474</v>
      </c>
      <c r="F162">
        <v>90963726</v>
      </c>
      <c r="G162" s="15" t="s">
        <v>35</v>
      </c>
      <c r="H162">
        <v>1631</v>
      </c>
      <c r="I162">
        <v>1832</v>
      </c>
      <c r="J162" s="15" t="s">
        <v>1656</v>
      </c>
      <c r="K162">
        <v>246942</v>
      </c>
      <c r="L162" s="15" t="s">
        <v>1262</v>
      </c>
    </row>
    <row r="163" spans="1:12">
      <c r="A163" t="s">
        <v>1666</v>
      </c>
      <c r="B163">
        <v>9</v>
      </c>
      <c r="C163" t="s">
        <v>2298</v>
      </c>
      <c r="D163" t="s">
        <v>257</v>
      </c>
      <c r="E163">
        <v>33718750</v>
      </c>
      <c r="F163">
        <v>33719002</v>
      </c>
      <c r="G163" s="15" t="s">
        <v>1656</v>
      </c>
      <c r="H163">
        <v>1648</v>
      </c>
      <c r="I163">
        <v>1834</v>
      </c>
      <c r="J163" s="15" t="s">
        <v>1656</v>
      </c>
      <c r="K163">
        <v>73322</v>
      </c>
      <c r="L163" s="15" t="s">
        <v>1262</v>
      </c>
    </row>
    <row r="164" spans="1:12">
      <c r="A164" t="s">
        <v>1657</v>
      </c>
      <c r="B164">
        <v>9</v>
      </c>
      <c r="C164" t="s">
        <v>2239</v>
      </c>
      <c r="D164" t="s">
        <v>220</v>
      </c>
      <c r="E164">
        <v>137905171</v>
      </c>
      <c r="F164">
        <v>137905379</v>
      </c>
      <c r="G164" s="15" t="s">
        <v>1656</v>
      </c>
      <c r="H164">
        <v>1392</v>
      </c>
      <c r="I164">
        <v>1606</v>
      </c>
      <c r="J164" s="15" t="s">
        <v>1656</v>
      </c>
      <c r="K164">
        <v>534694</v>
      </c>
      <c r="L164" s="15" t="s">
        <v>41</v>
      </c>
    </row>
    <row r="165" spans="1:12">
      <c r="A165" t="s">
        <v>1774</v>
      </c>
      <c r="B165">
        <v>9</v>
      </c>
      <c r="C165" t="s">
        <v>1775</v>
      </c>
      <c r="D165" t="s">
        <v>129</v>
      </c>
      <c r="E165">
        <v>51870500</v>
      </c>
      <c r="F165">
        <v>51908847</v>
      </c>
      <c r="G165" s="15" t="s">
        <v>1656</v>
      </c>
      <c r="H165">
        <v>156</v>
      </c>
      <c r="I165">
        <v>459</v>
      </c>
      <c r="J165" s="15" t="s">
        <v>1656</v>
      </c>
      <c r="K165">
        <v>151416</v>
      </c>
      <c r="L165" s="15" t="s">
        <v>41</v>
      </c>
    </row>
    <row r="166" spans="1:12">
      <c r="A166" t="s">
        <v>1718</v>
      </c>
      <c r="B166">
        <v>8</v>
      </c>
      <c r="C166" t="s">
        <v>1799</v>
      </c>
      <c r="D166" t="s">
        <v>135</v>
      </c>
      <c r="E166">
        <v>73358176</v>
      </c>
      <c r="F166">
        <v>73358443</v>
      </c>
      <c r="G166" s="15" t="s">
        <v>1656</v>
      </c>
      <c r="H166">
        <v>1823</v>
      </c>
      <c r="I166">
        <v>2116</v>
      </c>
      <c r="J166" s="15" t="s">
        <v>35</v>
      </c>
      <c r="K166">
        <v>218854</v>
      </c>
      <c r="L166" s="15" t="s">
        <v>1262</v>
      </c>
    </row>
    <row r="167" spans="1:12">
      <c r="A167" t="s">
        <v>1718</v>
      </c>
      <c r="B167">
        <v>8</v>
      </c>
      <c r="C167" t="s">
        <v>1836</v>
      </c>
      <c r="D167" t="s">
        <v>201</v>
      </c>
      <c r="E167">
        <v>161684251</v>
      </c>
      <c r="F167">
        <v>161684305</v>
      </c>
      <c r="G167" s="15" t="s">
        <v>35</v>
      </c>
      <c r="H167">
        <v>1560</v>
      </c>
      <c r="I167">
        <v>1834</v>
      </c>
      <c r="J167" s="15" t="s">
        <v>1656</v>
      </c>
      <c r="K167">
        <v>462521</v>
      </c>
      <c r="L167" s="15" t="s">
        <v>1262</v>
      </c>
    </row>
    <row r="168" spans="1:12">
      <c r="A168" t="s">
        <v>1718</v>
      </c>
      <c r="B168">
        <v>8</v>
      </c>
      <c r="C168" t="s">
        <v>221</v>
      </c>
      <c r="D168" t="s">
        <v>220</v>
      </c>
      <c r="E168">
        <v>74270360</v>
      </c>
      <c r="F168">
        <v>74286039</v>
      </c>
      <c r="G168" s="15" t="s">
        <v>35</v>
      </c>
      <c r="H168">
        <v>1394</v>
      </c>
      <c r="I168">
        <v>2000</v>
      </c>
      <c r="J168" s="15" t="s">
        <v>1656</v>
      </c>
      <c r="K168">
        <v>0</v>
      </c>
      <c r="L168" s="15" t="s">
        <v>1262</v>
      </c>
    </row>
    <row r="169" spans="1:12">
      <c r="A169" t="s">
        <v>1718</v>
      </c>
      <c r="B169">
        <v>8</v>
      </c>
      <c r="C169" t="s">
        <v>1860</v>
      </c>
      <c r="D169" t="s">
        <v>22</v>
      </c>
      <c r="E169">
        <v>47404192</v>
      </c>
      <c r="F169">
        <v>47404328</v>
      </c>
      <c r="G169" s="15" t="s">
        <v>1656</v>
      </c>
      <c r="H169">
        <v>1696</v>
      </c>
      <c r="I169">
        <v>1797</v>
      </c>
      <c r="J169" s="15" t="s">
        <v>1656</v>
      </c>
      <c r="K169">
        <v>0</v>
      </c>
      <c r="L169" s="15" t="s">
        <v>1262</v>
      </c>
    </row>
    <row r="170" spans="1:12">
      <c r="A170" t="s">
        <v>1695</v>
      </c>
      <c r="B170">
        <v>8</v>
      </c>
      <c r="C170" t="s">
        <v>1697</v>
      </c>
      <c r="D170" t="s">
        <v>339</v>
      </c>
      <c r="E170">
        <v>49158673</v>
      </c>
      <c r="F170">
        <v>49158795</v>
      </c>
      <c r="G170" s="15" t="s">
        <v>35</v>
      </c>
      <c r="H170">
        <v>1631</v>
      </c>
      <c r="I170">
        <v>1782</v>
      </c>
      <c r="J170" s="15" t="s">
        <v>1656</v>
      </c>
      <c r="K170">
        <v>3636</v>
      </c>
      <c r="L170" s="15" t="s">
        <v>1262</v>
      </c>
    </row>
    <row r="171" spans="1:12">
      <c r="A171" t="s">
        <v>1695</v>
      </c>
      <c r="B171">
        <v>8</v>
      </c>
      <c r="C171" t="s">
        <v>2012</v>
      </c>
      <c r="D171" t="s">
        <v>118</v>
      </c>
      <c r="E171">
        <v>33199160</v>
      </c>
      <c r="F171">
        <v>33199444</v>
      </c>
      <c r="G171" s="15" t="s">
        <v>1656</v>
      </c>
      <c r="H171">
        <v>1571</v>
      </c>
      <c r="I171">
        <v>1808</v>
      </c>
      <c r="J171" s="15" t="s">
        <v>1656</v>
      </c>
      <c r="K171">
        <v>0</v>
      </c>
      <c r="L171" s="15" t="s">
        <v>1262</v>
      </c>
    </row>
    <row r="172" spans="1:12">
      <c r="A172" t="s">
        <v>1695</v>
      </c>
      <c r="B172">
        <v>8</v>
      </c>
      <c r="C172" t="s">
        <v>2024</v>
      </c>
      <c r="D172" t="s">
        <v>129</v>
      </c>
      <c r="E172">
        <v>11539471</v>
      </c>
      <c r="F172">
        <v>11539711</v>
      </c>
      <c r="G172" s="15" t="s">
        <v>35</v>
      </c>
      <c r="H172">
        <v>1590</v>
      </c>
      <c r="I172">
        <v>1808</v>
      </c>
      <c r="J172" s="15" t="s">
        <v>1656</v>
      </c>
      <c r="K172">
        <v>93854</v>
      </c>
      <c r="L172" s="15" t="s">
        <v>1262</v>
      </c>
    </row>
    <row r="173" spans="1:12">
      <c r="A173" t="s">
        <v>1695</v>
      </c>
      <c r="B173">
        <v>8</v>
      </c>
      <c r="C173" t="s">
        <v>2058</v>
      </c>
      <c r="D173" t="s">
        <v>188</v>
      </c>
      <c r="E173">
        <v>44711461</v>
      </c>
      <c r="F173">
        <v>44711597</v>
      </c>
      <c r="G173" s="15" t="s">
        <v>1656</v>
      </c>
      <c r="H173">
        <v>1375</v>
      </c>
      <c r="I173">
        <v>1747</v>
      </c>
      <c r="J173" s="15" t="s">
        <v>1656</v>
      </c>
      <c r="K173">
        <v>0</v>
      </c>
      <c r="L173" s="15" t="s">
        <v>1262</v>
      </c>
    </row>
    <row r="174" spans="1:12">
      <c r="A174" t="s">
        <v>1695</v>
      </c>
      <c r="B174">
        <v>8</v>
      </c>
      <c r="C174" t="s">
        <v>1662</v>
      </c>
      <c r="D174" t="s">
        <v>188</v>
      </c>
      <c r="E174">
        <v>59679636</v>
      </c>
      <c r="F174">
        <v>59679738</v>
      </c>
      <c r="G174" s="15" t="s">
        <v>35</v>
      </c>
      <c r="H174">
        <v>1519</v>
      </c>
      <c r="I174">
        <v>1788</v>
      </c>
      <c r="J174" s="15" t="s">
        <v>1656</v>
      </c>
      <c r="K174">
        <v>147845</v>
      </c>
      <c r="L174" s="15" t="s">
        <v>1262</v>
      </c>
    </row>
    <row r="175" spans="1:12">
      <c r="A175" t="s">
        <v>1695</v>
      </c>
      <c r="B175">
        <v>8</v>
      </c>
      <c r="C175" t="s">
        <v>1915</v>
      </c>
      <c r="D175" t="s">
        <v>201</v>
      </c>
      <c r="E175">
        <v>188324952</v>
      </c>
      <c r="F175">
        <v>188325172</v>
      </c>
      <c r="G175" s="15" t="s">
        <v>1656</v>
      </c>
      <c r="H175">
        <v>1533</v>
      </c>
      <c r="I175">
        <v>1761</v>
      </c>
      <c r="J175" s="15" t="s">
        <v>1656</v>
      </c>
      <c r="K175">
        <v>0</v>
      </c>
      <c r="L175" s="15" t="s">
        <v>1262</v>
      </c>
    </row>
    <row r="176" spans="1:12">
      <c r="A176" t="s">
        <v>1695</v>
      </c>
      <c r="B176">
        <v>8</v>
      </c>
      <c r="C176" t="s">
        <v>1955</v>
      </c>
      <c r="D176" t="s">
        <v>201</v>
      </c>
      <c r="E176">
        <v>190258176</v>
      </c>
      <c r="F176">
        <v>190258436</v>
      </c>
      <c r="G176" s="15" t="s">
        <v>1656</v>
      </c>
      <c r="H176">
        <v>1627</v>
      </c>
      <c r="I176">
        <v>1806</v>
      </c>
      <c r="J176" s="15" t="s">
        <v>1656</v>
      </c>
      <c r="K176">
        <v>0</v>
      </c>
      <c r="L176" s="15" t="s">
        <v>1262</v>
      </c>
    </row>
    <row r="177" spans="1:12">
      <c r="A177" t="s">
        <v>1695</v>
      </c>
      <c r="B177">
        <v>8</v>
      </c>
      <c r="C177" t="s">
        <v>221</v>
      </c>
      <c r="D177" t="s">
        <v>220</v>
      </c>
      <c r="E177">
        <v>74270041</v>
      </c>
      <c r="F177">
        <v>74283925</v>
      </c>
      <c r="G177" s="15" t="s">
        <v>1656</v>
      </c>
      <c r="H177">
        <v>163</v>
      </c>
      <c r="I177">
        <v>1305</v>
      </c>
      <c r="J177" s="15" t="s">
        <v>35</v>
      </c>
      <c r="K177">
        <v>0</v>
      </c>
      <c r="L177" s="15" t="s">
        <v>1262</v>
      </c>
    </row>
    <row r="178" spans="1:12">
      <c r="A178" t="s">
        <v>1695</v>
      </c>
      <c r="B178">
        <v>8</v>
      </c>
      <c r="C178" t="s">
        <v>2097</v>
      </c>
      <c r="D178" t="s">
        <v>226</v>
      </c>
      <c r="E178">
        <v>21565568</v>
      </c>
      <c r="F178">
        <v>21565792</v>
      </c>
      <c r="G178" s="15" t="s">
        <v>1656</v>
      </c>
      <c r="H178">
        <v>1585</v>
      </c>
      <c r="I178">
        <v>1797</v>
      </c>
      <c r="J178" s="15" t="s">
        <v>1656</v>
      </c>
      <c r="K178">
        <v>0</v>
      </c>
      <c r="L178" s="15" t="s">
        <v>1262</v>
      </c>
    </row>
    <row r="179" spans="1:12">
      <c r="A179" t="s">
        <v>1767</v>
      </c>
      <c r="B179">
        <v>8</v>
      </c>
      <c r="C179" t="s">
        <v>2227</v>
      </c>
      <c r="D179" t="s">
        <v>279</v>
      </c>
      <c r="E179">
        <v>131217145</v>
      </c>
      <c r="F179">
        <v>131217261</v>
      </c>
      <c r="G179" s="15" t="s">
        <v>35</v>
      </c>
      <c r="H179">
        <v>1586</v>
      </c>
      <c r="I179">
        <v>1833</v>
      </c>
      <c r="J179" s="15" t="s">
        <v>1656</v>
      </c>
      <c r="K179">
        <v>0</v>
      </c>
      <c r="L179" s="15" t="s">
        <v>1262</v>
      </c>
    </row>
    <row r="180" spans="1:12">
      <c r="A180" t="s">
        <v>1654</v>
      </c>
      <c r="B180">
        <v>8</v>
      </c>
      <c r="C180" t="s">
        <v>2266</v>
      </c>
      <c r="D180" t="s">
        <v>201</v>
      </c>
      <c r="E180">
        <v>15354001</v>
      </c>
      <c r="F180">
        <v>15354248</v>
      </c>
      <c r="G180" s="15" t="s">
        <v>1656</v>
      </c>
      <c r="H180">
        <v>1652</v>
      </c>
      <c r="I180">
        <v>1843</v>
      </c>
      <c r="J180" s="15" t="s">
        <v>1656</v>
      </c>
      <c r="K180">
        <v>0</v>
      </c>
      <c r="L180" s="15" t="s">
        <v>1262</v>
      </c>
    </row>
    <row r="181" spans="1:12">
      <c r="A181" t="s">
        <v>1666</v>
      </c>
      <c r="B181">
        <v>8</v>
      </c>
      <c r="C181" t="s">
        <v>1099</v>
      </c>
      <c r="D181" t="s">
        <v>172</v>
      </c>
      <c r="E181">
        <v>216273104</v>
      </c>
      <c r="F181">
        <v>216279683</v>
      </c>
      <c r="G181" s="15" t="s">
        <v>1656</v>
      </c>
      <c r="H181">
        <v>212</v>
      </c>
      <c r="I181">
        <v>460</v>
      </c>
      <c r="J181" s="15" t="s">
        <v>1656</v>
      </c>
      <c r="K181">
        <v>0</v>
      </c>
      <c r="L181" s="15" t="s">
        <v>1262</v>
      </c>
    </row>
    <row r="182" spans="1:12">
      <c r="A182" t="s">
        <v>1666</v>
      </c>
      <c r="B182">
        <v>8</v>
      </c>
      <c r="C182" t="s">
        <v>1099</v>
      </c>
      <c r="D182" t="s">
        <v>172</v>
      </c>
      <c r="E182">
        <v>216281978</v>
      </c>
      <c r="F182">
        <v>216282179</v>
      </c>
      <c r="G182" s="15" t="s">
        <v>1656</v>
      </c>
      <c r="H182">
        <v>1626</v>
      </c>
      <c r="I182">
        <v>1887</v>
      </c>
      <c r="J182" s="15" t="s">
        <v>1656</v>
      </c>
      <c r="K182">
        <v>0</v>
      </c>
      <c r="L182" s="15" t="s">
        <v>1262</v>
      </c>
    </row>
    <row r="183" spans="1:12">
      <c r="A183" t="s">
        <v>1666</v>
      </c>
      <c r="B183">
        <v>8</v>
      </c>
      <c r="C183" t="s">
        <v>1825</v>
      </c>
      <c r="D183" t="s">
        <v>201</v>
      </c>
      <c r="E183">
        <v>6707907</v>
      </c>
      <c r="F183">
        <v>6708093</v>
      </c>
      <c r="G183" s="15" t="s">
        <v>1656</v>
      </c>
      <c r="H183">
        <v>1585</v>
      </c>
      <c r="I183">
        <v>1810</v>
      </c>
      <c r="J183" s="15" t="s">
        <v>1656</v>
      </c>
      <c r="K183">
        <v>194708</v>
      </c>
      <c r="L183" s="15" t="s">
        <v>1262</v>
      </c>
    </row>
    <row r="184" spans="1:12">
      <c r="A184" t="s">
        <v>1666</v>
      </c>
      <c r="B184">
        <v>8</v>
      </c>
      <c r="C184" t="s">
        <v>2304</v>
      </c>
      <c r="D184" t="s">
        <v>83</v>
      </c>
      <c r="E184">
        <v>76946002</v>
      </c>
      <c r="F184">
        <v>76946283</v>
      </c>
      <c r="G184" s="15" t="s">
        <v>1656</v>
      </c>
      <c r="H184">
        <v>1566</v>
      </c>
      <c r="I184">
        <v>1829</v>
      </c>
      <c r="J184" s="15" t="s">
        <v>1656</v>
      </c>
      <c r="K184">
        <v>0</v>
      </c>
      <c r="L184" s="15" t="s">
        <v>1262</v>
      </c>
    </row>
    <row r="185" spans="1:12">
      <c r="A185" t="s">
        <v>1685</v>
      </c>
      <c r="B185">
        <v>8</v>
      </c>
      <c r="C185" t="s">
        <v>1961</v>
      </c>
      <c r="D185" t="s">
        <v>226</v>
      </c>
      <c r="E185">
        <v>1331956</v>
      </c>
      <c r="F185">
        <v>1332184</v>
      </c>
      <c r="G185" s="15" t="s">
        <v>35</v>
      </c>
      <c r="H185">
        <v>247</v>
      </c>
      <c r="I185">
        <v>443</v>
      </c>
      <c r="J185" s="15" t="s">
        <v>1656</v>
      </c>
      <c r="K185">
        <v>0</v>
      </c>
      <c r="L185" s="15" t="s">
        <v>41</v>
      </c>
    </row>
    <row r="186" spans="1:12">
      <c r="A186" t="s">
        <v>1657</v>
      </c>
      <c r="B186">
        <v>8</v>
      </c>
      <c r="C186" t="s">
        <v>1663</v>
      </c>
      <c r="D186" t="s">
        <v>201</v>
      </c>
      <c r="E186">
        <v>152588168</v>
      </c>
      <c r="F186">
        <v>152588357</v>
      </c>
      <c r="G186" s="15" t="s">
        <v>35</v>
      </c>
      <c r="H186">
        <v>1536</v>
      </c>
      <c r="I186">
        <v>1637</v>
      </c>
      <c r="J186" s="15" t="s">
        <v>35</v>
      </c>
      <c r="K186">
        <v>32325</v>
      </c>
      <c r="L186" s="15" t="s">
        <v>41</v>
      </c>
    </row>
    <row r="187" spans="1:12">
      <c r="A187" t="s">
        <v>1657</v>
      </c>
      <c r="B187">
        <v>8</v>
      </c>
      <c r="C187" t="s">
        <v>936</v>
      </c>
      <c r="D187" t="s">
        <v>220</v>
      </c>
      <c r="E187">
        <v>123168096</v>
      </c>
      <c r="F187">
        <v>123168279</v>
      </c>
      <c r="G187" s="15" t="s">
        <v>1656</v>
      </c>
      <c r="H187">
        <v>1652</v>
      </c>
      <c r="I187">
        <v>1775</v>
      </c>
      <c r="J187" s="15" t="s">
        <v>1656</v>
      </c>
      <c r="K187">
        <v>0</v>
      </c>
      <c r="L187" s="15" t="s">
        <v>41</v>
      </c>
    </row>
    <row r="188" spans="1:12">
      <c r="A188" t="s">
        <v>1657</v>
      </c>
      <c r="B188">
        <v>8</v>
      </c>
      <c r="C188" t="s">
        <v>1697</v>
      </c>
      <c r="D188" t="s">
        <v>1787</v>
      </c>
      <c r="E188">
        <v>1822</v>
      </c>
      <c r="F188">
        <v>14563</v>
      </c>
      <c r="G188" s="15" t="s">
        <v>35</v>
      </c>
      <c r="H188">
        <v>713</v>
      </c>
      <c r="I188">
        <v>1798</v>
      </c>
      <c r="J188" s="15" t="s">
        <v>35</v>
      </c>
      <c r="K188" t="s">
        <v>1697</v>
      </c>
      <c r="L188" s="15" t="s">
        <v>41</v>
      </c>
    </row>
    <row r="189" spans="1:12">
      <c r="A189" t="s">
        <v>1718</v>
      </c>
      <c r="B189">
        <v>7</v>
      </c>
      <c r="C189" t="s">
        <v>1824</v>
      </c>
      <c r="D189" t="s">
        <v>197</v>
      </c>
      <c r="E189">
        <v>42838341</v>
      </c>
      <c r="F189">
        <v>42838401</v>
      </c>
      <c r="G189" s="15" t="s">
        <v>1656</v>
      </c>
      <c r="H189">
        <v>1659</v>
      </c>
      <c r="I189">
        <v>1869</v>
      </c>
      <c r="J189" s="15" t="s">
        <v>1656</v>
      </c>
      <c r="K189">
        <v>10000</v>
      </c>
      <c r="L189" s="15" t="s">
        <v>1262</v>
      </c>
    </row>
    <row r="190" spans="1:12">
      <c r="A190" t="s">
        <v>1718</v>
      </c>
      <c r="B190">
        <v>7</v>
      </c>
      <c r="C190" t="s">
        <v>1835</v>
      </c>
      <c r="D190" t="s">
        <v>201</v>
      </c>
      <c r="E190">
        <v>131416596</v>
      </c>
      <c r="F190">
        <v>131416731</v>
      </c>
      <c r="G190" s="15" t="s">
        <v>35</v>
      </c>
      <c r="H190">
        <v>1565</v>
      </c>
      <c r="I190">
        <v>1834</v>
      </c>
      <c r="J190" s="15" t="s">
        <v>1656</v>
      </c>
      <c r="K190">
        <v>0</v>
      </c>
      <c r="L190" s="15" t="s">
        <v>1262</v>
      </c>
    </row>
    <row r="191" spans="1:12">
      <c r="A191" t="s">
        <v>1718</v>
      </c>
      <c r="B191">
        <v>7</v>
      </c>
      <c r="C191" t="s">
        <v>1854</v>
      </c>
      <c r="D191" t="s">
        <v>226</v>
      </c>
      <c r="E191">
        <v>24907755</v>
      </c>
      <c r="F191">
        <v>24907969</v>
      </c>
      <c r="G191" s="15" t="s">
        <v>35</v>
      </c>
      <c r="H191">
        <v>1560</v>
      </c>
      <c r="I191">
        <v>1834</v>
      </c>
      <c r="J191" s="15" t="s">
        <v>1656</v>
      </c>
      <c r="K191">
        <v>67063</v>
      </c>
      <c r="L191" s="15" t="s">
        <v>1262</v>
      </c>
    </row>
    <row r="192" spans="1:12">
      <c r="A192" t="s">
        <v>1718</v>
      </c>
      <c r="B192">
        <v>7</v>
      </c>
      <c r="C192" t="s">
        <v>2332</v>
      </c>
      <c r="D192" t="s">
        <v>257</v>
      </c>
      <c r="E192">
        <v>135623677</v>
      </c>
      <c r="F192">
        <v>135623917</v>
      </c>
      <c r="G192" s="15" t="s">
        <v>35</v>
      </c>
      <c r="H192">
        <v>1683</v>
      </c>
      <c r="I192">
        <v>1830</v>
      </c>
      <c r="J192" s="15" t="s">
        <v>1656</v>
      </c>
      <c r="K192">
        <v>0</v>
      </c>
      <c r="L192" s="15" t="s">
        <v>1262</v>
      </c>
    </row>
    <row r="193" spans="1:12">
      <c r="A193" t="s">
        <v>1718</v>
      </c>
      <c r="B193">
        <v>7</v>
      </c>
      <c r="C193" t="s">
        <v>1697</v>
      </c>
      <c r="D193" t="s">
        <v>1885</v>
      </c>
      <c r="E193">
        <v>121603</v>
      </c>
      <c r="F193">
        <v>122001</v>
      </c>
      <c r="G193" s="15" t="s">
        <v>35</v>
      </c>
      <c r="H193">
        <v>269</v>
      </c>
      <c r="I193">
        <v>460</v>
      </c>
      <c r="J193" s="15" t="s">
        <v>1656</v>
      </c>
      <c r="K193" t="s">
        <v>1697</v>
      </c>
      <c r="L193" s="15" t="s">
        <v>1262</v>
      </c>
    </row>
    <row r="194" spans="1:12">
      <c r="A194" t="s">
        <v>1718</v>
      </c>
      <c r="B194">
        <v>7</v>
      </c>
      <c r="C194" t="s">
        <v>1886</v>
      </c>
      <c r="D194" t="s">
        <v>69</v>
      </c>
      <c r="E194">
        <v>102123934</v>
      </c>
      <c r="F194">
        <v>102124111</v>
      </c>
      <c r="G194" s="15" t="s">
        <v>35</v>
      </c>
      <c r="H194">
        <v>1713</v>
      </c>
      <c r="I194">
        <v>1829</v>
      </c>
      <c r="J194" s="15" t="s">
        <v>1656</v>
      </c>
      <c r="K194">
        <v>0</v>
      </c>
      <c r="L194" s="15" t="s">
        <v>1262</v>
      </c>
    </row>
    <row r="195" spans="1:12">
      <c r="A195" t="s">
        <v>1910</v>
      </c>
      <c r="B195">
        <v>7</v>
      </c>
      <c r="C195" t="s">
        <v>1912</v>
      </c>
      <c r="D195" t="s">
        <v>220</v>
      </c>
      <c r="E195">
        <v>68091164</v>
      </c>
      <c r="F195">
        <v>68091458</v>
      </c>
      <c r="G195" s="15" t="s">
        <v>35</v>
      </c>
      <c r="H195">
        <v>1652</v>
      </c>
      <c r="I195">
        <v>1813</v>
      </c>
      <c r="J195" s="15" t="s">
        <v>1656</v>
      </c>
      <c r="K195">
        <v>246824</v>
      </c>
      <c r="L195" s="15" t="s">
        <v>1262</v>
      </c>
    </row>
    <row r="196" spans="1:12">
      <c r="A196" t="s">
        <v>1695</v>
      </c>
      <c r="B196">
        <v>7</v>
      </c>
      <c r="C196" t="s">
        <v>2006</v>
      </c>
      <c r="D196" t="s">
        <v>104</v>
      </c>
      <c r="E196">
        <v>82528385</v>
      </c>
      <c r="F196">
        <v>82528493</v>
      </c>
      <c r="G196" s="15" t="s">
        <v>35</v>
      </c>
      <c r="H196">
        <v>1590</v>
      </c>
      <c r="I196">
        <v>1805</v>
      </c>
      <c r="J196" s="15" t="s">
        <v>1656</v>
      </c>
      <c r="K196">
        <v>217697</v>
      </c>
      <c r="L196" s="15" t="s">
        <v>1262</v>
      </c>
    </row>
    <row r="197" spans="1:12">
      <c r="A197" t="s">
        <v>1695</v>
      </c>
      <c r="B197">
        <v>7</v>
      </c>
      <c r="C197" t="s">
        <v>2053</v>
      </c>
      <c r="D197" t="s">
        <v>172</v>
      </c>
      <c r="E197">
        <v>70844918</v>
      </c>
      <c r="F197">
        <v>70845034</v>
      </c>
      <c r="G197" s="15" t="s">
        <v>35</v>
      </c>
      <c r="H197">
        <v>1528</v>
      </c>
      <c r="I197">
        <v>1748</v>
      </c>
      <c r="J197" s="15" t="s">
        <v>1656</v>
      </c>
      <c r="K197">
        <v>44297</v>
      </c>
      <c r="L197" s="15" t="s">
        <v>1262</v>
      </c>
    </row>
    <row r="198" spans="1:12">
      <c r="A198" t="s">
        <v>1695</v>
      </c>
      <c r="B198">
        <v>7</v>
      </c>
      <c r="C198" t="s">
        <v>2051</v>
      </c>
      <c r="D198" t="s">
        <v>172</v>
      </c>
      <c r="E198">
        <v>205153688</v>
      </c>
      <c r="F198">
        <v>205153924</v>
      </c>
      <c r="G198" s="15" t="s">
        <v>35</v>
      </c>
      <c r="H198">
        <v>1519</v>
      </c>
      <c r="I198">
        <v>1702</v>
      </c>
      <c r="J198" s="15" t="s">
        <v>1656</v>
      </c>
      <c r="K198">
        <v>256827</v>
      </c>
      <c r="L198" s="15" t="s">
        <v>1262</v>
      </c>
    </row>
    <row r="199" spans="1:12">
      <c r="A199" t="s">
        <v>1695</v>
      </c>
      <c r="B199">
        <v>7</v>
      </c>
      <c r="C199" t="s">
        <v>2079</v>
      </c>
      <c r="D199" t="s">
        <v>201</v>
      </c>
      <c r="E199">
        <v>65288029</v>
      </c>
      <c r="F199">
        <v>65288214</v>
      </c>
      <c r="G199" s="15" t="s">
        <v>35</v>
      </c>
      <c r="H199">
        <v>1623</v>
      </c>
      <c r="I199">
        <v>1797</v>
      </c>
      <c r="J199" s="15" t="s">
        <v>1656</v>
      </c>
      <c r="K199">
        <v>51876</v>
      </c>
      <c r="L199" s="15" t="s">
        <v>1262</v>
      </c>
    </row>
    <row r="200" spans="1:12">
      <c r="A200" t="s">
        <v>1695</v>
      </c>
      <c r="B200">
        <v>7</v>
      </c>
      <c r="C200" t="s">
        <v>2086</v>
      </c>
      <c r="D200" t="s">
        <v>220</v>
      </c>
      <c r="E200">
        <v>126691765</v>
      </c>
      <c r="F200">
        <v>126691944</v>
      </c>
      <c r="G200" s="15" t="s">
        <v>1656</v>
      </c>
      <c r="H200">
        <v>1530</v>
      </c>
      <c r="I200">
        <v>1808</v>
      </c>
      <c r="J200" s="15" t="s">
        <v>1656</v>
      </c>
      <c r="K200">
        <v>263482</v>
      </c>
      <c r="L200" s="15" t="s">
        <v>1262</v>
      </c>
    </row>
    <row r="201" spans="1:12">
      <c r="A201" t="s">
        <v>1695</v>
      </c>
      <c r="B201">
        <v>7</v>
      </c>
      <c r="C201" t="s">
        <v>2124</v>
      </c>
      <c r="D201" t="s">
        <v>257</v>
      </c>
      <c r="E201">
        <v>37701295</v>
      </c>
      <c r="F201">
        <v>37701570</v>
      </c>
      <c r="G201" s="15" t="s">
        <v>35</v>
      </c>
      <c r="H201">
        <v>1554</v>
      </c>
      <c r="I201">
        <v>1825</v>
      </c>
      <c r="J201" s="15" t="s">
        <v>1656</v>
      </c>
      <c r="K201">
        <v>78700</v>
      </c>
      <c r="L201" s="15" t="s">
        <v>1262</v>
      </c>
    </row>
    <row r="202" spans="1:12">
      <c r="A202" t="s">
        <v>1695</v>
      </c>
      <c r="B202">
        <v>7</v>
      </c>
      <c r="C202" t="s">
        <v>2156</v>
      </c>
      <c r="D202" t="s">
        <v>418</v>
      </c>
      <c r="E202">
        <v>62689628</v>
      </c>
      <c r="F202">
        <v>62689742</v>
      </c>
      <c r="G202" s="15" t="s">
        <v>35</v>
      </c>
      <c r="H202">
        <v>1526</v>
      </c>
      <c r="I202">
        <v>1780</v>
      </c>
      <c r="J202" s="15" t="s">
        <v>1656</v>
      </c>
      <c r="K202">
        <v>0</v>
      </c>
      <c r="L202" s="15" t="s">
        <v>1262</v>
      </c>
    </row>
    <row r="203" spans="1:12">
      <c r="A203" t="s">
        <v>1666</v>
      </c>
      <c r="B203">
        <v>7</v>
      </c>
      <c r="C203" t="s">
        <v>1099</v>
      </c>
      <c r="D203" t="s">
        <v>172</v>
      </c>
      <c r="E203">
        <v>216256513</v>
      </c>
      <c r="F203">
        <v>216259445</v>
      </c>
      <c r="G203" s="15" t="s">
        <v>1656</v>
      </c>
      <c r="H203">
        <v>281</v>
      </c>
      <c r="I203">
        <v>459</v>
      </c>
      <c r="J203" s="15" t="s">
        <v>1656</v>
      </c>
      <c r="K203">
        <v>0</v>
      </c>
      <c r="L203" s="15" t="s">
        <v>1262</v>
      </c>
    </row>
    <row r="204" spans="1:12">
      <c r="A204" t="s">
        <v>1666</v>
      </c>
      <c r="B204">
        <v>7</v>
      </c>
      <c r="C204" t="s">
        <v>2351</v>
      </c>
      <c r="D204" t="s">
        <v>172</v>
      </c>
      <c r="E204">
        <v>183058314</v>
      </c>
      <c r="F204">
        <v>183058510</v>
      </c>
      <c r="G204" s="15" t="s">
        <v>35</v>
      </c>
      <c r="H204">
        <v>1585</v>
      </c>
      <c r="I204">
        <v>1808</v>
      </c>
      <c r="J204" s="15" t="s">
        <v>1656</v>
      </c>
      <c r="K204">
        <v>0</v>
      </c>
      <c r="L204" s="15" t="s">
        <v>1262</v>
      </c>
    </row>
    <row r="205" spans="1:12">
      <c r="A205" t="s">
        <v>1666</v>
      </c>
      <c r="B205">
        <v>7</v>
      </c>
      <c r="C205" t="s">
        <v>2240</v>
      </c>
      <c r="D205" t="s">
        <v>220</v>
      </c>
      <c r="E205">
        <v>32228535</v>
      </c>
      <c r="F205">
        <v>32228759</v>
      </c>
      <c r="G205" s="15" t="s">
        <v>35</v>
      </c>
      <c r="H205">
        <v>1585</v>
      </c>
      <c r="I205">
        <v>1826</v>
      </c>
      <c r="J205" s="15" t="s">
        <v>1656</v>
      </c>
      <c r="K205">
        <v>1080112</v>
      </c>
      <c r="L205" s="15" t="s">
        <v>1262</v>
      </c>
    </row>
    <row r="206" spans="1:12">
      <c r="A206" t="s">
        <v>1666</v>
      </c>
      <c r="B206">
        <v>7</v>
      </c>
      <c r="C206" t="s">
        <v>2292</v>
      </c>
      <c r="D206" t="s">
        <v>226</v>
      </c>
      <c r="E206">
        <v>150629158</v>
      </c>
      <c r="F206">
        <v>150629243</v>
      </c>
      <c r="G206" s="15" t="s">
        <v>1656</v>
      </c>
      <c r="H206">
        <v>1554</v>
      </c>
      <c r="I206">
        <v>1816</v>
      </c>
      <c r="J206" s="15" t="s">
        <v>1656</v>
      </c>
      <c r="K206">
        <v>3369</v>
      </c>
      <c r="L206" s="15" t="s">
        <v>1262</v>
      </c>
    </row>
    <row r="207" spans="1:12">
      <c r="A207" t="s">
        <v>1666</v>
      </c>
      <c r="B207">
        <v>7</v>
      </c>
      <c r="C207" t="s">
        <v>2313</v>
      </c>
      <c r="D207" t="s">
        <v>339</v>
      </c>
      <c r="E207">
        <v>112757055</v>
      </c>
      <c r="F207">
        <v>112757187</v>
      </c>
      <c r="G207" s="15" t="s">
        <v>1656</v>
      </c>
      <c r="H207">
        <v>1585</v>
      </c>
      <c r="I207">
        <v>1855</v>
      </c>
      <c r="J207" s="15" t="s">
        <v>1656</v>
      </c>
      <c r="K207">
        <v>31167</v>
      </c>
      <c r="L207" s="15" t="s">
        <v>1262</v>
      </c>
    </row>
    <row r="208" spans="1:12">
      <c r="A208" t="s">
        <v>1666</v>
      </c>
      <c r="B208">
        <v>7</v>
      </c>
      <c r="C208" t="s">
        <v>2314</v>
      </c>
      <c r="D208" t="s">
        <v>339</v>
      </c>
      <c r="E208">
        <v>37303046</v>
      </c>
      <c r="F208">
        <v>37303266</v>
      </c>
      <c r="G208" s="15" t="s">
        <v>35</v>
      </c>
      <c r="H208">
        <v>1624</v>
      </c>
      <c r="I208">
        <v>1834</v>
      </c>
      <c r="J208" s="15" t="s">
        <v>1656</v>
      </c>
      <c r="K208">
        <v>31071</v>
      </c>
      <c r="L208" s="15" t="s">
        <v>1262</v>
      </c>
    </row>
    <row r="209" spans="1:12">
      <c r="A209" t="s">
        <v>1666</v>
      </c>
      <c r="B209">
        <v>7</v>
      </c>
      <c r="C209" t="s">
        <v>1670</v>
      </c>
      <c r="D209" t="s">
        <v>139</v>
      </c>
      <c r="E209">
        <v>23632970</v>
      </c>
      <c r="F209">
        <v>23633097</v>
      </c>
      <c r="G209" s="15" t="s">
        <v>1656</v>
      </c>
      <c r="H209">
        <v>1554</v>
      </c>
      <c r="I209">
        <v>1739</v>
      </c>
      <c r="J209" s="15" t="s">
        <v>1656</v>
      </c>
      <c r="K209">
        <v>54828</v>
      </c>
      <c r="L209" s="15" t="s">
        <v>1262</v>
      </c>
    </row>
    <row r="210" spans="1:12">
      <c r="A210" t="s">
        <v>1657</v>
      </c>
      <c r="B210">
        <v>7</v>
      </c>
      <c r="C210" t="s">
        <v>1659</v>
      </c>
      <c r="D210" t="s">
        <v>139</v>
      </c>
      <c r="E210">
        <v>36212433</v>
      </c>
      <c r="F210">
        <v>36212642</v>
      </c>
      <c r="G210" s="15" t="s">
        <v>1656</v>
      </c>
      <c r="H210">
        <v>1770</v>
      </c>
      <c r="I210">
        <v>2526</v>
      </c>
      <c r="J210" s="15" t="s">
        <v>35</v>
      </c>
      <c r="K210">
        <v>0</v>
      </c>
      <c r="L210" s="15" t="s">
        <v>41</v>
      </c>
    </row>
    <row r="211" spans="1:12">
      <c r="A211" t="s">
        <v>1774</v>
      </c>
      <c r="B211">
        <v>7</v>
      </c>
      <c r="C211" t="s">
        <v>1775</v>
      </c>
      <c r="D211" t="s">
        <v>129</v>
      </c>
      <c r="E211">
        <v>51886716</v>
      </c>
      <c r="F211">
        <v>51909147</v>
      </c>
      <c r="G211" s="15" t="s">
        <v>1656</v>
      </c>
      <c r="H211">
        <v>1486</v>
      </c>
      <c r="I211">
        <v>1912</v>
      </c>
      <c r="J211" s="15" t="s">
        <v>1656</v>
      </c>
      <c r="K211">
        <v>151116</v>
      </c>
      <c r="L211" s="15" t="s">
        <v>41</v>
      </c>
    </row>
    <row r="212" spans="1:12">
      <c r="A212" t="s">
        <v>1718</v>
      </c>
      <c r="B212">
        <v>6</v>
      </c>
      <c r="C212" t="s">
        <v>1726</v>
      </c>
      <c r="D212" t="s">
        <v>120</v>
      </c>
      <c r="E212">
        <v>31862191</v>
      </c>
      <c r="F212">
        <v>31863613</v>
      </c>
      <c r="G212" s="15" t="s">
        <v>35</v>
      </c>
      <c r="H212">
        <v>2438</v>
      </c>
      <c r="I212">
        <v>2603</v>
      </c>
      <c r="J212" s="15" t="s">
        <v>1656</v>
      </c>
      <c r="K212">
        <v>0</v>
      </c>
      <c r="L212" s="15" t="s">
        <v>1262</v>
      </c>
    </row>
    <row r="213" spans="1:12">
      <c r="A213" t="s">
        <v>1718</v>
      </c>
      <c r="B213">
        <v>6</v>
      </c>
      <c r="C213" t="s">
        <v>1806</v>
      </c>
      <c r="D213" t="s">
        <v>172</v>
      </c>
      <c r="E213">
        <v>77508278</v>
      </c>
      <c r="F213">
        <v>77508371</v>
      </c>
      <c r="G213" s="15" t="s">
        <v>1656</v>
      </c>
      <c r="H213">
        <v>1560</v>
      </c>
      <c r="I213">
        <v>1770</v>
      </c>
      <c r="J213" s="15" t="s">
        <v>1656</v>
      </c>
      <c r="K213">
        <v>0</v>
      </c>
      <c r="L213" s="15" t="s">
        <v>1262</v>
      </c>
    </row>
    <row r="214" spans="1:12">
      <c r="A214" t="s">
        <v>1718</v>
      </c>
      <c r="B214">
        <v>6</v>
      </c>
      <c r="C214" t="s">
        <v>1850</v>
      </c>
      <c r="D214" t="s">
        <v>22</v>
      </c>
      <c r="E214">
        <v>196508366</v>
      </c>
      <c r="F214">
        <v>196508618</v>
      </c>
      <c r="G214" s="15" t="s">
        <v>35</v>
      </c>
      <c r="H214">
        <v>1586</v>
      </c>
      <c r="I214">
        <v>1833</v>
      </c>
      <c r="J214" s="15" t="s">
        <v>1656</v>
      </c>
      <c r="K214">
        <v>0</v>
      </c>
      <c r="L214" s="15" t="s">
        <v>1262</v>
      </c>
    </row>
    <row r="215" spans="1:12">
      <c r="A215" t="s">
        <v>1718</v>
      </c>
      <c r="B215">
        <v>6</v>
      </c>
      <c r="C215" t="s">
        <v>1869</v>
      </c>
      <c r="D215" t="s">
        <v>257</v>
      </c>
      <c r="E215">
        <v>155065650</v>
      </c>
      <c r="F215">
        <v>155065706</v>
      </c>
      <c r="G215" s="15" t="s">
        <v>35</v>
      </c>
      <c r="H215">
        <v>1560</v>
      </c>
      <c r="I215">
        <v>1783</v>
      </c>
      <c r="J215" s="15" t="s">
        <v>1656</v>
      </c>
      <c r="K215">
        <v>23835</v>
      </c>
      <c r="L215" s="15" t="s">
        <v>1262</v>
      </c>
    </row>
    <row r="216" spans="1:12">
      <c r="A216" t="s">
        <v>1718</v>
      </c>
      <c r="B216">
        <v>6</v>
      </c>
      <c r="C216" t="s">
        <v>1697</v>
      </c>
      <c r="D216" t="s">
        <v>1787</v>
      </c>
      <c r="E216">
        <v>3152</v>
      </c>
      <c r="F216">
        <v>15869</v>
      </c>
      <c r="G216" s="15" t="s">
        <v>35</v>
      </c>
      <c r="H216">
        <v>342</v>
      </c>
      <c r="I216">
        <v>1172</v>
      </c>
      <c r="J216" s="15" t="s">
        <v>35</v>
      </c>
      <c r="K216" t="s">
        <v>1697</v>
      </c>
      <c r="L216" s="15" t="s">
        <v>1262</v>
      </c>
    </row>
    <row r="217" spans="1:12">
      <c r="A217" t="s">
        <v>1718</v>
      </c>
      <c r="B217">
        <v>6</v>
      </c>
      <c r="C217" t="s">
        <v>1894</v>
      </c>
      <c r="D217" t="s">
        <v>22</v>
      </c>
      <c r="E217">
        <v>65672737</v>
      </c>
      <c r="F217">
        <v>65672926</v>
      </c>
      <c r="G217" s="15" t="s">
        <v>1656</v>
      </c>
      <c r="H217">
        <v>1371</v>
      </c>
      <c r="I217">
        <v>1776</v>
      </c>
      <c r="J217" s="15" t="s">
        <v>1656</v>
      </c>
      <c r="K217">
        <v>0</v>
      </c>
      <c r="L217" s="15" t="s">
        <v>1262</v>
      </c>
    </row>
    <row r="218" spans="1:12">
      <c r="A218" t="s">
        <v>1695</v>
      </c>
      <c r="B218">
        <v>6</v>
      </c>
      <c r="C218" t="s">
        <v>2000</v>
      </c>
      <c r="D218" t="s">
        <v>104</v>
      </c>
      <c r="E218">
        <v>90169788</v>
      </c>
      <c r="F218">
        <v>90170076</v>
      </c>
      <c r="G218" s="15" t="s">
        <v>1656</v>
      </c>
      <c r="H218">
        <v>1671</v>
      </c>
      <c r="I218">
        <v>1808</v>
      </c>
      <c r="J218" s="15" t="s">
        <v>1656</v>
      </c>
      <c r="K218">
        <v>64347</v>
      </c>
      <c r="L218" s="15" t="s">
        <v>1262</v>
      </c>
    </row>
    <row r="219" spans="1:12">
      <c r="A219" t="s">
        <v>1695</v>
      </c>
      <c r="B219">
        <v>6</v>
      </c>
      <c r="C219" t="s">
        <v>1704</v>
      </c>
      <c r="D219" t="s">
        <v>22</v>
      </c>
      <c r="E219">
        <v>160267186</v>
      </c>
      <c r="F219">
        <v>160269057</v>
      </c>
      <c r="G219" s="15" t="s">
        <v>1656</v>
      </c>
      <c r="H219">
        <v>271</v>
      </c>
      <c r="I219">
        <v>460</v>
      </c>
      <c r="J219" s="15" t="s">
        <v>1656</v>
      </c>
      <c r="K219">
        <v>0</v>
      </c>
      <c r="L219" s="15" t="s">
        <v>1262</v>
      </c>
    </row>
    <row r="220" spans="1:12">
      <c r="A220" t="s">
        <v>1695</v>
      </c>
      <c r="B220">
        <v>6</v>
      </c>
      <c r="C220" t="s">
        <v>2022</v>
      </c>
      <c r="D220" t="s">
        <v>120</v>
      </c>
      <c r="E220">
        <v>58893313</v>
      </c>
      <c r="F220">
        <v>58893434</v>
      </c>
      <c r="G220" s="15" t="s">
        <v>35</v>
      </c>
      <c r="H220">
        <v>1561</v>
      </c>
      <c r="I220">
        <v>1778</v>
      </c>
      <c r="J220" s="15" t="s">
        <v>1656</v>
      </c>
      <c r="K220">
        <v>0</v>
      </c>
      <c r="L220" s="15" t="s">
        <v>1262</v>
      </c>
    </row>
    <row r="221" spans="1:12">
      <c r="A221" t="s">
        <v>1695</v>
      </c>
      <c r="B221">
        <v>6</v>
      </c>
      <c r="C221" t="s">
        <v>1846</v>
      </c>
      <c r="D221" t="s">
        <v>220</v>
      </c>
      <c r="E221">
        <v>100237179</v>
      </c>
      <c r="F221">
        <v>100239344</v>
      </c>
      <c r="G221" s="15" t="s">
        <v>1656</v>
      </c>
      <c r="H221">
        <v>290</v>
      </c>
      <c r="I221">
        <v>459</v>
      </c>
      <c r="J221" s="15" t="s">
        <v>1656</v>
      </c>
      <c r="K221">
        <v>0</v>
      </c>
      <c r="L221" s="15" t="s">
        <v>1262</v>
      </c>
    </row>
    <row r="222" spans="1:12">
      <c r="A222" t="s">
        <v>1695</v>
      </c>
      <c r="B222">
        <v>6</v>
      </c>
      <c r="C222" t="s">
        <v>2346</v>
      </c>
      <c r="D222" t="s">
        <v>220</v>
      </c>
      <c r="E222">
        <v>124324991</v>
      </c>
      <c r="F222">
        <v>124325217</v>
      </c>
      <c r="G222" s="15" t="s">
        <v>1656</v>
      </c>
      <c r="H222">
        <v>1526</v>
      </c>
      <c r="I222">
        <v>1767</v>
      </c>
      <c r="J222" s="15" t="s">
        <v>1656</v>
      </c>
      <c r="K222">
        <v>302</v>
      </c>
      <c r="L222" s="15" t="s">
        <v>1262</v>
      </c>
    </row>
    <row r="223" spans="1:12">
      <c r="A223" t="s">
        <v>1695</v>
      </c>
      <c r="B223">
        <v>6</v>
      </c>
      <c r="C223" t="s">
        <v>2087</v>
      </c>
      <c r="D223" t="s">
        <v>220</v>
      </c>
      <c r="E223">
        <v>151009721</v>
      </c>
      <c r="F223">
        <v>151009868</v>
      </c>
      <c r="G223" s="15" t="s">
        <v>1656</v>
      </c>
      <c r="H223">
        <v>1642</v>
      </c>
      <c r="I223">
        <v>1765</v>
      </c>
      <c r="J223" s="15" t="s">
        <v>1656</v>
      </c>
      <c r="K223">
        <v>0</v>
      </c>
      <c r="L223" s="15" t="s">
        <v>1262</v>
      </c>
    </row>
    <row r="224" spans="1:12">
      <c r="A224" t="s">
        <v>1695</v>
      </c>
      <c r="B224">
        <v>6</v>
      </c>
      <c r="C224" t="s">
        <v>2100</v>
      </c>
      <c r="D224" t="s">
        <v>226</v>
      </c>
      <c r="E224">
        <v>106934336</v>
      </c>
      <c r="F224">
        <v>106934613</v>
      </c>
      <c r="G224" s="15" t="s">
        <v>35</v>
      </c>
      <c r="H224">
        <v>1643</v>
      </c>
      <c r="I224">
        <v>1805</v>
      </c>
      <c r="J224" s="15" t="s">
        <v>1656</v>
      </c>
      <c r="K224">
        <v>0</v>
      </c>
      <c r="L224" s="15" t="s">
        <v>1262</v>
      </c>
    </row>
    <row r="225" spans="1:12">
      <c r="A225" t="s">
        <v>1695</v>
      </c>
      <c r="B225">
        <v>6</v>
      </c>
      <c r="C225" t="s">
        <v>2111</v>
      </c>
      <c r="D225" t="s">
        <v>237</v>
      </c>
      <c r="E225">
        <v>67046671</v>
      </c>
      <c r="F225">
        <v>67046858</v>
      </c>
      <c r="G225" s="15" t="s">
        <v>1656</v>
      </c>
      <c r="H225">
        <v>1583</v>
      </c>
      <c r="I225">
        <v>1833</v>
      </c>
      <c r="J225" s="15" t="s">
        <v>1656</v>
      </c>
      <c r="K225">
        <v>547482</v>
      </c>
      <c r="L225" s="15" t="s">
        <v>1262</v>
      </c>
    </row>
    <row r="226" spans="1:12">
      <c r="A226" t="s">
        <v>1695</v>
      </c>
      <c r="B226">
        <v>6</v>
      </c>
      <c r="C226" t="s">
        <v>2154</v>
      </c>
      <c r="D226" t="s">
        <v>292</v>
      </c>
      <c r="E226">
        <v>129896857</v>
      </c>
      <c r="F226">
        <v>129897016</v>
      </c>
      <c r="G226" s="15" t="s">
        <v>35</v>
      </c>
      <c r="H226">
        <v>1615</v>
      </c>
      <c r="I226">
        <v>1788</v>
      </c>
      <c r="J226" s="15" t="s">
        <v>1656</v>
      </c>
      <c r="K226">
        <v>0</v>
      </c>
      <c r="L226" s="15" t="s">
        <v>1262</v>
      </c>
    </row>
    <row r="227" spans="1:12">
      <c r="A227" t="s">
        <v>1695</v>
      </c>
      <c r="B227">
        <v>6</v>
      </c>
      <c r="C227" t="s">
        <v>1697</v>
      </c>
      <c r="D227" t="s">
        <v>1885</v>
      </c>
      <c r="E227">
        <v>117858</v>
      </c>
      <c r="F227">
        <v>121896</v>
      </c>
      <c r="G227" s="15" t="s">
        <v>35</v>
      </c>
      <c r="H227">
        <v>264</v>
      </c>
      <c r="I227">
        <v>447</v>
      </c>
      <c r="J227" s="15" t="s">
        <v>1656</v>
      </c>
      <c r="K227" t="s">
        <v>1697</v>
      </c>
      <c r="L227" s="15" t="s">
        <v>1262</v>
      </c>
    </row>
    <row r="228" spans="1:12">
      <c r="A228" t="s">
        <v>1654</v>
      </c>
      <c r="B228">
        <v>6</v>
      </c>
      <c r="C228" t="s">
        <v>2265</v>
      </c>
      <c r="D228" t="s">
        <v>135</v>
      </c>
      <c r="E228">
        <v>66084770</v>
      </c>
      <c r="F228">
        <v>66084995</v>
      </c>
      <c r="G228" s="15" t="s">
        <v>1656</v>
      </c>
      <c r="H228">
        <v>1652</v>
      </c>
      <c r="I228">
        <v>1802</v>
      </c>
      <c r="J228" s="15" t="s">
        <v>1656</v>
      </c>
      <c r="K228">
        <v>255929</v>
      </c>
      <c r="L228" s="15" t="s">
        <v>1262</v>
      </c>
    </row>
    <row r="229" spans="1:12">
      <c r="A229" t="s">
        <v>1654</v>
      </c>
      <c r="B229">
        <v>6</v>
      </c>
      <c r="C229" t="s">
        <v>2271</v>
      </c>
      <c r="D229" t="s">
        <v>237</v>
      </c>
      <c r="E229">
        <v>9594902</v>
      </c>
      <c r="F229">
        <v>9595111</v>
      </c>
      <c r="G229" s="15" t="s">
        <v>1656</v>
      </c>
      <c r="H229">
        <v>1696</v>
      </c>
      <c r="I229">
        <v>1898</v>
      </c>
      <c r="J229" s="15" t="s">
        <v>1656</v>
      </c>
      <c r="K229">
        <v>801804</v>
      </c>
      <c r="L229" s="15" t="s">
        <v>1262</v>
      </c>
    </row>
    <row r="230" spans="1:12">
      <c r="A230" t="s">
        <v>1666</v>
      </c>
      <c r="B230">
        <v>6</v>
      </c>
      <c r="C230" t="s">
        <v>2291</v>
      </c>
      <c r="D230" t="s">
        <v>22</v>
      </c>
      <c r="E230">
        <v>90022320</v>
      </c>
      <c r="F230">
        <v>90022543</v>
      </c>
      <c r="G230" s="15" t="s">
        <v>35</v>
      </c>
      <c r="H230">
        <v>1626</v>
      </c>
      <c r="I230">
        <v>1789</v>
      </c>
      <c r="J230" s="15" t="s">
        <v>1656</v>
      </c>
      <c r="K230">
        <v>0</v>
      </c>
      <c r="L230" s="15" t="s">
        <v>1262</v>
      </c>
    </row>
    <row r="231" spans="1:12">
      <c r="A231" t="s">
        <v>1739</v>
      </c>
      <c r="B231">
        <v>6</v>
      </c>
      <c r="C231" t="s">
        <v>1742</v>
      </c>
      <c r="D231" t="s">
        <v>83</v>
      </c>
      <c r="E231">
        <v>90018781</v>
      </c>
      <c r="F231">
        <v>90018928</v>
      </c>
      <c r="G231" s="15" t="s">
        <v>35</v>
      </c>
      <c r="H231">
        <v>1946</v>
      </c>
      <c r="I231">
        <v>2120</v>
      </c>
      <c r="J231" s="15" t="s">
        <v>35</v>
      </c>
      <c r="K231">
        <v>62249</v>
      </c>
      <c r="L231" s="15" t="s">
        <v>41</v>
      </c>
    </row>
    <row r="232" spans="1:12">
      <c r="A232" t="s">
        <v>1685</v>
      </c>
      <c r="B232">
        <v>6</v>
      </c>
      <c r="C232" t="s">
        <v>1783</v>
      </c>
      <c r="D232" t="s">
        <v>220</v>
      </c>
      <c r="E232">
        <v>155506841</v>
      </c>
      <c r="F232">
        <v>155508002</v>
      </c>
      <c r="G232" s="15" t="s">
        <v>1656</v>
      </c>
      <c r="H232">
        <v>43</v>
      </c>
      <c r="I232">
        <v>497</v>
      </c>
      <c r="J232" s="15" t="s">
        <v>35</v>
      </c>
      <c r="K232">
        <v>0</v>
      </c>
      <c r="L232" s="15" t="s">
        <v>41</v>
      </c>
    </row>
    <row r="233" spans="1:12">
      <c r="A233" t="s">
        <v>1657</v>
      </c>
      <c r="B233">
        <v>6</v>
      </c>
      <c r="C233" t="s">
        <v>2236</v>
      </c>
      <c r="D233" t="s">
        <v>201</v>
      </c>
      <c r="E233">
        <v>22616405</v>
      </c>
      <c r="F233">
        <v>22616613</v>
      </c>
      <c r="G233" s="15" t="s">
        <v>1656</v>
      </c>
      <c r="H233">
        <v>1652</v>
      </c>
      <c r="I233">
        <v>1817</v>
      </c>
      <c r="J233" s="15" t="s">
        <v>1656</v>
      </c>
      <c r="K233">
        <v>628170</v>
      </c>
      <c r="L233" s="15" t="s">
        <v>41</v>
      </c>
    </row>
    <row r="234" spans="1:12">
      <c r="A234" t="s">
        <v>1718</v>
      </c>
      <c r="B234">
        <v>5</v>
      </c>
      <c r="C234" t="s">
        <v>1795</v>
      </c>
      <c r="D234" t="s">
        <v>120</v>
      </c>
      <c r="E234">
        <v>24268017</v>
      </c>
      <c r="F234">
        <v>24268237</v>
      </c>
      <c r="G234" s="15" t="s">
        <v>1656</v>
      </c>
      <c r="H234">
        <v>1560</v>
      </c>
      <c r="I234">
        <v>1796</v>
      </c>
      <c r="J234" s="15" t="s">
        <v>1656</v>
      </c>
      <c r="K234">
        <v>141688</v>
      </c>
      <c r="L234" s="15" t="s">
        <v>1262</v>
      </c>
    </row>
    <row r="235" spans="1:12">
      <c r="A235" t="s">
        <v>1718</v>
      </c>
      <c r="B235">
        <v>5</v>
      </c>
      <c r="C235" t="s">
        <v>1797</v>
      </c>
      <c r="D235" t="s">
        <v>129</v>
      </c>
      <c r="E235">
        <v>6071374</v>
      </c>
      <c r="F235">
        <v>6071552</v>
      </c>
      <c r="G235" s="15" t="s">
        <v>35</v>
      </c>
      <c r="H235">
        <v>1587</v>
      </c>
      <c r="I235">
        <v>1785</v>
      </c>
      <c r="J235" s="15" t="s">
        <v>1656</v>
      </c>
      <c r="K235">
        <v>0</v>
      </c>
      <c r="L235" s="15" t="s">
        <v>1262</v>
      </c>
    </row>
    <row r="236" spans="1:12">
      <c r="A236" t="s">
        <v>1718</v>
      </c>
      <c r="B236">
        <v>5</v>
      </c>
      <c r="C236" t="s">
        <v>1804</v>
      </c>
      <c r="D236" t="s">
        <v>139</v>
      </c>
      <c r="E236">
        <v>50434509</v>
      </c>
      <c r="F236">
        <v>50434753</v>
      </c>
      <c r="G236" s="15" t="s">
        <v>1656</v>
      </c>
      <c r="H236">
        <v>1368</v>
      </c>
      <c r="I236">
        <v>1799</v>
      </c>
      <c r="J236" s="15" t="s">
        <v>1656</v>
      </c>
      <c r="K236">
        <v>0</v>
      </c>
      <c r="L236" s="15" t="s">
        <v>1262</v>
      </c>
    </row>
    <row r="237" spans="1:12">
      <c r="A237" t="s">
        <v>1718</v>
      </c>
      <c r="B237">
        <v>5</v>
      </c>
      <c r="C237" t="s">
        <v>1837</v>
      </c>
      <c r="D237" t="s">
        <v>201</v>
      </c>
      <c r="E237">
        <v>172173082</v>
      </c>
      <c r="F237">
        <v>172173306</v>
      </c>
      <c r="G237" s="15" t="s">
        <v>35</v>
      </c>
      <c r="H237">
        <v>1375</v>
      </c>
      <c r="I237">
        <v>1630</v>
      </c>
      <c r="J237" s="15" t="s">
        <v>1656</v>
      </c>
      <c r="K237">
        <v>6836</v>
      </c>
      <c r="L237" s="15" t="s">
        <v>1262</v>
      </c>
    </row>
    <row r="238" spans="1:12">
      <c r="A238" t="s">
        <v>1718</v>
      </c>
      <c r="B238">
        <v>5</v>
      </c>
      <c r="C238" t="s">
        <v>1843</v>
      </c>
      <c r="D238" t="s">
        <v>220</v>
      </c>
      <c r="E238">
        <v>171145654</v>
      </c>
      <c r="F238">
        <v>171145799</v>
      </c>
      <c r="G238" s="15" t="s">
        <v>1656</v>
      </c>
      <c r="H238">
        <v>190</v>
      </c>
      <c r="I238">
        <v>461</v>
      </c>
      <c r="J238" s="15" t="s">
        <v>1656</v>
      </c>
      <c r="K238">
        <v>134427</v>
      </c>
      <c r="L238" s="15" t="s">
        <v>1262</v>
      </c>
    </row>
    <row r="239" spans="1:12">
      <c r="A239" t="s">
        <v>1718</v>
      </c>
      <c r="B239">
        <v>5</v>
      </c>
      <c r="C239" t="s">
        <v>1856</v>
      </c>
      <c r="D239" t="s">
        <v>226</v>
      </c>
      <c r="E239">
        <v>132213023</v>
      </c>
      <c r="F239">
        <v>132213276</v>
      </c>
      <c r="G239" s="15" t="s">
        <v>35</v>
      </c>
      <c r="H239">
        <v>1728</v>
      </c>
      <c r="I239">
        <v>1827</v>
      </c>
      <c r="J239" s="15" t="s">
        <v>35</v>
      </c>
      <c r="K239">
        <v>0</v>
      </c>
      <c r="L239" s="15" t="s">
        <v>1262</v>
      </c>
    </row>
    <row r="240" spans="1:12">
      <c r="A240" t="s">
        <v>1718</v>
      </c>
      <c r="B240">
        <v>5</v>
      </c>
      <c r="C240" t="s">
        <v>1720</v>
      </c>
      <c r="D240" t="s">
        <v>69</v>
      </c>
      <c r="E240">
        <v>103043285</v>
      </c>
      <c r="F240">
        <v>103043373</v>
      </c>
      <c r="G240" s="15" t="s">
        <v>1656</v>
      </c>
      <c r="H240">
        <v>1845</v>
      </c>
      <c r="I240">
        <v>1913</v>
      </c>
      <c r="J240" s="15" t="s">
        <v>35</v>
      </c>
      <c r="K240">
        <v>44757</v>
      </c>
      <c r="L240" s="15" t="s">
        <v>1262</v>
      </c>
    </row>
    <row r="241" spans="1:12">
      <c r="A241" t="s">
        <v>1718</v>
      </c>
      <c r="B241">
        <v>5</v>
      </c>
      <c r="C241" t="s">
        <v>1861</v>
      </c>
      <c r="D241" t="s">
        <v>237</v>
      </c>
      <c r="E241">
        <v>37386517</v>
      </c>
      <c r="F241">
        <v>37386623</v>
      </c>
      <c r="G241" s="15" t="s">
        <v>35</v>
      </c>
      <c r="H241">
        <v>1414</v>
      </c>
      <c r="I241">
        <v>1716</v>
      </c>
      <c r="J241" s="15" t="s">
        <v>1656</v>
      </c>
      <c r="K241">
        <v>14389</v>
      </c>
      <c r="L241" s="15" t="s">
        <v>1262</v>
      </c>
    </row>
    <row r="242" spans="1:12">
      <c r="A242" t="s">
        <v>1718</v>
      </c>
      <c r="B242">
        <v>5</v>
      </c>
      <c r="C242" t="s">
        <v>814</v>
      </c>
      <c r="D242" t="s">
        <v>279</v>
      </c>
      <c r="E242">
        <v>68102883</v>
      </c>
      <c r="F242">
        <v>68107735</v>
      </c>
      <c r="G242" s="15" t="s">
        <v>35</v>
      </c>
      <c r="H242">
        <v>242</v>
      </c>
      <c r="I242">
        <v>448</v>
      </c>
      <c r="J242" s="15" t="s">
        <v>1656</v>
      </c>
      <c r="K242">
        <v>0</v>
      </c>
      <c r="L242" s="15" t="s">
        <v>1262</v>
      </c>
    </row>
    <row r="243" spans="1:12">
      <c r="A243" t="s">
        <v>1718</v>
      </c>
      <c r="B243">
        <v>5</v>
      </c>
      <c r="C243" t="s">
        <v>1895</v>
      </c>
      <c r="D243" t="s">
        <v>104</v>
      </c>
      <c r="E243">
        <v>14993896</v>
      </c>
      <c r="F243">
        <v>14993985</v>
      </c>
      <c r="G243" s="15" t="s">
        <v>1656</v>
      </c>
      <c r="H243">
        <v>361</v>
      </c>
      <c r="I243">
        <v>461</v>
      </c>
      <c r="J243" s="15" t="s">
        <v>1656</v>
      </c>
      <c r="K243">
        <v>0</v>
      </c>
      <c r="L243" s="15" t="s">
        <v>1262</v>
      </c>
    </row>
    <row r="244" spans="1:12">
      <c r="A244" t="s">
        <v>1695</v>
      </c>
      <c r="B244">
        <v>5</v>
      </c>
      <c r="C244" t="s">
        <v>2013</v>
      </c>
      <c r="D244" t="s">
        <v>118</v>
      </c>
      <c r="E244">
        <v>36893276</v>
      </c>
      <c r="F244">
        <v>36893339</v>
      </c>
      <c r="G244" s="15" t="s">
        <v>1656</v>
      </c>
      <c r="H244">
        <v>1535</v>
      </c>
      <c r="I244">
        <v>1783</v>
      </c>
      <c r="J244" s="15" t="s">
        <v>1656</v>
      </c>
      <c r="K244">
        <v>49154</v>
      </c>
      <c r="L244" s="15" t="s">
        <v>1262</v>
      </c>
    </row>
    <row r="245" spans="1:12">
      <c r="A245" t="s">
        <v>1695</v>
      </c>
      <c r="B245">
        <v>5</v>
      </c>
      <c r="C245" t="s">
        <v>2028</v>
      </c>
      <c r="D245" t="s">
        <v>22</v>
      </c>
      <c r="E245">
        <v>211045539</v>
      </c>
      <c r="F245">
        <v>211045645</v>
      </c>
      <c r="G245" s="15" t="s">
        <v>1656</v>
      </c>
      <c r="H245">
        <v>1501</v>
      </c>
      <c r="I245">
        <v>1759</v>
      </c>
      <c r="J245" s="15" t="s">
        <v>1656</v>
      </c>
      <c r="K245">
        <v>0</v>
      </c>
      <c r="L245" s="15" t="s">
        <v>1262</v>
      </c>
    </row>
    <row r="246" spans="1:12">
      <c r="A246" t="s">
        <v>1695</v>
      </c>
      <c r="B246">
        <v>5</v>
      </c>
      <c r="C246" t="s">
        <v>2037</v>
      </c>
      <c r="D246" t="s">
        <v>139</v>
      </c>
      <c r="E246">
        <v>661493</v>
      </c>
      <c r="F246">
        <v>661628</v>
      </c>
      <c r="G246" s="15" t="s">
        <v>1656</v>
      </c>
      <c r="H246">
        <v>1366</v>
      </c>
      <c r="I246">
        <v>1805</v>
      </c>
      <c r="J246" s="15" t="s">
        <v>1656</v>
      </c>
      <c r="K246">
        <v>0</v>
      </c>
      <c r="L246" s="15" t="s">
        <v>1262</v>
      </c>
    </row>
    <row r="247" spans="1:12">
      <c r="A247" t="s">
        <v>1695</v>
      </c>
      <c r="B247">
        <v>5</v>
      </c>
      <c r="C247" t="s">
        <v>1811</v>
      </c>
      <c r="D247" t="s">
        <v>172</v>
      </c>
      <c r="E247">
        <v>211369356</v>
      </c>
      <c r="F247">
        <v>211369577</v>
      </c>
      <c r="G247" s="15" t="s">
        <v>1656</v>
      </c>
      <c r="H247">
        <v>1780</v>
      </c>
      <c r="I247">
        <v>1912</v>
      </c>
      <c r="J247" s="15" t="s">
        <v>1656</v>
      </c>
      <c r="K247">
        <v>0</v>
      </c>
      <c r="L247" s="15" t="s">
        <v>1262</v>
      </c>
    </row>
    <row r="248" spans="1:12">
      <c r="A248" t="s">
        <v>1695</v>
      </c>
      <c r="B248">
        <v>5</v>
      </c>
      <c r="C248" t="s">
        <v>2344</v>
      </c>
      <c r="D248" t="s">
        <v>172</v>
      </c>
      <c r="E248">
        <v>174115954</v>
      </c>
      <c r="F248">
        <v>174116179</v>
      </c>
      <c r="G248" s="15" t="s">
        <v>35</v>
      </c>
      <c r="H248">
        <v>1626</v>
      </c>
      <c r="I248">
        <v>1808</v>
      </c>
      <c r="J248" s="15" t="s">
        <v>1656</v>
      </c>
      <c r="K248">
        <v>0</v>
      </c>
      <c r="L248" s="15" t="s">
        <v>1262</v>
      </c>
    </row>
    <row r="249" spans="1:12">
      <c r="A249" t="s">
        <v>1695</v>
      </c>
      <c r="B249">
        <v>5</v>
      </c>
      <c r="C249" t="s">
        <v>2080</v>
      </c>
      <c r="D249" t="s">
        <v>201</v>
      </c>
      <c r="E249">
        <v>68714109</v>
      </c>
      <c r="F249">
        <v>68714180</v>
      </c>
      <c r="G249" s="15" t="s">
        <v>35</v>
      </c>
      <c r="H249">
        <v>1525</v>
      </c>
      <c r="I249">
        <v>1722</v>
      </c>
      <c r="J249" s="15" t="s">
        <v>1656</v>
      </c>
      <c r="K249">
        <v>66805</v>
      </c>
      <c r="L249" s="15" t="s">
        <v>1262</v>
      </c>
    </row>
    <row r="250" spans="1:12">
      <c r="A250" t="s">
        <v>1695</v>
      </c>
      <c r="B250">
        <v>5</v>
      </c>
      <c r="C250" t="s">
        <v>1299</v>
      </c>
      <c r="D250" t="s">
        <v>220</v>
      </c>
      <c r="E250">
        <v>72640090</v>
      </c>
      <c r="F250">
        <v>72640323</v>
      </c>
      <c r="G250" s="15" t="s">
        <v>35</v>
      </c>
      <c r="H250">
        <v>1551</v>
      </c>
      <c r="I250">
        <v>1744</v>
      </c>
      <c r="J250" s="15" t="s">
        <v>1656</v>
      </c>
      <c r="K250">
        <v>0</v>
      </c>
      <c r="L250" s="15" t="s">
        <v>1262</v>
      </c>
    </row>
    <row r="251" spans="1:12">
      <c r="A251" t="s">
        <v>1695</v>
      </c>
      <c r="B251">
        <v>5</v>
      </c>
      <c r="C251" t="s">
        <v>2099</v>
      </c>
      <c r="D251" t="s">
        <v>226</v>
      </c>
      <c r="E251">
        <v>93238087</v>
      </c>
      <c r="F251">
        <v>93238276</v>
      </c>
      <c r="G251" s="15" t="s">
        <v>1656</v>
      </c>
      <c r="H251">
        <v>1590</v>
      </c>
      <c r="I251">
        <v>1808</v>
      </c>
      <c r="J251" s="15" t="s">
        <v>1656</v>
      </c>
      <c r="K251">
        <v>0</v>
      </c>
      <c r="L251" s="15" t="s">
        <v>1262</v>
      </c>
    </row>
    <row r="252" spans="1:12">
      <c r="A252" t="s">
        <v>1695</v>
      </c>
      <c r="B252">
        <v>5</v>
      </c>
      <c r="C252" t="s">
        <v>2110</v>
      </c>
      <c r="D252" t="s">
        <v>237</v>
      </c>
      <c r="E252">
        <v>50283935</v>
      </c>
      <c r="F252">
        <v>50284106</v>
      </c>
      <c r="G252" s="15" t="s">
        <v>1656</v>
      </c>
      <c r="H252">
        <v>1553</v>
      </c>
      <c r="I252">
        <v>1783</v>
      </c>
      <c r="J252" s="15" t="s">
        <v>1656</v>
      </c>
      <c r="K252">
        <v>267742</v>
      </c>
      <c r="L252" s="15" t="s">
        <v>1262</v>
      </c>
    </row>
    <row r="253" spans="1:12">
      <c r="A253" t="s">
        <v>1695</v>
      </c>
      <c r="B253">
        <v>5</v>
      </c>
      <c r="C253" t="s">
        <v>2133</v>
      </c>
      <c r="D253" t="s">
        <v>257</v>
      </c>
      <c r="E253">
        <v>119575104</v>
      </c>
      <c r="F253">
        <v>119575220</v>
      </c>
      <c r="G253" s="15" t="s">
        <v>35</v>
      </c>
      <c r="H253">
        <v>271</v>
      </c>
      <c r="I253">
        <v>465</v>
      </c>
      <c r="J253" s="15" t="s">
        <v>1656</v>
      </c>
      <c r="K253">
        <v>338617</v>
      </c>
      <c r="L253" s="15" t="s">
        <v>1262</v>
      </c>
    </row>
    <row r="254" spans="1:12">
      <c r="A254" t="s">
        <v>1695</v>
      </c>
      <c r="B254">
        <v>5</v>
      </c>
      <c r="C254" t="s">
        <v>1214</v>
      </c>
      <c r="D254" t="s">
        <v>292</v>
      </c>
      <c r="E254">
        <v>37920051</v>
      </c>
      <c r="F254">
        <v>37920249</v>
      </c>
      <c r="G254" s="15" t="s">
        <v>35</v>
      </c>
      <c r="H254">
        <v>1503</v>
      </c>
      <c r="I254">
        <v>1746</v>
      </c>
      <c r="J254" s="15" t="s">
        <v>1656</v>
      </c>
      <c r="K254">
        <v>0</v>
      </c>
      <c r="L254" s="15" t="s">
        <v>1262</v>
      </c>
    </row>
    <row r="255" spans="1:12">
      <c r="A255" t="s">
        <v>1654</v>
      </c>
      <c r="B255">
        <v>5</v>
      </c>
      <c r="C255" t="s">
        <v>2275</v>
      </c>
      <c r="D255" t="s">
        <v>257</v>
      </c>
      <c r="E255">
        <v>50813565</v>
      </c>
      <c r="F255">
        <v>50813754</v>
      </c>
      <c r="G255" s="15" t="s">
        <v>35</v>
      </c>
      <c r="H255">
        <v>1537</v>
      </c>
      <c r="I255">
        <v>1732</v>
      </c>
      <c r="J255" s="15" t="s">
        <v>1656</v>
      </c>
      <c r="K255">
        <v>0</v>
      </c>
      <c r="L255" s="15" t="s">
        <v>1262</v>
      </c>
    </row>
    <row r="256" spans="1:12">
      <c r="A256" t="s">
        <v>1666</v>
      </c>
      <c r="B256">
        <v>5</v>
      </c>
      <c r="C256" t="s">
        <v>2287</v>
      </c>
      <c r="D256" t="s">
        <v>22</v>
      </c>
      <c r="E256">
        <v>207868450</v>
      </c>
      <c r="F256">
        <v>207868525</v>
      </c>
      <c r="G256" s="15" t="s">
        <v>1656</v>
      </c>
      <c r="H256">
        <v>1606</v>
      </c>
      <c r="I256">
        <v>1830</v>
      </c>
      <c r="J256" s="15" t="s">
        <v>1656</v>
      </c>
      <c r="K256">
        <v>0</v>
      </c>
      <c r="L256" s="15" t="s">
        <v>1262</v>
      </c>
    </row>
    <row r="257" spans="1:12">
      <c r="A257" t="s">
        <v>1666</v>
      </c>
      <c r="B257">
        <v>5</v>
      </c>
      <c r="C257" t="s">
        <v>2288</v>
      </c>
      <c r="D257" t="s">
        <v>172</v>
      </c>
      <c r="E257">
        <v>211898936</v>
      </c>
      <c r="F257">
        <v>211899033</v>
      </c>
      <c r="G257" s="15" t="s">
        <v>35</v>
      </c>
      <c r="H257">
        <v>1585</v>
      </c>
      <c r="I257">
        <v>1834</v>
      </c>
      <c r="J257" s="15" t="s">
        <v>1656</v>
      </c>
      <c r="K257">
        <v>341505</v>
      </c>
      <c r="L257" s="15" t="s">
        <v>1262</v>
      </c>
    </row>
    <row r="258" spans="1:12">
      <c r="A258" t="s">
        <v>1666</v>
      </c>
      <c r="B258">
        <v>5</v>
      </c>
      <c r="C258" t="s">
        <v>2352</v>
      </c>
      <c r="D258" t="s">
        <v>129</v>
      </c>
      <c r="E258">
        <v>2865456</v>
      </c>
      <c r="F258">
        <v>2865685</v>
      </c>
      <c r="G258" s="15" t="s">
        <v>35</v>
      </c>
      <c r="H258">
        <v>1642</v>
      </c>
      <c r="I258">
        <v>1804</v>
      </c>
      <c r="J258" s="15" t="s">
        <v>1656</v>
      </c>
      <c r="K258">
        <v>1707</v>
      </c>
      <c r="L258" s="15" t="s">
        <v>1262</v>
      </c>
    </row>
    <row r="259" spans="1:12">
      <c r="A259" t="s">
        <v>1666</v>
      </c>
      <c r="B259">
        <v>5</v>
      </c>
      <c r="C259" t="s">
        <v>2321</v>
      </c>
      <c r="D259" t="s">
        <v>172</v>
      </c>
      <c r="E259">
        <v>46121593</v>
      </c>
      <c r="F259">
        <v>46121736</v>
      </c>
      <c r="G259" s="15" t="s">
        <v>1656</v>
      </c>
      <c r="H259">
        <v>1638</v>
      </c>
      <c r="I259">
        <v>1834</v>
      </c>
      <c r="J259" s="15" t="s">
        <v>1656</v>
      </c>
      <c r="K259">
        <v>0</v>
      </c>
      <c r="L259" s="15" t="s">
        <v>1262</v>
      </c>
    </row>
    <row r="260" spans="1:12">
      <c r="A260" t="s">
        <v>1753</v>
      </c>
      <c r="B260">
        <v>5</v>
      </c>
      <c r="C260" t="s">
        <v>1664</v>
      </c>
      <c r="D260" t="s">
        <v>220</v>
      </c>
      <c r="E260">
        <v>60983012</v>
      </c>
      <c r="F260">
        <v>60983243</v>
      </c>
      <c r="G260" s="15" t="s">
        <v>1656</v>
      </c>
      <c r="H260">
        <v>1535</v>
      </c>
      <c r="I260">
        <v>1640</v>
      </c>
      <c r="J260" s="15" t="s">
        <v>35</v>
      </c>
      <c r="K260">
        <v>1379595</v>
      </c>
      <c r="L260" s="15" t="s">
        <v>41</v>
      </c>
    </row>
    <row r="261" spans="1:12">
      <c r="A261" t="s">
        <v>1718</v>
      </c>
      <c r="B261">
        <v>4</v>
      </c>
      <c r="C261" t="s">
        <v>2327</v>
      </c>
      <c r="D261" t="s">
        <v>118</v>
      </c>
      <c r="E261">
        <v>21158616</v>
      </c>
      <c r="F261">
        <v>21162308</v>
      </c>
      <c r="G261" s="15" t="s">
        <v>35</v>
      </c>
      <c r="H261">
        <v>1375</v>
      </c>
      <c r="I261">
        <v>1814</v>
      </c>
      <c r="J261" s="15" t="s">
        <v>1656</v>
      </c>
      <c r="K261">
        <v>0</v>
      </c>
      <c r="L261" s="15" t="s">
        <v>1262</v>
      </c>
    </row>
    <row r="262" spans="1:12">
      <c r="A262" t="s">
        <v>1718</v>
      </c>
      <c r="B262">
        <v>4</v>
      </c>
      <c r="C262" t="s">
        <v>1816</v>
      </c>
      <c r="D262" t="s">
        <v>172</v>
      </c>
      <c r="E262">
        <v>82075878</v>
      </c>
      <c r="F262">
        <v>82077347</v>
      </c>
      <c r="G262" s="15" t="s">
        <v>35</v>
      </c>
      <c r="H262">
        <v>242</v>
      </c>
      <c r="I262">
        <v>367</v>
      </c>
      <c r="J262" s="15" t="s">
        <v>1656</v>
      </c>
      <c r="K262">
        <v>1008048</v>
      </c>
      <c r="L262" s="15" t="s">
        <v>1262</v>
      </c>
    </row>
    <row r="263" spans="1:12">
      <c r="A263" t="s">
        <v>1718</v>
      </c>
      <c r="B263">
        <v>4</v>
      </c>
      <c r="C263" t="s">
        <v>1840</v>
      </c>
      <c r="D263" t="s">
        <v>220</v>
      </c>
      <c r="E263">
        <v>60007420</v>
      </c>
      <c r="F263">
        <v>60007577</v>
      </c>
      <c r="G263" s="15" t="s">
        <v>1656</v>
      </c>
      <c r="H263">
        <v>1560</v>
      </c>
      <c r="I263">
        <v>1733</v>
      </c>
      <c r="J263" s="15" t="s">
        <v>1656</v>
      </c>
      <c r="K263">
        <v>1936112</v>
      </c>
      <c r="L263" s="15" t="s">
        <v>1262</v>
      </c>
    </row>
    <row r="264" spans="1:12">
      <c r="A264" t="s">
        <v>1718</v>
      </c>
      <c r="B264">
        <v>4</v>
      </c>
      <c r="C264" t="s">
        <v>221</v>
      </c>
      <c r="D264" t="s">
        <v>220</v>
      </c>
      <c r="E264">
        <v>74280772</v>
      </c>
      <c r="F264">
        <v>74286905</v>
      </c>
      <c r="G264" s="15" t="s">
        <v>1656</v>
      </c>
      <c r="H264">
        <v>288</v>
      </c>
      <c r="I264">
        <v>1162</v>
      </c>
      <c r="J264" s="15" t="s">
        <v>35</v>
      </c>
      <c r="K264">
        <v>0</v>
      </c>
      <c r="L264" s="15" t="s">
        <v>1262</v>
      </c>
    </row>
    <row r="265" spans="1:12">
      <c r="A265" t="s">
        <v>1718</v>
      </c>
      <c r="B265">
        <v>4</v>
      </c>
      <c r="C265" t="s">
        <v>221</v>
      </c>
      <c r="D265" t="s">
        <v>220</v>
      </c>
      <c r="E265">
        <v>74283283</v>
      </c>
      <c r="F265">
        <v>74286896</v>
      </c>
      <c r="G265" s="15" t="s">
        <v>35</v>
      </c>
      <c r="H265">
        <v>269</v>
      </c>
      <c r="I265">
        <v>829</v>
      </c>
      <c r="J265" s="15" t="s">
        <v>35</v>
      </c>
      <c r="K265">
        <v>0</v>
      </c>
      <c r="L265" s="15" t="s">
        <v>1262</v>
      </c>
    </row>
    <row r="266" spans="1:12">
      <c r="A266" t="s">
        <v>1718</v>
      </c>
      <c r="B266">
        <v>4</v>
      </c>
      <c r="C266" t="s">
        <v>1697</v>
      </c>
      <c r="D266" t="s">
        <v>1787</v>
      </c>
      <c r="E266">
        <v>6214</v>
      </c>
      <c r="F266">
        <v>14181</v>
      </c>
      <c r="G266" s="15" t="s">
        <v>1656</v>
      </c>
      <c r="H266">
        <v>1575</v>
      </c>
      <c r="I266">
        <v>1790</v>
      </c>
      <c r="J266" s="15" t="s">
        <v>1656</v>
      </c>
      <c r="K266" t="s">
        <v>1697</v>
      </c>
      <c r="L266" s="15" t="s">
        <v>1262</v>
      </c>
    </row>
    <row r="267" spans="1:12">
      <c r="A267" t="s">
        <v>1718</v>
      </c>
      <c r="B267">
        <v>4</v>
      </c>
      <c r="C267" t="s">
        <v>1697</v>
      </c>
      <c r="D267" t="s">
        <v>1787</v>
      </c>
      <c r="E267">
        <v>7869</v>
      </c>
      <c r="F267">
        <v>10305</v>
      </c>
      <c r="G267" s="15" t="s">
        <v>35</v>
      </c>
      <c r="H267">
        <v>1071</v>
      </c>
      <c r="I267">
        <v>1632</v>
      </c>
      <c r="J267" s="15" t="s">
        <v>1656</v>
      </c>
      <c r="K267" t="s">
        <v>1697</v>
      </c>
      <c r="L267" s="15" t="s">
        <v>1262</v>
      </c>
    </row>
    <row r="268" spans="1:12">
      <c r="A268" t="s">
        <v>1718</v>
      </c>
      <c r="B268">
        <v>4</v>
      </c>
      <c r="C268" t="s">
        <v>1721</v>
      </c>
      <c r="D268" t="s">
        <v>83</v>
      </c>
      <c r="E268">
        <v>70030559</v>
      </c>
      <c r="F268">
        <v>70030780</v>
      </c>
      <c r="G268" s="15" t="s">
        <v>1656</v>
      </c>
      <c r="H268">
        <v>1560</v>
      </c>
      <c r="I268">
        <v>1817</v>
      </c>
      <c r="J268" s="15" t="s">
        <v>1656</v>
      </c>
      <c r="K268">
        <v>0</v>
      </c>
      <c r="L268" s="15" t="s">
        <v>1262</v>
      </c>
    </row>
    <row r="269" spans="1:12">
      <c r="A269" t="s">
        <v>1718</v>
      </c>
      <c r="B269">
        <v>4</v>
      </c>
      <c r="C269" t="s">
        <v>1455</v>
      </c>
      <c r="D269" t="s">
        <v>339</v>
      </c>
      <c r="E269">
        <v>79285784</v>
      </c>
      <c r="F269">
        <v>79285931</v>
      </c>
      <c r="G269" s="15" t="s">
        <v>1656</v>
      </c>
      <c r="H269">
        <v>1659</v>
      </c>
      <c r="I269">
        <v>1765</v>
      </c>
      <c r="J269" s="15" t="s">
        <v>1656</v>
      </c>
      <c r="K269">
        <v>52617</v>
      </c>
      <c r="L269" s="15" t="s">
        <v>1262</v>
      </c>
    </row>
    <row r="270" spans="1:12">
      <c r="A270" t="s">
        <v>1695</v>
      </c>
      <c r="B270">
        <v>4</v>
      </c>
      <c r="C270" t="s">
        <v>2008</v>
      </c>
      <c r="D270" t="s">
        <v>104</v>
      </c>
      <c r="E270">
        <v>115131973</v>
      </c>
      <c r="F270">
        <v>115132066</v>
      </c>
      <c r="G270" s="15" t="s">
        <v>35</v>
      </c>
      <c r="H270">
        <v>1360</v>
      </c>
      <c r="I270">
        <v>1805</v>
      </c>
      <c r="J270" s="15" t="s">
        <v>1656</v>
      </c>
      <c r="K270">
        <v>10004</v>
      </c>
      <c r="L270" s="15" t="s">
        <v>1262</v>
      </c>
    </row>
    <row r="271" spans="1:12">
      <c r="A271" t="s">
        <v>1695</v>
      </c>
      <c r="B271">
        <v>4</v>
      </c>
      <c r="C271" t="s">
        <v>2019</v>
      </c>
      <c r="D271" t="s">
        <v>22</v>
      </c>
      <c r="E271">
        <v>185153706</v>
      </c>
      <c r="F271">
        <v>185153925</v>
      </c>
      <c r="G271" s="15" t="s">
        <v>1656</v>
      </c>
      <c r="H271">
        <v>1526</v>
      </c>
      <c r="I271">
        <v>1737</v>
      </c>
      <c r="J271" s="15" t="s">
        <v>1656</v>
      </c>
      <c r="K271">
        <v>0</v>
      </c>
      <c r="L271" s="15" t="s">
        <v>1262</v>
      </c>
    </row>
    <row r="272" spans="1:12">
      <c r="A272" t="s">
        <v>1695</v>
      </c>
      <c r="B272">
        <v>4</v>
      </c>
      <c r="C272" t="s">
        <v>2030</v>
      </c>
      <c r="D272" t="s">
        <v>133</v>
      </c>
      <c r="E272">
        <v>21812149</v>
      </c>
      <c r="F272">
        <v>21812263</v>
      </c>
      <c r="G272" s="15" t="s">
        <v>35</v>
      </c>
      <c r="H272">
        <v>1673</v>
      </c>
      <c r="I272">
        <v>1792</v>
      </c>
      <c r="J272" s="15" t="s">
        <v>1656</v>
      </c>
      <c r="K272">
        <v>13220</v>
      </c>
      <c r="L272" s="15" t="s">
        <v>1262</v>
      </c>
    </row>
    <row r="273" spans="1:12">
      <c r="A273" t="s">
        <v>1695</v>
      </c>
      <c r="B273">
        <v>4</v>
      </c>
      <c r="C273" t="s">
        <v>2343</v>
      </c>
      <c r="D273" t="s">
        <v>135</v>
      </c>
      <c r="E273">
        <v>60088813</v>
      </c>
      <c r="F273">
        <v>60089016</v>
      </c>
      <c r="G273" s="15" t="s">
        <v>35</v>
      </c>
      <c r="H273">
        <v>1566</v>
      </c>
      <c r="I273">
        <v>1748</v>
      </c>
      <c r="J273" s="15" t="s">
        <v>1656</v>
      </c>
      <c r="K273">
        <v>33870</v>
      </c>
      <c r="L273" s="15" t="s">
        <v>1262</v>
      </c>
    </row>
    <row r="274" spans="1:12">
      <c r="A274" t="s">
        <v>1695</v>
      </c>
      <c r="B274">
        <v>4</v>
      </c>
      <c r="C274" t="s">
        <v>2062</v>
      </c>
      <c r="D274" t="s">
        <v>197</v>
      </c>
      <c r="E274">
        <v>46305757</v>
      </c>
      <c r="F274">
        <v>46305976</v>
      </c>
      <c r="G274" s="15" t="s">
        <v>35</v>
      </c>
      <c r="H274">
        <v>1713</v>
      </c>
      <c r="I274">
        <v>1798</v>
      </c>
      <c r="J274" s="15" t="s">
        <v>1656</v>
      </c>
      <c r="K274">
        <v>10490</v>
      </c>
      <c r="L274" s="15" t="s">
        <v>1262</v>
      </c>
    </row>
    <row r="275" spans="1:12">
      <c r="A275" t="s">
        <v>1695</v>
      </c>
      <c r="B275">
        <v>4</v>
      </c>
      <c r="C275" t="s">
        <v>2070</v>
      </c>
      <c r="D275" t="s">
        <v>201</v>
      </c>
      <c r="E275">
        <v>122283009</v>
      </c>
      <c r="F275">
        <v>122283148</v>
      </c>
      <c r="G275" s="15" t="s">
        <v>1656</v>
      </c>
      <c r="H275">
        <v>1563</v>
      </c>
      <c r="I275">
        <v>1691</v>
      </c>
      <c r="J275" s="15" t="s">
        <v>1656</v>
      </c>
      <c r="K275">
        <v>0</v>
      </c>
      <c r="L275" s="15" t="s">
        <v>1262</v>
      </c>
    </row>
    <row r="276" spans="1:12">
      <c r="A276" t="s">
        <v>1695</v>
      </c>
      <c r="B276">
        <v>4</v>
      </c>
      <c r="C276" t="s">
        <v>221</v>
      </c>
      <c r="D276" t="s">
        <v>220</v>
      </c>
      <c r="E276">
        <v>74270030</v>
      </c>
      <c r="F276">
        <v>74285280</v>
      </c>
      <c r="G276" s="15" t="s">
        <v>1656</v>
      </c>
      <c r="H276">
        <v>137</v>
      </c>
      <c r="I276">
        <v>625</v>
      </c>
      <c r="J276" s="15" t="s">
        <v>1656</v>
      </c>
      <c r="K276">
        <v>0</v>
      </c>
      <c r="L276" s="15" t="s">
        <v>1262</v>
      </c>
    </row>
    <row r="277" spans="1:12">
      <c r="A277" t="s">
        <v>1695</v>
      </c>
      <c r="B277">
        <v>4</v>
      </c>
      <c r="C277" t="s">
        <v>2090</v>
      </c>
      <c r="D277" t="s">
        <v>220</v>
      </c>
      <c r="E277">
        <v>83455734</v>
      </c>
      <c r="F277">
        <v>83455991</v>
      </c>
      <c r="G277" s="15" t="s">
        <v>35</v>
      </c>
      <c r="H277">
        <v>1613</v>
      </c>
      <c r="I277">
        <v>1823</v>
      </c>
      <c r="J277" s="15" t="s">
        <v>1656</v>
      </c>
      <c r="K277">
        <v>0</v>
      </c>
      <c r="L277" s="15" t="s">
        <v>1262</v>
      </c>
    </row>
    <row r="278" spans="1:12">
      <c r="A278" t="s">
        <v>1695</v>
      </c>
      <c r="B278">
        <v>4</v>
      </c>
      <c r="C278" t="s">
        <v>1846</v>
      </c>
      <c r="D278" t="s">
        <v>220</v>
      </c>
      <c r="E278">
        <v>100239667</v>
      </c>
      <c r="F278">
        <v>100240035</v>
      </c>
      <c r="G278" s="15" t="s">
        <v>35</v>
      </c>
      <c r="H278">
        <v>280</v>
      </c>
      <c r="I278">
        <v>489</v>
      </c>
      <c r="J278" s="15" t="s">
        <v>35</v>
      </c>
      <c r="K278">
        <v>0</v>
      </c>
      <c r="L278" s="15" t="s">
        <v>1262</v>
      </c>
    </row>
    <row r="279" spans="1:12">
      <c r="A279" t="s">
        <v>1695</v>
      </c>
      <c r="B279">
        <v>4</v>
      </c>
      <c r="C279" t="s">
        <v>1704</v>
      </c>
      <c r="D279" t="s">
        <v>22</v>
      </c>
      <c r="E279">
        <v>160274459</v>
      </c>
      <c r="F279">
        <v>160274540</v>
      </c>
      <c r="G279" s="15" t="s">
        <v>35</v>
      </c>
      <c r="H279">
        <v>1563</v>
      </c>
      <c r="I279">
        <v>1808</v>
      </c>
      <c r="J279" s="15" t="s">
        <v>1656</v>
      </c>
      <c r="K279">
        <v>0</v>
      </c>
      <c r="L279" s="15" t="s">
        <v>1262</v>
      </c>
    </row>
    <row r="280" spans="1:12">
      <c r="A280" t="s">
        <v>1695</v>
      </c>
      <c r="B280">
        <v>4</v>
      </c>
      <c r="C280" t="s">
        <v>248</v>
      </c>
      <c r="D280" t="s">
        <v>237</v>
      </c>
      <c r="E280">
        <v>50503168</v>
      </c>
      <c r="F280">
        <v>50503284</v>
      </c>
      <c r="G280" s="15" t="s">
        <v>1656</v>
      </c>
      <c r="H280">
        <v>1507</v>
      </c>
      <c r="I280">
        <v>1782</v>
      </c>
      <c r="J280" s="15" t="s">
        <v>1656</v>
      </c>
      <c r="K280">
        <v>177972</v>
      </c>
      <c r="L280" s="15" t="s">
        <v>1262</v>
      </c>
    </row>
    <row r="281" spans="1:12">
      <c r="A281" t="s">
        <v>1695</v>
      </c>
      <c r="B281">
        <v>4</v>
      </c>
      <c r="C281" t="s">
        <v>2112</v>
      </c>
      <c r="D281" t="s">
        <v>237</v>
      </c>
      <c r="E281">
        <v>99930329</v>
      </c>
      <c r="F281">
        <v>99930573</v>
      </c>
      <c r="G281" s="15" t="s">
        <v>1656</v>
      </c>
      <c r="H281">
        <v>1582</v>
      </c>
      <c r="I281">
        <v>1798</v>
      </c>
      <c r="J281" s="15" t="s">
        <v>1656</v>
      </c>
      <c r="K281">
        <v>0</v>
      </c>
      <c r="L281" s="15" t="s">
        <v>1262</v>
      </c>
    </row>
    <row r="282" spans="1:12">
      <c r="A282" t="s">
        <v>1695</v>
      </c>
      <c r="B282">
        <v>4</v>
      </c>
      <c r="C282" t="s">
        <v>2114</v>
      </c>
      <c r="D282" t="s">
        <v>237</v>
      </c>
      <c r="E282">
        <v>140324600</v>
      </c>
      <c r="F282">
        <v>140324730</v>
      </c>
      <c r="G282" s="15" t="s">
        <v>1656</v>
      </c>
      <c r="H282">
        <v>1627</v>
      </c>
      <c r="I282">
        <v>1799</v>
      </c>
      <c r="J282" s="15" t="s">
        <v>1656</v>
      </c>
      <c r="K282">
        <v>143122</v>
      </c>
      <c r="L282" s="15" t="s">
        <v>1262</v>
      </c>
    </row>
    <row r="283" spans="1:12">
      <c r="A283" t="s">
        <v>1695</v>
      </c>
      <c r="B283">
        <v>4</v>
      </c>
      <c r="C283" t="s">
        <v>532</v>
      </c>
      <c r="D283" t="s">
        <v>279</v>
      </c>
      <c r="E283">
        <v>114563957</v>
      </c>
      <c r="F283">
        <v>114564121</v>
      </c>
      <c r="G283" s="15" t="s">
        <v>1656</v>
      </c>
      <c r="H283">
        <v>1526</v>
      </c>
      <c r="I283">
        <v>1746</v>
      </c>
      <c r="J283" s="15" t="s">
        <v>1656</v>
      </c>
      <c r="K283">
        <v>114879</v>
      </c>
      <c r="L283" s="15" t="s">
        <v>1262</v>
      </c>
    </row>
    <row r="284" spans="1:12">
      <c r="A284" t="s">
        <v>1695</v>
      </c>
      <c r="B284">
        <v>4</v>
      </c>
      <c r="C284" t="s">
        <v>2143</v>
      </c>
      <c r="D284" t="s">
        <v>279</v>
      </c>
      <c r="E284">
        <v>85261377</v>
      </c>
      <c r="F284">
        <v>85261645</v>
      </c>
      <c r="G284" s="15" t="s">
        <v>35</v>
      </c>
      <c r="H284">
        <v>1674</v>
      </c>
      <c r="I284">
        <v>1808</v>
      </c>
      <c r="J284" s="15" t="s">
        <v>1656</v>
      </c>
      <c r="K284">
        <v>0</v>
      </c>
      <c r="L284" s="15" t="s">
        <v>1262</v>
      </c>
    </row>
    <row r="285" spans="1:12">
      <c r="A285" t="s">
        <v>1695</v>
      </c>
      <c r="B285">
        <v>4</v>
      </c>
      <c r="C285" t="s">
        <v>1705</v>
      </c>
      <c r="D285" t="s">
        <v>279</v>
      </c>
      <c r="E285">
        <v>127443619</v>
      </c>
      <c r="F285">
        <v>127446185</v>
      </c>
      <c r="G285" s="15" t="s">
        <v>35</v>
      </c>
      <c r="H285">
        <v>248</v>
      </c>
      <c r="I285">
        <v>374</v>
      </c>
      <c r="J285" s="15" t="s">
        <v>1656</v>
      </c>
      <c r="K285">
        <v>121063</v>
      </c>
      <c r="L285" s="15" t="s">
        <v>1262</v>
      </c>
    </row>
    <row r="286" spans="1:12">
      <c r="A286" t="s">
        <v>1695</v>
      </c>
      <c r="B286">
        <v>4</v>
      </c>
      <c r="C286" t="s">
        <v>1697</v>
      </c>
      <c r="D286" t="s">
        <v>1787</v>
      </c>
      <c r="E286">
        <v>3652</v>
      </c>
      <c r="F286">
        <v>14402</v>
      </c>
      <c r="G286" s="15" t="s">
        <v>35</v>
      </c>
      <c r="H286">
        <v>224</v>
      </c>
      <c r="I286">
        <v>458</v>
      </c>
      <c r="J286" s="15" t="s">
        <v>1656</v>
      </c>
      <c r="K286" t="s">
        <v>1697</v>
      </c>
      <c r="L286" s="15" t="s">
        <v>1262</v>
      </c>
    </row>
    <row r="287" spans="1:12">
      <c r="A287" t="s">
        <v>1654</v>
      </c>
      <c r="B287">
        <v>4</v>
      </c>
      <c r="C287" t="s">
        <v>1997</v>
      </c>
      <c r="D287" t="s">
        <v>104</v>
      </c>
      <c r="E287">
        <v>20753983</v>
      </c>
      <c r="F287">
        <v>20754165</v>
      </c>
      <c r="G287" s="15" t="s">
        <v>1656</v>
      </c>
      <c r="H287">
        <v>1652</v>
      </c>
      <c r="I287">
        <v>1801</v>
      </c>
      <c r="J287" s="15" t="s">
        <v>1656</v>
      </c>
      <c r="K287">
        <v>0</v>
      </c>
      <c r="L287" s="15" t="s">
        <v>1262</v>
      </c>
    </row>
    <row r="288" spans="1:12">
      <c r="A288" t="s">
        <v>1666</v>
      </c>
      <c r="B288">
        <v>4</v>
      </c>
      <c r="C288" t="s">
        <v>221</v>
      </c>
      <c r="D288" t="s">
        <v>220</v>
      </c>
      <c r="E288">
        <v>74276027</v>
      </c>
      <c r="F288">
        <v>74286850</v>
      </c>
      <c r="G288" s="15" t="s">
        <v>1656</v>
      </c>
      <c r="H288">
        <v>1790</v>
      </c>
      <c r="I288">
        <v>2092</v>
      </c>
      <c r="J288" s="15" t="s">
        <v>35</v>
      </c>
      <c r="K288">
        <v>0</v>
      </c>
      <c r="L288" s="15" t="s">
        <v>1262</v>
      </c>
    </row>
    <row r="289" spans="1:12">
      <c r="A289" t="s">
        <v>1666</v>
      </c>
      <c r="B289">
        <v>4</v>
      </c>
      <c r="C289" t="s">
        <v>2294</v>
      </c>
      <c r="D289" t="s">
        <v>226</v>
      </c>
      <c r="E289">
        <v>33804108</v>
      </c>
      <c r="F289">
        <v>33804165</v>
      </c>
      <c r="G289" s="15" t="s">
        <v>35</v>
      </c>
      <c r="H289">
        <v>1528</v>
      </c>
      <c r="I289">
        <v>1744</v>
      </c>
      <c r="J289" s="15" t="s">
        <v>1656</v>
      </c>
      <c r="K289">
        <v>0</v>
      </c>
      <c r="L289" s="15" t="s">
        <v>1262</v>
      </c>
    </row>
    <row r="290" spans="1:12">
      <c r="A290" t="s">
        <v>1666</v>
      </c>
      <c r="B290">
        <v>4</v>
      </c>
      <c r="C290" t="s">
        <v>2199</v>
      </c>
      <c r="D290" t="s">
        <v>279</v>
      </c>
      <c r="E290">
        <v>97591221</v>
      </c>
      <c r="F290">
        <v>97591481</v>
      </c>
      <c r="G290" s="15" t="s">
        <v>1656</v>
      </c>
      <c r="H290">
        <v>1590</v>
      </c>
      <c r="I290">
        <v>1811</v>
      </c>
      <c r="J290" s="15" t="s">
        <v>1656</v>
      </c>
      <c r="K290">
        <v>0</v>
      </c>
      <c r="L290" s="15" t="s">
        <v>1262</v>
      </c>
    </row>
    <row r="291" spans="1:12">
      <c r="A291" t="s">
        <v>1734</v>
      </c>
      <c r="B291">
        <v>4</v>
      </c>
      <c r="C291" t="s">
        <v>173</v>
      </c>
      <c r="D291" t="s">
        <v>172</v>
      </c>
      <c r="E291">
        <v>21224545</v>
      </c>
      <c r="F291">
        <v>21224620</v>
      </c>
      <c r="G291" s="15" t="s">
        <v>1656</v>
      </c>
      <c r="H291">
        <v>1690</v>
      </c>
      <c r="I291">
        <v>1765</v>
      </c>
      <c r="J291" s="15" t="s">
        <v>1656</v>
      </c>
      <c r="K291">
        <v>0</v>
      </c>
      <c r="L291" s="15" t="s">
        <v>41</v>
      </c>
    </row>
    <row r="292" spans="1:12">
      <c r="A292" t="s">
        <v>1685</v>
      </c>
      <c r="B292">
        <v>4</v>
      </c>
      <c r="C292" t="s">
        <v>1801</v>
      </c>
      <c r="D292" t="s">
        <v>139</v>
      </c>
      <c r="E292">
        <v>6697453</v>
      </c>
      <c r="F292">
        <v>6720662</v>
      </c>
      <c r="G292" s="15" t="s">
        <v>1656</v>
      </c>
      <c r="H292">
        <v>257</v>
      </c>
      <c r="I292">
        <v>470</v>
      </c>
      <c r="J292" s="15" t="s">
        <v>35</v>
      </c>
      <c r="K292">
        <v>0</v>
      </c>
      <c r="L292" s="15" t="s">
        <v>41</v>
      </c>
    </row>
    <row r="293" spans="1:12">
      <c r="A293" t="s">
        <v>1685</v>
      </c>
      <c r="B293">
        <v>4</v>
      </c>
      <c r="C293" t="s">
        <v>221</v>
      </c>
      <c r="D293" t="s">
        <v>220</v>
      </c>
      <c r="E293">
        <v>74270030</v>
      </c>
      <c r="F293">
        <v>74280867</v>
      </c>
      <c r="G293" s="15" t="s">
        <v>1656</v>
      </c>
      <c r="H293">
        <v>11</v>
      </c>
      <c r="I293">
        <v>1045</v>
      </c>
      <c r="J293" s="15" t="s">
        <v>1656</v>
      </c>
      <c r="K293">
        <v>0</v>
      </c>
      <c r="L293" s="15" t="s">
        <v>41</v>
      </c>
    </row>
    <row r="294" spans="1:12">
      <c r="A294" t="s">
        <v>1685</v>
      </c>
      <c r="B294">
        <v>4</v>
      </c>
      <c r="C294" t="s">
        <v>1692</v>
      </c>
      <c r="D294" t="s">
        <v>226</v>
      </c>
      <c r="E294">
        <v>1295143</v>
      </c>
      <c r="F294">
        <v>1295366</v>
      </c>
      <c r="G294" s="15" t="s">
        <v>1656</v>
      </c>
      <c r="H294">
        <v>2868</v>
      </c>
      <c r="I294">
        <v>3028</v>
      </c>
      <c r="J294" s="15" t="s">
        <v>35</v>
      </c>
      <c r="K294">
        <v>204</v>
      </c>
      <c r="L294" s="15" t="s">
        <v>41</v>
      </c>
    </row>
    <row r="295" spans="1:12">
      <c r="A295" t="s">
        <v>1685</v>
      </c>
      <c r="B295">
        <v>4</v>
      </c>
      <c r="C295" t="s">
        <v>1697</v>
      </c>
      <c r="D295" t="s">
        <v>1787</v>
      </c>
      <c r="E295">
        <v>3345</v>
      </c>
      <c r="F295">
        <v>14986</v>
      </c>
      <c r="G295" s="15" t="s">
        <v>35</v>
      </c>
      <c r="H295">
        <v>285</v>
      </c>
      <c r="I295">
        <v>490</v>
      </c>
      <c r="J295" s="15" t="s">
        <v>35</v>
      </c>
      <c r="K295" t="s">
        <v>1697</v>
      </c>
      <c r="L295" s="15" t="s">
        <v>41</v>
      </c>
    </row>
    <row r="296" spans="1:12">
      <c r="A296" t="s">
        <v>1706</v>
      </c>
      <c r="B296">
        <v>4</v>
      </c>
      <c r="C296" t="s">
        <v>1707</v>
      </c>
      <c r="D296" t="s">
        <v>22</v>
      </c>
      <c r="E296">
        <v>173141780</v>
      </c>
      <c r="F296">
        <v>173141901</v>
      </c>
      <c r="G296" s="15" t="s">
        <v>1656</v>
      </c>
      <c r="H296">
        <v>1828</v>
      </c>
      <c r="I296">
        <v>2020</v>
      </c>
      <c r="J296" s="15" t="s">
        <v>35</v>
      </c>
      <c r="K296">
        <v>10968</v>
      </c>
      <c r="L296" s="15" t="s">
        <v>41</v>
      </c>
    </row>
    <row r="297" spans="1:12">
      <c r="A297" t="s">
        <v>1718</v>
      </c>
      <c r="B297">
        <v>3</v>
      </c>
      <c r="C297" t="s">
        <v>1800</v>
      </c>
      <c r="D297" t="s">
        <v>135</v>
      </c>
      <c r="E297">
        <v>29175083</v>
      </c>
      <c r="F297">
        <v>29178753</v>
      </c>
      <c r="G297" s="15" t="s">
        <v>35</v>
      </c>
      <c r="H297">
        <v>1195</v>
      </c>
      <c r="I297">
        <v>1841</v>
      </c>
      <c r="J297" s="15" t="s">
        <v>35</v>
      </c>
      <c r="K297">
        <v>0</v>
      </c>
      <c r="L297" s="15" t="s">
        <v>1262</v>
      </c>
    </row>
    <row r="298" spans="1:12">
      <c r="A298" t="s">
        <v>1718</v>
      </c>
      <c r="B298">
        <v>3</v>
      </c>
      <c r="C298" t="s">
        <v>1803</v>
      </c>
      <c r="D298" t="s">
        <v>139</v>
      </c>
      <c r="E298">
        <v>45419464</v>
      </c>
      <c r="F298">
        <v>45419599</v>
      </c>
      <c r="G298" s="15" t="s">
        <v>1656</v>
      </c>
      <c r="H298">
        <v>1643</v>
      </c>
      <c r="I298">
        <v>1765</v>
      </c>
      <c r="J298" s="15" t="s">
        <v>1656</v>
      </c>
      <c r="K298">
        <v>0</v>
      </c>
      <c r="L298" s="15" t="s">
        <v>1262</v>
      </c>
    </row>
    <row r="299" spans="1:12">
      <c r="A299" t="s">
        <v>1718</v>
      </c>
      <c r="B299">
        <v>3</v>
      </c>
      <c r="C299" t="s">
        <v>1802</v>
      </c>
      <c r="D299" t="s">
        <v>22</v>
      </c>
      <c r="E299">
        <v>223969311</v>
      </c>
      <c r="F299">
        <v>223969475</v>
      </c>
      <c r="G299" s="15" t="s">
        <v>1656</v>
      </c>
      <c r="H299">
        <v>1568</v>
      </c>
      <c r="I299">
        <v>1748</v>
      </c>
      <c r="J299" s="15" t="s">
        <v>1656</v>
      </c>
      <c r="K299">
        <v>0</v>
      </c>
      <c r="L299" s="15" t="s">
        <v>1262</v>
      </c>
    </row>
    <row r="300" spans="1:12">
      <c r="A300" t="s">
        <v>1718</v>
      </c>
      <c r="B300">
        <v>3</v>
      </c>
      <c r="C300" t="s">
        <v>1821</v>
      </c>
      <c r="D300" t="s">
        <v>193</v>
      </c>
      <c r="E300">
        <v>37380744</v>
      </c>
      <c r="F300">
        <v>37381021</v>
      </c>
      <c r="G300" s="15" t="s">
        <v>35</v>
      </c>
      <c r="H300">
        <v>1694</v>
      </c>
      <c r="I300">
        <v>1842</v>
      </c>
      <c r="J300" s="15" t="s">
        <v>1656</v>
      </c>
      <c r="K300">
        <v>26094</v>
      </c>
      <c r="L300" s="15" t="s">
        <v>1262</v>
      </c>
    </row>
    <row r="301" spans="1:12">
      <c r="A301" t="s">
        <v>1718</v>
      </c>
      <c r="B301">
        <v>3</v>
      </c>
      <c r="C301" t="s">
        <v>1822</v>
      </c>
      <c r="D301" t="s">
        <v>193</v>
      </c>
      <c r="E301">
        <v>47570342</v>
      </c>
      <c r="F301">
        <v>47570577</v>
      </c>
      <c r="G301" s="15" t="s">
        <v>35</v>
      </c>
      <c r="H301">
        <v>1739</v>
      </c>
      <c r="I301">
        <v>1826</v>
      </c>
      <c r="J301" s="15" t="s">
        <v>1656</v>
      </c>
      <c r="K301">
        <v>0</v>
      </c>
      <c r="L301" s="15" t="s">
        <v>1262</v>
      </c>
    </row>
    <row r="302" spans="1:12">
      <c r="A302" t="s">
        <v>1718</v>
      </c>
      <c r="B302">
        <v>3</v>
      </c>
      <c r="C302" t="s">
        <v>1697</v>
      </c>
      <c r="D302" t="s">
        <v>201</v>
      </c>
      <c r="E302">
        <v>177608321</v>
      </c>
      <c r="F302">
        <v>177608511</v>
      </c>
      <c r="G302" s="15" t="s">
        <v>1656</v>
      </c>
      <c r="H302">
        <v>2046</v>
      </c>
      <c r="I302">
        <v>2142</v>
      </c>
      <c r="J302" s="15" t="s">
        <v>35</v>
      </c>
      <c r="K302">
        <v>138019</v>
      </c>
      <c r="L302" s="15" t="s">
        <v>1262</v>
      </c>
    </row>
    <row r="303" spans="1:12">
      <c r="A303" t="s">
        <v>1718</v>
      </c>
      <c r="B303">
        <v>3</v>
      </c>
      <c r="C303" t="s">
        <v>1864</v>
      </c>
      <c r="D303" t="s">
        <v>257</v>
      </c>
      <c r="E303">
        <v>3015988</v>
      </c>
      <c r="F303">
        <v>3016063</v>
      </c>
      <c r="G303" s="15" t="s">
        <v>1656</v>
      </c>
      <c r="H303">
        <v>1715</v>
      </c>
      <c r="I303">
        <v>1792</v>
      </c>
      <c r="J303" s="15" t="s">
        <v>1656</v>
      </c>
      <c r="K303">
        <v>0</v>
      </c>
      <c r="L303" s="15" t="s">
        <v>1262</v>
      </c>
    </row>
    <row r="304" spans="1:12">
      <c r="A304" t="s">
        <v>1718</v>
      </c>
      <c r="B304">
        <v>3</v>
      </c>
      <c r="C304" t="s">
        <v>1697</v>
      </c>
      <c r="D304" t="s">
        <v>1787</v>
      </c>
      <c r="E304">
        <v>11796</v>
      </c>
      <c r="F304">
        <v>15510</v>
      </c>
      <c r="G304" s="15" t="s">
        <v>35</v>
      </c>
      <c r="H304">
        <v>1714</v>
      </c>
      <c r="I304">
        <v>1859</v>
      </c>
      <c r="J304" s="15" t="s">
        <v>35</v>
      </c>
      <c r="K304" t="s">
        <v>1697</v>
      </c>
      <c r="L304" s="15" t="s">
        <v>1262</v>
      </c>
    </row>
    <row r="305" spans="1:12">
      <c r="A305" t="s">
        <v>1718</v>
      </c>
      <c r="B305">
        <v>3</v>
      </c>
      <c r="C305" t="s">
        <v>1901</v>
      </c>
      <c r="D305" t="s">
        <v>339</v>
      </c>
      <c r="E305">
        <v>47297556</v>
      </c>
      <c r="F305">
        <v>47297755</v>
      </c>
      <c r="G305" s="15" t="s">
        <v>1656</v>
      </c>
      <c r="H305">
        <v>1671</v>
      </c>
      <c r="I305">
        <v>1765</v>
      </c>
      <c r="J305" s="15" t="s">
        <v>1656</v>
      </c>
      <c r="K305">
        <v>0</v>
      </c>
      <c r="L305" s="15" t="s">
        <v>1262</v>
      </c>
    </row>
    <row r="306" spans="1:12">
      <c r="A306" t="s">
        <v>1718</v>
      </c>
      <c r="B306">
        <v>3</v>
      </c>
      <c r="C306" t="s">
        <v>1455</v>
      </c>
      <c r="D306" t="s">
        <v>339</v>
      </c>
      <c r="E306">
        <v>79285822</v>
      </c>
      <c r="F306">
        <v>79285967</v>
      </c>
      <c r="G306" s="15" t="s">
        <v>35</v>
      </c>
      <c r="H306">
        <v>1640</v>
      </c>
      <c r="I306">
        <v>1752</v>
      </c>
      <c r="J306" s="15" t="s">
        <v>35</v>
      </c>
      <c r="K306">
        <v>52508</v>
      </c>
      <c r="L306" s="15" t="s">
        <v>1262</v>
      </c>
    </row>
    <row r="307" spans="1:12">
      <c r="A307" t="s">
        <v>1695</v>
      </c>
      <c r="B307">
        <v>3</v>
      </c>
      <c r="C307" t="s">
        <v>1909</v>
      </c>
      <c r="D307" t="s">
        <v>118</v>
      </c>
      <c r="E307">
        <v>85777779</v>
      </c>
      <c r="F307">
        <v>85778002</v>
      </c>
      <c r="G307" s="15" t="s">
        <v>1656</v>
      </c>
      <c r="H307">
        <v>1611</v>
      </c>
      <c r="I307">
        <v>1845</v>
      </c>
      <c r="J307" s="15" t="s">
        <v>1656</v>
      </c>
      <c r="K307">
        <v>218485</v>
      </c>
      <c r="L307" s="15" t="s">
        <v>1262</v>
      </c>
    </row>
    <row r="308" spans="1:12">
      <c r="A308" t="s">
        <v>1695</v>
      </c>
      <c r="B308">
        <v>3</v>
      </c>
      <c r="C308" t="s">
        <v>2029</v>
      </c>
      <c r="D308" t="s">
        <v>133</v>
      </c>
      <c r="E308">
        <v>14800788</v>
      </c>
      <c r="F308">
        <v>14801051</v>
      </c>
      <c r="G308" s="15" t="s">
        <v>35</v>
      </c>
      <c r="H308">
        <v>1666</v>
      </c>
      <c r="I308">
        <v>1795</v>
      </c>
      <c r="J308" s="15" t="s">
        <v>1656</v>
      </c>
      <c r="K308">
        <v>133503</v>
      </c>
      <c r="L308" s="15" t="s">
        <v>1262</v>
      </c>
    </row>
    <row r="309" spans="1:12">
      <c r="A309" t="s">
        <v>1695</v>
      </c>
      <c r="B309">
        <v>3</v>
      </c>
      <c r="C309" t="s">
        <v>1779</v>
      </c>
      <c r="D309" t="s">
        <v>22</v>
      </c>
      <c r="E309">
        <v>213239117</v>
      </c>
      <c r="F309">
        <v>213239228</v>
      </c>
      <c r="G309" s="15" t="s">
        <v>1656</v>
      </c>
      <c r="H309">
        <v>1637</v>
      </c>
      <c r="I309">
        <v>1835</v>
      </c>
      <c r="J309" s="15" t="s">
        <v>1656</v>
      </c>
      <c r="K309">
        <v>0</v>
      </c>
      <c r="L309" s="15" t="s">
        <v>1262</v>
      </c>
    </row>
    <row r="310" spans="1:12">
      <c r="A310" t="s">
        <v>1695</v>
      </c>
      <c r="B310">
        <v>3</v>
      </c>
      <c r="C310" t="s">
        <v>2035</v>
      </c>
      <c r="D310" t="s">
        <v>135</v>
      </c>
      <c r="E310">
        <v>33791261</v>
      </c>
      <c r="F310">
        <v>33791386</v>
      </c>
      <c r="G310" s="15" t="s">
        <v>1656</v>
      </c>
      <c r="H310">
        <v>1636</v>
      </c>
      <c r="I310">
        <v>1767</v>
      </c>
      <c r="J310" s="15" t="s">
        <v>1656</v>
      </c>
      <c r="K310">
        <v>0</v>
      </c>
      <c r="L310" s="15" t="s">
        <v>1262</v>
      </c>
    </row>
    <row r="311" spans="1:12">
      <c r="A311" t="s">
        <v>1695</v>
      </c>
      <c r="B311">
        <v>3</v>
      </c>
      <c r="C311" t="s">
        <v>2036</v>
      </c>
      <c r="D311" t="s">
        <v>135</v>
      </c>
      <c r="E311">
        <v>42456665</v>
      </c>
      <c r="F311">
        <v>42456844</v>
      </c>
      <c r="G311" s="15" t="s">
        <v>1656</v>
      </c>
      <c r="H311">
        <v>1632</v>
      </c>
      <c r="I311">
        <v>1788</v>
      </c>
      <c r="J311" s="15" t="s">
        <v>1656</v>
      </c>
      <c r="K311">
        <v>0</v>
      </c>
      <c r="L311" s="15" t="s">
        <v>1262</v>
      </c>
    </row>
    <row r="312" spans="1:12">
      <c r="A312" t="s">
        <v>1695</v>
      </c>
      <c r="B312">
        <v>3</v>
      </c>
      <c r="C312" t="s">
        <v>2039</v>
      </c>
      <c r="D312" t="s">
        <v>139</v>
      </c>
      <c r="E312">
        <v>8316805</v>
      </c>
      <c r="F312">
        <v>8316852</v>
      </c>
      <c r="G312" s="15" t="s">
        <v>1656</v>
      </c>
      <c r="H312">
        <v>1535</v>
      </c>
      <c r="I312">
        <v>1711</v>
      </c>
      <c r="J312" s="15" t="s">
        <v>1656</v>
      </c>
      <c r="K312">
        <v>0</v>
      </c>
      <c r="L312" s="15" t="s">
        <v>1262</v>
      </c>
    </row>
    <row r="313" spans="1:12">
      <c r="A313" t="s">
        <v>1695</v>
      </c>
      <c r="B313">
        <v>3</v>
      </c>
      <c r="C313" t="s">
        <v>2046</v>
      </c>
      <c r="D313" t="s">
        <v>172</v>
      </c>
      <c r="E313">
        <v>27968383</v>
      </c>
      <c r="F313">
        <v>27968439</v>
      </c>
      <c r="G313" s="15" t="s">
        <v>1656</v>
      </c>
      <c r="H313">
        <v>1529</v>
      </c>
      <c r="I313">
        <v>1788</v>
      </c>
      <c r="J313" s="15" t="s">
        <v>1656</v>
      </c>
      <c r="K313">
        <v>26144</v>
      </c>
      <c r="L313" s="15" t="s">
        <v>1262</v>
      </c>
    </row>
    <row r="314" spans="1:12">
      <c r="A314" t="s">
        <v>1695</v>
      </c>
      <c r="B314">
        <v>3</v>
      </c>
      <c r="C314" t="s">
        <v>2048</v>
      </c>
      <c r="D314" t="s">
        <v>172</v>
      </c>
      <c r="E314">
        <v>52622554</v>
      </c>
      <c r="F314">
        <v>52622733</v>
      </c>
      <c r="G314" s="15" t="s">
        <v>1656</v>
      </c>
      <c r="H314">
        <v>1554</v>
      </c>
      <c r="I314">
        <v>1689</v>
      </c>
      <c r="J314" s="15" t="s">
        <v>1656</v>
      </c>
      <c r="K314">
        <v>1274383</v>
      </c>
      <c r="L314" s="15" t="s">
        <v>1262</v>
      </c>
    </row>
    <row r="315" spans="1:12">
      <c r="A315" t="s">
        <v>1695</v>
      </c>
      <c r="B315">
        <v>3</v>
      </c>
      <c r="C315" t="s">
        <v>1816</v>
      </c>
      <c r="D315" t="s">
        <v>172</v>
      </c>
      <c r="E315">
        <v>82760797</v>
      </c>
      <c r="F315">
        <v>82760922</v>
      </c>
      <c r="G315" s="15" t="s">
        <v>1656</v>
      </c>
      <c r="H315">
        <v>1701</v>
      </c>
      <c r="I315">
        <v>1824</v>
      </c>
      <c r="J315" s="15" t="s">
        <v>1656</v>
      </c>
      <c r="K315">
        <v>323004</v>
      </c>
      <c r="L315" s="15" t="s">
        <v>1262</v>
      </c>
    </row>
    <row r="316" spans="1:12">
      <c r="A316" t="s">
        <v>1695</v>
      </c>
      <c r="B316">
        <v>3</v>
      </c>
      <c r="C316" t="s">
        <v>1989</v>
      </c>
      <c r="D316" t="s">
        <v>22</v>
      </c>
      <c r="E316">
        <v>53386777</v>
      </c>
      <c r="F316">
        <v>53387013</v>
      </c>
      <c r="G316" s="15" t="s">
        <v>35</v>
      </c>
      <c r="H316">
        <v>1561</v>
      </c>
      <c r="I316">
        <v>1767</v>
      </c>
      <c r="J316" s="15" t="s">
        <v>1656</v>
      </c>
      <c r="K316">
        <v>0</v>
      </c>
      <c r="L316" s="15" t="s">
        <v>1262</v>
      </c>
    </row>
    <row r="317" spans="1:12">
      <c r="A317" t="s">
        <v>1695</v>
      </c>
      <c r="B317">
        <v>3</v>
      </c>
      <c r="C317" t="s">
        <v>2060</v>
      </c>
      <c r="D317" t="s">
        <v>197</v>
      </c>
      <c r="E317">
        <v>29721162</v>
      </c>
      <c r="F317">
        <v>29721300</v>
      </c>
      <c r="G317" s="15" t="s">
        <v>1656</v>
      </c>
      <c r="H317">
        <v>1617</v>
      </c>
      <c r="I317">
        <v>1820</v>
      </c>
      <c r="J317" s="15" t="s">
        <v>1656</v>
      </c>
      <c r="K317">
        <v>2368</v>
      </c>
      <c r="L317" s="15" t="s">
        <v>1262</v>
      </c>
    </row>
    <row r="318" spans="1:12">
      <c r="A318" t="s">
        <v>1695</v>
      </c>
      <c r="B318">
        <v>3</v>
      </c>
      <c r="C318" t="s">
        <v>2061</v>
      </c>
      <c r="D318" t="s">
        <v>197</v>
      </c>
      <c r="E318">
        <v>33479493</v>
      </c>
      <c r="F318">
        <v>33479579</v>
      </c>
      <c r="G318" s="15" t="s">
        <v>35</v>
      </c>
      <c r="H318">
        <v>1526</v>
      </c>
      <c r="I318">
        <v>1665</v>
      </c>
      <c r="J318" s="15" t="s">
        <v>1656</v>
      </c>
      <c r="K318">
        <v>25116</v>
      </c>
      <c r="L318" s="15" t="s">
        <v>1262</v>
      </c>
    </row>
    <row r="319" spans="1:12">
      <c r="A319" t="s">
        <v>1695</v>
      </c>
      <c r="B319">
        <v>3</v>
      </c>
      <c r="C319" t="s">
        <v>2077</v>
      </c>
      <c r="D319" t="s">
        <v>201</v>
      </c>
      <c r="E319">
        <v>37157754</v>
      </c>
      <c r="F319">
        <v>37158063</v>
      </c>
      <c r="G319" s="15" t="s">
        <v>35</v>
      </c>
      <c r="H319">
        <v>1519</v>
      </c>
      <c r="I319">
        <v>1809</v>
      </c>
      <c r="J319" s="15" t="s">
        <v>1656</v>
      </c>
      <c r="K319">
        <v>0</v>
      </c>
      <c r="L319" s="15" t="s">
        <v>1262</v>
      </c>
    </row>
    <row r="320" spans="1:12">
      <c r="A320" t="s">
        <v>1695</v>
      </c>
      <c r="B320">
        <v>3</v>
      </c>
      <c r="C320" t="s">
        <v>2078</v>
      </c>
      <c r="D320" t="s">
        <v>22</v>
      </c>
      <c r="E320">
        <v>88581565</v>
      </c>
      <c r="F320">
        <v>88581632</v>
      </c>
      <c r="G320" s="15" t="s">
        <v>35</v>
      </c>
      <c r="H320">
        <v>1646</v>
      </c>
      <c r="I320">
        <v>1802</v>
      </c>
      <c r="J320" s="15" t="s">
        <v>1656</v>
      </c>
      <c r="K320">
        <v>568356</v>
      </c>
      <c r="L320" s="15" t="s">
        <v>1262</v>
      </c>
    </row>
    <row r="321" spans="1:12">
      <c r="A321" t="s">
        <v>1695</v>
      </c>
      <c r="B321">
        <v>3</v>
      </c>
      <c r="C321" t="s">
        <v>2085</v>
      </c>
      <c r="D321" t="s">
        <v>220</v>
      </c>
      <c r="E321">
        <v>108862918</v>
      </c>
      <c r="F321">
        <v>108863153</v>
      </c>
      <c r="G321" s="15" t="s">
        <v>1656</v>
      </c>
      <c r="H321">
        <v>1585</v>
      </c>
      <c r="I321">
        <v>1767</v>
      </c>
      <c r="J321" s="15" t="s">
        <v>1656</v>
      </c>
      <c r="K321">
        <v>0</v>
      </c>
      <c r="L321" s="15" t="s">
        <v>1262</v>
      </c>
    </row>
    <row r="322" spans="1:12">
      <c r="A322" t="s">
        <v>1695</v>
      </c>
      <c r="B322">
        <v>3</v>
      </c>
      <c r="C322" t="s">
        <v>221</v>
      </c>
      <c r="D322" t="s">
        <v>220</v>
      </c>
      <c r="E322">
        <v>74276054</v>
      </c>
      <c r="F322">
        <v>74283274</v>
      </c>
      <c r="G322" s="15" t="s">
        <v>35</v>
      </c>
      <c r="H322">
        <v>150</v>
      </c>
      <c r="I322">
        <v>493</v>
      </c>
      <c r="J322" s="15" t="s">
        <v>1656</v>
      </c>
      <c r="K322">
        <v>0</v>
      </c>
      <c r="L322" s="15" t="s">
        <v>1262</v>
      </c>
    </row>
    <row r="323" spans="1:12">
      <c r="A323" t="s">
        <v>1695</v>
      </c>
      <c r="B323">
        <v>3</v>
      </c>
      <c r="C323" t="s">
        <v>221</v>
      </c>
      <c r="D323" t="s">
        <v>220</v>
      </c>
      <c r="E323">
        <v>74270075</v>
      </c>
      <c r="F323">
        <v>74282009</v>
      </c>
      <c r="G323" s="15" t="s">
        <v>35</v>
      </c>
      <c r="H323">
        <v>1005</v>
      </c>
      <c r="I323">
        <v>1665</v>
      </c>
      <c r="J323" s="15" t="s">
        <v>1656</v>
      </c>
      <c r="K323">
        <v>0</v>
      </c>
      <c r="L323" s="15" t="s">
        <v>1262</v>
      </c>
    </row>
    <row r="324" spans="1:12">
      <c r="A324" t="s">
        <v>1695</v>
      </c>
      <c r="B324">
        <v>3</v>
      </c>
      <c r="C324" t="s">
        <v>1197</v>
      </c>
      <c r="D324" t="s">
        <v>257</v>
      </c>
      <c r="E324">
        <v>34941641</v>
      </c>
      <c r="F324">
        <v>34941878</v>
      </c>
      <c r="G324" s="15" t="s">
        <v>1656</v>
      </c>
      <c r="H324">
        <v>1609</v>
      </c>
      <c r="I324">
        <v>1808</v>
      </c>
      <c r="J324" s="15" t="s">
        <v>1656</v>
      </c>
      <c r="K324">
        <v>23934</v>
      </c>
      <c r="L324" s="15" t="s">
        <v>1262</v>
      </c>
    </row>
    <row r="325" spans="1:12">
      <c r="A325" t="s">
        <v>1695</v>
      </c>
      <c r="B325">
        <v>3</v>
      </c>
      <c r="C325" t="s">
        <v>2124</v>
      </c>
      <c r="D325" t="s">
        <v>257</v>
      </c>
      <c r="E325">
        <v>37701159</v>
      </c>
      <c r="F325">
        <v>37701288</v>
      </c>
      <c r="G325" s="15" t="s">
        <v>1656</v>
      </c>
      <c r="H325">
        <v>1671</v>
      </c>
      <c r="I325">
        <v>1763</v>
      </c>
      <c r="J325" s="15" t="s">
        <v>1656</v>
      </c>
      <c r="K325">
        <v>78707</v>
      </c>
      <c r="L325" s="15" t="s">
        <v>1262</v>
      </c>
    </row>
    <row r="326" spans="1:12">
      <c r="A326" t="s">
        <v>1695</v>
      </c>
      <c r="B326">
        <v>3</v>
      </c>
      <c r="C326" t="s">
        <v>2130</v>
      </c>
      <c r="D326" t="s">
        <v>257</v>
      </c>
      <c r="E326">
        <v>99248190</v>
      </c>
      <c r="F326">
        <v>99248421</v>
      </c>
      <c r="G326" s="15" t="s">
        <v>35</v>
      </c>
      <c r="H326">
        <v>1585</v>
      </c>
      <c r="I326">
        <v>1833</v>
      </c>
      <c r="J326" s="15" t="s">
        <v>1656</v>
      </c>
      <c r="K326">
        <v>0</v>
      </c>
      <c r="L326" s="15" t="s">
        <v>1262</v>
      </c>
    </row>
    <row r="327" spans="1:12">
      <c r="A327" t="s">
        <v>1695</v>
      </c>
      <c r="B327">
        <v>3</v>
      </c>
      <c r="C327" t="s">
        <v>2139</v>
      </c>
      <c r="D327" t="s">
        <v>279</v>
      </c>
      <c r="E327">
        <v>34691608</v>
      </c>
      <c r="F327">
        <v>34691743</v>
      </c>
      <c r="G327" s="15" t="s">
        <v>35</v>
      </c>
      <c r="H327">
        <v>1642</v>
      </c>
      <c r="I327">
        <v>1730</v>
      </c>
      <c r="J327" s="15" t="s">
        <v>1656</v>
      </c>
      <c r="K327">
        <v>401366</v>
      </c>
      <c r="L327" s="15" t="s">
        <v>1262</v>
      </c>
    </row>
    <row r="328" spans="1:12">
      <c r="A328" t="s">
        <v>1695</v>
      </c>
      <c r="B328">
        <v>3</v>
      </c>
      <c r="C328" t="s">
        <v>2144</v>
      </c>
      <c r="D328" t="s">
        <v>279</v>
      </c>
      <c r="E328">
        <v>123172010</v>
      </c>
      <c r="F328">
        <v>123172230</v>
      </c>
      <c r="G328" s="15" t="s">
        <v>35</v>
      </c>
      <c r="H328">
        <v>1590</v>
      </c>
      <c r="I328">
        <v>1802</v>
      </c>
      <c r="J328" s="15" t="s">
        <v>1656</v>
      </c>
      <c r="K328">
        <v>514446</v>
      </c>
      <c r="L328" s="15" t="s">
        <v>1262</v>
      </c>
    </row>
    <row r="329" spans="1:12">
      <c r="A329" t="s">
        <v>1695</v>
      </c>
      <c r="B329">
        <v>3</v>
      </c>
      <c r="C329" t="s">
        <v>2146</v>
      </c>
      <c r="D329" t="s">
        <v>292</v>
      </c>
      <c r="E329">
        <v>16747207</v>
      </c>
      <c r="F329">
        <v>16747437</v>
      </c>
      <c r="G329" s="15" t="s">
        <v>1656</v>
      </c>
      <c r="H329">
        <v>1586</v>
      </c>
      <c r="I329">
        <v>1795</v>
      </c>
      <c r="J329" s="15" t="s">
        <v>1656</v>
      </c>
      <c r="K329">
        <v>0</v>
      </c>
      <c r="L329" s="15" t="s">
        <v>1262</v>
      </c>
    </row>
    <row r="330" spans="1:12">
      <c r="A330" t="s">
        <v>1695</v>
      </c>
      <c r="B330">
        <v>3</v>
      </c>
      <c r="C330" t="s">
        <v>2147</v>
      </c>
      <c r="D330" t="s">
        <v>292</v>
      </c>
      <c r="E330">
        <v>75212197</v>
      </c>
      <c r="F330">
        <v>75212333</v>
      </c>
      <c r="G330" s="15" t="s">
        <v>1656</v>
      </c>
      <c r="H330">
        <v>1643</v>
      </c>
      <c r="I330">
        <v>1776</v>
      </c>
      <c r="J330" s="15" t="s">
        <v>1656</v>
      </c>
      <c r="K330">
        <v>0</v>
      </c>
      <c r="L330" s="15" t="s">
        <v>1262</v>
      </c>
    </row>
    <row r="331" spans="1:12">
      <c r="A331" t="s">
        <v>1695</v>
      </c>
      <c r="B331">
        <v>3</v>
      </c>
      <c r="C331" t="s">
        <v>2150</v>
      </c>
      <c r="D331" t="s">
        <v>292</v>
      </c>
      <c r="E331">
        <v>6347851</v>
      </c>
      <c r="F331">
        <v>6347912</v>
      </c>
      <c r="G331" s="15" t="s">
        <v>35</v>
      </c>
      <c r="H331">
        <v>1522</v>
      </c>
      <c r="I331">
        <v>1782</v>
      </c>
      <c r="J331" s="15" t="s">
        <v>1656</v>
      </c>
      <c r="K331">
        <v>15951</v>
      </c>
      <c r="L331" s="15" t="s">
        <v>1262</v>
      </c>
    </row>
    <row r="332" spans="1:12">
      <c r="A332" t="s">
        <v>1695</v>
      </c>
      <c r="B332">
        <v>3</v>
      </c>
      <c r="C332" t="s">
        <v>2151</v>
      </c>
      <c r="D332" t="s">
        <v>292</v>
      </c>
      <c r="E332">
        <v>90369875</v>
      </c>
      <c r="F332">
        <v>90370044</v>
      </c>
      <c r="G332" s="15" t="s">
        <v>35</v>
      </c>
      <c r="H332">
        <v>1635</v>
      </c>
      <c r="I332">
        <v>1789</v>
      </c>
      <c r="J332" s="15" t="s">
        <v>1656</v>
      </c>
      <c r="K332">
        <v>17954</v>
      </c>
      <c r="L332" s="15" t="s">
        <v>1262</v>
      </c>
    </row>
    <row r="333" spans="1:12">
      <c r="A333" t="s">
        <v>1695</v>
      </c>
      <c r="B333">
        <v>3</v>
      </c>
      <c r="C333" t="s">
        <v>2157</v>
      </c>
      <c r="D333" t="s">
        <v>418</v>
      </c>
      <c r="E333">
        <v>142552221</v>
      </c>
      <c r="F333">
        <v>142552402</v>
      </c>
      <c r="G333" s="15" t="s">
        <v>35</v>
      </c>
      <c r="H333">
        <v>1554</v>
      </c>
      <c r="I333">
        <v>1707</v>
      </c>
      <c r="J333" s="15" t="s">
        <v>1656</v>
      </c>
      <c r="K333">
        <v>44342</v>
      </c>
      <c r="L333" s="15" t="s">
        <v>1262</v>
      </c>
    </row>
    <row r="334" spans="1:12">
      <c r="A334" t="s">
        <v>1695</v>
      </c>
      <c r="B334">
        <v>3</v>
      </c>
      <c r="C334" t="s">
        <v>2158</v>
      </c>
      <c r="D334" t="s">
        <v>1887</v>
      </c>
      <c r="E334">
        <v>3471603</v>
      </c>
      <c r="F334">
        <v>3471664</v>
      </c>
      <c r="G334" s="15" t="s">
        <v>35</v>
      </c>
      <c r="H334">
        <v>1608</v>
      </c>
      <c r="I334">
        <v>1803</v>
      </c>
      <c r="J334" s="15" t="s">
        <v>1656</v>
      </c>
      <c r="K334">
        <v>23521</v>
      </c>
      <c r="L334" s="15" t="s">
        <v>1262</v>
      </c>
    </row>
    <row r="335" spans="1:12">
      <c r="A335" t="s">
        <v>1695</v>
      </c>
      <c r="B335">
        <v>3</v>
      </c>
      <c r="C335" t="s">
        <v>2349</v>
      </c>
      <c r="D335" t="s">
        <v>69</v>
      </c>
      <c r="E335">
        <v>118761564</v>
      </c>
      <c r="F335">
        <v>118761685</v>
      </c>
      <c r="G335" s="15" t="s">
        <v>35</v>
      </c>
      <c r="H335">
        <v>1715</v>
      </c>
      <c r="I335">
        <v>1808</v>
      </c>
      <c r="J335" s="15" t="s">
        <v>1656</v>
      </c>
      <c r="K335">
        <v>0</v>
      </c>
      <c r="L335" s="15" t="s">
        <v>1262</v>
      </c>
    </row>
    <row r="336" spans="1:12">
      <c r="A336" t="s">
        <v>1767</v>
      </c>
      <c r="B336">
        <v>3</v>
      </c>
      <c r="C336" t="s">
        <v>2224</v>
      </c>
      <c r="D336" t="s">
        <v>22</v>
      </c>
      <c r="E336">
        <v>142793097</v>
      </c>
      <c r="F336">
        <v>142793140</v>
      </c>
      <c r="G336" s="15" t="s">
        <v>1656</v>
      </c>
      <c r="H336">
        <v>1519</v>
      </c>
      <c r="I336">
        <v>1774</v>
      </c>
      <c r="J336" s="15" t="s">
        <v>1656</v>
      </c>
      <c r="K336">
        <v>79535</v>
      </c>
      <c r="L336" s="15" t="s">
        <v>1262</v>
      </c>
    </row>
    <row r="337" spans="1:12">
      <c r="A337" t="s">
        <v>1654</v>
      </c>
      <c r="B337">
        <v>3</v>
      </c>
      <c r="C337" t="s">
        <v>2269</v>
      </c>
      <c r="D337" t="s">
        <v>226</v>
      </c>
      <c r="E337">
        <v>44861681</v>
      </c>
      <c r="F337">
        <v>44861941</v>
      </c>
      <c r="G337" s="15" t="s">
        <v>35</v>
      </c>
      <c r="H337">
        <v>1576</v>
      </c>
      <c r="I337">
        <v>1776</v>
      </c>
      <c r="J337" s="15" t="s">
        <v>1656</v>
      </c>
      <c r="K337">
        <v>46063</v>
      </c>
      <c r="L337" s="15" t="s">
        <v>1262</v>
      </c>
    </row>
    <row r="338" spans="1:12">
      <c r="A338" t="s">
        <v>1654</v>
      </c>
      <c r="B338">
        <v>3</v>
      </c>
      <c r="C338" t="s">
        <v>2277</v>
      </c>
      <c r="D338" t="s">
        <v>279</v>
      </c>
      <c r="E338">
        <v>142874716</v>
      </c>
      <c r="F338">
        <v>142874859</v>
      </c>
      <c r="G338" s="15" t="s">
        <v>1656</v>
      </c>
      <c r="H338">
        <v>1652</v>
      </c>
      <c r="I338">
        <v>1730</v>
      </c>
      <c r="J338" s="15" t="s">
        <v>1656</v>
      </c>
      <c r="K338">
        <v>357529</v>
      </c>
      <c r="L338" s="15" t="s">
        <v>1262</v>
      </c>
    </row>
    <row r="339" spans="1:12">
      <c r="A339" t="s">
        <v>1666</v>
      </c>
      <c r="B339">
        <v>3</v>
      </c>
      <c r="C339" t="s">
        <v>2234</v>
      </c>
      <c r="D339" t="s">
        <v>172</v>
      </c>
      <c r="E339">
        <v>235442469</v>
      </c>
      <c r="F339">
        <v>235442700</v>
      </c>
      <c r="G339" s="15" t="s">
        <v>1656</v>
      </c>
      <c r="H339">
        <v>1557</v>
      </c>
      <c r="I339">
        <v>1817</v>
      </c>
      <c r="J339" s="15" t="s">
        <v>1656</v>
      </c>
      <c r="K339">
        <v>37007</v>
      </c>
      <c r="L339" s="15" t="s">
        <v>1262</v>
      </c>
    </row>
    <row r="340" spans="1:12">
      <c r="A340" t="s">
        <v>1666</v>
      </c>
      <c r="B340">
        <v>3</v>
      </c>
      <c r="C340" t="s">
        <v>2286</v>
      </c>
      <c r="D340" t="s">
        <v>172</v>
      </c>
      <c r="E340">
        <v>100691803</v>
      </c>
      <c r="F340">
        <v>100691881</v>
      </c>
      <c r="G340" s="15" t="s">
        <v>35</v>
      </c>
      <c r="H340">
        <v>1627</v>
      </c>
      <c r="I340">
        <v>1832</v>
      </c>
      <c r="J340" s="15" t="s">
        <v>1656</v>
      </c>
      <c r="K340">
        <v>0</v>
      </c>
      <c r="L340" s="15" t="s">
        <v>1262</v>
      </c>
    </row>
    <row r="341" spans="1:12">
      <c r="A341" t="s">
        <v>1666</v>
      </c>
      <c r="B341">
        <v>3</v>
      </c>
      <c r="C341" t="s">
        <v>1672</v>
      </c>
      <c r="D341" t="s">
        <v>172</v>
      </c>
      <c r="E341">
        <v>194448121</v>
      </c>
      <c r="F341">
        <v>194448301</v>
      </c>
      <c r="G341" s="15" t="s">
        <v>35</v>
      </c>
      <c r="H341">
        <v>1576</v>
      </c>
      <c r="I341">
        <v>1816</v>
      </c>
      <c r="J341" s="15" t="s">
        <v>1656</v>
      </c>
      <c r="K341">
        <v>806496</v>
      </c>
      <c r="L341" s="15" t="s">
        <v>1262</v>
      </c>
    </row>
    <row r="342" spans="1:12">
      <c r="A342" t="s">
        <v>1666</v>
      </c>
      <c r="B342">
        <v>3</v>
      </c>
      <c r="C342" t="s">
        <v>2297</v>
      </c>
      <c r="D342" t="s">
        <v>237</v>
      </c>
      <c r="E342">
        <v>98890147</v>
      </c>
      <c r="F342">
        <v>98890248</v>
      </c>
      <c r="G342" s="15" t="s">
        <v>1656</v>
      </c>
      <c r="H342">
        <v>1519</v>
      </c>
      <c r="I342">
        <v>1768</v>
      </c>
      <c r="J342" s="15" t="s">
        <v>1656</v>
      </c>
      <c r="K342">
        <v>392331</v>
      </c>
      <c r="L342" s="15" t="s">
        <v>1262</v>
      </c>
    </row>
    <row r="343" spans="1:12">
      <c r="A343" t="s">
        <v>1666</v>
      </c>
      <c r="B343">
        <v>3</v>
      </c>
      <c r="C343" t="s">
        <v>1667</v>
      </c>
      <c r="D343" t="s">
        <v>83</v>
      </c>
      <c r="E343">
        <v>65478539</v>
      </c>
      <c r="F343">
        <v>65478604</v>
      </c>
      <c r="G343" s="15" t="s">
        <v>1656</v>
      </c>
      <c r="H343">
        <v>1642</v>
      </c>
      <c r="I343">
        <v>1804</v>
      </c>
      <c r="J343" s="15" t="s">
        <v>1656</v>
      </c>
      <c r="K343">
        <v>868</v>
      </c>
      <c r="L343" s="15" t="s">
        <v>1262</v>
      </c>
    </row>
    <row r="344" spans="1:12">
      <c r="A344" t="s">
        <v>1666</v>
      </c>
      <c r="B344">
        <v>3</v>
      </c>
      <c r="C344" t="s">
        <v>2307</v>
      </c>
      <c r="D344" t="s">
        <v>83</v>
      </c>
      <c r="E344">
        <v>37470782</v>
      </c>
      <c r="F344">
        <v>37470986</v>
      </c>
      <c r="G344" s="15" t="s">
        <v>35</v>
      </c>
      <c r="H344">
        <v>1616</v>
      </c>
      <c r="I344">
        <v>1792</v>
      </c>
      <c r="J344" s="15" t="s">
        <v>1656</v>
      </c>
      <c r="K344">
        <v>789965</v>
      </c>
      <c r="L344" s="15" t="s">
        <v>1262</v>
      </c>
    </row>
    <row r="345" spans="1:12">
      <c r="A345" t="s">
        <v>1666</v>
      </c>
      <c r="B345">
        <v>3</v>
      </c>
      <c r="C345" t="s">
        <v>2312</v>
      </c>
      <c r="D345" t="s">
        <v>339</v>
      </c>
      <c r="E345">
        <v>50265468</v>
      </c>
      <c r="F345">
        <v>50265569</v>
      </c>
      <c r="G345" s="15" t="s">
        <v>35</v>
      </c>
      <c r="H345">
        <v>2835</v>
      </c>
      <c r="I345">
        <v>2897</v>
      </c>
      <c r="J345" s="15" t="s">
        <v>35</v>
      </c>
      <c r="K345">
        <v>0</v>
      </c>
      <c r="L345" s="15" t="s">
        <v>1262</v>
      </c>
    </row>
    <row r="346" spans="1:12">
      <c r="A346" t="s">
        <v>1666</v>
      </c>
      <c r="B346">
        <v>3</v>
      </c>
      <c r="C346" t="s">
        <v>1792</v>
      </c>
      <c r="D346" t="s">
        <v>118</v>
      </c>
      <c r="E346">
        <v>94845813</v>
      </c>
      <c r="F346">
        <v>94847481</v>
      </c>
      <c r="G346" s="15" t="s">
        <v>35</v>
      </c>
      <c r="H346">
        <v>94</v>
      </c>
      <c r="I346">
        <v>417</v>
      </c>
      <c r="J346" s="15" t="s">
        <v>35</v>
      </c>
      <c r="K346">
        <v>0</v>
      </c>
      <c r="L346" s="15" t="s">
        <v>1262</v>
      </c>
    </row>
    <row r="347" spans="1:12">
      <c r="A347" t="s">
        <v>1666</v>
      </c>
      <c r="B347">
        <v>3</v>
      </c>
      <c r="C347" t="s">
        <v>2317</v>
      </c>
      <c r="D347" t="s">
        <v>129</v>
      </c>
      <c r="E347">
        <v>30428891</v>
      </c>
      <c r="F347">
        <v>30428994</v>
      </c>
      <c r="G347" s="15" t="s">
        <v>35</v>
      </c>
      <c r="H347">
        <v>290</v>
      </c>
      <c r="I347">
        <v>461</v>
      </c>
      <c r="J347" s="15" t="s">
        <v>1656</v>
      </c>
      <c r="K347">
        <v>0</v>
      </c>
      <c r="L347" s="15" t="s">
        <v>1262</v>
      </c>
    </row>
    <row r="348" spans="1:12">
      <c r="A348" t="s">
        <v>1753</v>
      </c>
      <c r="B348">
        <v>3</v>
      </c>
      <c r="C348" t="s">
        <v>1754</v>
      </c>
      <c r="D348" t="s">
        <v>226</v>
      </c>
      <c r="E348">
        <v>175950059</v>
      </c>
      <c r="F348">
        <v>175950250</v>
      </c>
      <c r="G348" s="15" t="s">
        <v>1656</v>
      </c>
      <c r="H348">
        <v>1548</v>
      </c>
      <c r="I348">
        <v>1796</v>
      </c>
      <c r="J348" s="15" t="s">
        <v>1656</v>
      </c>
      <c r="K348">
        <v>3449</v>
      </c>
      <c r="L348" s="15" t="s">
        <v>41</v>
      </c>
    </row>
    <row r="349" spans="1:12">
      <c r="A349" t="s">
        <v>1734</v>
      </c>
      <c r="B349">
        <v>3</v>
      </c>
      <c r="C349" t="s">
        <v>1783</v>
      </c>
      <c r="D349" t="s">
        <v>220</v>
      </c>
      <c r="E349">
        <v>155506572</v>
      </c>
      <c r="F349">
        <v>155506647</v>
      </c>
      <c r="G349" s="15" t="s">
        <v>1656</v>
      </c>
      <c r="H349">
        <v>1763</v>
      </c>
      <c r="I349">
        <v>1838</v>
      </c>
      <c r="J349" s="15" t="s">
        <v>1656</v>
      </c>
      <c r="K349">
        <v>0</v>
      </c>
      <c r="L349" s="15" t="s">
        <v>41</v>
      </c>
    </row>
    <row r="350" spans="1:12">
      <c r="A350" t="s">
        <v>1734</v>
      </c>
      <c r="B350">
        <v>3</v>
      </c>
      <c r="C350" t="s">
        <v>1786</v>
      </c>
      <c r="D350" t="s">
        <v>257</v>
      </c>
      <c r="E350">
        <v>45952200</v>
      </c>
      <c r="F350">
        <v>45952275</v>
      </c>
      <c r="G350" s="15" t="s">
        <v>1656</v>
      </c>
      <c r="H350">
        <v>1700</v>
      </c>
      <c r="I350">
        <v>1775</v>
      </c>
      <c r="J350" s="15" t="s">
        <v>35</v>
      </c>
      <c r="K350">
        <v>0</v>
      </c>
      <c r="L350" s="15" t="s">
        <v>41</v>
      </c>
    </row>
    <row r="351" spans="1:12">
      <c r="A351" t="s">
        <v>1685</v>
      </c>
      <c r="B351">
        <v>3</v>
      </c>
      <c r="C351" t="s">
        <v>1930</v>
      </c>
      <c r="D351" t="s">
        <v>139</v>
      </c>
      <c r="E351">
        <v>3978113</v>
      </c>
      <c r="F351">
        <v>3983123</v>
      </c>
      <c r="G351" s="15" t="s">
        <v>1656</v>
      </c>
      <c r="H351">
        <v>398</v>
      </c>
      <c r="I351">
        <v>497</v>
      </c>
      <c r="J351" s="15" t="s">
        <v>35</v>
      </c>
      <c r="K351">
        <v>0</v>
      </c>
      <c r="L351" s="15" t="s">
        <v>41</v>
      </c>
    </row>
    <row r="352" spans="1:12">
      <c r="A352" t="s">
        <v>1685</v>
      </c>
      <c r="B352">
        <v>3</v>
      </c>
      <c r="C352" t="s">
        <v>221</v>
      </c>
      <c r="D352" t="s">
        <v>220</v>
      </c>
      <c r="E352">
        <v>74274327</v>
      </c>
      <c r="F352">
        <v>74277743</v>
      </c>
      <c r="G352" s="15" t="s">
        <v>35</v>
      </c>
      <c r="H352">
        <v>20</v>
      </c>
      <c r="I352">
        <v>307</v>
      </c>
      <c r="J352" s="15" t="s">
        <v>1656</v>
      </c>
      <c r="K352">
        <v>0</v>
      </c>
      <c r="L352" s="15" t="s">
        <v>41</v>
      </c>
    </row>
    <row r="353" spans="1:12">
      <c r="A353" t="s">
        <v>1685</v>
      </c>
      <c r="B353">
        <v>3</v>
      </c>
      <c r="C353" t="s">
        <v>1847</v>
      </c>
      <c r="D353" t="s">
        <v>220</v>
      </c>
      <c r="E353">
        <v>155490738</v>
      </c>
      <c r="F353">
        <v>155491783</v>
      </c>
      <c r="G353" s="15" t="s">
        <v>35</v>
      </c>
      <c r="H353">
        <v>47</v>
      </c>
      <c r="I353">
        <v>497</v>
      </c>
      <c r="J353" s="15" t="s">
        <v>35</v>
      </c>
      <c r="K353">
        <v>0</v>
      </c>
      <c r="L353" s="15" t="s">
        <v>41</v>
      </c>
    </row>
    <row r="354" spans="1:12">
      <c r="A354" t="s">
        <v>1685</v>
      </c>
      <c r="B354">
        <v>3</v>
      </c>
      <c r="C354" t="s">
        <v>1841</v>
      </c>
      <c r="D354" t="s">
        <v>220</v>
      </c>
      <c r="E354">
        <v>155527954</v>
      </c>
      <c r="F354">
        <v>155529730</v>
      </c>
      <c r="G354" s="15" t="s">
        <v>35</v>
      </c>
      <c r="H354">
        <v>389</v>
      </c>
      <c r="I354">
        <v>497</v>
      </c>
      <c r="J354" s="15" t="s">
        <v>35</v>
      </c>
      <c r="K354">
        <v>0</v>
      </c>
      <c r="L354" s="15" t="s">
        <v>41</v>
      </c>
    </row>
    <row r="355" spans="1:12">
      <c r="A355" t="s">
        <v>1685</v>
      </c>
      <c r="B355">
        <v>3</v>
      </c>
      <c r="C355" t="s">
        <v>1692</v>
      </c>
      <c r="D355" t="s">
        <v>226</v>
      </c>
      <c r="E355">
        <v>1294590</v>
      </c>
      <c r="F355">
        <v>1294784</v>
      </c>
      <c r="G355" s="15" t="s">
        <v>1656</v>
      </c>
      <c r="H355">
        <v>356</v>
      </c>
      <c r="I355">
        <v>497</v>
      </c>
      <c r="J355" s="15" t="s">
        <v>35</v>
      </c>
      <c r="K355">
        <v>0</v>
      </c>
      <c r="L355" s="15" t="s">
        <v>41</v>
      </c>
    </row>
    <row r="356" spans="1:12">
      <c r="A356" t="s">
        <v>1685</v>
      </c>
      <c r="B356">
        <v>3</v>
      </c>
      <c r="C356" t="s">
        <v>1967</v>
      </c>
      <c r="D356" t="s">
        <v>257</v>
      </c>
      <c r="E356">
        <v>36387107</v>
      </c>
      <c r="F356">
        <v>36387182</v>
      </c>
      <c r="G356" s="15" t="s">
        <v>1656</v>
      </c>
      <c r="H356">
        <v>428</v>
      </c>
      <c r="I356">
        <v>497</v>
      </c>
      <c r="J356" s="15" t="s">
        <v>35</v>
      </c>
      <c r="K356">
        <v>0</v>
      </c>
      <c r="L356" s="15" t="s">
        <v>41</v>
      </c>
    </row>
    <row r="357" spans="1:12">
      <c r="A357" t="s">
        <v>1685</v>
      </c>
      <c r="B357">
        <v>3</v>
      </c>
      <c r="C357" t="s">
        <v>1878</v>
      </c>
      <c r="D357" t="s">
        <v>292</v>
      </c>
      <c r="E357">
        <v>104183789</v>
      </c>
      <c r="F357">
        <v>104189913</v>
      </c>
      <c r="G357" s="15" t="s">
        <v>1656</v>
      </c>
      <c r="H357">
        <v>1386</v>
      </c>
      <c r="I357">
        <v>1779</v>
      </c>
      <c r="J357" s="15" t="s">
        <v>35</v>
      </c>
      <c r="K357">
        <v>0</v>
      </c>
      <c r="L357" s="15" t="s">
        <v>41</v>
      </c>
    </row>
    <row r="358" spans="1:12">
      <c r="A358" t="s">
        <v>1685</v>
      </c>
      <c r="B358">
        <v>3</v>
      </c>
      <c r="C358" t="s">
        <v>1697</v>
      </c>
      <c r="D358" t="s">
        <v>1787</v>
      </c>
      <c r="E358">
        <v>922</v>
      </c>
      <c r="F358">
        <v>15734</v>
      </c>
      <c r="G358" s="15" t="s">
        <v>1656</v>
      </c>
      <c r="H358">
        <v>1065</v>
      </c>
      <c r="I358">
        <v>1515</v>
      </c>
      <c r="J358" s="15" t="s">
        <v>1656</v>
      </c>
      <c r="K358" t="s">
        <v>1697</v>
      </c>
      <c r="L358" s="15" t="s">
        <v>41</v>
      </c>
    </row>
    <row r="359" spans="1:12">
      <c r="A359" t="s">
        <v>1685</v>
      </c>
      <c r="B359">
        <v>3</v>
      </c>
      <c r="C359" t="s">
        <v>1697</v>
      </c>
      <c r="D359" t="s">
        <v>1787</v>
      </c>
      <c r="E359">
        <v>2830</v>
      </c>
      <c r="F359">
        <v>12664</v>
      </c>
      <c r="G359" s="15" t="s">
        <v>1656</v>
      </c>
      <c r="H359">
        <v>304</v>
      </c>
      <c r="I359">
        <v>497</v>
      </c>
      <c r="J359" s="15" t="s">
        <v>35</v>
      </c>
      <c r="K359" t="s">
        <v>1697</v>
      </c>
      <c r="L359" s="15" t="s">
        <v>41</v>
      </c>
    </row>
    <row r="360" spans="1:12">
      <c r="A360" t="s">
        <v>1685</v>
      </c>
      <c r="B360">
        <v>3</v>
      </c>
      <c r="C360" t="s">
        <v>1993</v>
      </c>
      <c r="D360" t="s">
        <v>104</v>
      </c>
      <c r="E360">
        <v>113830901</v>
      </c>
      <c r="F360">
        <v>113841672</v>
      </c>
      <c r="G360" s="15" t="s">
        <v>35</v>
      </c>
      <c r="H360">
        <v>236</v>
      </c>
      <c r="I360">
        <v>804</v>
      </c>
      <c r="J360" s="15" t="s">
        <v>35</v>
      </c>
      <c r="K360">
        <v>0</v>
      </c>
      <c r="L360" s="15" t="s">
        <v>41</v>
      </c>
    </row>
    <row r="361" spans="1:12">
      <c r="A361" t="s">
        <v>1706</v>
      </c>
      <c r="B361">
        <v>3</v>
      </c>
      <c r="C361" t="s">
        <v>1801</v>
      </c>
      <c r="D361" t="s">
        <v>139</v>
      </c>
      <c r="E361">
        <v>6709736</v>
      </c>
      <c r="F361">
        <v>6713328</v>
      </c>
      <c r="G361" s="15" t="s">
        <v>1656</v>
      </c>
      <c r="H361">
        <v>202</v>
      </c>
      <c r="I361">
        <v>367</v>
      </c>
      <c r="J361" s="15" t="s">
        <v>1656</v>
      </c>
      <c r="K361">
        <v>0</v>
      </c>
      <c r="L361" s="15" t="s">
        <v>41</v>
      </c>
    </row>
    <row r="362" spans="1:12">
      <c r="A362" t="s">
        <v>1706</v>
      </c>
      <c r="B362">
        <v>3</v>
      </c>
      <c r="C362" t="s">
        <v>1783</v>
      </c>
      <c r="D362" t="s">
        <v>220</v>
      </c>
      <c r="E362">
        <v>155507478</v>
      </c>
      <c r="F362">
        <v>155507876</v>
      </c>
      <c r="G362" s="15" t="s">
        <v>1656</v>
      </c>
      <c r="H362">
        <v>277</v>
      </c>
      <c r="I362">
        <v>459</v>
      </c>
      <c r="J362" s="15" t="s">
        <v>35</v>
      </c>
      <c r="K362">
        <v>0</v>
      </c>
      <c r="L362" s="15" t="s">
        <v>41</v>
      </c>
    </row>
    <row r="363" spans="1:12">
      <c r="A363" t="s">
        <v>1706</v>
      </c>
      <c r="B363">
        <v>3</v>
      </c>
      <c r="C363" t="s">
        <v>1841</v>
      </c>
      <c r="D363" t="s">
        <v>220</v>
      </c>
      <c r="E363">
        <v>155529626</v>
      </c>
      <c r="F363">
        <v>155533777</v>
      </c>
      <c r="G363" s="15" t="s">
        <v>35</v>
      </c>
      <c r="H363">
        <v>528</v>
      </c>
      <c r="I363">
        <v>711</v>
      </c>
      <c r="J363" s="15" t="s">
        <v>35</v>
      </c>
      <c r="K363">
        <v>0</v>
      </c>
      <c r="L363" s="15" t="s">
        <v>41</v>
      </c>
    </row>
    <row r="364" spans="1:12">
      <c r="A364" t="s">
        <v>1706</v>
      </c>
      <c r="B364">
        <v>3</v>
      </c>
      <c r="C364" t="s">
        <v>547</v>
      </c>
      <c r="D364" t="s">
        <v>69</v>
      </c>
      <c r="E364">
        <v>101605492</v>
      </c>
      <c r="F364">
        <v>101606745</v>
      </c>
      <c r="G364" s="15" t="s">
        <v>35</v>
      </c>
      <c r="H364">
        <v>1632</v>
      </c>
      <c r="I364">
        <v>1707</v>
      </c>
      <c r="J364" s="15" t="s">
        <v>35</v>
      </c>
      <c r="K364">
        <v>0</v>
      </c>
      <c r="L364" s="15" t="s">
        <v>41</v>
      </c>
    </row>
    <row r="365" spans="1:12">
      <c r="A365" t="s">
        <v>1706</v>
      </c>
      <c r="B365">
        <v>3</v>
      </c>
      <c r="C365" t="s">
        <v>1792</v>
      </c>
      <c r="D365" t="s">
        <v>118</v>
      </c>
      <c r="E365">
        <v>94844837</v>
      </c>
      <c r="F365">
        <v>94849197</v>
      </c>
      <c r="G365" s="15" t="s">
        <v>1656</v>
      </c>
      <c r="H365">
        <v>311</v>
      </c>
      <c r="I365">
        <v>470</v>
      </c>
      <c r="J365" s="15" t="s">
        <v>35</v>
      </c>
      <c r="K365">
        <v>0</v>
      </c>
      <c r="L365" s="15" t="s">
        <v>41</v>
      </c>
    </row>
    <row r="366" spans="1:12">
      <c r="A366" t="s">
        <v>1657</v>
      </c>
      <c r="B366">
        <v>3</v>
      </c>
      <c r="C366" t="s">
        <v>2350</v>
      </c>
      <c r="D366" t="s">
        <v>201</v>
      </c>
      <c r="E366">
        <v>156807620</v>
      </c>
      <c r="F366">
        <v>156807723</v>
      </c>
      <c r="G366" s="15" t="s">
        <v>1656</v>
      </c>
      <c r="H366">
        <v>1585</v>
      </c>
      <c r="I366">
        <v>1788</v>
      </c>
      <c r="J366" s="15" t="s">
        <v>1656</v>
      </c>
      <c r="K366">
        <v>0</v>
      </c>
      <c r="L366" s="15" t="s">
        <v>41</v>
      </c>
    </row>
    <row r="367" spans="1:12">
      <c r="A367" t="s">
        <v>1657</v>
      </c>
      <c r="B367">
        <v>3</v>
      </c>
      <c r="C367" t="s">
        <v>221</v>
      </c>
      <c r="D367" t="s">
        <v>220</v>
      </c>
      <c r="E367">
        <v>74274358</v>
      </c>
      <c r="F367">
        <v>74286848</v>
      </c>
      <c r="G367" s="15" t="s">
        <v>35</v>
      </c>
      <c r="H367">
        <v>259</v>
      </c>
      <c r="I367">
        <v>576</v>
      </c>
      <c r="J367" s="15" t="s">
        <v>1656</v>
      </c>
      <c r="K367">
        <v>0</v>
      </c>
      <c r="L367" s="15" t="s">
        <v>41</v>
      </c>
    </row>
    <row r="368" spans="1:12">
      <c r="A368" t="s">
        <v>1657</v>
      </c>
      <c r="B368">
        <v>3</v>
      </c>
      <c r="C368" t="s">
        <v>1697</v>
      </c>
      <c r="D368" t="s">
        <v>1787</v>
      </c>
      <c r="E368">
        <v>8082</v>
      </c>
      <c r="F368">
        <v>11865</v>
      </c>
      <c r="G368" s="15" t="s">
        <v>35</v>
      </c>
      <c r="H368">
        <v>277</v>
      </c>
      <c r="I368">
        <v>580</v>
      </c>
      <c r="J368" s="15" t="s">
        <v>1656</v>
      </c>
      <c r="K368" t="s">
        <v>1697</v>
      </c>
      <c r="L368" s="15" t="s">
        <v>41</v>
      </c>
    </row>
    <row r="369" spans="1:12">
      <c r="A369" t="s">
        <v>1657</v>
      </c>
      <c r="B369">
        <v>3</v>
      </c>
      <c r="C369" t="s">
        <v>1792</v>
      </c>
      <c r="D369" t="s">
        <v>118</v>
      </c>
      <c r="E369">
        <v>94848970</v>
      </c>
      <c r="F369">
        <v>94849045</v>
      </c>
      <c r="G369" s="15" t="s">
        <v>35</v>
      </c>
      <c r="H369">
        <v>1693</v>
      </c>
      <c r="I369">
        <v>1768</v>
      </c>
      <c r="J369" s="15" t="s">
        <v>1656</v>
      </c>
      <c r="K369">
        <v>0</v>
      </c>
      <c r="L369" s="15" t="s">
        <v>41</v>
      </c>
    </row>
    <row r="370" spans="1:12">
      <c r="A370" t="s">
        <v>1657</v>
      </c>
      <c r="B370">
        <v>3</v>
      </c>
      <c r="C370" t="s">
        <v>2258</v>
      </c>
      <c r="D370" t="s">
        <v>133</v>
      </c>
      <c r="E370">
        <v>69180857</v>
      </c>
      <c r="F370">
        <v>69180977</v>
      </c>
      <c r="G370" s="15" t="s">
        <v>1656</v>
      </c>
      <c r="H370">
        <v>1715</v>
      </c>
      <c r="I370">
        <v>1833</v>
      </c>
      <c r="J370" s="15" t="s">
        <v>1656</v>
      </c>
      <c r="K370">
        <v>936183</v>
      </c>
      <c r="L370" s="15" t="s">
        <v>41</v>
      </c>
    </row>
    <row r="371" spans="1:12">
      <c r="A371" t="s">
        <v>1718</v>
      </c>
      <c r="B371">
        <v>2</v>
      </c>
      <c r="C371" t="s">
        <v>1792</v>
      </c>
      <c r="D371" t="s">
        <v>118</v>
      </c>
      <c r="E371">
        <v>94844771</v>
      </c>
      <c r="F371">
        <v>94844843</v>
      </c>
      <c r="G371" s="15" t="s">
        <v>35</v>
      </c>
      <c r="H371">
        <v>1669</v>
      </c>
      <c r="I371">
        <v>1744</v>
      </c>
      <c r="J371" s="15" t="s">
        <v>35</v>
      </c>
      <c r="K371">
        <v>0</v>
      </c>
      <c r="L371" s="15" t="s">
        <v>1262</v>
      </c>
    </row>
    <row r="372" spans="1:12">
      <c r="A372" t="s">
        <v>1718</v>
      </c>
      <c r="B372">
        <v>2</v>
      </c>
      <c r="C372" t="s">
        <v>1796</v>
      </c>
      <c r="D372" t="s">
        <v>120</v>
      </c>
      <c r="E372">
        <v>66794774</v>
      </c>
      <c r="F372">
        <v>66794864</v>
      </c>
      <c r="G372" s="15" t="s">
        <v>35</v>
      </c>
      <c r="H372">
        <v>1700</v>
      </c>
      <c r="I372">
        <v>1781</v>
      </c>
      <c r="J372" s="15" t="s">
        <v>1656</v>
      </c>
      <c r="K372">
        <v>0</v>
      </c>
      <c r="L372" s="15" t="s">
        <v>1262</v>
      </c>
    </row>
    <row r="373" spans="1:12">
      <c r="A373" t="s">
        <v>1718</v>
      </c>
      <c r="B373">
        <v>2</v>
      </c>
      <c r="C373" t="s">
        <v>1798</v>
      </c>
      <c r="D373" t="s">
        <v>135</v>
      </c>
      <c r="E373">
        <v>47795438</v>
      </c>
      <c r="F373">
        <v>47795513</v>
      </c>
      <c r="G373" s="15" t="s">
        <v>1656</v>
      </c>
      <c r="H373">
        <v>1417</v>
      </c>
      <c r="I373">
        <v>1492</v>
      </c>
      <c r="J373" s="15" t="s">
        <v>1656</v>
      </c>
      <c r="K373">
        <v>0</v>
      </c>
      <c r="L373" s="15" t="s">
        <v>1262</v>
      </c>
    </row>
    <row r="374" spans="1:12">
      <c r="A374" t="s">
        <v>1718</v>
      </c>
      <c r="B374">
        <v>2</v>
      </c>
      <c r="C374" t="s">
        <v>1808</v>
      </c>
      <c r="D374" t="s">
        <v>172</v>
      </c>
      <c r="E374">
        <v>144751927</v>
      </c>
      <c r="F374">
        <v>144752002</v>
      </c>
      <c r="G374" s="15" t="s">
        <v>1656</v>
      </c>
      <c r="H374">
        <v>1673</v>
      </c>
      <c r="I374">
        <v>1748</v>
      </c>
      <c r="J374" s="15" t="s">
        <v>1656</v>
      </c>
      <c r="K374">
        <v>0</v>
      </c>
      <c r="L374" s="15" t="s">
        <v>1262</v>
      </c>
    </row>
    <row r="375" spans="1:12">
      <c r="A375" t="s">
        <v>1718</v>
      </c>
      <c r="B375">
        <v>2</v>
      </c>
      <c r="C375" t="s">
        <v>1809</v>
      </c>
      <c r="D375" t="s">
        <v>172</v>
      </c>
      <c r="E375">
        <v>170549950</v>
      </c>
      <c r="F375">
        <v>170550241</v>
      </c>
      <c r="G375" s="15" t="s">
        <v>1656</v>
      </c>
      <c r="H375">
        <v>1586</v>
      </c>
      <c r="I375">
        <v>1813</v>
      </c>
      <c r="J375" s="15" t="s">
        <v>1656</v>
      </c>
      <c r="K375">
        <v>0</v>
      </c>
      <c r="L375" s="15" t="s">
        <v>1262</v>
      </c>
    </row>
    <row r="376" spans="1:12">
      <c r="A376" t="s">
        <v>1718</v>
      </c>
      <c r="B376">
        <v>2</v>
      </c>
      <c r="C376" t="s">
        <v>1812</v>
      </c>
      <c r="D376" t="s">
        <v>172</v>
      </c>
      <c r="E376">
        <v>230451220</v>
      </c>
      <c r="F376">
        <v>230451276</v>
      </c>
      <c r="G376" s="15" t="s">
        <v>1656</v>
      </c>
      <c r="H376">
        <v>1716</v>
      </c>
      <c r="I376">
        <v>1832</v>
      </c>
      <c r="J376" s="15" t="s">
        <v>1656</v>
      </c>
      <c r="K376">
        <v>0</v>
      </c>
      <c r="L376" s="15" t="s">
        <v>1262</v>
      </c>
    </row>
    <row r="377" spans="1:12">
      <c r="A377" t="s">
        <v>1718</v>
      </c>
      <c r="B377">
        <v>2</v>
      </c>
      <c r="C377" t="s">
        <v>173</v>
      </c>
      <c r="D377" t="s">
        <v>172</v>
      </c>
      <c r="E377">
        <v>21224783</v>
      </c>
      <c r="F377">
        <v>21224848</v>
      </c>
      <c r="G377" s="15" t="s">
        <v>35</v>
      </c>
      <c r="H377">
        <v>564</v>
      </c>
      <c r="I377">
        <v>639</v>
      </c>
      <c r="J377" s="15" t="s">
        <v>35</v>
      </c>
      <c r="K377">
        <v>0</v>
      </c>
      <c r="L377" s="15" t="s">
        <v>1262</v>
      </c>
    </row>
    <row r="378" spans="1:12">
      <c r="A378" t="s">
        <v>1718</v>
      </c>
      <c r="B378">
        <v>2</v>
      </c>
      <c r="C378" t="s">
        <v>1814</v>
      </c>
      <c r="D378" t="s">
        <v>172</v>
      </c>
      <c r="E378">
        <v>30608782</v>
      </c>
      <c r="F378">
        <v>30608850</v>
      </c>
      <c r="G378" s="15" t="s">
        <v>35</v>
      </c>
      <c r="H378">
        <v>1565</v>
      </c>
      <c r="I378">
        <v>1639</v>
      </c>
      <c r="J378" s="15" t="s">
        <v>1656</v>
      </c>
      <c r="K378">
        <v>61340</v>
      </c>
      <c r="L378" s="15" t="s">
        <v>1262</v>
      </c>
    </row>
    <row r="379" spans="1:12">
      <c r="A379" t="s">
        <v>1718</v>
      </c>
      <c r="B379">
        <v>2</v>
      </c>
      <c r="C379" t="s">
        <v>1815</v>
      </c>
      <c r="D379" t="s">
        <v>172</v>
      </c>
      <c r="E379">
        <v>69638318</v>
      </c>
      <c r="F379">
        <v>69638557</v>
      </c>
      <c r="G379" s="15" t="s">
        <v>35</v>
      </c>
      <c r="H379">
        <v>1695</v>
      </c>
      <c r="I379">
        <v>1805</v>
      </c>
      <c r="J379" s="15" t="s">
        <v>1656</v>
      </c>
      <c r="K379">
        <v>0</v>
      </c>
      <c r="L379" s="15" t="s">
        <v>1262</v>
      </c>
    </row>
    <row r="380" spans="1:12">
      <c r="A380" t="s">
        <v>1718</v>
      </c>
      <c r="B380">
        <v>2</v>
      </c>
      <c r="C380" t="s">
        <v>1817</v>
      </c>
      <c r="D380" t="s">
        <v>172</v>
      </c>
      <c r="E380">
        <v>129293844</v>
      </c>
      <c r="F380">
        <v>129293976</v>
      </c>
      <c r="G380" s="15" t="s">
        <v>35</v>
      </c>
      <c r="H380">
        <v>1752</v>
      </c>
      <c r="I380">
        <v>1800</v>
      </c>
      <c r="J380" s="15" t="s">
        <v>1656</v>
      </c>
      <c r="K380">
        <v>217673</v>
      </c>
      <c r="L380" s="15" t="s">
        <v>1262</v>
      </c>
    </row>
    <row r="381" spans="1:12">
      <c r="A381" t="s">
        <v>1718</v>
      </c>
      <c r="B381">
        <v>2</v>
      </c>
      <c r="C381" t="s">
        <v>2328</v>
      </c>
      <c r="D381" t="s">
        <v>172</v>
      </c>
      <c r="E381">
        <v>132241854</v>
      </c>
      <c r="F381">
        <v>132241916</v>
      </c>
      <c r="G381" s="15" t="s">
        <v>35</v>
      </c>
      <c r="H381">
        <v>1575</v>
      </c>
      <c r="I381">
        <v>1758</v>
      </c>
      <c r="J381" s="15" t="s">
        <v>1656</v>
      </c>
      <c r="K381">
        <v>0</v>
      </c>
      <c r="L381" s="15" t="s">
        <v>1262</v>
      </c>
    </row>
    <row r="382" spans="1:12">
      <c r="A382" t="s">
        <v>1718</v>
      </c>
      <c r="B382">
        <v>2</v>
      </c>
      <c r="C382" t="s">
        <v>1719</v>
      </c>
      <c r="D382" t="s">
        <v>22</v>
      </c>
      <c r="E382">
        <v>15358491</v>
      </c>
      <c r="F382">
        <v>15358566</v>
      </c>
      <c r="G382" s="15" t="s">
        <v>35</v>
      </c>
      <c r="H382">
        <v>1170</v>
      </c>
      <c r="I382">
        <v>1245</v>
      </c>
      <c r="J382" s="15" t="s">
        <v>35</v>
      </c>
      <c r="K382">
        <v>0</v>
      </c>
      <c r="L382" s="15" t="s">
        <v>1262</v>
      </c>
    </row>
    <row r="383" spans="1:12">
      <c r="A383" t="s">
        <v>1718</v>
      </c>
      <c r="B383">
        <v>2</v>
      </c>
      <c r="C383" t="s">
        <v>1818</v>
      </c>
      <c r="D383" t="s">
        <v>172</v>
      </c>
      <c r="E383">
        <v>201342522</v>
      </c>
      <c r="F383">
        <v>201342596</v>
      </c>
      <c r="G383" s="15" t="s">
        <v>35</v>
      </c>
      <c r="H383">
        <v>1560</v>
      </c>
      <c r="I383">
        <v>1634</v>
      </c>
      <c r="J383" s="15" t="s">
        <v>35</v>
      </c>
      <c r="K383">
        <v>0</v>
      </c>
      <c r="L383" s="15" t="s">
        <v>1262</v>
      </c>
    </row>
    <row r="384" spans="1:12">
      <c r="A384" t="s">
        <v>1718</v>
      </c>
      <c r="B384">
        <v>2</v>
      </c>
      <c r="C384" t="s">
        <v>1811</v>
      </c>
      <c r="D384" t="s">
        <v>172</v>
      </c>
      <c r="E384">
        <v>211507228</v>
      </c>
      <c r="F384">
        <v>211507302</v>
      </c>
      <c r="G384" s="15" t="s">
        <v>35</v>
      </c>
      <c r="H384">
        <v>658</v>
      </c>
      <c r="I384">
        <v>730</v>
      </c>
      <c r="J384" s="15" t="s">
        <v>35</v>
      </c>
      <c r="K384">
        <v>0</v>
      </c>
      <c r="L384" s="15" t="s">
        <v>1262</v>
      </c>
    </row>
    <row r="385" spans="1:12">
      <c r="A385" t="s">
        <v>1718</v>
      </c>
      <c r="B385">
        <v>2</v>
      </c>
      <c r="C385" t="s">
        <v>1831</v>
      </c>
      <c r="D385" t="s">
        <v>22</v>
      </c>
      <c r="E385">
        <v>153579878</v>
      </c>
      <c r="F385">
        <v>153579924</v>
      </c>
      <c r="G385" s="15" t="s">
        <v>35</v>
      </c>
      <c r="H385">
        <v>455</v>
      </c>
      <c r="I385">
        <v>493</v>
      </c>
      <c r="J385" s="15" t="s">
        <v>35</v>
      </c>
      <c r="K385">
        <v>0</v>
      </c>
      <c r="L385" s="15" t="s">
        <v>1262</v>
      </c>
    </row>
    <row r="386" spans="1:12">
      <c r="A386" t="s">
        <v>1718</v>
      </c>
      <c r="B386">
        <v>2</v>
      </c>
      <c r="C386" t="s">
        <v>1833</v>
      </c>
      <c r="D386" t="s">
        <v>201</v>
      </c>
      <c r="E386">
        <v>112736111</v>
      </c>
      <c r="F386">
        <v>112736244</v>
      </c>
      <c r="G386" s="15" t="s">
        <v>35</v>
      </c>
      <c r="H386">
        <v>1671</v>
      </c>
      <c r="I386">
        <v>1765</v>
      </c>
      <c r="J386" s="15" t="s">
        <v>1656</v>
      </c>
      <c r="K386">
        <v>0</v>
      </c>
      <c r="L386" s="15" t="s">
        <v>1262</v>
      </c>
    </row>
    <row r="387" spans="1:12">
      <c r="A387" t="s">
        <v>1718</v>
      </c>
      <c r="B387">
        <v>2</v>
      </c>
      <c r="C387" t="s">
        <v>1827</v>
      </c>
      <c r="D387" t="s">
        <v>201</v>
      </c>
      <c r="E387">
        <v>128902629</v>
      </c>
      <c r="F387">
        <v>128902704</v>
      </c>
      <c r="G387" s="15" t="s">
        <v>35</v>
      </c>
      <c r="H387">
        <v>2824</v>
      </c>
      <c r="I387">
        <v>2896</v>
      </c>
      <c r="J387" s="15" t="s">
        <v>35</v>
      </c>
      <c r="K387">
        <v>0</v>
      </c>
      <c r="L387" s="15" t="s">
        <v>1262</v>
      </c>
    </row>
    <row r="388" spans="1:12">
      <c r="A388" t="s">
        <v>1718</v>
      </c>
      <c r="B388">
        <v>2</v>
      </c>
      <c r="C388" t="s">
        <v>1834</v>
      </c>
      <c r="D388" t="s">
        <v>201</v>
      </c>
      <c r="E388">
        <v>129772417</v>
      </c>
      <c r="F388">
        <v>129772616</v>
      </c>
      <c r="G388" s="15" t="s">
        <v>35</v>
      </c>
      <c r="H388">
        <v>1690</v>
      </c>
      <c r="I388">
        <v>1833</v>
      </c>
      <c r="J388" s="15" t="s">
        <v>1656</v>
      </c>
      <c r="K388">
        <v>28256</v>
      </c>
      <c r="L388" s="15" t="s">
        <v>1262</v>
      </c>
    </row>
    <row r="389" spans="1:12">
      <c r="A389" t="s">
        <v>1718</v>
      </c>
      <c r="B389">
        <v>2</v>
      </c>
      <c r="C389" t="s">
        <v>1729</v>
      </c>
      <c r="D389" t="s">
        <v>201</v>
      </c>
      <c r="E389">
        <v>189051280</v>
      </c>
      <c r="F389">
        <v>189051394</v>
      </c>
      <c r="G389" s="15" t="s">
        <v>35</v>
      </c>
      <c r="H389">
        <v>3157</v>
      </c>
      <c r="I389">
        <v>3243</v>
      </c>
      <c r="J389" s="15" t="s">
        <v>35</v>
      </c>
      <c r="K389">
        <v>10009</v>
      </c>
      <c r="L389" s="15" t="s">
        <v>1262</v>
      </c>
    </row>
    <row r="390" spans="1:12">
      <c r="A390" t="s">
        <v>1718</v>
      </c>
      <c r="B390">
        <v>2</v>
      </c>
      <c r="C390" t="s">
        <v>221</v>
      </c>
      <c r="D390" t="s">
        <v>220</v>
      </c>
      <c r="E390">
        <v>74277822</v>
      </c>
      <c r="F390">
        <v>74283877</v>
      </c>
      <c r="G390" s="15" t="s">
        <v>1656</v>
      </c>
      <c r="H390">
        <v>447</v>
      </c>
      <c r="I390">
        <v>855</v>
      </c>
      <c r="J390" s="15" t="s">
        <v>1656</v>
      </c>
      <c r="K390">
        <v>0</v>
      </c>
      <c r="L390" s="15" t="s">
        <v>1262</v>
      </c>
    </row>
    <row r="391" spans="1:12">
      <c r="A391" t="s">
        <v>1718</v>
      </c>
      <c r="B391">
        <v>2</v>
      </c>
      <c r="C391" t="s">
        <v>221</v>
      </c>
      <c r="D391" t="s">
        <v>220</v>
      </c>
      <c r="E391">
        <v>74286862</v>
      </c>
      <c r="F391">
        <v>74286974</v>
      </c>
      <c r="G391" s="15" t="s">
        <v>35</v>
      </c>
      <c r="H391">
        <v>281</v>
      </c>
      <c r="I391">
        <v>356</v>
      </c>
      <c r="J391" s="15" t="s">
        <v>1656</v>
      </c>
      <c r="K391">
        <v>0</v>
      </c>
      <c r="L391" s="15" t="s">
        <v>1262</v>
      </c>
    </row>
    <row r="392" spans="1:12">
      <c r="A392" t="s">
        <v>1718</v>
      </c>
      <c r="B392">
        <v>2</v>
      </c>
      <c r="C392" t="s">
        <v>221</v>
      </c>
      <c r="D392" t="s">
        <v>220</v>
      </c>
      <c r="E392">
        <v>74275094</v>
      </c>
      <c r="F392">
        <v>74279268</v>
      </c>
      <c r="G392" s="15" t="s">
        <v>35</v>
      </c>
      <c r="H392">
        <v>1675</v>
      </c>
      <c r="I392">
        <v>1804</v>
      </c>
      <c r="J392" s="15" t="s">
        <v>35</v>
      </c>
      <c r="K392">
        <v>0</v>
      </c>
      <c r="L392" s="15" t="s">
        <v>1262</v>
      </c>
    </row>
    <row r="393" spans="1:12">
      <c r="A393" t="s">
        <v>1718</v>
      </c>
      <c r="B393">
        <v>2</v>
      </c>
      <c r="C393" t="s">
        <v>1845</v>
      </c>
      <c r="D393" t="s">
        <v>220</v>
      </c>
      <c r="E393">
        <v>85779429</v>
      </c>
      <c r="F393">
        <v>85779504</v>
      </c>
      <c r="G393" s="15" t="s">
        <v>35</v>
      </c>
      <c r="H393">
        <v>291</v>
      </c>
      <c r="I393">
        <v>366</v>
      </c>
      <c r="J393" s="15" t="s">
        <v>1656</v>
      </c>
      <c r="K393">
        <v>0</v>
      </c>
      <c r="L393" s="15" t="s">
        <v>1262</v>
      </c>
    </row>
    <row r="394" spans="1:12">
      <c r="A394" t="s">
        <v>1718</v>
      </c>
      <c r="B394">
        <v>2</v>
      </c>
      <c r="C394" t="s">
        <v>1851</v>
      </c>
      <c r="D394" t="s">
        <v>226</v>
      </c>
      <c r="E394">
        <v>66428088</v>
      </c>
      <c r="F394">
        <v>66428219</v>
      </c>
      <c r="G394" s="15" t="s">
        <v>1656</v>
      </c>
      <c r="H394">
        <v>1583</v>
      </c>
      <c r="I394">
        <v>1723</v>
      </c>
      <c r="J394" s="15" t="s">
        <v>1656</v>
      </c>
      <c r="K394">
        <v>0</v>
      </c>
      <c r="L394" s="15" t="s">
        <v>1262</v>
      </c>
    </row>
    <row r="395" spans="1:12">
      <c r="A395" t="s">
        <v>1718</v>
      </c>
      <c r="B395">
        <v>2</v>
      </c>
      <c r="C395" t="s">
        <v>1857</v>
      </c>
      <c r="D395" t="s">
        <v>226</v>
      </c>
      <c r="E395">
        <v>148886623</v>
      </c>
      <c r="F395">
        <v>148886698</v>
      </c>
      <c r="G395" s="15" t="s">
        <v>35</v>
      </c>
      <c r="H395">
        <v>1406</v>
      </c>
      <c r="I395">
        <v>1481</v>
      </c>
      <c r="J395" s="15" t="s">
        <v>1656</v>
      </c>
      <c r="K395">
        <v>0</v>
      </c>
      <c r="L395" s="15" t="s">
        <v>1262</v>
      </c>
    </row>
    <row r="396" spans="1:12">
      <c r="A396" t="s">
        <v>1718</v>
      </c>
      <c r="B396">
        <v>2</v>
      </c>
      <c r="C396" t="s">
        <v>1785</v>
      </c>
      <c r="D396" t="s">
        <v>237</v>
      </c>
      <c r="E396">
        <v>10728871</v>
      </c>
      <c r="F396">
        <v>10728933</v>
      </c>
      <c r="G396" s="15" t="s">
        <v>35</v>
      </c>
      <c r="H396">
        <v>1695</v>
      </c>
      <c r="I396">
        <v>1770</v>
      </c>
      <c r="J396" s="15" t="s">
        <v>35</v>
      </c>
      <c r="K396">
        <v>0</v>
      </c>
      <c r="L396" s="15" t="s">
        <v>1262</v>
      </c>
    </row>
    <row r="397" spans="1:12">
      <c r="A397" t="s">
        <v>1718</v>
      </c>
      <c r="B397">
        <v>2</v>
      </c>
      <c r="C397" t="s">
        <v>1863</v>
      </c>
      <c r="D397" t="s">
        <v>237</v>
      </c>
      <c r="E397">
        <v>157538933</v>
      </c>
      <c r="F397">
        <v>157539003</v>
      </c>
      <c r="G397" s="15" t="s">
        <v>35</v>
      </c>
      <c r="H397">
        <v>1681</v>
      </c>
      <c r="I397">
        <v>1811</v>
      </c>
      <c r="J397" s="15" t="s">
        <v>1656</v>
      </c>
      <c r="K397">
        <v>7020</v>
      </c>
      <c r="L397" s="15" t="s">
        <v>1262</v>
      </c>
    </row>
    <row r="398" spans="1:12">
      <c r="A398" t="s">
        <v>1718</v>
      </c>
      <c r="B398">
        <v>2</v>
      </c>
      <c r="C398" t="s">
        <v>1866</v>
      </c>
      <c r="D398" t="s">
        <v>257</v>
      </c>
      <c r="E398">
        <v>99569467</v>
      </c>
      <c r="F398">
        <v>99569542</v>
      </c>
      <c r="G398" s="15" t="s">
        <v>1656</v>
      </c>
      <c r="H398">
        <v>397</v>
      </c>
      <c r="I398">
        <v>472</v>
      </c>
      <c r="J398" s="15" t="s">
        <v>1656</v>
      </c>
      <c r="K398">
        <v>0</v>
      </c>
      <c r="L398" s="15" t="s">
        <v>1262</v>
      </c>
    </row>
    <row r="399" spans="1:12">
      <c r="A399" t="s">
        <v>1718</v>
      </c>
      <c r="B399">
        <v>2</v>
      </c>
      <c r="C399" t="s">
        <v>1867</v>
      </c>
      <c r="D399" t="s">
        <v>257</v>
      </c>
      <c r="E399">
        <v>128152560</v>
      </c>
      <c r="F399">
        <v>128152599</v>
      </c>
      <c r="G399" s="15" t="s">
        <v>1656</v>
      </c>
      <c r="H399">
        <v>1582</v>
      </c>
      <c r="I399">
        <v>1717</v>
      </c>
      <c r="J399" s="15" t="s">
        <v>1656</v>
      </c>
      <c r="K399">
        <v>9621</v>
      </c>
      <c r="L399" s="15" t="s">
        <v>1262</v>
      </c>
    </row>
    <row r="400" spans="1:12">
      <c r="A400" t="s">
        <v>1718</v>
      </c>
      <c r="B400">
        <v>2</v>
      </c>
      <c r="C400" t="s">
        <v>1868</v>
      </c>
      <c r="D400" t="s">
        <v>257</v>
      </c>
      <c r="E400">
        <v>137995842</v>
      </c>
      <c r="F400">
        <v>137995955</v>
      </c>
      <c r="G400" s="15" t="s">
        <v>1656</v>
      </c>
      <c r="H400">
        <v>1763</v>
      </c>
      <c r="I400">
        <v>1833</v>
      </c>
      <c r="J400" s="15" t="s">
        <v>1656</v>
      </c>
      <c r="K400">
        <v>149123</v>
      </c>
      <c r="L400" s="15" t="s">
        <v>1262</v>
      </c>
    </row>
    <row r="401" spans="1:12">
      <c r="A401" t="s">
        <v>1718</v>
      </c>
      <c r="B401">
        <v>2</v>
      </c>
      <c r="C401" t="s">
        <v>1870</v>
      </c>
      <c r="D401" t="s">
        <v>279</v>
      </c>
      <c r="E401">
        <v>99114788</v>
      </c>
      <c r="F401">
        <v>99114863</v>
      </c>
      <c r="G401" s="15" t="s">
        <v>1656</v>
      </c>
      <c r="H401">
        <v>1404</v>
      </c>
      <c r="I401">
        <v>1479</v>
      </c>
      <c r="J401" s="15" t="s">
        <v>1656</v>
      </c>
      <c r="K401">
        <v>0</v>
      </c>
      <c r="L401" s="15" t="s">
        <v>1262</v>
      </c>
    </row>
    <row r="402" spans="1:12">
      <c r="A402" t="s">
        <v>1718</v>
      </c>
      <c r="B402">
        <v>2</v>
      </c>
      <c r="C402" t="s">
        <v>1873</v>
      </c>
      <c r="D402" t="s">
        <v>279</v>
      </c>
      <c r="E402">
        <v>27456091</v>
      </c>
      <c r="F402">
        <v>27457310</v>
      </c>
      <c r="G402" s="15" t="s">
        <v>35</v>
      </c>
      <c r="H402">
        <v>1560</v>
      </c>
      <c r="I402">
        <v>1628</v>
      </c>
      <c r="J402" s="15" t="s">
        <v>1656</v>
      </c>
      <c r="K402">
        <v>0</v>
      </c>
      <c r="L402" s="15" t="s">
        <v>1262</v>
      </c>
    </row>
    <row r="403" spans="1:12">
      <c r="A403" t="s">
        <v>1718</v>
      </c>
      <c r="B403">
        <v>2</v>
      </c>
      <c r="C403" t="s">
        <v>814</v>
      </c>
      <c r="D403" t="s">
        <v>279</v>
      </c>
      <c r="E403">
        <v>68101640</v>
      </c>
      <c r="F403">
        <v>68101809</v>
      </c>
      <c r="G403" s="15" t="s">
        <v>35</v>
      </c>
      <c r="H403">
        <v>1766</v>
      </c>
      <c r="I403">
        <v>1832</v>
      </c>
      <c r="J403" s="15" t="s">
        <v>1656</v>
      </c>
      <c r="K403">
        <v>0</v>
      </c>
      <c r="L403" s="15" t="s">
        <v>1262</v>
      </c>
    </row>
    <row r="404" spans="1:12">
      <c r="A404" t="s">
        <v>1718</v>
      </c>
      <c r="B404">
        <v>2</v>
      </c>
      <c r="C404" t="s">
        <v>1874</v>
      </c>
      <c r="D404" t="s">
        <v>279</v>
      </c>
      <c r="E404">
        <v>93719653</v>
      </c>
      <c r="F404">
        <v>93719776</v>
      </c>
      <c r="G404" s="15" t="s">
        <v>35</v>
      </c>
      <c r="H404">
        <v>299</v>
      </c>
      <c r="I404">
        <v>418</v>
      </c>
      <c r="J404" s="15" t="s">
        <v>1656</v>
      </c>
      <c r="K404">
        <v>5536</v>
      </c>
      <c r="L404" s="15" t="s">
        <v>1262</v>
      </c>
    </row>
    <row r="405" spans="1:12">
      <c r="A405" t="s">
        <v>1718</v>
      </c>
      <c r="B405">
        <v>2</v>
      </c>
      <c r="C405" t="s">
        <v>1875</v>
      </c>
      <c r="D405" t="s">
        <v>279</v>
      </c>
      <c r="E405">
        <v>111568673</v>
      </c>
      <c r="F405">
        <v>111568748</v>
      </c>
      <c r="G405" s="15" t="s">
        <v>35</v>
      </c>
      <c r="H405">
        <v>1690</v>
      </c>
      <c r="I405">
        <v>1765</v>
      </c>
      <c r="J405" s="15" t="s">
        <v>1656</v>
      </c>
      <c r="K405">
        <v>581714</v>
      </c>
      <c r="L405" s="15" t="s">
        <v>1262</v>
      </c>
    </row>
    <row r="406" spans="1:12">
      <c r="A406" t="s">
        <v>1718</v>
      </c>
      <c r="B406">
        <v>2</v>
      </c>
      <c r="C406" t="s">
        <v>1876</v>
      </c>
      <c r="D406" t="s">
        <v>292</v>
      </c>
      <c r="E406">
        <v>20815162</v>
      </c>
      <c r="F406">
        <v>20815201</v>
      </c>
      <c r="G406" s="15" t="s">
        <v>1656</v>
      </c>
      <c r="H406">
        <v>1585</v>
      </c>
      <c r="I406">
        <v>1833</v>
      </c>
      <c r="J406" s="15" t="s">
        <v>1656</v>
      </c>
      <c r="K406">
        <v>0</v>
      </c>
      <c r="L406" s="15" t="s">
        <v>1262</v>
      </c>
    </row>
    <row r="407" spans="1:12">
      <c r="A407" t="s">
        <v>1718</v>
      </c>
      <c r="B407">
        <v>2</v>
      </c>
      <c r="C407" t="s">
        <v>1879</v>
      </c>
      <c r="D407" t="s">
        <v>292</v>
      </c>
      <c r="E407">
        <v>116823230</v>
      </c>
      <c r="F407">
        <v>116823742</v>
      </c>
      <c r="G407" s="15" t="s">
        <v>1656</v>
      </c>
      <c r="H407">
        <v>1648</v>
      </c>
      <c r="I407">
        <v>1725</v>
      </c>
      <c r="J407" s="15" t="s">
        <v>1656</v>
      </c>
      <c r="K407">
        <v>0</v>
      </c>
      <c r="L407" s="15" t="s">
        <v>1262</v>
      </c>
    </row>
    <row r="408" spans="1:12">
      <c r="A408" t="s">
        <v>1718</v>
      </c>
      <c r="B408">
        <v>2</v>
      </c>
      <c r="C408" t="s">
        <v>1882</v>
      </c>
      <c r="D408" t="s">
        <v>292</v>
      </c>
      <c r="E408">
        <v>98990501</v>
      </c>
      <c r="F408">
        <v>98990639</v>
      </c>
      <c r="G408" s="15" t="s">
        <v>35</v>
      </c>
      <c r="H408">
        <v>1643</v>
      </c>
      <c r="I408">
        <v>1788</v>
      </c>
      <c r="J408" s="15" t="s">
        <v>1656</v>
      </c>
      <c r="K408">
        <v>7087</v>
      </c>
      <c r="L408" s="15" t="s">
        <v>1262</v>
      </c>
    </row>
    <row r="409" spans="1:12">
      <c r="A409" t="s">
        <v>1718</v>
      </c>
      <c r="B409">
        <v>2</v>
      </c>
      <c r="C409" t="s">
        <v>1633</v>
      </c>
      <c r="D409" t="s">
        <v>292</v>
      </c>
      <c r="E409">
        <v>123807045</v>
      </c>
      <c r="F409">
        <v>123807179</v>
      </c>
      <c r="G409" s="15" t="s">
        <v>35</v>
      </c>
      <c r="H409">
        <v>1648</v>
      </c>
      <c r="I409">
        <v>1834</v>
      </c>
      <c r="J409" s="15" t="s">
        <v>1656</v>
      </c>
      <c r="K409">
        <v>0</v>
      </c>
      <c r="L409" s="15" t="s">
        <v>1262</v>
      </c>
    </row>
    <row r="410" spans="1:12">
      <c r="A410" t="s">
        <v>1718</v>
      </c>
      <c r="B410">
        <v>2</v>
      </c>
      <c r="C410" t="s">
        <v>1697</v>
      </c>
      <c r="D410" t="s">
        <v>1787</v>
      </c>
      <c r="E410">
        <v>3108</v>
      </c>
      <c r="F410">
        <v>13304</v>
      </c>
      <c r="G410" s="15" t="s">
        <v>1656</v>
      </c>
      <c r="H410">
        <v>320</v>
      </c>
      <c r="I410">
        <v>418</v>
      </c>
      <c r="J410" s="15" t="s">
        <v>1656</v>
      </c>
      <c r="K410" t="s">
        <v>1697</v>
      </c>
      <c r="L410" s="15" t="s">
        <v>1262</v>
      </c>
    </row>
    <row r="411" spans="1:12">
      <c r="A411" t="s">
        <v>1718</v>
      </c>
      <c r="B411">
        <v>2</v>
      </c>
      <c r="C411" t="s">
        <v>1697</v>
      </c>
      <c r="D411" t="s">
        <v>1787</v>
      </c>
      <c r="E411">
        <v>12434</v>
      </c>
      <c r="F411">
        <v>15413</v>
      </c>
      <c r="G411" s="15" t="s">
        <v>1656</v>
      </c>
      <c r="H411">
        <v>342</v>
      </c>
      <c r="I411">
        <v>714</v>
      </c>
      <c r="J411" s="15" t="s">
        <v>35</v>
      </c>
      <c r="K411" t="s">
        <v>1697</v>
      </c>
      <c r="L411" s="15" t="s">
        <v>1262</v>
      </c>
    </row>
    <row r="412" spans="1:12">
      <c r="A412" t="s">
        <v>1718</v>
      </c>
      <c r="B412">
        <v>2</v>
      </c>
      <c r="C412" t="s">
        <v>1697</v>
      </c>
      <c r="D412" t="s">
        <v>1787</v>
      </c>
      <c r="E412">
        <v>219</v>
      </c>
      <c r="F412">
        <v>286</v>
      </c>
      <c r="G412" s="15" t="s">
        <v>1656</v>
      </c>
      <c r="H412">
        <v>1694</v>
      </c>
      <c r="I412">
        <v>1749</v>
      </c>
      <c r="J412" s="15" t="s">
        <v>35</v>
      </c>
      <c r="K412" t="s">
        <v>1697</v>
      </c>
      <c r="L412" s="15" t="s">
        <v>1262</v>
      </c>
    </row>
    <row r="413" spans="1:12">
      <c r="A413" t="s">
        <v>1718</v>
      </c>
      <c r="B413">
        <v>2</v>
      </c>
      <c r="C413" t="s">
        <v>1697</v>
      </c>
      <c r="D413" t="s">
        <v>1787</v>
      </c>
      <c r="E413">
        <v>3564</v>
      </c>
      <c r="F413">
        <v>10753</v>
      </c>
      <c r="G413" s="15" t="s">
        <v>35</v>
      </c>
      <c r="H413">
        <v>240</v>
      </c>
      <c r="I413">
        <v>356</v>
      </c>
      <c r="J413" s="15" t="s">
        <v>1656</v>
      </c>
      <c r="K413" t="s">
        <v>1697</v>
      </c>
      <c r="L413" s="15" t="s">
        <v>1262</v>
      </c>
    </row>
    <row r="414" spans="1:12">
      <c r="A414" t="s">
        <v>1718</v>
      </c>
      <c r="B414">
        <v>2</v>
      </c>
      <c r="C414" t="s">
        <v>2335</v>
      </c>
      <c r="D414" t="s">
        <v>1887</v>
      </c>
      <c r="E414">
        <v>9973927</v>
      </c>
      <c r="F414">
        <v>9974001</v>
      </c>
      <c r="G414" s="15" t="s">
        <v>35</v>
      </c>
      <c r="H414">
        <v>1565</v>
      </c>
      <c r="I414">
        <v>1718</v>
      </c>
      <c r="J414" s="15" t="s">
        <v>1656</v>
      </c>
      <c r="K414">
        <v>224356</v>
      </c>
      <c r="L414" s="15" t="s">
        <v>1262</v>
      </c>
    </row>
    <row r="415" spans="1:12">
      <c r="A415" t="s">
        <v>1718</v>
      </c>
      <c r="B415">
        <v>2</v>
      </c>
      <c r="C415" t="s">
        <v>1697</v>
      </c>
      <c r="D415" t="s">
        <v>69</v>
      </c>
      <c r="E415">
        <v>110110311</v>
      </c>
      <c r="F415">
        <v>110110386</v>
      </c>
      <c r="G415" s="15" t="s">
        <v>35</v>
      </c>
      <c r="H415">
        <v>304</v>
      </c>
      <c r="I415">
        <v>379</v>
      </c>
      <c r="J415" s="15" t="s">
        <v>1656</v>
      </c>
      <c r="K415">
        <v>820103</v>
      </c>
      <c r="L415" s="15" t="s">
        <v>1262</v>
      </c>
    </row>
    <row r="416" spans="1:12">
      <c r="A416" t="s">
        <v>1718</v>
      </c>
      <c r="B416">
        <v>2</v>
      </c>
      <c r="C416" t="s">
        <v>1891</v>
      </c>
      <c r="D416" t="s">
        <v>83</v>
      </c>
      <c r="E416">
        <v>116706808</v>
      </c>
      <c r="F416">
        <v>116706883</v>
      </c>
      <c r="G416" s="15" t="s">
        <v>1656</v>
      </c>
      <c r="H416">
        <v>424</v>
      </c>
      <c r="I416">
        <v>493</v>
      </c>
      <c r="J416" s="15" t="s">
        <v>35</v>
      </c>
      <c r="K416">
        <v>0</v>
      </c>
      <c r="L416" s="15" t="s">
        <v>1262</v>
      </c>
    </row>
    <row r="417" spans="1:12">
      <c r="A417" t="s">
        <v>1718</v>
      </c>
      <c r="B417">
        <v>2</v>
      </c>
      <c r="C417" t="s">
        <v>2336</v>
      </c>
      <c r="D417" t="s">
        <v>83</v>
      </c>
      <c r="E417">
        <v>63071615</v>
      </c>
      <c r="F417">
        <v>63071690</v>
      </c>
      <c r="G417" s="15" t="s">
        <v>35</v>
      </c>
      <c r="H417">
        <v>415</v>
      </c>
      <c r="I417">
        <v>490</v>
      </c>
      <c r="J417" s="15" t="s">
        <v>35</v>
      </c>
      <c r="K417">
        <v>0</v>
      </c>
      <c r="L417" s="15" t="s">
        <v>1262</v>
      </c>
    </row>
    <row r="418" spans="1:12">
      <c r="A418" t="s">
        <v>1718</v>
      </c>
      <c r="B418">
        <v>2</v>
      </c>
      <c r="C418" t="s">
        <v>1789</v>
      </c>
      <c r="D418" t="s">
        <v>83</v>
      </c>
      <c r="E418">
        <v>116701489</v>
      </c>
      <c r="F418">
        <v>116703499</v>
      </c>
      <c r="G418" s="15" t="s">
        <v>35</v>
      </c>
      <c r="H418">
        <v>137</v>
      </c>
      <c r="I418">
        <v>231</v>
      </c>
      <c r="J418" s="15" t="s">
        <v>35</v>
      </c>
      <c r="K418">
        <v>0</v>
      </c>
      <c r="L418" s="15" t="s">
        <v>1262</v>
      </c>
    </row>
    <row r="419" spans="1:12">
      <c r="A419" t="s">
        <v>1718</v>
      </c>
      <c r="B419">
        <v>2</v>
      </c>
      <c r="C419" t="s">
        <v>1896</v>
      </c>
      <c r="D419" t="s">
        <v>104</v>
      </c>
      <c r="E419">
        <v>58840302</v>
      </c>
      <c r="F419">
        <v>58840383</v>
      </c>
      <c r="G419" s="15" t="s">
        <v>1656</v>
      </c>
      <c r="H419">
        <v>1728</v>
      </c>
      <c r="I419">
        <v>1833</v>
      </c>
      <c r="J419" s="15" t="s">
        <v>1656</v>
      </c>
      <c r="K419">
        <v>425553</v>
      </c>
      <c r="L419" s="15" t="s">
        <v>1262</v>
      </c>
    </row>
    <row r="420" spans="1:12">
      <c r="A420" t="s">
        <v>1718</v>
      </c>
      <c r="B420">
        <v>2</v>
      </c>
      <c r="C420" t="s">
        <v>1898</v>
      </c>
      <c r="D420" t="s">
        <v>104</v>
      </c>
      <c r="E420">
        <v>103232250</v>
      </c>
      <c r="F420">
        <v>103232325</v>
      </c>
      <c r="G420" s="15" t="s">
        <v>35</v>
      </c>
      <c r="H420">
        <v>1643</v>
      </c>
      <c r="I420">
        <v>1718</v>
      </c>
      <c r="J420" s="15" t="s">
        <v>35</v>
      </c>
      <c r="K420">
        <v>0</v>
      </c>
      <c r="L420" s="15" t="s">
        <v>1262</v>
      </c>
    </row>
    <row r="421" spans="1:12">
      <c r="A421" t="s">
        <v>1718</v>
      </c>
      <c r="B421">
        <v>2</v>
      </c>
      <c r="C421" t="s">
        <v>1899</v>
      </c>
      <c r="D421" t="s">
        <v>339</v>
      </c>
      <c r="E421">
        <v>33245638</v>
      </c>
      <c r="F421">
        <v>33245762</v>
      </c>
      <c r="G421" s="15" t="s">
        <v>1656</v>
      </c>
      <c r="H421">
        <v>1674</v>
      </c>
      <c r="I421">
        <v>1767</v>
      </c>
      <c r="J421" s="15" t="s">
        <v>1656</v>
      </c>
      <c r="K421">
        <v>0</v>
      </c>
      <c r="L421" s="15" t="s">
        <v>1262</v>
      </c>
    </row>
    <row r="422" spans="1:12">
      <c r="A422" t="s">
        <v>1718</v>
      </c>
      <c r="B422">
        <v>2</v>
      </c>
      <c r="C422" t="s">
        <v>1902</v>
      </c>
      <c r="D422" t="s">
        <v>22</v>
      </c>
      <c r="E422">
        <v>79726519</v>
      </c>
      <c r="F422">
        <v>79726679</v>
      </c>
      <c r="G422" s="15" t="s">
        <v>1656</v>
      </c>
      <c r="H422">
        <v>1399</v>
      </c>
      <c r="I422">
        <v>1497</v>
      </c>
      <c r="J422" s="15" t="s">
        <v>1656</v>
      </c>
      <c r="K422">
        <v>254184</v>
      </c>
      <c r="L422" s="15" t="s">
        <v>1262</v>
      </c>
    </row>
    <row r="423" spans="1:12">
      <c r="A423" t="s">
        <v>1718</v>
      </c>
      <c r="B423">
        <v>2</v>
      </c>
      <c r="C423" t="s">
        <v>1903</v>
      </c>
      <c r="D423" t="s">
        <v>339</v>
      </c>
      <c r="E423">
        <v>60882507</v>
      </c>
      <c r="F423">
        <v>60882731</v>
      </c>
      <c r="G423" s="15" t="s">
        <v>1656</v>
      </c>
      <c r="H423">
        <v>1568</v>
      </c>
      <c r="I423">
        <v>1765</v>
      </c>
      <c r="J423" s="15" t="s">
        <v>1656</v>
      </c>
      <c r="K423">
        <v>87859</v>
      </c>
      <c r="L423" s="15" t="s">
        <v>1262</v>
      </c>
    </row>
    <row r="424" spans="1:12">
      <c r="A424" t="s">
        <v>1718</v>
      </c>
      <c r="B424">
        <v>2</v>
      </c>
      <c r="C424" t="s">
        <v>1697</v>
      </c>
      <c r="D424" t="s">
        <v>339</v>
      </c>
      <c r="E424">
        <v>90290454</v>
      </c>
      <c r="F424">
        <v>90290525</v>
      </c>
      <c r="G424" s="15" t="s">
        <v>35</v>
      </c>
      <c r="H424">
        <v>1715</v>
      </c>
      <c r="I424">
        <v>1790</v>
      </c>
      <c r="J424" s="15" t="s">
        <v>1656</v>
      </c>
      <c r="K424">
        <v>73787</v>
      </c>
      <c r="L424" s="15" t="s">
        <v>1262</v>
      </c>
    </row>
    <row r="425" spans="1:12">
      <c r="A425" t="s">
        <v>1718</v>
      </c>
      <c r="B425">
        <v>2</v>
      </c>
      <c r="C425" t="s">
        <v>1907</v>
      </c>
      <c r="D425" t="s">
        <v>339</v>
      </c>
      <c r="E425">
        <v>96648101</v>
      </c>
      <c r="F425">
        <v>96648161</v>
      </c>
      <c r="G425" s="15" t="s">
        <v>35</v>
      </c>
      <c r="H425">
        <v>1560</v>
      </c>
      <c r="I425">
        <v>1771</v>
      </c>
      <c r="J425" s="15" t="s">
        <v>1656</v>
      </c>
      <c r="K425">
        <v>0</v>
      </c>
      <c r="L425" s="15" t="s">
        <v>1262</v>
      </c>
    </row>
    <row r="426" spans="1:12">
      <c r="A426" t="s">
        <v>1718</v>
      </c>
      <c r="B426">
        <v>2</v>
      </c>
      <c r="C426" t="s">
        <v>1794</v>
      </c>
      <c r="D426" t="s">
        <v>118</v>
      </c>
      <c r="E426">
        <v>69270970</v>
      </c>
      <c r="F426">
        <v>69271105</v>
      </c>
      <c r="G426" s="15" t="s">
        <v>1656</v>
      </c>
      <c r="H426">
        <v>1649</v>
      </c>
      <c r="I426">
        <v>1728</v>
      </c>
      <c r="J426" s="15" t="s">
        <v>1656</v>
      </c>
      <c r="K426">
        <v>8145</v>
      </c>
      <c r="L426" s="15" t="s">
        <v>1262</v>
      </c>
    </row>
    <row r="427" spans="1:12">
      <c r="A427" t="s">
        <v>1910</v>
      </c>
      <c r="B427">
        <v>2</v>
      </c>
      <c r="C427" t="s">
        <v>1911</v>
      </c>
      <c r="D427" t="s">
        <v>118</v>
      </c>
      <c r="E427">
        <v>52458045</v>
      </c>
      <c r="F427">
        <v>52458130</v>
      </c>
      <c r="G427" s="15" t="s">
        <v>35</v>
      </c>
      <c r="H427">
        <v>363</v>
      </c>
      <c r="I427">
        <v>459</v>
      </c>
      <c r="J427" s="15" t="s">
        <v>1656</v>
      </c>
      <c r="K427">
        <v>0</v>
      </c>
      <c r="L427" s="15" t="s">
        <v>1262</v>
      </c>
    </row>
    <row r="428" spans="1:12">
      <c r="A428" t="s">
        <v>1910</v>
      </c>
      <c r="B428">
        <v>2</v>
      </c>
      <c r="C428" t="s">
        <v>1911</v>
      </c>
      <c r="D428" t="s">
        <v>118</v>
      </c>
      <c r="E428">
        <v>52455097</v>
      </c>
      <c r="F428">
        <v>52455282</v>
      </c>
      <c r="G428" s="15" t="s">
        <v>35</v>
      </c>
      <c r="H428">
        <v>1748</v>
      </c>
      <c r="I428">
        <v>1833</v>
      </c>
      <c r="J428" s="15" t="s">
        <v>1656</v>
      </c>
      <c r="K428">
        <v>1130</v>
      </c>
      <c r="L428" s="15" t="s">
        <v>1262</v>
      </c>
    </row>
    <row r="429" spans="1:12">
      <c r="A429" t="s">
        <v>1695</v>
      </c>
      <c r="B429">
        <v>2</v>
      </c>
      <c r="C429" t="s">
        <v>1998</v>
      </c>
      <c r="D429" t="s">
        <v>104</v>
      </c>
      <c r="E429">
        <v>45004651</v>
      </c>
      <c r="F429">
        <v>45004756</v>
      </c>
      <c r="G429" s="15" t="s">
        <v>1656</v>
      </c>
      <c r="H429">
        <v>292</v>
      </c>
      <c r="I429">
        <v>374</v>
      </c>
      <c r="J429" s="15" t="s">
        <v>1656</v>
      </c>
      <c r="K429">
        <v>0</v>
      </c>
      <c r="L429" s="15" t="s">
        <v>1262</v>
      </c>
    </row>
    <row r="430" spans="1:12">
      <c r="A430" t="s">
        <v>1695</v>
      </c>
      <c r="B430">
        <v>2</v>
      </c>
      <c r="C430" t="s">
        <v>2001</v>
      </c>
      <c r="D430" t="s">
        <v>104</v>
      </c>
      <c r="E430">
        <v>114886962</v>
      </c>
      <c r="F430">
        <v>114887037</v>
      </c>
      <c r="G430" s="15" t="s">
        <v>1656</v>
      </c>
      <c r="H430">
        <v>1790</v>
      </c>
      <c r="I430">
        <v>1831</v>
      </c>
      <c r="J430" s="15" t="s">
        <v>1656</v>
      </c>
      <c r="K430">
        <v>36400</v>
      </c>
      <c r="L430" s="15" t="s">
        <v>1262</v>
      </c>
    </row>
    <row r="431" spans="1:12">
      <c r="A431" t="s">
        <v>1695</v>
      </c>
      <c r="B431">
        <v>2</v>
      </c>
      <c r="C431" t="s">
        <v>2003</v>
      </c>
      <c r="D431" t="s">
        <v>104</v>
      </c>
      <c r="E431">
        <v>1703928</v>
      </c>
      <c r="F431">
        <v>1703983</v>
      </c>
      <c r="G431" s="15" t="s">
        <v>35</v>
      </c>
      <c r="H431">
        <v>1577</v>
      </c>
      <c r="I431">
        <v>1746</v>
      </c>
      <c r="J431" s="15" t="s">
        <v>1656</v>
      </c>
      <c r="K431">
        <v>597</v>
      </c>
      <c r="L431" s="15" t="s">
        <v>1262</v>
      </c>
    </row>
    <row r="432" spans="1:12">
      <c r="A432" t="s">
        <v>1695</v>
      </c>
      <c r="B432">
        <v>2</v>
      </c>
      <c r="C432" t="s">
        <v>1994</v>
      </c>
      <c r="D432" t="s">
        <v>104</v>
      </c>
      <c r="E432">
        <v>7170243</v>
      </c>
      <c r="F432">
        <v>7173939</v>
      </c>
      <c r="G432" s="15" t="s">
        <v>35</v>
      </c>
      <c r="H432">
        <v>400</v>
      </c>
      <c r="I432">
        <v>758</v>
      </c>
      <c r="J432" s="15" t="s">
        <v>35</v>
      </c>
      <c r="K432">
        <v>0</v>
      </c>
      <c r="L432" s="15" t="s">
        <v>1262</v>
      </c>
    </row>
    <row r="433" spans="1:12">
      <c r="A433" t="s">
        <v>1695</v>
      </c>
      <c r="B433">
        <v>2</v>
      </c>
      <c r="C433" t="s">
        <v>2005</v>
      </c>
      <c r="D433" t="s">
        <v>104</v>
      </c>
      <c r="E433">
        <v>79565845</v>
      </c>
      <c r="F433">
        <v>79566026</v>
      </c>
      <c r="G433" s="15" t="s">
        <v>35</v>
      </c>
      <c r="H433">
        <v>1671</v>
      </c>
      <c r="I433">
        <v>1791</v>
      </c>
      <c r="J433" s="15" t="s">
        <v>1656</v>
      </c>
      <c r="K433">
        <v>0</v>
      </c>
      <c r="L433" s="15" t="s">
        <v>1262</v>
      </c>
    </row>
    <row r="434" spans="1:12">
      <c r="A434" t="s">
        <v>1695</v>
      </c>
      <c r="B434">
        <v>2</v>
      </c>
      <c r="C434" t="s">
        <v>2007</v>
      </c>
      <c r="D434" t="s">
        <v>22</v>
      </c>
      <c r="E434">
        <v>163633668</v>
      </c>
      <c r="F434">
        <v>163633798</v>
      </c>
      <c r="G434" s="15" t="s">
        <v>1656</v>
      </c>
      <c r="H434">
        <v>1696</v>
      </c>
      <c r="I434">
        <v>1808</v>
      </c>
      <c r="J434" s="15" t="s">
        <v>1656</v>
      </c>
      <c r="K434">
        <v>308245</v>
      </c>
      <c r="L434" s="15" t="s">
        <v>1262</v>
      </c>
    </row>
    <row r="435" spans="1:12">
      <c r="A435" t="s">
        <v>1695</v>
      </c>
      <c r="B435">
        <v>2</v>
      </c>
      <c r="C435" t="s">
        <v>2010</v>
      </c>
      <c r="D435" t="s">
        <v>339</v>
      </c>
      <c r="E435">
        <v>39365246</v>
      </c>
      <c r="F435">
        <v>39365463</v>
      </c>
      <c r="G435" s="15" t="s">
        <v>35</v>
      </c>
      <c r="H435">
        <v>1631</v>
      </c>
      <c r="I435">
        <v>1782</v>
      </c>
      <c r="J435" s="15" t="s">
        <v>1656</v>
      </c>
      <c r="K435">
        <v>0</v>
      </c>
      <c r="L435" s="15" t="s">
        <v>1262</v>
      </c>
    </row>
    <row r="436" spans="1:12">
      <c r="A436" t="s">
        <v>1695</v>
      </c>
      <c r="B436">
        <v>2</v>
      </c>
      <c r="C436" t="s">
        <v>2014</v>
      </c>
      <c r="D436" t="s">
        <v>118</v>
      </c>
      <c r="E436">
        <v>70242794</v>
      </c>
      <c r="F436">
        <v>70242869</v>
      </c>
      <c r="G436" s="15" t="s">
        <v>1656</v>
      </c>
      <c r="H436">
        <v>1526</v>
      </c>
      <c r="I436">
        <v>1601</v>
      </c>
      <c r="J436" s="15" t="s">
        <v>1656</v>
      </c>
      <c r="K436">
        <v>0</v>
      </c>
      <c r="L436" s="15" t="s">
        <v>1262</v>
      </c>
    </row>
    <row r="437" spans="1:12">
      <c r="A437" t="s">
        <v>1695</v>
      </c>
      <c r="B437">
        <v>2</v>
      </c>
      <c r="C437" t="s">
        <v>1792</v>
      </c>
      <c r="D437" t="s">
        <v>118</v>
      </c>
      <c r="E437">
        <v>94844825</v>
      </c>
      <c r="F437">
        <v>94847273</v>
      </c>
      <c r="G437" s="15" t="s">
        <v>1656</v>
      </c>
      <c r="H437">
        <v>1556</v>
      </c>
      <c r="I437">
        <v>1808</v>
      </c>
      <c r="J437" s="15" t="s">
        <v>35</v>
      </c>
      <c r="K437">
        <v>0</v>
      </c>
      <c r="L437" s="15" t="s">
        <v>1262</v>
      </c>
    </row>
    <row r="438" spans="1:12">
      <c r="A438" t="s">
        <v>1695</v>
      </c>
      <c r="B438">
        <v>2</v>
      </c>
      <c r="C438" t="s">
        <v>2015</v>
      </c>
      <c r="D438" t="s">
        <v>118</v>
      </c>
      <c r="E438">
        <v>25558662</v>
      </c>
      <c r="F438">
        <v>25558780</v>
      </c>
      <c r="G438" s="15" t="s">
        <v>35</v>
      </c>
      <c r="H438">
        <v>1672</v>
      </c>
      <c r="I438">
        <v>1756</v>
      </c>
      <c r="J438" s="15" t="s">
        <v>1656</v>
      </c>
      <c r="K438">
        <v>39567</v>
      </c>
      <c r="L438" s="15" t="s">
        <v>1262</v>
      </c>
    </row>
    <row r="439" spans="1:12">
      <c r="A439" t="s">
        <v>1695</v>
      </c>
      <c r="B439">
        <v>2</v>
      </c>
      <c r="C439" t="s">
        <v>1792</v>
      </c>
      <c r="D439" t="s">
        <v>118</v>
      </c>
      <c r="E439">
        <v>94844821</v>
      </c>
      <c r="F439">
        <v>94849033</v>
      </c>
      <c r="G439" s="15" t="s">
        <v>35</v>
      </c>
      <c r="H439">
        <v>195</v>
      </c>
      <c r="I439">
        <v>590</v>
      </c>
      <c r="J439" s="15" t="s">
        <v>35</v>
      </c>
      <c r="K439">
        <v>0</v>
      </c>
      <c r="L439" s="15" t="s">
        <v>1262</v>
      </c>
    </row>
    <row r="440" spans="1:12">
      <c r="A440" t="s">
        <v>1695</v>
      </c>
      <c r="B440">
        <v>2</v>
      </c>
      <c r="C440" t="s">
        <v>1792</v>
      </c>
      <c r="D440" t="s">
        <v>118</v>
      </c>
      <c r="E440">
        <v>94847209</v>
      </c>
      <c r="F440">
        <v>94848973</v>
      </c>
      <c r="G440" s="15" t="s">
        <v>35</v>
      </c>
      <c r="H440">
        <v>1641</v>
      </c>
      <c r="I440">
        <v>1743</v>
      </c>
      <c r="J440" s="15" t="s">
        <v>35</v>
      </c>
      <c r="K440">
        <v>0</v>
      </c>
      <c r="L440" s="15" t="s">
        <v>1262</v>
      </c>
    </row>
    <row r="441" spans="1:12">
      <c r="A441" t="s">
        <v>1695</v>
      </c>
      <c r="B441">
        <v>2</v>
      </c>
      <c r="C441" t="s">
        <v>2023</v>
      </c>
      <c r="D441" t="s">
        <v>120</v>
      </c>
      <c r="E441">
        <v>78406861</v>
      </c>
      <c r="F441">
        <v>78406954</v>
      </c>
      <c r="G441" s="15" t="s">
        <v>35</v>
      </c>
      <c r="H441">
        <v>1641</v>
      </c>
      <c r="I441">
        <v>1718</v>
      </c>
      <c r="J441" s="15" t="s">
        <v>1656</v>
      </c>
      <c r="K441">
        <v>0</v>
      </c>
      <c r="L441" s="15" t="s">
        <v>1262</v>
      </c>
    </row>
    <row r="442" spans="1:12">
      <c r="A442" t="s">
        <v>1695</v>
      </c>
      <c r="B442">
        <v>2</v>
      </c>
      <c r="C442" t="s">
        <v>2025</v>
      </c>
      <c r="D442" t="s">
        <v>129</v>
      </c>
      <c r="E442">
        <v>23405315</v>
      </c>
      <c r="F442">
        <v>23405406</v>
      </c>
      <c r="G442" s="15" t="s">
        <v>35</v>
      </c>
      <c r="H442">
        <v>1690</v>
      </c>
      <c r="I442">
        <v>1821</v>
      </c>
      <c r="J442" s="15" t="s">
        <v>1656</v>
      </c>
      <c r="K442">
        <v>0</v>
      </c>
      <c r="L442" s="15" t="s">
        <v>1262</v>
      </c>
    </row>
    <row r="443" spans="1:12">
      <c r="A443" t="s">
        <v>1695</v>
      </c>
      <c r="B443">
        <v>2</v>
      </c>
      <c r="C443" t="s">
        <v>2033</v>
      </c>
      <c r="D443" t="s">
        <v>133</v>
      </c>
      <c r="E443">
        <v>51104118</v>
      </c>
      <c r="F443">
        <v>51104288</v>
      </c>
      <c r="G443" s="15" t="s">
        <v>35</v>
      </c>
      <c r="H443">
        <v>1604</v>
      </c>
      <c r="I443">
        <v>1806</v>
      </c>
      <c r="J443" s="15" t="s">
        <v>1656</v>
      </c>
      <c r="K443">
        <v>39106</v>
      </c>
      <c r="L443" s="15" t="s">
        <v>1262</v>
      </c>
    </row>
    <row r="444" spans="1:12">
      <c r="A444" t="s">
        <v>1695</v>
      </c>
      <c r="B444">
        <v>2</v>
      </c>
      <c r="C444" t="s">
        <v>1927</v>
      </c>
      <c r="D444" t="s">
        <v>133</v>
      </c>
      <c r="E444">
        <v>80035423</v>
      </c>
      <c r="F444">
        <v>80035639</v>
      </c>
      <c r="G444" s="15" t="s">
        <v>35</v>
      </c>
      <c r="H444">
        <v>1603</v>
      </c>
      <c r="I444">
        <v>1805</v>
      </c>
      <c r="J444" s="15" t="s">
        <v>1656</v>
      </c>
      <c r="K444">
        <v>790</v>
      </c>
      <c r="L444" s="15" t="s">
        <v>1262</v>
      </c>
    </row>
    <row r="445" spans="1:12">
      <c r="A445" t="s">
        <v>1695</v>
      </c>
      <c r="B445">
        <v>2</v>
      </c>
      <c r="C445" t="s">
        <v>2038</v>
      </c>
      <c r="D445" t="s">
        <v>22</v>
      </c>
      <c r="E445">
        <v>223174134</v>
      </c>
      <c r="F445">
        <v>223174307</v>
      </c>
      <c r="G445" s="15" t="s">
        <v>1656</v>
      </c>
      <c r="H445">
        <v>1526</v>
      </c>
      <c r="I445">
        <v>1665</v>
      </c>
      <c r="J445" s="15" t="s">
        <v>1656</v>
      </c>
      <c r="K445">
        <v>0</v>
      </c>
      <c r="L445" s="15" t="s">
        <v>1262</v>
      </c>
    </row>
    <row r="446" spans="1:12">
      <c r="A446" t="s">
        <v>1695</v>
      </c>
      <c r="B446">
        <v>2</v>
      </c>
      <c r="C446" t="s">
        <v>1801</v>
      </c>
      <c r="D446" t="s">
        <v>139</v>
      </c>
      <c r="E446">
        <v>6682173</v>
      </c>
      <c r="F446">
        <v>6690661</v>
      </c>
      <c r="G446" s="15" t="s">
        <v>1656</v>
      </c>
      <c r="H446">
        <v>1714</v>
      </c>
      <c r="I446">
        <v>1795</v>
      </c>
      <c r="J446" s="15" t="s">
        <v>35</v>
      </c>
      <c r="K446">
        <v>0</v>
      </c>
      <c r="L446" s="15" t="s">
        <v>1262</v>
      </c>
    </row>
    <row r="447" spans="1:12">
      <c r="A447" t="s">
        <v>1695</v>
      </c>
      <c r="B447">
        <v>2</v>
      </c>
      <c r="C447" t="s">
        <v>2040</v>
      </c>
      <c r="D447" t="s">
        <v>139</v>
      </c>
      <c r="E447">
        <v>42462958</v>
      </c>
      <c r="F447">
        <v>42463033</v>
      </c>
      <c r="G447" s="15" t="s">
        <v>1656</v>
      </c>
      <c r="H447">
        <v>994</v>
      </c>
      <c r="I447">
        <v>1066</v>
      </c>
      <c r="J447" s="15" t="s">
        <v>35</v>
      </c>
      <c r="K447">
        <v>0</v>
      </c>
      <c r="L447" s="15" t="s">
        <v>1262</v>
      </c>
    </row>
    <row r="448" spans="1:12">
      <c r="A448" t="s">
        <v>1695</v>
      </c>
      <c r="B448">
        <v>2</v>
      </c>
      <c r="C448" t="s">
        <v>1803</v>
      </c>
      <c r="D448" t="s">
        <v>139</v>
      </c>
      <c r="E448">
        <v>45419465</v>
      </c>
      <c r="F448">
        <v>45419540</v>
      </c>
      <c r="G448" s="15" t="s">
        <v>1656</v>
      </c>
      <c r="H448">
        <v>1523</v>
      </c>
      <c r="I448">
        <v>1598</v>
      </c>
      <c r="J448" s="15" t="s">
        <v>1656</v>
      </c>
      <c r="K448">
        <v>0</v>
      </c>
      <c r="L448" s="15" t="s">
        <v>1262</v>
      </c>
    </row>
    <row r="449" spans="1:12">
      <c r="A449" t="s">
        <v>1695</v>
      </c>
      <c r="B449">
        <v>2</v>
      </c>
      <c r="C449" t="s">
        <v>2041</v>
      </c>
      <c r="D449" t="s">
        <v>22</v>
      </c>
      <c r="E449">
        <v>235683295</v>
      </c>
      <c r="F449">
        <v>235683365</v>
      </c>
      <c r="G449" s="15" t="s">
        <v>1656</v>
      </c>
      <c r="H449">
        <v>1683</v>
      </c>
      <c r="I449">
        <v>1730</v>
      </c>
      <c r="J449" s="15" t="s">
        <v>35</v>
      </c>
      <c r="K449">
        <v>15584</v>
      </c>
      <c r="L449" s="15" t="s">
        <v>1262</v>
      </c>
    </row>
    <row r="450" spans="1:12">
      <c r="A450" t="s">
        <v>1695</v>
      </c>
      <c r="B450">
        <v>2</v>
      </c>
      <c r="C450" t="s">
        <v>173</v>
      </c>
      <c r="D450" t="s">
        <v>172</v>
      </c>
      <c r="E450">
        <v>21224877</v>
      </c>
      <c r="F450">
        <v>21231958</v>
      </c>
      <c r="G450" s="15" t="s">
        <v>1656</v>
      </c>
      <c r="H450">
        <v>386</v>
      </c>
      <c r="I450">
        <v>827</v>
      </c>
      <c r="J450" s="15" t="s">
        <v>1656</v>
      </c>
      <c r="K450">
        <v>0</v>
      </c>
      <c r="L450" s="15" t="s">
        <v>1262</v>
      </c>
    </row>
    <row r="451" spans="1:12">
      <c r="A451" t="s">
        <v>1695</v>
      </c>
      <c r="B451">
        <v>2</v>
      </c>
      <c r="C451" t="s">
        <v>1807</v>
      </c>
      <c r="D451" t="s">
        <v>172</v>
      </c>
      <c r="E451">
        <v>88817284</v>
      </c>
      <c r="F451">
        <v>88817480</v>
      </c>
      <c r="G451" s="15" t="s">
        <v>1656</v>
      </c>
      <c r="H451">
        <v>1576</v>
      </c>
      <c r="I451">
        <v>1724</v>
      </c>
      <c r="J451" s="15" t="s">
        <v>1656</v>
      </c>
      <c r="K451">
        <v>6688</v>
      </c>
      <c r="L451" s="15" t="s">
        <v>1262</v>
      </c>
    </row>
    <row r="452" spans="1:12">
      <c r="A452" t="s">
        <v>1695</v>
      </c>
      <c r="B452">
        <v>2</v>
      </c>
      <c r="C452" t="s">
        <v>2050</v>
      </c>
      <c r="D452" t="s">
        <v>172</v>
      </c>
      <c r="E452">
        <v>204631303</v>
      </c>
      <c r="F452">
        <v>204631482</v>
      </c>
      <c r="G452" s="15" t="s">
        <v>1656</v>
      </c>
      <c r="H452">
        <v>1655</v>
      </c>
      <c r="I452">
        <v>1749</v>
      </c>
      <c r="J452" s="15" t="s">
        <v>1656</v>
      </c>
      <c r="K452">
        <v>27846</v>
      </c>
      <c r="L452" s="15" t="s">
        <v>1262</v>
      </c>
    </row>
    <row r="453" spans="1:12">
      <c r="A453" t="s">
        <v>1695</v>
      </c>
      <c r="B453">
        <v>2</v>
      </c>
      <c r="C453" t="s">
        <v>2051</v>
      </c>
      <c r="D453" t="s">
        <v>172</v>
      </c>
      <c r="E453">
        <v>205920095</v>
      </c>
      <c r="F453">
        <v>205920197</v>
      </c>
      <c r="G453" s="15" t="s">
        <v>1656</v>
      </c>
      <c r="H453">
        <v>1591</v>
      </c>
      <c r="I453">
        <v>1767</v>
      </c>
      <c r="J453" s="15" t="s">
        <v>1656</v>
      </c>
      <c r="K453">
        <v>0</v>
      </c>
      <c r="L453" s="15" t="s">
        <v>1262</v>
      </c>
    </row>
    <row r="454" spans="1:12">
      <c r="A454" t="s">
        <v>1695</v>
      </c>
      <c r="B454">
        <v>2</v>
      </c>
      <c r="C454" t="s">
        <v>2054</v>
      </c>
      <c r="D454" t="s">
        <v>172</v>
      </c>
      <c r="E454">
        <v>136308968</v>
      </c>
      <c r="F454">
        <v>136309138</v>
      </c>
      <c r="G454" s="15" t="s">
        <v>35</v>
      </c>
      <c r="H454">
        <v>1664</v>
      </c>
      <c r="I454">
        <v>1767</v>
      </c>
      <c r="J454" s="15" t="s">
        <v>1656</v>
      </c>
      <c r="K454">
        <v>0</v>
      </c>
      <c r="L454" s="15" t="s">
        <v>1262</v>
      </c>
    </row>
    <row r="455" spans="1:12">
      <c r="A455" t="s">
        <v>1695</v>
      </c>
      <c r="B455">
        <v>2</v>
      </c>
      <c r="C455" t="s">
        <v>1819</v>
      </c>
      <c r="D455" t="s">
        <v>188</v>
      </c>
      <c r="E455">
        <v>16978567</v>
      </c>
      <c r="F455">
        <v>16978649</v>
      </c>
      <c r="G455" s="15" t="s">
        <v>1656</v>
      </c>
      <c r="H455">
        <v>1696</v>
      </c>
      <c r="I455">
        <v>1790</v>
      </c>
      <c r="J455" s="15" t="s">
        <v>1656</v>
      </c>
      <c r="K455">
        <v>228102</v>
      </c>
      <c r="L455" s="15" t="s">
        <v>1262</v>
      </c>
    </row>
    <row r="456" spans="1:12">
      <c r="A456" t="s">
        <v>1695</v>
      </c>
      <c r="B456">
        <v>2</v>
      </c>
      <c r="C456" t="s">
        <v>2345</v>
      </c>
      <c r="D456" t="s">
        <v>188</v>
      </c>
      <c r="E456">
        <v>33010037</v>
      </c>
      <c r="F456">
        <v>33010249</v>
      </c>
      <c r="G456" s="15" t="s">
        <v>35</v>
      </c>
      <c r="H456">
        <v>1704</v>
      </c>
      <c r="I456">
        <v>1790</v>
      </c>
      <c r="J456" s="15" t="s">
        <v>1656</v>
      </c>
      <c r="K456">
        <v>0</v>
      </c>
      <c r="L456" s="15" t="s">
        <v>1262</v>
      </c>
    </row>
    <row r="457" spans="1:12">
      <c r="A457" t="s">
        <v>1695</v>
      </c>
      <c r="B457">
        <v>2</v>
      </c>
      <c r="C457" t="s">
        <v>2066</v>
      </c>
      <c r="D457" t="s">
        <v>201</v>
      </c>
      <c r="E457">
        <v>49667882</v>
      </c>
      <c r="F457">
        <v>49667937</v>
      </c>
      <c r="G457" s="15" t="s">
        <v>1656</v>
      </c>
      <c r="H457">
        <v>1674</v>
      </c>
      <c r="I457">
        <v>1826</v>
      </c>
      <c r="J457" s="15" t="s">
        <v>1656</v>
      </c>
      <c r="K457">
        <v>0</v>
      </c>
      <c r="L457" s="15" t="s">
        <v>1262</v>
      </c>
    </row>
    <row r="458" spans="1:12">
      <c r="A458" t="s">
        <v>1695</v>
      </c>
      <c r="B458">
        <v>2</v>
      </c>
      <c r="C458" t="s">
        <v>2068</v>
      </c>
      <c r="D458" t="s">
        <v>201</v>
      </c>
      <c r="E458">
        <v>79404660</v>
      </c>
      <c r="F458">
        <v>79404749</v>
      </c>
      <c r="G458" s="15" t="s">
        <v>1656</v>
      </c>
      <c r="H458">
        <v>1627</v>
      </c>
      <c r="I458">
        <v>1706</v>
      </c>
      <c r="J458" s="15" t="s">
        <v>1656</v>
      </c>
      <c r="K458">
        <v>0</v>
      </c>
      <c r="L458" s="15" t="s">
        <v>1262</v>
      </c>
    </row>
    <row r="459" spans="1:12">
      <c r="A459" t="s">
        <v>1695</v>
      </c>
      <c r="B459">
        <v>2</v>
      </c>
      <c r="C459" t="s">
        <v>2075</v>
      </c>
      <c r="D459" t="s">
        <v>201</v>
      </c>
      <c r="E459">
        <v>177332881</v>
      </c>
      <c r="F459">
        <v>177333033</v>
      </c>
      <c r="G459" s="15" t="s">
        <v>1656</v>
      </c>
      <c r="H459">
        <v>1643</v>
      </c>
      <c r="I459">
        <v>1723</v>
      </c>
      <c r="J459" s="15" t="s">
        <v>1656</v>
      </c>
      <c r="K459">
        <v>417985</v>
      </c>
      <c r="L459" s="15" t="s">
        <v>1262</v>
      </c>
    </row>
    <row r="460" spans="1:12">
      <c r="A460" t="s">
        <v>1695</v>
      </c>
      <c r="B460">
        <v>2</v>
      </c>
      <c r="C460" t="s">
        <v>1841</v>
      </c>
      <c r="D460" t="s">
        <v>220</v>
      </c>
      <c r="E460">
        <v>155527951</v>
      </c>
      <c r="F460">
        <v>155533276</v>
      </c>
      <c r="G460" s="15" t="s">
        <v>1656</v>
      </c>
      <c r="H460">
        <v>1675</v>
      </c>
      <c r="I460">
        <v>1838</v>
      </c>
      <c r="J460" s="15" t="s">
        <v>35</v>
      </c>
      <c r="K460">
        <v>0</v>
      </c>
      <c r="L460" s="15" t="s">
        <v>1262</v>
      </c>
    </row>
    <row r="461" spans="1:12">
      <c r="A461" t="s">
        <v>1695</v>
      </c>
      <c r="B461">
        <v>2</v>
      </c>
      <c r="C461" t="s">
        <v>2088</v>
      </c>
      <c r="D461" t="s">
        <v>220</v>
      </c>
      <c r="E461">
        <v>47009548</v>
      </c>
      <c r="F461">
        <v>47009772</v>
      </c>
      <c r="G461" s="15" t="s">
        <v>35</v>
      </c>
      <c r="H461">
        <v>1632</v>
      </c>
      <c r="I461">
        <v>1768</v>
      </c>
      <c r="J461" s="15" t="s">
        <v>1656</v>
      </c>
      <c r="K461">
        <v>13124</v>
      </c>
      <c r="L461" s="15" t="s">
        <v>1262</v>
      </c>
    </row>
    <row r="462" spans="1:12">
      <c r="A462" t="s">
        <v>1695</v>
      </c>
      <c r="B462">
        <v>2</v>
      </c>
      <c r="C462" t="s">
        <v>1783</v>
      </c>
      <c r="D462" t="s">
        <v>220</v>
      </c>
      <c r="E462">
        <v>155507479</v>
      </c>
      <c r="F462">
        <v>155511822</v>
      </c>
      <c r="G462" s="15" t="s">
        <v>35</v>
      </c>
      <c r="H462">
        <v>981</v>
      </c>
      <c r="I462">
        <v>1075</v>
      </c>
      <c r="J462" s="15" t="s">
        <v>35</v>
      </c>
      <c r="K462">
        <v>0</v>
      </c>
      <c r="L462" s="15" t="s">
        <v>1262</v>
      </c>
    </row>
    <row r="463" spans="1:12">
      <c r="A463" t="s">
        <v>1695</v>
      </c>
      <c r="B463">
        <v>2</v>
      </c>
      <c r="C463" t="s">
        <v>2094</v>
      </c>
      <c r="D463" t="s">
        <v>226</v>
      </c>
      <c r="E463">
        <v>7989196</v>
      </c>
      <c r="F463">
        <v>7989271</v>
      </c>
      <c r="G463" s="15" t="s">
        <v>1656</v>
      </c>
      <c r="H463">
        <v>1713</v>
      </c>
      <c r="I463">
        <v>1808</v>
      </c>
      <c r="J463" s="15" t="s">
        <v>1656</v>
      </c>
      <c r="K463">
        <v>88036</v>
      </c>
      <c r="L463" s="15" t="s">
        <v>1262</v>
      </c>
    </row>
    <row r="464" spans="1:12">
      <c r="A464" t="s">
        <v>1695</v>
      </c>
      <c r="B464">
        <v>2</v>
      </c>
      <c r="C464" t="s">
        <v>1852</v>
      </c>
      <c r="D464" t="s">
        <v>226</v>
      </c>
      <c r="E464">
        <v>66691688</v>
      </c>
      <c r="F464">
        <v>66691759</v>
      </c>
      <c r="G464" s="15" t="s">
        <v>1656</v>
      </c>
      <c r="H464">
        <v>1585</v>
      </c>
      <c r="I464">
        <v>1832</v>
      </c>
      <c r="J464" s="15" t="s">
        <v>1656</v>
      </c>
      <c r="K464">
        <v>199142</v>
      </c>
      <c r="L464" s="15" t="s">
        <v>1262</v>
      </c>
    </row>
    <row r="465" spans="1:12">
      <c r="A465" t="s">
        <v>1695</v>
      </c>
      <c r="B465">
        <v>2</v>
      </c>
      <c r="C465" t="s">
        <v>2101</v>
      </c>
      <c r="D465" t="s">
        <v>226</v>
      </c>
      <c r="E465">
        <v>133797663</v>
      </c>
      <c r="F465">
        <v>133797740</v>
      </c>
      <c r="G465" s="15" t="s">
        <v>1656</v>
      </c>
      <c r="H465">
        <v>1554</v>
      </c>
      <c r="I465">
        <v>1652</v>
      </c>
      <c r="J465" s="15" t="s">
        <v>1656</v>
      </c>
      <c r="K465">
        <v>50142</v>
      </c>
      <c r="L465" s="15" t="s">
        <v>1262</v>
      </c>
    </row>
    <row r="466" spans="1:12">
      <c r="A466" t="s">
        <v>1695</v>
      </c>
      <c r="B466">
        <v>2</v>
      </c>
      <c r="C466" t="s">
        <v>2095</v>
      </c>
      <c r="D466" t="s">
        <v>226</v>
      </c>
      <c r="E466">
        <v>8596556</v>
      </c>
      <c r="F466">
        <v>8596645</v>
      </c>
      <c r="G466" s="15" t="s">
        <v>35</v>
      </c>
      <c r="H466">
        <v>1590</v>
      </c>
      <c r="I466">
        <v>1637</v>
      </c>
      <c r="J466" s="15" t="s">
        <v>1656</v>
      </c>
      <c r="K466">
        <v>133347</v>
      </c>
      <c r="L466" s="15" t="s">
        <v>1262</v>
      </c>
    </row>
    <row r="467" spans="1:12">
      <c r="A467" t="s">
        <v>1695</v>
      </c>
      <c r="B467">
        <v>2</v>
      </c>
      <c r="C467" t="s">
        <v>2106</v>
      </c>
      <c r="D467" t="s">
        <v>22</v>
      </c>
      <c r="E467">
        <v>166048410</v>
      </c>
      <c r="F467">
        <v>166048543</v>
      </c>
      <c r="G467" s="15" t="s">
        <v>35</v>
      </c>
      <c r="H467">
        <v>1648</v>
      </c>
      <c r="I467">
        <v>1769</v>
      </c>
      <c r="J467" s="15" t="s">
        <v>1656</v>
      </c>
      <c r="K467">
        <v>0</v>
      </c>
      <c r="L467" s="15" t="s">
        <v>1262</v>
      </c>
    </row>
    <row r="468" spans="1:12">
      <c r="A468" t="s">
        <v>1695</v>
      </c>
      <c r="B468">
        <v>2</v>
      </c>
      <c r="C468" t="s">
        <v>2107</v>
      </c>
      <c r="D468" t="s">
        <v>226</v>
      </c>
      <c r="E468">
        <v>160508873</v>
      </c>
      <c r="F468">
        <v>160509104</v>
      </c>
      <c r="G468" s="15" t="s">
        <v>35</v>
      </c>
      <c r="H468">
        <v>1585</v>
      </c>
      <c r="I468">
        <v>1680</v>
      </c>
      <c r="J468" s="15" t="s">
        <v>1656</v>
      </c>
      <c r="K468">
        <v>143240</v>
      </c>
      <c r="L468" s="15" t="s">
        <v>1262</v>
      </c>
    </row>
    <row r="469" spans="1:12">
      <c r="A469" t="s">
        <v>1695</v>
      </c>
      <c r="B469">
        <v>2</v>
      </c>
      <c r="C469" t="s">
        <v>1965</v>
      </c>
      <c r="D469" t="s">
        <v>237</v>
      </c>
      <c r="E469">
        <v>160521617</v>
      </c>
      <c r="F469">
        <v>160521745</v>
      </c>
      <c r="G469" s="15" t="s">
        <v>1656</v>
      </c>
      <c r="H469">
        <v>1585</v>
      </c>
      <c r="I469">
        <v>1701</v>
      </c>
      <c r="J469" s="15" t="s">
        <v>1656</v>
      </c>
      <c r="K469">
        <v>0</v>
      </c>
      <c r="L469" s="15" t="s">
        <v>1262</v>
      </c>
    </row>
    <row r="470" spans="1:12">
      <c r="A470" t="s">
        <v>1695</v>
      </c>
      <c r="B470">
        <v>2</v>
      </c>
      <c r="C470" t="s">
        <v>2116</v>
      </c>
      <c r="D470" t="s">
        <v>237</v>
      </c>
      <c r="E470">
        <v>164642738</v>
      </c>
      <c r="F470">
        <v>164642959</v>
      </c>
      <c r="G470" s="15" t="s">
        <v>1656</v>
      </c>
      <c r="H470">
        <v>1625</v>
      </c>
      <c r="I470">
        <v>1788</v>
      </c>
      <c r="J470" s="15" t="s">
        <v>1656</v>
      </c>
      <c r="K470">
        <v>643331</v>
      </c>
      <c r="L470" s="15" t="s">
        <v>1262</v>
      </c>
    </row>
    <row r="471" spans="1:12">
      <c r="A471" t="s">
        <v>1695</v>
      </c>
      <c r="B471">
        <v>2</v>
      </c>
      <c r="C471" t="s">
        <v>2111</v>
      </c>
      <c r="D471" t="s">
        <v>237</v>
      </c>
      <c r="E471">
        <v>67619900</v>
      </c>
      <c r="F471">
        <v>67619962</v>
      </c>
      <c r="G471" s="15" t="s">
        <v>35</v>
      </c>
      <c r="H471">
        <v>1537</v>
      </c>
      <c r="I471">
        <v>1690</v>
      </c>
      <c r="J471" s="15" t="s">
        <v>1656</v>
      </c>
      <c r="K471">
        <v>1120524</v>
      </c>
      <c r="L471" s="15" t="s">
        <v>1262</v>
      </c>
    </row>
    <row r="472" spans="1:12">
      <c r="A472" t="s">
        <v>1695</v>
      </c>
      <c r="B472">
        <v>2</v>
      </c>
      <c r="C472" t="s">
        <v>2120</v>
      </c>
      <c r="D472" t="s">
        <v>237</v>
      </c>
      <c r="E472">
        <v>98318134</v>
      </c>
      <c r="F472">
        <v>98318240</v>
      </c>
      <c r="G472" s="15" t="s">
        <v>35</v>
      </c>
      <c r="H472">
        <v>1643</v>
      </c>
      <c r="I472">
        <v>1759</v>
      </c>
      <c r="J472" s="15" t="s">
        <v>1656</v>
      </c>
      <c r="K472">
        <v>154272</v>
      </c>
      <c r="L472" s="15" t="s">
        <v>1262</v>
      </c>
    </row>
    <row r="473" spans="1:12">
      <c r="A473" t="s">
        <v>1695</v>
      </c>
      <c r="B473">
        <v>2</v>
      </c>
      <c r="C473" t="s">
        <v>1868</v>
      </c>
      <c r="D473" t="s">
        <v>257</v>
      </c>
      <c r="E473">
        <v>138252747</v>
      </c>
      <c r="F473">
        <v>138252791</v>
      </c>
      <c r="G473" s="15" t="s">
        <v>1656</v>
      </c>
      <c r="H473">
        <v>1621</v>
      </c>
      <c r="I473">
        <v>1890</v>
      </c>
      <c r="J473" s="15" t="s">
        <v>1656</v>
      </c>
      <c r="K473">
        <v>0</v>
      </c>
      <c r="L473" s="15" t="s">
        <v>1262</v>
      </c>
    </row>
    <row r="474" spans="1:12">
      <c r="A474" t="s">
        <v>1695</v>
      </c>
      <c r="B474">
        <v>2</v>
      </c>
      <c r="C474" t="s">
        <v>2133</v>
      </c>
      <c r="D474" t="s">
        <v>257</v>
      </c>
      <c r="E474">
        <v>119570262</v>
      </c>
      <c r="F474">
        <v>119570364</v>
      </c>
      <c r="G474" s="15" t="s">
        <v>35</v>
      </c>
      <c r="H474">
        <v>1652</v>
      </c>
      <c r="I474">
        <v>1751</v>
      </c>
      <c r="J474" s="15" t="s">
        <v>35</v>
      </c>
      <c r="K474">
        <v>343459</v>
      </c>
      <c r="L474" s="15" t="s">
        <v>1262</v>
      </c>
    </row>
    <row r="475" spans="1:12">
      <c r="A475" t="s">
        <v>1695</v>
      </c>
      <c r="B475">
        <v>2</v>
      </c>
      <c r="C475" t="s">
        <v>2134</v>
      </c>
      <c r="D475" t="s">
        <v>257</v>
      </c>
      <c r="E475">
        <v>124567157</v>
      </c>
      <c r="F475">
        <v>124567224</v>
      </c>
      <c r="G475" s="15" t="s">
        <v>35</v>
      </c>
      <c r="H475">
        <v>1670</v>
      </c>
      <c r="I475">
        <v>1795</v>
      </c>
      <c r="J475" s="15" t="s">
        <v>1656</v>
      </c>
      <c r="K475">
        <v>0</v>
      </c>
      <c r="L475" s="15" t="s">
        <v>1262</v>
      </c>
    </row>
    <row r="476" spans="1:12">
      <c r="A476" t="s">
        <v>1695</v>
      </c>
      <c r="B476">
        <v>2</v>
      </c>
      <c r="C476" t="s">
        <v>2135</v>
      </c>
      <c r="D476" t="s">
        <v>257</v>
      </c>
      <c r="E476">
        <v>129996629</v>
      </c>
      <c r="F476">
        <v>129996805</v>
      </c>
      <c r="G476" s="15" t="s">
        <v>35</v>
      </c>
      <c r="H476">
        <v>1643</v>
      </c>
      <c r="I476">
        <v>1746</v>
      </c>
      <c r="J476" s="15" t="s">
        <v>1656</v>
      </c>
      <c r="K476">
        <v>0</v>
      </c>
      <c r="L476" s="15" t="s">
        <v>1262</v>
      </c>
    </row>
    <row r="477" spans="1:12">
      <c r="A477" t="s">
        <v>1695</v>
      </c>
      <c r="B477">
        <v>2</v>
      </c>
      <c r="C477" t="s">
        <v>1873</v>
      </c>
      <c r="D477" t="s">
        <v>279</v>
      </c>
      <c r="E477">
        <v>27466533</v>
      </c>
      <c r="F477">
        <v>27466605</v>
      </c>
      <c r="G477" s="15" t="s">
        <v>1656</v>
      </c>
      <c r="H477">
        <v>1622</v>
      </c>
      <c r="I477">
        <v>1697</v>
      </c>
      <c r="J477" s="15" t="s">
        <v>35</v>
      </c>
      <c r="K477">
        <v>0</v>
      </c>
      <c r="L477" s="15" t="s">
        <v>1262</v>
      </c>
    </row>
    <row r="478" spans="1:12">
      <c r="A478" t="s">
        <v>1695</v>
      </c>
      <c r="B478">
        <v>2</v>
      </c>
      <c r="C478" t="s">
        <v>1873</v>
      </c>
      <c r="D478" t="s">
        <v>279</v>
      </c>
      <c r="E478">
        <v>27466511</v>
      </c>
      <c r="F478">
        <v>27468064</v>
      </c>
      <c r="G478" s="15" t="s">
        <v>35</v>
      </c>
      <c r="H478">
        <v>137</v>
      </c>
      <c r="I478">
        <v>617</v>
      </c>
      <c r="J478" s="15" t="s">
        <v>1656</v>
      </c>
      <c r="K478">
        <v>0</v>
      </c>
      <c r="L478" s="15" t="s">
        <v>1262</v>
      </c>
    </row>
    <row r="479" spans="1:12">
      <c r="A479" t="s">
        <v>1695</v>
      </c>
      <c r="B479">
        <v>2</v>
      </c>
      <c r="C479" t="s">
        <v>2140</v>
      </c>
      <c r="D479" t="s">
        <v>279</v>
      </c>
      <c r="E479">
        <v>36509539</v>
      </c>
      <c r="F479">
        <v>36509669</v>
      </c>
      <c r="G479" s="15" t="s">
        <v>35</v>
      </c>
      <c r="H479">
        <v>1585</v>
      </c>
      <c r="I479">
        <v>1714</v>
      </c>
      <c r="J479" s="15" t="s">
        <v>1656</v>
      </c>
      <c r="K479">
        <v>132302</v>
      </c>
      <c r="L479" s="15" t="s">
        <v>1262</v>
      </c>
    </row>
    <row r="480" spans="1:12">
      <c r="A480" t="s">
        <v>1695</v>
      </c>
      <c r="B480">
        <v>2</v>
      </c>
      <c r="C480" t="s">
        <v>2137</v>
      </c>
      <c r="D480" t="s">
        <v>279</v>
      </c>
      <c r="E480">
        <v>98553701</v>
      </c>
      <c r="F480">
        <v>98553797</v>
      </c>
      <c r="G480" s="15" t="s">
        <v>35</v>
      </c>
      <c r="H480">
        <v>1823</v>
      </c>
      <c r="I480">
        <v>1912</v>
      </c>
      <c r="J480" s="15" t="s">
        <v>1656</v>
      </c>
      <c r="K480">
        <v>102705</v>
      </c>
      <c r="L480" s="15" t="s">
        <v>1262</v>
      </c>
    </row>
    <row r="481" spans="1:12">
      <c r="A481" t="s">
        <v>1695</v>
      </c>
      <c r="B481">
        <v>2</v>
      </c>
      <c r="C481" t="s">
        <v>647</v>
      </c>
      <c r="D481" t="s">
        <v>69</v>
      </c>
      <c r="E481">
        <v>62298701</v>
      </c>
      <c r="F481">
        <v>62298868</v>
      </c>
      <c r="G481" s="15" t="s">
        <v>1656</v>
      </c>
      <c r="H481">
        <v>1590</v>
      </c>
      <c r="I481">
        <v>1725</v>
      </c>
      <c r="J481" s="15" t="s">
        <v>1656</v>
      </c>
      <c r="K481">
        <v>0</v>
      </c>
      <c r="L481" s="15" t="s">
        <v>1262</v>
      </c>
    </row>
    <row r="482" spans="1:12">
      <c r="A482" t="s">
        <v>1695</v>
      </c>
      <c r="B482">
        <v>2</v>
      </c>
      <c r="C482" t="s">
        <v>2148</v>
      </c>
      <c r="D482" t="s">
        <v>69</v>
      </c>
      <c r="E482">
        <v>65170883</v>
      </c>
      <c r="F482">
        <v>65171037</v>
      </c>
      <c r="G482" s="15" t="s">
        <v>1656</v>
      </c>
      <c r="H482">
        <v>1591</v>
      </c>
      <c r="I482">
        <v>1716</v>
      </c>
      <c r="J482" s="15" t="s">
        <v>1656</v>
      </c>
      <c r="K482">
        <v>0</v>
      </c>
      <c r="L482" s="15" t="s">
        <v>1262</v>
      </c>
    </row>
    <row r="483" spans="1:12">
      <c r="A483" t="s">
        <v>1695</v>
      </c>
      <c r="B483">
        <v>2</v>
      </c>
      <c r="C483" t="s">
        <v>1878</v>
      </c>
      <c r="D483" t="s">
        <v>292</v>
      </c>
      <c r="E483">
        <v>104184232</v>
      </c>
      <c r="F483">
        <v>104188899</v>
      </c>
      <c r="G483" s="15" t="s">
        <v>1656</v>
      </c>
      <c r="H483">
        <v>974</v>
      </c>
      <c r="I483">
        <v>1443</v>
      </c>
      <c r="J483" s="15" t="s">
        <v>35</v>
      </c>
      <c r="K483">
        <v>0</v>
      </c>
      <c r="L483" s="15" t="s">
        <v>1262</v>
      </c>
    </row>
    <row r="484" spans="1:12">
      <c r="A484" t="s">
        <v>1695</v>
      </c>
      <c r="B484">
        <v>2</v>
      </c>
      <c r="C484" t="s">
        <v>1879</v>
      </c>
      <c r="D484" t="s">
        <v>292</v>
      </c>
      <c r="E484">
        <v>116836348</v>
      </c>
      <c r="F484">
        <v>116836399</v>
      </c>
      <c r="G484" s="15" t="s">
        <v>1656</v>
      </c>
      <c r="H484">
        <v>1621</v>
      </c>
      <c r="I484">
        <v>1696</v>
      </c>
      <c r="J484" s="15" t="s">
        <v>1656</v>
      </c>
      <c r="K484">
        <v>0</v>
      </c>
      <c r="L484" s="15" t="s">
        <v>1262</v>
      </c>
    </row>
    <row r="485" spans="1:12">
      <c r="A485" t="s">
        <v>1695</v>
      </c>
      <c r="B485">
        <v>2</v>
      </c>
      <c r="C485" t="s">
        <v>2152</v>
      </c>
      <c r="D485" t="s">
        <v>292</v>
      </c>
      <c r="E485">
        <v>97401687</v>
      </c>
      <c r="F485">
        <v>97401762</v>
      </c>
      <c r="G485" s="15" t="s">
        <v>35</v>
      </c>
      <c r="H485">
        <v>1545</v>
      </c>
      <c r="I485">
        <v>1620</v>
      </c>
      <c r="J485" s="15" t="s">
        <v>35</v>
      </c>
      <c r="K485">
        <v>0</v>
      </c>
      <c r="L485" s="15" t="s">
        <v>1262</v>
      </c>
    </row>
    <row r="486" spans="1:12">
      <c r="A486" t="s">
        <v>1695</v>
      </c>
      <c r="B486">
        <v>2</v>
      </c>
      <c r="C486" t="s">
        <v>1879</v>
      </c>
      <c r="D486" t="s">
        <v>292</v>
      </c>
      <c r="E486">
        <v>116837244</v>
      </c>
      <c r="F486">
        <v>116838994</v>
      </c>
      <c r="G486" s="15" t="s">
        <v>35</v>
      </c>
      <c r="H486">
        <v>1198</v>
      </c>
      <c r="I486">
        <v>1606</v>
      </c>
      <c r="J486" s="15" t="s">
        <v>1656</v>
      </c>
      <c r="K486">
        <v>0</v>
      </c>
      <c r="L486" s="15" t="s">
        <v>1262</v>
      </c>
    </row>
    <row r="487" spans="1:12">
      <c r="A487" t="s">
        <v>1695</v>
      </c>
      <c r="B487">
        <v>2</v>
      </c>
      <c r="C487" t="s">
        <v>1697</v>
      </c>
      <c r="D487" t="s">
        <v>1787</v>
      </c>
      <c r="E487">
        <v>4881</v>
      </c>
      <c r="F487">
        <v>9581</v>
      </c>
      <c r="G487" s="15" t="s">
        <v>1656</v>
      </c>
      <c r="H487">
        <v>1730</v>
      </c>
      <c r="I487">
        <v>1808</v>
      </c>
      <c r="J487" s="15" t="s">
        <v>1656</v>
      </c>
      <c r="K487" t="s">
        <v>1697</v>
      </c>
      <c r="L487" s="15" t="s">
        <v>1262</v>
      </c>
    </row>
    <row r="488" spans="1:12">
      <c r="A488" t="s">
        <v>1695</v>
      </c>
      <c r="B488">
        <v>2</v>
      </c>
      <c r="C488" t="s">
        <v>1975</v>
      </c>
      <c r="D488" t="s">
        <v>69</v>
      </c>
      <c r="E488">
        <v>95360424</v>
      </c>
      <c r="F488">
        <v>95360464</v>
      </c>
      <c r="G488" s="15" t="s">
        <v>1656</v>
      </c>
      <c r="H488">
        <v>1354</v>
      </c>
      <c r="I488">
        <v>1423</v>
      </c>
      <c r="J488" s="15" t="s">
        <v>1656</v>
      </c>
      <c r="K488">
        <v>0</v>
      </c>
      <c r="L488" s="15" t="s">
        <v>1262</v>
      </c>
    </row>
    <row r="489" spans="1:12">
      <c r="A489" t="s">
        <v>1695</v>
      </c>
      <c r="B489">
        <v>2</v>
      </c>
      <c r="C489" t="s">
        <v>1975</v>
      </c>
      <c r="D489" t="s">
        <v>69</v>
      </c>
      <c r="E489">
        <v>95353647</v>
      </c>
      <c r="F489">
        <v>95360776</v>
      </c>
      <c r="G489" s="15" t="s">
        <v>1656</v>
      </c>
      <c r="H489">
        <v>366</v>
      </c>
      <c r="I489">
        <v>711</v>
      </c>
      <c r="J489" s="15" t="s">
        <v>35</v>
      </c>
      <c r="K489">
        <v>0</v>
      </c>
      <c r="L489" s="15" t="s">
        <v>1262</v>
      </c>
    </row>
    <row r="490" spans="1:12">
      <c r="A490" t="s">
        <v>1695</v>
      </c>
      <c r="B490">
        <v>2</v>
      </c>
      <c r="C490" t="s">
        <v>2162</v>
      </c>
      <c r="D490" t="s">
        <v>69</v>
      </c>
      <c r="E490">
        <v>7773813</v>
      </c>
      <c r="F490">
        <v>7774344</v>
      </c>
      <c r="G490" s="15" t="s">
        <v>35</v>
      </c>
      <c r="H490">
        <v>1229</v>
      </c>
      <c r="I490">
        <v>1771</v>
      </c>
      <c r="J490" s="15" t="s">
        <v>1656</v>
      </c>
      <c r="K490">
        <v>0</v>
      </c>
      <c r="L490" s="15" t="s">
        <v>1262</v>
      </c>
    </row>
    <row r="491" spans="1:12">
      <c r="A491" t="s">
        <v>1695</v>
      </c>
      <c r="B491">
        <v>2</v>
      </c>
      <c r="C491" t="s">
        <v>2163</v>
      </c>
      <c r="D491" t="s">
        <v>69</v>
      </c>
      <c r="E491">
        <v>10089499</v>
      </c>
      <c r="F491">
        <v>10089570</v>
      </c>
      <c r="G491" s="15" t="s">
        <v>35</v>
      </c>
      <c r="H491">
        <v>1643</v>
      </c>
      <c r="I491">
        <v>1758</v>
      </c>
      <c r="J491" s="15" t="s">
        <v>1656</v>
      </c>
      <c r="K491">
        <v>736902</v>
      </c>
      <c r="L491" s="15" t="s">
        <v>1262</v>
      </c>
    </row>
    <row r="492" spans="1:12">
      <c r="A492" t="s">
        <v>1695</v>
      </c>
      <c r="B492">
        <v>2</v>
      </c>
      <c r="C492" t="s">
        <v>2165</v>
      </c>
      <c r="D492" t="s">
        <v>69</v>
      </c>
      <c r="E492">
        <v>97087420</v>
      </c>
      <c r="F492">
        <v>97087536</v>
      </c>
      <c r="G492" s="15" t="s">
        <v>35</v>
      </c>
      <c r="H492">
        <v>1631</v>
      </c>
      <c r="I492">
        <v>1767</v>
      </c>
      <c r="J492" s="15" t="s">
        <v>1656</v>
      </c>
      <c r="K492">
        <v>0</v>
      </c>
      <c r="L492" s="15" t="s">
        <v>1262</v>
      </c>
    </row>
    <row r="493" spans="1:12">
      <c r="A493" t="s">
        <v>1695</v>
      </c>
      <c r="B493">
        <v>2</v>
      </c>
      <c r="C493" t="s">
        <v>2340</v>
      </c>
      <c r="D493" t="s">
        <v>83</v>
      </c>
      <c r="E493">
        <v>2151161</v>
      </c>
      <c r="F493">
        <v>2151273</v>
      </c>
      <c r="G493" s="15" t="s">
        <v>1656</v>
      </c>
      <c r="H493">
        <v>143</v>
      </c>
      <c r="I493">
        <v>476</v>
      </c>
      <c r="J493" s="15" t="s">
        <v>1656</v>
      </c>
      <c r="K493">
        <v>0</v>
      </c>
      <c r="L493" s="15" t="s">
        <v>1262</v>
      </c>
    </row>
    <row r="494" spans="1:12">
      <c r="A494" t="s">
        <v>1695</v>
      </c>
      <c r="B494">
        <v>2</v>
      </c>
      <c r="C494" t="s">
        <v>2167</v>
      </c>
      <c r="D494" t="s">
        <v>83</v>
      </c>
      <c r="E494">
        <v>31577666</v>
      </c>
      <c r="F494">
        <v>31577760</v>
      </c>
      <c r="G494" s="15" t="s">
        <v>1656</v>
      </c>
      <c r="H494">
        <v>1632</v>
      </c>
      <c r="I494">
        <v>1769</v>
      </c>
      <c r="J494" s="15" t="s">
        <v>1656</v>
      </c>
      <c r="K494">
        <v>0</v>
      </c>
      <c r="L494" s="15" t="s">
        <v>1262</v>
      </c>
    </row>
    <row r="495" spans="1:12">
      <c r="A495" t="s">
        <v>1695</v>
      </c>
      <c r="B495">
        <v>2</v>
      </c>
      <c r="C495" t="s">
        <v>1986</v>
      </c>
      <c r="D495" t="s">
        <v>83</v>
      </c>
      <c r="E495">
        <v>57367351</v>
      </c>
      <c r="F495">
        <v>57373687</v>
      </c>
      <c r="G495" s="15" t="s">
        <v>1656</v>
      </c>
      <c r="H495">
        <v>987</v>
      </c>
      <c r="I495">
        <v>1176</v>
      </c>
      <c r="J495" s="15" t="s">
        <v>35</v>
      </c>
      <c r="K495">
        <v>0</v>
      </c>
      <c r="L495" s="15" t="s">
        <v>1262</v>
      </c>
    </row>
    <row r="496" spans="1:12">
      <c r="A496" t="s">
        <v>1695</v>
      </c>
      <c r="B496">
        <v>2</v>
      </c>
      <c r="C496" t="s">
        <v>2171</v>
      </c>
      <c r="D496" t="s">
        <v>83</v>
      </c>
      <c r="E496">
        <v>23045605</v>
      </c>
      <c r="F496">
        <v>23045704</v>
      </c>
      <c r="G496" s="15" t="s">
        <v>35</v>
      </c>
      <c r="H496">
        <v>1509</v>
      </c>
      <c r="I496">
        <v>1807</v>
      </c>
      <c r="J496" s="15" t="s">
        <v>1656</v>
      </c>
      <c r="K496">
        <v>163633</v>
      </c>
      <c r="L496" s="15" t="s">
        <v>1262</v>
      </c>
    </row>
    <row r="497" spans="1:12">
      <c r="A497" t="s">
        <v>1695</v>
      </c>
      <c r="B497">
        <v>2</v>
      </c>
      <c r="C497" t="s">
        <v>1891</v>
      </c>
      <c r="D497" t="s">
        <v>83</v>
      </c>
      <c r="E497">
        <v>116706687</v>
      </c>
      <c r="F497">
        <v>116706939</v>
      </c>
      <c r="G497" s="15" t="s">
        <v>35</v>
      </c>
      <c r="H497">
        <v>395</v>
      </c>
      <c r="I497">
        <v>480</v>
      </c>
      <c r="J497" s="15" t="s">
        <v>35</v>
      </c>
      <c r="K497">
        <v>0</v>
      </c>
      <c r="L497" s="15" t="s">
        <v>1262</v>
      </c>
    </row>
    <row r="498" spans="1:12">
      <c r="A498" t="s">
        <v>1767</v>
      </c>
      <c r="B498">
        <v>2</v>
      </c>
      <c r="C498" t="s">
        <v>2119</v>
      </c>
      <c r="D498" t="s">
        <v>22</v>
      </c>
      <c r="E498">
        <v>187813082</v>
      </c>
      <c r="F498">
        <v>187813213</v>
      </c>
      <c r="G498" s="15" t="s">
        <v>1656</v>
      </c>
      <c r="H498">
        <v>1649</v>
      </c>
      <c r="I498">
        <v>1751</v>
      </c>
      <c r="J498" s="15" t="s">
        <v>35</v>
      </c>
      <c r="K498">
        <v>855100</v>
      </c>
      <c r="L498" s="15" t="s">
        <v>1262</v>
      </c>
    </row>
    <row r="499" spans="1:12">
      <c r="A499" t="s">
        <v>1767</v>
      </c>
      <c r="B499">
        <v>2</v>
      </c>
      <c r="C499" t="s">
        <v>2228</v>
      </c>
      <c r="D499" t="s">
        <v>339</v>
      </c>
      <c r="E499">
        <v>21179172</v>
      </c>
      <c r="F499">
        <v>21179246</v>
      </c>
      <c r="G499" s="15" t="s">
        <v>35</v>
      </c>
      <c r="H499">
        <v>358</v>
      </c>
      <c r="I499">
        <v>542</v>
      </c>
      <c r="J499" s="15" t="s">
        <v>1656</v>
      </c>
      <c r="K499">
        <v>0</v>
      </c>
      <c r="L499" s="15" t="s">
        <v>1262</v>
      </c>
    </row>
    <row r="500" spans="1:12">
      <c r="A500" t="s">
        <v>1654</v>
      </c>
      <c r="B500">
        <v>2</v>
      </c>
      <c r="C500" t="s">
        <v>1697</v>
      </c>
      <c r="D500" t="s">
        <v>339</v>
      </c>
      <c r="E500">
        <v>84667946</v>
      </c>
      <c r="F500">
        <v>84668089</v>
      </c>
      <c r="G500" s="15" t="s">
        <v>1656</v>
      </c>
      <c r="H500">
        <v>1655</v>
      </c>
      <c r="I500">
        <v>1825</v>
      </c>
      <c r="J500" s="15" t="s">
        <v>1656</v>
      </c>
      <c r="K500">
        <v>46647</v>
      </c>
      <c r="L500" s="15" t="s">
        <v>1262</v>
      </c>
    </row>
    <row r="501" spans="1:12">
      <c r="A501" t="s">
        <v>1654</v>
      </c>
      <c r="B501">
        <v>2</v>
      </c>
      <c r="C501" t="s">
        <v>1947</v>
      </c>
      <c r="D501" t="s">
        <v>201</v>
      </c>
      <c r="E501">
        <v>52704679</v>
      </c>
      <c r="F501">
        <v>52704800</v>
      </c>
      <c r="G501" s="15" t="s">
        <v>35</v>
      </c>
      <c r="H501">
        <v>2044</v>
      </c>
      <c r="I501">
        <v>2245</v>
      </c>
      <c r="J501" s="15" t="s">
        <v>1656</v>
      </c>
      <c r="K501">
        <v>0</v>
      </c>
      <c r="L501" s="15" t="s">
        <v>1262</v>
      </c>
    </row>
    <row r="502" spans="1:12">
      <c r="A502" t="s">
        <v>1654</v>
      </c>
      <c r="B502">
        <v>2</v>
      </c>
      <c r="C502" t="s">
        <v>2270</v>
      </c>
      <c r="D502" t="s">
        <v>226</v>
      </c>
      <c r="E502">
        <v>115374568</v>
      </c>
      <c r="F502">
        <v>115374636</v>
      </c>
      <c r="G502" s="15" t="s">
        <v>35</v>
      </c>
      <c r="H502">
        <v>1706</v>
      </c>
      <c r="I502">
        <v>1794</v>
      </c>
      <c r="J502" s="15" t="s">
        <v>1656</v>
      </c>
      <c r="K502">
        <v>11269</v>
      </c>
      <c r="L502" s="15" t="s">
        <v>1262</v>
      </c>
    </row>
    <row r="503" spans="1:12">
      <c r="A503" t="s">
        <v>1654</v>
      </c>
      <c r="B503">
        <v>2</v>
      </c>
      <c r="C503" t="s">
        <v>2272</v>
      </c>
      <c r="D503" t="s">
        <v>237</v>
      </c>
      <c r="E503">
        <v>57463160</v>
      </c>
      <c r="F503">
        <v>57463326</v>
      </c>
      <c r="G503" s="15" t="s">
        <v>1656</v>
      </c>
      <c r="H503">
        <v>1522</v>
      </c>
      <c r="I503">
        <v>1599</v>
      </c>
      <c r="J503" s="15" t="s">
        <v>1656</v>
      </c>
      <c r="K503">
        <v>0</v>
      </c>
      <c r="L503" s="15" t="s">
        <v>1262</v>
      </c>
    </row>
    <row r="504" spans="1:12">
      <c r="A504" t="s">
        <v>1666</v>
      </c>
      <c r="B504">
        <v>2</v>
      </c>
      <c r="C504" t="s">
        <v>2283</v>
      </c>
      <c r="D504" t="s">
        <v>172</v>
      </c>
      <c r="E504">
        <v>25985652</v>
      </c>
      <c r="F504">
        <v>25985770</v>
      </c>
      <c r="G504" s="15" t="s">
        <v>35</v>
      </c>
      <c r="H504">
        <v>1736</v>
      </c>
      <c r="I504">
        <v>1801</v>
      </c>
      <c r="J504" s="15" t="s">
        <v>1656</v>
      </c>
      <c r="K504">
        <v>0</v>
      </c>
      <c r="L504" s="15" t="s">
        <v>1262</v>
      </c>
    </row>
    <row r="505" spans="1:12">
      <c r="A505" t="s">
        <v>1666</v>
      </c>
      <c r="B505">
        <v>2</v>
      </c>
      <c r="C505" t="s">
        <v>2185</v>
      </c>
      <c r="D505" t="s">
        <v>197</v>
      </c>
      <c r="E505">
        <v>17619045</v>
      </c>
      <c r="F505">
        <v>17619120</v>
      </c>
      <c r="G505" s="15" t="s">
        <v>35</v>
      </c>
      <c r="H505">
        <v>1588</v>
      </c>
      <c r="I505">
        <v>1663</v>
      </c>
      <c r="J505" s="15" t="s">
        <v>1656</v>
      </c>
      <c r="K505">
        <v>0</v>
      </c>
      <c r="L505" s="15" t="s">
        <v>1262</v>
      </c>
    </row>
    <row r="506" spans="1:12">
      <c r="A506" t="s">
        <v>1666</v>
      </c>
      <c r="B506">
        <v>2</v>
      </c>
      <c r="C506" t="s">
        <v>1847</v>
      </c>
      <c r="D506" t="s">
        <v>220</v>
      </c>
      <c r="E506">
        <v>155489542</v>
      </c>
      <c r="F506">
        <v>155489617</v>
      </c>
      <c r="G506" s="15" t="s">
        <v>1656</v>
      </c>
      <c r="H506">
        <v>2983</v>
      </c>
      <c r="I506">
        <v>3021</v>
      </c>
      <c r="J506" s="15" t="s">
        <v>35</v>
      </c>
      <c r="K506">
        <v>0</v>
      </c>
      <c r="L506" s="15" t="s">
        <v>1262</v>
      </c>
    </row>
    <row r="507" spans="1:12">
      <c r="A507" t="s">
        <v>1666</v>
      </c>
      <c r="B507">
        <v>2</v>
      </c>
      <c r="C507" t="s">
        <v>2339</v>
      </c>
      <c r="D507" t="s">
        <v>220</v>
      </c>
      <c r="E507">
        <v>186506738</v>
      </c>
      <c r="F507">
        <v>186506813</v>
      </c>
      <c r="G507" s="15" t="s">
        <v>1656</v>
      </c>
      <c r="H507">
        <v>1180</v>
      </c>
      <c r="I507">
        <v>1255</v>
      </c>
      <c r="J507" s="15" t="s">
        <v>35</v>
      </c>
      <c r="K507">
        <v>0</v>
      </c>
      <c r="L507" s="15" t="s">
        <v>1262</v>
      </c>
    </row>
    <row r="508" spans="1:12">
      <c r="A508" t="s">
        <v>1666</v>
      </c>
      <c r="B508">
        <v>2</v>
      </c>
      <c r="C508" t="s">
        <v>221</v>
      </c>
      <c r="D508" t="s">
        <v>220</v>
      </c>
      <c r="E508">
        <v>74279200</v>
      </c>
      <c r="F508">
        <v>74285353</v>
      </c>
      <c r="G508" s="15" t="s">
        <v>35</v>
      </c>
      <c r="H508">
        <v>1509</v>
      </c>
      <c r="I508">
        <v>1687</v>
      </c>
      <c r="J508" s="15" t="s">
        <v>1656</v>
      </c>
      <c r="K508">
        <v>0</v>
      </c>
      <c r="L508" s="15" t="s">
        <v>1262</v>
      </c>
    </row>
    <row r="509" spans="1:12">
      <c r="A509" t="s">
        <v>1666</v>
      </c>
      <c r="B509">
        <v>2</v>
      </c>
      <c r="C509" t="s">
        <v>221</v>
      </c>
      <c r="D509" t="s">
        <v>220</v>
      </c>
      <c r="E509">
        <v>74272402</v>
      </c>
      <c r="F509">
        <v>74275119</v>
      </c>
      <c r="G509" s="15" t="s">
        <v>35</v>
      </c>
      <c r="H509">
        <v>356</v>
      </c>
      <c r="I509">
        <v>682</v>
      </c>
      <c r="J509" s="15" t="s">
        <v>35</v>
      </c>
      <c r="K509">
        <v>0</v>
      </c>
      <c r="L509" s="15" t="s">
        <v>1262</v>
      </c>
    </row>
    <row r="510" spans="1:12">
      <c r="A510" t="s">
        <v>1666</v>
      </c>
      <c r="B510">
        <v>2</v>
      </c>
      <c r="C510" t="s">
        <v>1678</v>
      </c>
      <c r="D510" t="s">
        <v>226</v>
      </c>
      <c r="E510">
        <v>94814023</v>
      </c>
      <c r="F510">
        <v>94814149</v>
      </c>
      <c r="G510" s="15" t="s">
        <v>1656</v>
      </c>
      <c r="H510">
        <v>362</v>
      </c>
      <c r="I510">
        <v>464</v>
      </c>
      <c r="J510" s="15" t="s">
        <v>1656</v>
      </c>
      <c r="K510">
        <v>0</v>
      </c>
      <c r="L510" s="15" t="s">
        <v>1262</v>
      </c>
    </row>
    <row r="511" spans="1:12">
      <c r="A511" t="s">
        <v>1666</v>
      </c>
      <c r="B511">
        <v>2</v>
      </c>
      <c r="C511" t="s">
        <v>2293</v>
      </c>
      <c r="D511" t="s">
        <v>226</v>
      </c>
      <c r="E511">
        <v>175561954</v>
      </c>
      <c r="F511">
        <v>175562107</v>
      </c>
      <c r="G511" s="15" t="s">
        <v>1656</v>
      </c>
      <c r="H511">
        <v>1623</v>
      </c>
      <c r="I511">
        <v>1711</v>
      </c>
      <c r="J511" s="15" t="s">
        <v>1656</v>
      </c>
      <c r="K511">
        <v>7980</v>
      </c>
      <c r="L511" s="15" t="s">
        <v>1262</v>
      </c>
    </row>
    <row r="512" spans="1:12">
      <c r="A512" t="s">
        <v>1666</v>
      </c>
      <c r="B512">
        <v>2</v>
      </c>
      <c r="C512" t="s">
        <v>2295</v>
      </c>
      <c r="D512" t="s">
        <v>226</v>
      </c>
      <c r="E512">
        <v>40982059</v>
      </c>
      <c r="F512">
        <v>40982134</v>
      </c>
      <c r="G512" s="15" t="s">
        <v>35</v>
      </c>
      <c r="H512">
        <v>1240</v>
      </c>
      <c r="I512">
        <v>1303</v>
      </c>
      <c r="J512" s="15" t="s">
        <v>1656</v>
      </c>
      <c r="K512">
        <v>0</v>
      </c>
      <c r="L512" s="15" t="s">
        <v>1262</v>
      </c>
    </row>
    <row r="513" spans="1:12">
      <c r="A513" t="s">
        <v>1666</v>
      </c>
      <c r="B513">
        <v>2</v>
      </c>
      <c r="C513" t="s">
        <v>1874</v>
      </c>
      <c r="D513" t="s">
        <v>279</v>
      </c>
      <c r="E513">
        <v>93462192</v>
      </c>
      <c r="F513">
        <v>93462267</v>
      </c>
      <c r="G513" s="15" t="s">
        <v>1656</v>
      </c>
      <c r="H513">
        <v>1683</v>
      </c>
      <c r="I513">
        <v>1757</v>
      </c>
      <c r="J513" s="15" t="s">
        <v>1656</v>
      </c>
      <c r="K513">
        <v>262922</v>
      </c>
      <c r="L513" s="15" t="s">
        <v>1262</v>
      </c>
    </row>
    <row r="514" spans="1:12">
      <c r="A514" t="s">
        <v>1666</v>
      </c>
      <c r="B514">
        <v>2</v>
      </c>
      <c r="C514" t="s">
        <v>2299</v>
      </c>
      <c r="D514" t="s">
        <v>292</v>
      </c>
      <c r="E514">
        <v>31256805</v>
      </c>
      <c r="F514">
        <v>31256892</v>
      </c>
      <c r="G514" s="15" t="s">
        <v>1656</v>
      </c>
      <c r="H514">
        <v>1631</v>
      </c>
      <c r="I514">
        <v>1716</v>
      </c>
      <c r="J514" s="15" t="s">
        <v>1656</v>
      </c>
      <c r="K514">
        <v>848440</v>
      </c>
      <c r="L514" s="15" t="s">
        <v>1262</v>
      </c>
    </row>
    <row r="515" spans="1:12">
      <c r="A515" t="s">
        <v>1666</v>
      </c>
      <c r="B515">
        <v>2</v>
      </c>
      <c r="C515" t="s">
        <v>1697</v>
      </c>
      <c r="D515" t="s">
        <v>1787</v>
      </c>
      <c r="E515">
        <v>3144</v>
      </c>
      <c r="F515">
        <v>3461</v>
      </c>
      <c r="G515" s="15" t="s">
        <v>35</v>
      </c>
      <c r="H515">
        <v>1521</v>
      </c>
      <c r="I515">
        <v>1777</v>
      </c>
      <c r="J515" s="15" t="s">
        <v>35</v>
      </c>
      <c r="K515" t="s">
        <v>1697</v>
      </c>
      <c r="L515" s="15" t="s">
        <v>1262</v>
      </c>
    </row>
    <row r="516" spans="1:12">
      <c r="A516" t="s">
        <v>1666</v>
      </c>
      <c r="B516">
        <v>2</v>
      </c>
      <c r="C516" t="s">
        <v>1991</v>
      </c>
      <c r="D516" t="s">
        <v>104</v>
      </c>
      <c r="E516">
        <v>57157128</v>
      </c>
      <c r="F516">
        <v>57157199</v>
      </c>
      <c r="G516" s="15" t="s">
        <v>1656</v>
      </c>
      <c r="H516">
        <v>1610</v>
      </c>
      <c r="I516">
        <v>1682</v>
      </c>
      <c r="J516" s="15" t="s">
        <v>35</v>
      </c>
      <c r="K516">
        <v>0</v>
      </c>
      <c r="L516" s="15" t="s">
        <v>1262</v>
      </c>
    </row>
    <row r="517" spans="1:12">
      <c r="A517" t="s">
        <v>1666</v>
      </c>
      <c r="B517">
        <v>2</v>
      </c>
      <c r="C517" t="s">
        <v>1668</v>
      </c>
      <c r="D517" t="s">
        <v>339</v>
      </c>
      <c r="E517">
        <v>50003713</v>
      </c>
      <c r="F517">
        <v>50003886</v>
      </c>
      <c r="G517" s="15" t="s">
        <v>1656</v>
      </c>
      <c r="H517">
        <v>1759</v>
      </c>
      <c r="I517">
        <v>1827</v>
      </c>
      <c r="J517" s="15" t="s">
        <v>1656</v>
      </c>
      <c r="K517">
        <v>0</v>
      </c>
      <c r="L517" s="15" t="s">
        <v>1262</v>
      </c>
    </row>
    <row r="518" spans="1:12">
      <c r="A518" t="s">
        <v>1666</v>
      </c>
      <c r="B518">
        <v>2</v>
      </c>
      <c r="C518" t="s">
        <v>1792</v>
      </c>
      <c r="D518" t="s">
        <v>118</v>
      </c>
      <c r="E518">
        <v>94849184</v>
      </c>
      <c r="F518">
        <v>94849516</v>
      </c>
      <c r="G518" s="15" t="s">
        <v>1656</v>
      </c>
      <c r="H518">
        <v>1192</v>
      </c>
      <c r="I518">
        <v>1575</v>
      </c>
      <c r="J518" s="15" t="s">
        <v>1656</v>
      </c>
      <c r="K518">
        <v>0</v>
      </c>
      <c r="L518" s="15" t="s">
        <v>1262</v>
      </c>
    </row>
    <row r="519" spans="1:12">
      <c r="A519" t="s">
        <v>1666</v>
      </c>
      <c r="B519">
        <v>2</v>
      </c>
      <c r="C519" t="s">
        <v>2316</v>
      </c>
      <c r="D519" t="s">
        <v>129</v>
      </c>
      <c r="E519">
        <v>22297674</v>
      </c>
      <c r="F519">
        <v>22297805</v>
      </c>
      <c r="G519" s="15" t="s">
        <v>1656</v>
      </c>
      <c r="H519">
        <v>1669</v>
      </c>
      <c r="I519">
        <v>1783</v>
      </c>
      <c r="J519" s="15" t="s">
        <v>1656</v>
      </c>
      <c r="K519">
        <v>0</v>
      </c>
      <c r="L519" s="15" t="s">
        <v>1262</v>
      </c>
    </row>
    <row r="520" spans="1:12">
      <c r="A520" t="s">
        <v>1666</v>
      </c>
      <c r="B520">
        <v>2</v>
      </c>
      <c r="C520" t="s">
        <v>2316</v>
      </c>
      <c r="D520" t="s">
        <v>129</v>
      </c>
      <c r="E520">
        <v>22297845</v>
      </c>
      <c r="F520">
        <v>22297900</v>
      </c>
      <c r="G520" s="15" t="s">
        <v>35</v>
      </c>
      <c r="H520">
        <v>1197</v>
      </c>
      <c r="I520">
        <v>1446</v>
      </c>
      <c r="J520" s="15" t="s">
        <v>1656</v>
      </c>
      <c r="K520">
        <v>0</v>
      </c>
      <c r="L520" s="15" t="s">
        <v>1262</v>
      </c>
    </row>
    <row r="521" spans="1:12">
      <c r="A521" t="s">
        <v>1666</v>
      </c>
      <c r="B521">
        <v>2</v>
      </c>
      <c r="C521" t="s">
        <v>2319</v>
      </c>
      <c r="D521" t="s">
        <v>135</v>
      </c>
      <c r="E521">
        <v>56068492</v>
      </c>
      <c r="F521">
        <v>56068630</v>
      </c>
      <c r="G521" s="15" t="s">
        <v>1656</v>
      </c>
      <c r="H521">
        <v>1671</v>
      </c>
      <c r="I521">
        <v>1765</v>
      </c>
      <c r="J521" s="15" t="s">
        <v>1656</v>
      </c>
      <c r="K521">
        <v>0</v>
      </c>
      <c r="L521" s="15" t="s">
        <v>1262</v>
      </c>
    </row>
    <row r="522" spans="1:12">
      <c r="A522" t="s">
        <v>1753</v>
      </c>
      <c r="B522">
        <v>2</v>
      </c>
      <c r="C522" t="s">
        <v>1776</v>
      </c>
      <c r="D522" t="s">
        <v>201</v>
      </c>
      <c r="E522">
        <v>28364303</v>
      </c>
      <c r="F522">
        <v>28364378</v>
      </c>
      <c r="G522" s="15" t="s">
        <v>1656</v>
      </c>
      <c r="H522">
        <v>2545</v>
      </c>
      <c r="I522">
        <v>2619</v>
      </c>
      <c r="J522" s="15" t="s">
        <v>1656</v>
      </c>
      <c r="K522">
        <v>0</v>
      </c>
      <c r="L522" s="15" t="s">
        <v>41</v>
      </c>
    </row>
    <row r="523" spans="1:12">
      <c r="A523" t="s">
        <v>1753</v>
      </c>
      <c r="B523">
        <v>2</v>
      </c>
      <c r="C523" t="s">
        <v>1664</v>
      </c>
      <c r="D523" t="s">
        <v>220</v>
      </c>
      <c r="E523">
        <v>61079642</v>
      </c>
      <c r="F523">
        <v>61079731</v>
      </c>
      <c r="G523" s="15" t="s">
        <v>1656</v>
      </c>
      <c r="H523">
        <v>534</v>
      </c>
      <c r="I523">
        <v>663</v>
      </c>
      <c r="J523" s="15" t="s">
        <v>35</v>
      </c>
      <c r="K523">
        <v>1283107</v>
      </c>
      <c r="L523" s="15" t="s">
        <v>41</v>
      </c>
    </row>
    <row r="524" spans="1:12">
      <c r="A524" t="s">
        <v>1753</v>
      </c>
      <c r="B524">
        <v>2</v>
      </c>
      <c r="C524" t="s">
        <v>1756</v>
      </c>
      <c r="D524" t="s">
        <v>279</v>
      </c>
      <c r="E524">
        <v>69506959</v>
      </c>
      <c r="F524">
        <v>69507132</v>
      </c>
      <c r="G524" s="15" t="s">
        <v>35</v>
      </c>
      <c r="H524">
        <v>260</v>
      </c>
      <c r="I524">
        <v>514</v>
      </c>
      <c r="J524" s="15" t="s">
        <v>35</v>
      </c>
      <c r="K524">
        <v>0</v>
      </c>
      <c r="L524" s="15" t="s">
        <v>41</v>
      </c>
    </row>
    <row r="525" spans="1:12">
      <c r="A525" t="s">
        <v>1734</v>
      </c>
      <c r="B525">
        <v>2</v>
      </c>
      <c r="C525" t="s">
        <v>1777</v>
      </c>
      <c r="D525" t="s">
        <v>129</v>
      </c>
      <c r="E525">
        <v>54317229</v>
      </c>
      <c r="F525">
        <v>54317304</v>
      </c>
      <c r="G525" s="15" t="s">
        <v>1656</v>
      </c>
      <c r="H525">
        <v>1051</v>
      </c>
      <c r="I525">
        <v>1125</v>
      </c>
      <c r="J525" s="15" t="s">
        <v>35</v>
      </c>
      <c r="K525">
        <v>0</v>
      </c>
      <c r="L525" s="15" t="s">
        <v>41</v>
      </c>
    </row>
    <row r="526" spans="1:12">
      <c r="A526" t="s">
        <v>1734</v>
      </c>
      <c r="B526">
        <v>2</v>
      </c>
      <c r="C526" t="s">
        <v>2323</v>
      </c>
      <c r="D526" t="s">
        <v>139</v>
      </c>
      <c r="E526">
        <v>45448113</v>
      </c>
      <c r="F526">
        <v>45448437</v>
      </c>
      <c r="G526" s="15" t="s">
        <v>1656</v>
      </c>
      <c r="H526">
        <v>1406</v>
      </c>
      <c r="I526">
        <v>1481</v>
      </c>
      <c r="J526" s="15" t="s">
        <v>1656</v>
      </c>
      <c r="K526">
        <v>0</v>
      </c>
      <c r="L526" s="15" t="s">
        <v>41</v>
      </c>
    </row>
    <row r="527" spans="1:12">
      <c r="A527" t="s">
        <v>1734</v>
      </c>
      <c r="B527">
        <v>2</v>
      </c>
      <c r="C527" t="s">
        <v>1780</v>
      </c>
      <c r="D527" t="s">
        <v>139</v>
      </c>
      <c r="E527">
        <v>10798363</v>
      </c>
      <c r="F527">
        <v>10799279</v>
      </c>
      <c r="G527" s="15" t="s">
        <v>35</v>
      </c>
      <c r="H527">
        <v>1240</v>
      </c>
      <c r="I527">
        <v>1315</v>
      </c>
      <c r="J527" s="15" t="s">
        <v>35</v>
      </c>
      <c r="K527">
        <v>0</v>
      </c>
      <c r="L527" s="15" t="s">
        <v>41</v>
      </c>
    </row>
    <row r="528" spans="1:12">
      <c r="A528" t="s">
        <v>1734</v>
      </c>
      <c r="B528">
        <v>2</v>
      </c>
      <c r="C528" t="s">
        <v>2324</v>
      </c>
      <c r="D528" t="s">
        <v>139</v>
      </c>
      <c r="E528">
        <v>45451982</v>
      </c>
      <c r="F528">
        <v>45452057</v>
      </c>
      <c r="G528" s="15" t="s">
        <v>35</v>
      </c>
      <c r="H528">
        <v>1727</v>
      </c>
      <c r="I528">
        <v>1802</v>
      </c>
      <c r="J528" s="15" t="s">
        <v>1656</v>
      </c>
      <c r="K528">
        <v>0</v>
      </c>
      <c r="L528" s="15" t="s">
        <v>41</v>
      </c>
    </row>
    <row r="529" spans="1:12">
      <c r="A529" t="s">
        <v>1734</v>
      </c>
      <c r="B529">
        <v>2</v>
      </c>
      <c r="C529" t="s">
        <v>1781</v>
      </c>
      <c r="D529" t="s">
        <v>172</v>
      </c>
      <c r="E529">
        <v>238601139</v>
      </c>
      <c r="F529">
        <v>238617236</v>
      </c>
      <c r="G529" s="15" t="s">
        <v>1656</v>
      </c>
      <c r="H529">
        <v>731</v>
      </c>
      <c r="I529">
        <v>805</v>
      </c>
      <c r="J529" s="15" t="s">
        <v>1656</v>
      </c>
      <c r="K529">
        <v>0</v>
      </c>
      <c r="L529" s="15" t="s">
        <v>41</v>
      </c>
    </row>
    <row r="530" spans="1:12">
      <c r="A530" t="s">
        <v>1734</v>
      </c>
      <c r="B530">
        <v>2</v>
      </c>
      <c r="C530" t="s">
        <v>2325</v>
      </c>
      <c r="D530" t="s">
        <v>197</v>
      </c>
      <c r="E530">
        <v>51021176</v>
      </c>
      <c r="F530">
        <v>51021251</v>
      </c>
      <c r="G530" s="15" t="s">
        <v>35</v>
      </c>
      <c r="H530">
        <v>1693</v>
      </c>
      <c r="I530">
        <v>1768</v>
      </c>
      <c r="J530" s="15" t="s">
        <v>35</v>
      </c>
      <c r="K530">
        <v>0</v>
      </c>
      <c r="L530" s="15" t="s">
        <v>41</v>
      </c>
    </row>
    <row r="531" spans="1:12">
      <c r="A531" t="s">
        <v>1734</v>
      </c>
      <c r="B531">
        <v>2</v>
      </c>
      <c r="C531" t="s">
        <v>221</v>
      </c>
      <c r="D531" t="s">
        <v>220</v>
      </c>
      <c r="E531">
        <v>74280825</v>
      </c>
      <c r="F531">
        <v>74281988</v>
      </c>
      <c r="G531" s="15" t="s">
        <v>35</v>
      </c>
      <c r="H531">
        <v>1849</v>
      </c>
      <c r="I531">
        <v>1912</v>
      </c>
      <c r="J531" s="15" t="s">
        <v>1656</v>
      </c>
      <c r="K531">
        <v>0</v>
      </c>
      <c r="L531" s="15" t="s">
        <v>41</v>
      </c>
    </row>
    <row r="532" spans="1:12">
      <c r="A532" t="s">
        <v>1734</v>
      </c>
      <c r="B532">
        <v>2</v>
      </c>
      <c r="C532" t="s">
        <v>1784</v>
      </c>
      <c r="D532" t="s">
        <v>226</v>
      </c>
      <c r="E532">
        <v>140700024</v>
      </c>
      <c r="F532">
        <v>140700099</v>
      </c>
      <c r="G532" s="15" t="s">
        <v>35</v>
      </c>
      <c r="H532">
        <v>1220</v>
      </c>
      <c r="I532">
        <v>1295</v>
      </c>
      <c r="J532" s="15" t="s">
        <v>35</v>
      </c>
      <c r="K532">
        <v>0</v>
      </c>
      <c r="L532" s="15" t="s">
        <v>41</v>
      </c>
    </row>
    <row r="533" spans="1:12">
      <c r="A533" t="s">
        <v>1734</v>
      </c>
      <c r="B533">
        <v>2</v>
      </c>
      <c r="C533" t="s">
        <v>2326</v>
      </c>
      <c r="D533" t="s">
        <v>292</v>
      </c>
      <c r="E533">
        <v>124091545</v>
      </c>
      <c r="F533">
        <v>124093692</v>
      </c>
      <c r="G533" s="15" t="s">
        <v>1656</v>
      </c>
      <c r="H533">
        <v>1378</v>
      </c>
      <c r="I533">
        <v>1449</v>
      </c>
      <c r="J533" s="15" t="s">
        <v>35</v>
      </c>
      <c r="K533">
        <v>0</v>
      </c>
      <c r="L533" s="15" t="s">
        <v>41</v>
      </c>
    </row>
    <row r="534" spans="1:12">
      <c r="A534" t="s">
        <v>1734</v>
      </c>
      <c r="B534">
        <v>2</v>
      </c>
      <c r="C534" t="s">
        <v>1791</v>
      </c>
      <c r="D534" t="s">
        <v>118</v>
      </c>
      <c r="E534">
        <v>24658716</v>
      </c>
      <c r="F534">
        <v>24658791</v>
      </c>
      <c r="G534" s="15" t="s">
        <v>1656</v>
      </c>
      <c r="H534">
        <v>162</v>
      </c>
      <c r="I534">
        <v>237</v>
      </c>
      <c r="J534" s="15" t="s">
        <v>35</v>
      </c>
      <c r="K534">
        <v>0</v>
      </c>
      <c r="L534" s="15" t="s">
        <v>41</v>
      </c>
    </row>
    <row r="535" spans="1:12">
      <c r="A535" t="s">
        <v>1685</v>
      </c>
      <c r="B535">
        <v>2</v>
      </c>
      <c r="C535" t="s">
        <v>1801</v>
      </c>
      <c r="D535" t="s">
        <v>139</v>
      </c>
      <c r="E535">
        <v>6707509</v>
      </c>
      <c r="F535">
        <v>6718287</v>
      </c>
      <c r="G535" s="15" t="s">
        <v>1656</v>
      </c>
      <c r="H535">
        <v>280</v>
      </c>
      <c r="I535">
        <v>356</v>
      </c>
      <c r="J535" s="15" t="s">
        <v>1656</v>
      </c>
      <c r="K535">
        <v>0</v>
      </c>
      <c r="L535" s="15" t="s">
        <v>41</v>
      </c>
    </row>
    <row r="536" spans="1:12">
      <c r="A536" t="s">
        <v>1685</v>
      </c>
      <c r="B536">
        <v>2</v>
      </c>
      <c r="C536" t="s">
        <v>1801</v>
      </c>
      <c r="D536" t="s">
        <v>139</v>
      </c>
      <c r="E536">
        <v>6685106</v>
      </c>
      <c r="F536">
        <v>6712295</v>
      </c>
      <c r="G536" s="15" t="s">
        <v>1656</v>
      </c>
      <c r="H536">
        <v>1229</v>
      </c>
      <c r="I536">
        <v>1546</v>
      </c>
      <c r="J536" s="15" t="s">
        <v>35</v>
      </c>
      <c r="K536">
        <v>0</v>
      </c>
      <c r="L536" s="15" t="s">
        <v>41</v>
      </c>
    </row>
    <row r="537" spans="1:12">
      <c r="A537" t="s">
        <v>1685</v>
      </c>
      <c r="B537">
        <v>2</v>
      </c>
      <c r="C537" t="s">
        <v>1931</v>
      </c>
      <c r="D537" t="s">
        <v>22</v>
      </c>
      <c r="E537">
        <v>230846388</v>
      </c>
      <c r="F537">
        <v>230846532</v>
      </c>
      <c r="G537" s="15" t="s">
        <v>1656</v>
      </c>
      <c r="H537">
        <v>397</v>
      </c>
      <c r="I537">
        <v>497</v>
      </c>
      <c r="J537" s="15" t="s">
        <v>35</v>
      </c>
      <c r="K537">
        <v>0</v>
      </c>
      <c r="L537" s="15" t="s">
        <v>41</v>
      </c>
    </row>
    <row r="538" spans="1:12">
      <c r="A538" t="s">
        <v>1685</v>
      </c>
      <c r="B538">
        <v>2</v>
      </c>
      <c r="C538" t="s">
        <v>1688</v>
      </c>
      <c r="D538" t="s">
        <v>139</v>
      </c>
      <c r="E538">
        <v>30289442</v>
      </c>
      <c r="F538">
        <v>30289557</v>
      </c>
      <c r="G538" s="15" t="s">
        <v>1656</v>
      </c>
      <c r="H538">
        <v>1946</v>
      </c>
      <c r="I538">
        <v>2020</v>
      </c>
      <c r="J538" s="15" t="s">
        <v>35</v>
      </c>
      <c r="K538">
        <v>13343</v>
      </c>
      <c r="L538" s="15" t="s">
        <v>41</v>
      </c>
    </row>
    <row r="539" spans="1:12">
      <c r="A539" t="s">
        <v>1685</v>
      </c>
      <c r="B539">
        <v>2</v>
      </c>
      <c r="C539" t="s">
        <v>1803</v>
      </c>
      <c r="D539" t="s">
        <v>139</v>
      </c>
      <c r="E539">
        <v>45412237</v>
      </c>
      <c r="F539">
        <v>45422454</v>
      </c>
      <c r="G539" s="15" t="s">
        <v>1656</v>
      </c>
      <c r="H539">
        <v>222</v>
      </c>
      <c r="I539">
        <v>357</v>
      </c>
      <c r="J539" s="15" t="s">
        <v>1656</v>
      </c>
      <c r="K539">
        <v>0</v>
      </c>
      <c r="L539" s="15" t="s">
        <v>41</v>
      </c>
    </row>
    <row r="540" spans="1:12">
      <c r="A540" t="s">
        <v>1685</v>
      </c>
      <c r="B540">
        <v>2</v>
      </c>
      <c r="C540" t="s">
        <v>1932</v>
      </c>
      <c r="D540" t="s">
        <v>139</v>
      </c>
      <c r="E540">
        <v>13054698</v>
      </c>
      <c r="F540">
        <v>13054773</v>
      </c>
      <c r="G540" s="15" t="s">
        <v>35</v>
      </c>
      <c r="H540">
        <v>389</v>
      </c>
      <c r="I540">
        <v>464</v>
      </c>
      <c r="J540" s="15" t="s">
        <v>35</v>
      </c>
      <c r="K540">
        <v>0</v>
      </c>
      <c r="L540" s="15" t="s">
        <v>41</v>
      </c>
    </row>
    <row r="541" spans="1:12">
      <c r="A541" t="s">
        <v>1685</v>
      </c>
      <c r="B541">
        <v>2</v>
      </c>
      <c r="C541" t="s">
        <v>1937</v>
      </c>
      <c r="D541" t="s">
        <v>172</v>
      </c>
      <c r="E541">
        <v>217525276</v>
      </c>
      <c r="F541">
        <v>217525348</v>
      </c>
      <c r="G541" s="15" t="s">
        <v>1656</v>
      </c>
      <c r="H541">
        <v>250</v>
      </c>
      <c r="I541">
        <v>325</v>
      </c>
      <c r="J541" s="15" t="s">
        <v>35</v>
      </c>
      <c r="K541">
        <v>0</v>
      </c>
      <c r="L541" s="15" t="s">
        <v>41</v>
      </c>
    </row>
    <row r="542" spans="1:12">
      <c r="A542" t="s">
        <v>1685</v>
      </c>
      <c r="B542">
        <v>2</v>
      </c>
      <c r="C542" t="s">
        <v>1605</v>
      </c>
      <c r="D542" t="s">
        <v>172</v>
      </c>
      <c r="E542">
        <v>242168951</v>
      </c>
      <c r="F542">
        <v>242169056</v>
      </c>
      <c r="G542" s="15" t="s">
        <v>1656</v>
      </c>
      <c r="H542">
        <v>129</v>
      </c>
      <c r="I542">
        <v>471</v>
      </c>
      <c r="J542" s="15" t="s">
        <v>1656</v>
      </c>
      <c r="K542">
        <v>0</v>
      </c>
      <c r="L542" s="15" t="s">
        <v>41</v>
      </c>
    </row>
    <row r="543" spans="1:12">
      <c r="A543" t="s">
        <v>1685</v>
      </c>
      <c r="B543">
        <v>2</v>
      </c>
      <c r="C543" t="s">
        <v>2338</v>
      </c>
      <c r="D543" t="s">
        <v>197</v>
      </c>
      <c r="E543">
        <v>32894574</v>
      </c>
      <c r="F543">
        <v>32894649</v>
      </c>
      <c r="G543" s="15" t="s">
        <v>1656</v>
      </c>
      <c r="H543">
        <v>501</v>
      </c>
      <c r="I543">
        <v>548</v>
      </c>
      <c r="J543" s="15" t="s">
        <v>35</v>
      </c>
      <c r="K543">
        <v>0</v>
      </c>
      <c r="L543" s="15" t="s">
        <v>41</v>
      </c>
    </row>
    <row r="544" spans="1:12">
      <c r="A544" t="s">
        <v>1685</v>
      </c>
      <c r="B544">
        <v>2</v>
      </c>
      <c r="C544" t="s">
        <v>1948</v>
      </c>
      <c r="D544" t="s">
        <v>201</v>
      </c>
      <c r="E544">
        <v>52820319</v>
      </c>
      <c r="F544">
        <v>52824844</v>
      </c>
      <c r="G544" s="15" t="s">
        <v>1656</v>
      </c>
      <c r="H544">
        <v>292</v>
      </c>
      <c r="I544">
        <v>443</v>
      </c>
      <c r="J544" s="15" t="s">
        <v>1656</v>
      </c>
      <c r="K544">
        <v>0</v>
      </c>
      <c r="L544" s="15" t="s">
        <v>41</v>
      </c>
    </row>
    <row r="545" spans="1:12">
      <c r="A545" t="s">
        <v>1685</v>
      </c>
      <c r="B545">
        <v>2</v>
      </c>
      <c r="C545" t="s">
        <v>221</v>
      </c>
      <c r="D545" t="s">
        <v>220</v>
      </c>
      <c r="E545">
        <v>74270025</v>
      </c>
      <c r="F545">
        <v>74286867</v>
      </c>
      <c r="G545" s="15" t="s">
        <v>1656</v>
      </c>
      <c r="H545">
        <v>669</v>
      </c>
      <c r="I545">
        <v>1240</v>
      </c>
      <c r="J545" s="15" t="s">
        <v>35</v>
      </c>
      <c r="K545">
        <v>0</v>
      </c>
      <c r="L545" s="15" t="s">
        <v>41</v>
      </c>
    </row>
    <row r="546" spans="1:12">
      <c r="A546" t="s">
        <v>1685</v>
      </c>
      <c r="B546">
        <v>2</v>
      </c>
      <c r="C546" t="s">
        <v>2330</v>
      </c>
      <c r="D546" t="s">
        <v>220</v>
      </c>
      <c r="E546">
        <v>100057621</v>
      </c>
      <c r="F546">
        <v>100062778</v>
      </c>
      <c r="G546" s="15" t="s">
        <v>1656</v>
      </c>
      <c r="H546">
        <v>1713</v>
      </c>
      <c r="I546">
        <v>1810</v>
      </c>
      <c r="J546" s="15" t="s">
        <v>35</v>
      </c>
      <c r="K546">
        <v>0</v>
      </c>
      <c r="L546" s="15" t="s">
        <v>41</v>
      </c>
    </row>
    <row r="547" spans="1:12">
      <c r="A547" t="s">
        <v>1685</v>
      </c>
      <c r="B547">
        <v>2</v>
      </c>
      <c r="C547" t="s">
        <v>1847</v>
      </c>
      <c r="D547" t="s">
        <v>220</v>
      </c>
      <c r="E547">
        <v>155490721</v>
      </c>
      <c r="F547">
        <v>155490938</v>
      </c>
      <c r="G547" s="15" t="s">
        <v>1656</v>
      </c>
      <c r="H547">
        <v>1551</v>
      </c>
      <c r="I547">
        <v>1711</v>
      </c>
      <c r="J547" s="15" t="s">
        <v>1656</v>
      </c>
      <c r="K547">
        <v>0</v>
      </c>
      <c r="L547" s="15" t="s">
        <v>41</v>
      </c>
    </row>
    <row r="548" spans="1:12">
      <c r="A548" t="s">
        <v>1685</v>
      </c>
      <c r="B548">
        <v>2</v>
      </c>
      <c r="C548" t="s">
        <v>1783</v>
      </c>
      <c r="D548" t="s">
        <v>220</v>
      </c>
      <c r="E548">
        <v>155506522</v>
      </c>
      <c r="F548">
        <v>155507465</v>
      </c>
      <c r="G548" s="15" t="s">
        <v>1656</v>
      </c>
      <c r="H548">
        <v>219</v>
      </c>
      <c r="I548">
        <v>356</v>
      </c>
      <c r="J548" s="15" t="s">
        <v>1656</v>
      </c>
      <c r="K548">
        <v>0</v>
      </c>
      <c r="L548" s="15" t="s">
        <v>41</v>
      </c>
    </row>
    <row r="549" spans="1:12">
      <c r="A549" t="s">
        <v>1685</v>
      </c>
      <c r="B549">
        <v>2</v>
      </c>
      <c r="C549" t="s">
        <v>1959</v>
      </c>
      <c r="D549" t="s">
        <v>220</v>
      </c>
      <c r="E549">
        <v>6884697</v>
      </c>
      <c r="F549">
        <v>6884771</v>
      </c>
      <c r="G549" s="15" t="s">
        <v>35</v>
      </c>
      <c r="H549">
        <v>387</v>
      </c>
      <c r="I549">
        <v>462</v>
      </c>
      <c r="J549" s="15" t="s">
        <v>1656</v>
      </c>
      <c r="K549">
        <v>0</v>
      </c>
      <c r="L549" s="15" t="s">
        <v>41</v>
      </c>
    </row>
    <row r="550" spans="1:12">
      <c r="A550" t="s">
        <v>1685</v>
      </c>
      <c r="B550">
        <v>2</v>
      </c>
      <c r="C550" t="s">
        <v>1783</v>
      </c>
      <c r="D550" t="s">
        <v>220</v>
      </c>
      <c r="E550">
        <v>155504884</v>
      </c>
      <c r="F550">
        <v>155509973</v>
      </c>
      <c r="G550" s="15" t="s">
        <v>35</v>
      </c>
      <c r="H550">
        <v>297</v>
      </c>
      <c r="I550">
        <v>381</v>
      </c>
      <c r="J550" s="15" t="s">
        <v>1656</v>
      </c>
      <c r="K550">
        <v>0</v>
      </c>
      <c r="L550" s="15" t="s">
        <v>41</v>
      </c>
    </row>
    <row r="551" spans="1:12">
      <c r="A551" t="s">
        <v>1685</v>
      </c>
      <c r="B551">
        <v>2</v>
      </c>
      <c r="C551" t="s">
        <v>2331</v>
      </c>
      <c r="D551" t="s">
        <v>226</v>
      </c>
      <c r="E551">
        <v>42801120</v>
      </c>
      <c r="F551">
        <v>42801313</v>
      </c>
      <c r="G551" s="15" t="s">
        <v>35</v>
      </c>
      <c r="H551">
        <v>422</v>
      </c>
      <c r="I551">
        <v>765</v>
      </c>
      <c r="J551" s="15" t="s">
        <v>35</v>
      </c>
      <c r="K551">
        <v>0</v>
      </c>
      <c r="L551" s="15" t="s">
        <v>41</v>
      </c>
    </row>
    <row r="552" spans="1:12">
      <c r="A552" t="s">
        <v>1685</v>
      </c>
      <c r="B552">
        <v>2</v>
      </c>
      <c r="C552" t="s">
        <v>1858</v>
      </c>
      <c r="D552" t="s">
        <v>237</v>
      </c>
      <c r="E552">
        <v>160102105</v>
      </c>
      <c r="F552">
        <v>160102254</v>
      </c>
      <c r="G552" s="15" t="s">
        <v>35</v>
      </c>
      <c r="H552">
        <v>261</v>
      </c>
      <c r="I552">
        <v>360</v>
      </c>
      <c r="J552" s="15" t="s">
        <v>1656</v>
      </c>
      <c r="K552">
        <v>0</v>
      </c>
      <c r="L552" s="15" t="s">
        <v>41</v>
      </c>
    </row>
    <row r="553" spans="1:12">
      <c r="A553" t="s">
        <v>1685</v>
      </c>
      <c r="B553">
        <v>2</v>
      </c>
      <c r="C553" t="s">
        <v>1866</v>
      </c>
      <c r="D553" t="s">
        <v>257</v>
      </c>
      <c r="E553">
        <v>99564502</v>
      </c>
      <c r="F553">
        <v>99566040</v>
      </c>
      <c r="G553" s="15" t="s">
        <v>1656</v>
      </c>
      <c r="H553">
        <v>304</v>
      </c>
      <c r="I553">
        <v>408</v>
      </c>
      <c r="J553" s="15" t="s">
        <v>35</v>
      </c>
      <c r="K553">
        <v>0</v>
      </c>
      <c r="L553" s="15" t="s">
        <v>41</v>
      </c>
    </row>
    <row r="554" spans="1:12">
      <c r="A554" t="s">
        <v>1685</v>
      </c>
      <c r="B554">
        <v>2</v>
      </c>
      <c r="C554" t="s">
        <v>1969</v>
      </c>
      <c r="D554" t="s">
        <v>257</v>
      </c>
      <c r="E554">
        <v>100203324</v>
      </c>
      <c r="F554">
        <v>100205371</v>
      </c>
      <c r="G554" s="15" t="s">
        <v>1656</v>
      </c>
      <c r="H554">
        <v>222</v>
      </c>
      <c r="I554">
        <v>396</v>
      </c>
      <c r="J554" s="15" t="s">
        <v>1656</v>
      </c>
      <c r="K554">
        <v>0</v>
      </c>
      <c r="L554" s="15" t="s">
        <v>41</v>
      </c>
    </row>
    <row r="555" spans="1:12">
      <c r="A555" t="s">
        <v>1685</v>
      </c>
      <c r="B555">
        <v>2</v>
      </c>
      <c r="C555" t="s">
        <v>1869</v>
      </c>
      <c r="D555" t="s">
        <v>257</v>
      </c>
      <c r="E555">
        <v>155100577</v>
      </c>
      <c r="F555">
        <v>155100652</v>
      </c>
      <c r="G555" s="15" t="s">
        <v>1656</v>
      </c>
      <c r="H555">
        <v>453</v>
      </c>
      <c r="I555">
        <v>497</v>
      </c>
      <c r="J555" s="15" t="s">
        <v>35</v>
      </c>
      <c r="K555">
        <v>0</v>
      </c>
      <c r="L555" s="15" t="s">
        <v>41</v>
      </c>
    </row>
    <row r="556" spans="1:12">
      <c r="A556" t="s">
        <v>1685</v>
      </c>
      <c r="B556">
        <v>2</v>
      </c>
      <c r="C556" t="s">
        <v>1973</v>
      </c>
      <c r="D556" t="s">
        <v>257</v>
      </c>
      <c r="E556">
        <v>100865122</v>
      </c>
      <c r="F556">
        <v>100865197</v>
      </c>
      <c r="G556" s="15" t="s">
        <v>35</v>
      </c>
      <c r="H556">
        <v>299</v>
      </c>
      <c r="I556">
        <v>358</v>
      </c>
      <c r="J556" s="15" t="s">
        <v>35</v>
      </c>
      <c r="K556">
        <v>0</v>
      </c>
      <c r="L556" s="15" t="s">
        <v>41</v>
      </c>
    </row>
    <row r="557" spans="1:12">
      <c r="A557" t="s">
        <v>1685</v>
      </c>
      <c r="B557">
        <v>2</v>
      </c>
      <c r="C557" t="s">
        <v>1974</v>
      </c>
      <c r="D557" t="s">
        <v>279</v>
      </c>
      <c r="E557">
        <v>93897032</v>
      </c>
      <c r="F557">
        <v>93897083</v>
      </c>
      <c r="G557" s="15" t="s">
        <v>1656</v>
      </c>
      <c r="H557">
        <v>515</v>
      </c>
      <c r="I557">
        <v>587</v>
      </c>
      <c r="J557" s="15" t="s">
        <v>35</v>
      </c>
      <c r="K557">
        <v>0</v>
      </c>
      <c r="L557" s="15" t="s">
        <v>41</v>
      </c>
    </row>
    <row r="558" spans="1:12">
      <c r="A558" t="s">
        <v>1685</v>
      </c>
      <c r="B558">
        <v>2</v>
      </c>
      <c r="C558" t="s">
        <v>1975</v>
      </c>
      <c r="D558" t="s">
        <v>69</v>
      </c>
      <c r="E558">
        <v>95353580</v>
      </c>
      <c r="F558">
        <v>95353786</v>
      </c>
      <c r="G558" s="15" t="s">
        <v>1656</v>
      </c>
      <c r="H558">
        <v>1524</v>
      </c>
      <c r="I558">
        <v>1609</v>
      </c>
      <c r="J558" s="15" t="s">
        <v>1656</v>
      </c>
      <c r="K558">
        <v>0</v>
      </c>
      <c r="L558" s="15" t="s">
        <v>41</v>
      </c>
    </row>
    <row r="559" spans="1:12">
      <c r="A559" t="s">
        <v>1685</v>
      </c>
      <c r="B559">
        <v>2</v>
      </c>
      <c r="C559" t="s">
        <v>1976</v>
      </c>
      <c r="D559" t="s">
        <v>292</v>
      </c>
      <c r="E559">
        <v>130704779</v>
      </c>
      <c r="F559">
        <v>130704853</v>
      </c>
      <c r="G559" s="15" t="s">
        <v>1656</v>
      </c>
      <c r="H559">
        <v>454</v>
      </c>
      <c r="I559">
        <v>497</v>
      </c>
      <c r="J559" s="15" t="s">
        <v>35</v>
      </c>
      <c r="K559">
        <v>0</v>
      </c>
      <c r="L559" s="15" t="s">
        <v>41</v>
      </c>
    </row>
    <row r="560" spans="1:12">
      <c r="A560" t="s">
        <v>1685</v>
      </c>
      <c r="B560">
        <v>2</v>
      </c>
      <c r="C560" t="s">
        <v>1697</v>
      </c>
      <c r="D560" t="s">
        <v>1787</v>
      </c>
      <c r="E560">
        <v>12354</v>
      </c>
      <c r="F560">
        <v>12429</v>
      </c>
      <c r="G560" s="15" t="s">
        <v>1656</v>
      </c>
      <c r="H560">
        <v>325</v>
      </c>
      <c r="I560">
        <v>400</v>
      </c>
      <c r="J560" s="15" t="s">
        <v>1656</v>
      </c>
      <c r="K560" t="s">
        <v>1697</v>
      </c>
      <c r="L560" s="15" t="s">
        <v>41</v>
      </c>
    </row>
    <row r="561" spans="1:12">
      <c r="A561" t="s">
        <v>1685</v>
      </c>
      <c r="B561">
        <v>2</v>
      </c>
      <c r="C561" t="s">
        <v>1983</v>
      </c>
      <c r="D561" t="s">
        <v>83</v>
      </c>
      <c r="E561">
        <v>113669749</v>
      </c>
      <c r="F561">
        <v>113669824</v>
      </c>
      <c r="G561" s="15" t="s">
        <v>1656</v>
      </c>
      <c r="H561">
        <v>1383</v>
      </c>
      <c r="I561">
        <v>1458</v>
      </c>
      <c r="J561" s="15" t="s">
        <v>35</v>
      </c>
      <c r="K561">
        <v>0</v>
      </c>
      <c r="L561" s="15" t="s">
        <v>41</v>
      </c>
    </row>
    <row r="562" spans="1:12">
      <c r="A562" t="s">
        <v>1685</v>
      </c>
      <c r="B562">
        <v>2</v>
      </c>
      <c r="C562" t="s">
        <v>1891</v>
      </c>
      <c r="D562" t="s">
        <v>83</v>
      </c>
      <c r="E562">
        <v>116701283</v>
      </c>
      <c r="F562">
        <v>116706927</v>
      </c>
      <c r="G562" s="15" t="s">
        <v>1656</v>
      </c>
      <c r="H562">
        <v>137</v>
      </c>
      <c r="I562">
        <v>447</v>
      </c>
      <c r="J562" s="15" t="s">
        <v>1656</v>
      </c>
      <c r="K562">
        <v>0</v>
      </c>
      <c r="L562" s="15" t="s">
        <v>41</v>
      </c>
    </row>
    <row r="563" spans="1:12">
      <c r="A563" t="s">
        <v>1685</v>
      </c>
      <c r="B563">
        <v>2</v>
      </c>
      <c r="C563" t="s">
        <v>1990</v>
      </c>
      <c r="D563" t="s">
        <v>104</v>
      </c>
      <c r="E563">
        <v>27135751</v>
      </c>
      <c r="F563">
        <v>27143416</v>
      </c>
      <c r="G563" s="15" t="s">
        <v>1656</v>
      </c>
      <c r="H563">
        <v>314</v>
      </c>
      <c r="I563">
        <v>389</v>
      </c>
      <c r="J563" s="15" t="s">
        <v>35</v>
      </c>
      <c r="K563">
        <v>0</v>
      </c>
      <c r="L563" s="15" t="s">
        <v>41</v>
      </c>
    </row>
    <row r="564" spans="1:12">
      <c r="A564" t="s">
        <v>1706</v>
      </c>
      <c r="B564">
        <v>2</v>
      </c>
      <c r="C564" t="s">
        <v>2175</v>
      </c>
      <c r="D564" t="s">
        <v>133</v>
      </c>
      <c r="E564">
        <v>25637097</v>
      </c>
      <c r="F564">
        <v>25637172</v>
      </c>
      <c r="G564" s="15" t="s">
        <v>1656</v>
      </c>
      <c r="H564">
        <v>1626</v>
      </c>
      <c r="I564">
        <v>1701</v>
      </c>
      <c r="J564" s="15" t="s">
        <v>35</v>
      </c>
      <c r="K564">
        <v>0</v>
      </c>
      <c r="L564" s="15" t="s">
        <v>41</v>
      </c>
    </row>
    <row r="565" spans="1:12">
      <c r="A565" t="s">
        <v>1706</v>
      </c>
      <c r="B565">
        <v>2</v>
      </c>
      <c r="C565" t="s">
        <v>2177</v>
      </c>
      <c r="D565" t="s">
        <v>133</v>
      </c>
      <c r="E565">
        <v>40070127</v>
      </c>
      <c r="F565">
        <v>40075185</v>
      </c>
      <c r="G565" s="15" t="s">
        <v>35</v>
      </c>
      <c r="H565">
        <v>672</v>
      </c>
      <c r="I565">
        <v>747</v>
      </c>
      <c r="J565" s="15" t="s">
        <v>1656</v>
      </c>
      <c r="K565">
        <v>0</v>
      </c>
      <c r="L565" s="15" t="s">
        <v>41</v>
      </c>
    </row>
    <row r="566" spans="1:12">
      <c r="A566" t="s">
        <v>1706</v>
      </c>
      <c r="B566">
        <v>2</v>
      </c>
      <c r="C566" t="s">
        <v>1930</v>
      </c>
      <c r="D566" t="s">
        <v>139</v>
      </c>
      <c r="E566">
        <v>3981415</v>
      </c>
      <c r="F566">
        <v>3983290</v>
      </c>
      <c r="G566" s="15" t="s">
        <v>1656</v>
      </c>
      <c r="H566">
        <v>1558</v>
      </c>
      <c r="I566">
        <v>1912</v>
      </c>
      <c r="J566" s="15" t="s">
        <v>35</v>
      </c>
      <c r="K566">
        <v>0</v>
      </c>
      <c r="L566" s="15" t="s">
        <v>41</v>
      </c>
    </row>
    <row r="567" spans="1:12">
      <c r="A567" t="s">
        <v>1706</v>
      </c>
      <c r="B567">
        <v>2</v>
      </c>
      <c r="C567" t="s">
        <v>2180</v>
      </c>
      <c r="D567" t="s">
        <v>139</v>
      </c>
      <c r="E567">
        <v>47112471</v>
      </c>
      <c r="F567">
        <v>47112546</v>
      </c>
      <c r="G567" s="15" t="s">
        <v>1656</v>
      </c>
      <c r="H567">
        <v>1112</v>
      </c>
      <c r="I567">
        <v>1187</v>
      </c>
      <c r="J567" s="15" t="s">
        <v>35</v>
      </c>
      <c r="K567">
        <v>0</v>
      </c>
      <c r="L567" s="15" t="s">
        <v>41</v>
      </c>
    </row>
    <row r="568" spans="1:12">
      <c r="A568" t="s">
        <v>1706</v>
      </c>
      <c r="B568">
        <v>2</v>
      </c>
      <c r="C568" t="s">
        <v>2181</v>
      </c>
      <c r="D568" t="s">
        <v>139</v>
      </c>
      <c r="E568">
        <v>19625387</v>
      </c>
      <c r="F568">
        <v>19625462</v>
      </c>
      <c r="G568" s="15" t="s">
        <v>35</v>
      </c>
      <c r="H568">
        <v>259</v>
      </c>
      <c r="I568">
        <v>334</v>
      </c>
      <c r="J568" s="15" t="s">
        <v>35</v>
      </c>
      <c r="K568">
        <v>0</v>
      </c>
      <c r="L568" s="15" t="s">
        <v>41</v>
      </c>
    </row>
    <row r="569" spans="1:12">
      <c r="A569" t="s">
        <v>1706</v>
      </c>
      <c r="B569">
        <v>2</v>
      </c>
      <c r="C569" t="s">
        <v>1099</v>
      </c>
      <c r="D569" t="s">
        <v>172</v>
      </c>
      <c r="E569">
        <v>216240409</v>
      </c>
      <c r="F569">
        <v>216249673</v>
      </c>
      <c r="G569" s="15" t="s">
        <v>1656</v>
      </c>
      <c r="H569">
        <v>435</v>
      </c>
      <c r="I569">
        <v>677</v>
      </c>
      <c r="J569" s="15" t="s">
        <v>35</v>
      </c>
      <c r="K569">
        <v>0</v>
      </c>
      <c r="L569" s="15" t="s">
        <v>41</v>
      </c>
    </row>
    <row r="570" spans="1:12">
      <c r="A570" t="s">
        <v>1706</v>
      </c>
      <c r="B570">
        <v>2</v>
      </c>
      <c r="C570" t="s">
        <v>173</v>
      </c>
      <c r="D570" t="s">
        <v>172</v>
      </c>
      <c r="E570">
        <v>21234656</v>
      </c>
      <c r="F570">
        <v>21234731</v>
      </c>
      <c r="G570" s="15" t="s">
        <v>35</v>
      </c>
      <c r="H570">
        <v>164</v>
      </c>
      <c r="I570">
        <v>239</v>
      </c>
      <c r="J570" s="15" t="s">
        <v>1656</v>
      </c>
      <c r="K570">
        <v>0</v>
      </c>
      <c r="L570" s="15" t="s">
        <v>41</v>
      </c>
    </row>
    <row r="571" spans="1:12">
      <c r="A571" t="s">
        <v>1706</v>
      </c>
      <c r="B571">
        <v>2</v>
      </c>
      <c r="C571" t="s">
        <v>1937</v>
      </c>
      <c r="D571" t="s">
        <v>172</v>
      </c>
      <c r="E571">
        <v>217525450</v>
      </c>
      <c r="F571">
        <v>217526596</v>
      </c>
      <c r="G571" s="15" t="s">
        <v>35</v>
      </c>
      <c r="H571">
        <v>395</v>
      </c>
      <c r="I571">
        <v>470</v>
      </c>
      <c r="J571" s="15" t="s">
        <v>35</v>
      </c>
      <c r="K571">
        <v>0</v>
      </c>
      <c r="L571" s="15" t="s">
        <v>41</v>
      </c>
    </row>
    <row r="572" spans="1:12">
      <c r="A572" t="s">
        <v>1706</v>
      </c>
      <c r="B572">
        <v>2</v>
      </c>
      <c r="C572" t="s">
        <v>2186</v>
      </c>
      <c r="D572" t="s">
        <v>197</v>
      </c>
      <c r="E572">
        <v>36680526</v>
      </c>
      <c r="F572">
        <v>36681997</v>
      </c>
      <c r="G572" s="15" t="s">
        <v>35</v>
      </c>
      <c r="H572">
        <v>1573</v>
      </c>
      <c r="I572">
        <v>1912</v>
      </c>
      <c r="J572" s="15" t="s">
        <v>35</v>
      </c>
      <c r="K572">
        <v>0</v>
      </c>
      <c r="L572" s="15" t="s">
        <v>41</v>
      </c>
    </row>
    <row r="573" spans="1:12">
      <c r="A573" t="s">
        <v>1706</v>
      </c>
      <c r="B573">
        <v>2</v>
      </c>
      <c r="C573" t="s">
        <v>2187</v>
      </c>
      <c r="D573" t="s">
        <v>197</v>
      </c>
      <c r="E573">
        <v>38788990</v>
      </c>
      <c r="F573">
        <v>38789065</v>
      </c>
      <c r="G573" s="15" t="s">
        <v>35</v>
      </c>
      <c r="H573">
        <v>964</v>
      </c>
      <c r="I573">
        <v>1036</v>
      </c>
      <c r="J573" s="15" t="s">
        <v>1656</v>
      </c>
      <c r="K573">
        <v>0</v>
      </c>
      <c r="L573" s="15" t="s">
        <v>41</v>
      </c>
    </row>
    <row r="574" spans="1:12">
      <c r="A574" t="s">
        <v>1706</v>
      </c>
      <c r="B574">
        <v>2</v>
      </c>
      <c r="C574" t="s">
        <v>2188</v>
      </c>
      <c r="D574" t="s">
        <v>201</v>
      </c>
      <c r="E574">
        <v>179304342</v>
      </c>
      <c r="F574">
        <v>179304417</v>
      </c>
      <c r="G574" s="15" t="s">
        <v>1656</v>
      </c>
      <c r="H574">
        <v>1535</v>
      </c>
      <c r="I574">
        <v>1610</v>
      </c>
      <c r="J574" s="15" t="s">
        <v>1656</v>
      </c>
      <c r="K574">
        <v>0</v>
      </c>
      <c r="L574" s="15" t="s">
        <v>41</v>
      </c>
    </row>
    <row r="575" spans="1:12">
      <c r="A575" t="s">
        <v>1706</v>
      </c>
      <c r="B575">
        <v>2</v>
      </c>
      <c r="C575" t="s">
        <v>221</v>
      </c>
      <c r="D575" t="s">
        <v>220</v>
      </c>
      <c r="E575">
        <v>74275115</v>
      </c>
      <c r="F575">
        <v>74275190</v>
      </c>
      <c r="G575" s="15" t="s">
        <v>1656</v>
      </c>
      <c r="H575">
        <v>280</v>
      </c>
      <c r="I575">
        <v>340</v>
      </c>
      <c r="J575" s="15" t="s">
        <v>1656</v>
      </c>
      <c r="K575">
        <v>0</v>
      </c>
      <c r="L575" s="15" t="s">
        <v>41</v>
      </c>
    </row>
    <row r="576" spans="1:12">
      <c r="A576" t="s">
        <v>1706</v>
      </c>
      <c r="B576">
        <v>2</v>
      </c>
      <c r="C576" t="s">
        <v>1783</v>
      </c>
      <c r="D576" t="s">
        <v>220</v>
      </c>
      <c r="E576">
        <v>155506675</v>
      </c>
      <c r="F576">
        <v>155507725</v>
      </c>
      <c r="G576" s="15" t="s">
        <v>1656</v>
      </c>
      <c r="H576">
        <v>1172</v>
      </c>
      <c r="I576">
        <v>1633</v>
      </c>
      <c r="J576" s="15" t="s">
        <v>35</v>
      </c>
      <c r="K576">
        <v>0</v>
      </c>
      <c r="L576" s="15" t="s">
        <v>41</v>
      </c>
    </row>
    <row r="577" spans="1:12">
      <c r="A577" t="s">
        <v>1706</v>
      </c>
      <c r="B577">
        <v>2</v>
      </c>
      <c r="C577" t="s">
        <v>221</v>
      </c>
      <c r="D577" t="s">
        <v>220</v>
      </c>
      <c r="E577">
        <v>74274357</v>
      </c>
      <c r="F577">
        <v>74283854</v>
      </c>
      <c r="G577" s="15" t="s">
        <v>35</v>
      </c>
      <c r="H577">
        <v>978</v>
      </c>
      <c r="I577">
        <v>1073</v>
      </c>
      <c r="J577" s="15" t="s">
        <v>1656</v>
      </c>
      <c r="K577">
        <v>0</v>
      </c>
      <c r="L577" s="15" t="s">
        <v>41</v>
      </c>
    </row>
    <row r="578" spans="1:12">
      <c r="A578" t="s">
        <v>1706</v>
      </c>
      <c r="B578">
        <v>2</v>
      </c>
      <c r="C578" t="s">
        <v>221</v>
      </c>
      <c r="D578" t="s">
        <v>220</v>
      </c>
      <c r="E578">
        <v>74283931</v>
      </c>
      <c r="F578">
        <v>74285270</v>
      </c>
      <c r="G578" s="15" t="s">
        <v>35</v>
      </c>
      <c r="H578">
        <v>691</v>
      </c>
      <c r="I578">
        <v>1072</v>
      </c>
      <c r="J578" s="15" t="s">
        <v>35</v>
      </c>
      <c r="K578">
        <v>0</v>
      </c>
      <c r="L578" s="15" t="s">
        <v>41</v>
      </c>
    </row>
    <row r="579" spans="1:12">
      <c r="A579" t="s">
        <v>1706</v>
      </c>
      <c r="B579">
        <v>2</v>
      </c>
      <c r="C579" t="s">
        <v>1841</v>
      </c>
      <c r="D579" t="s">
        <v>220</v>
      </c>
      <c r="E579">
        <v>155526185</v>
      </c>
      <c r="F579">
        <v>155530857</v>
      </c>
      <c r="G579" s="15" t="s">
        <v>35</v>
      </c>
      <c r="H579">
        <v>617</v>
      </c>
      <c r="I579">
        <v>1215</v>
      </c>
      <c r="J579" s="15" t="s">
        <v>1656</v>
      </c>
      <c r="K579">
        <v>0</v>
      </c>
      <c r="L579" s="15" t="s">
        <v>41</v>
      </c>
    </row>
    <row r="580" spans="1:12">
      <c r="A580" t="s">
        <v>1706</v>
      </c>
      <c r="B580">
        <v>2</v>
      </c>
      <c r="C580" t="s">
        <v>2102</v>
      </c>
      <c r="D580" t="s">
        <v>226</v>
      </c>
      <c r="E580">
        <v>149785822</v>
      </c>
      <c r="F580">
        <v>149785887</v>
      </c>
      <c r="G580" s="15" t="s">
        <v>35</v>
      </c>
      <c r="H580">
        <v>281</v>
      </c>
      <c r="I580">
        <v>355</v>
      </c>
      <c r="J580" s="15" t="s">
        <v>1656</v>
      </c>
      <c r="K580">
        <v>0</v>
      </c>
      <c r="L580" s="15" t="s">
        <v>41</v>
      </c>
    </row>
    <row r="581" spans="1:12">
      <c r="A581" t="s">
        <v>1706</v>
      </c>
      <c r="B581">
        <v>2</v>
      </c>
      <c r="C581" t="s">
        <v>1697</v>
      </c>
      <c r="D581" t="s">
        <v>1787</v>
      </c>
      <c r="E581">
        <v>1827</v>
      </c>
      <c r="F581">
        <v>12561</v>
      </c>
      <c r="G581" s="15" t="s">
        <v>35</v>
      </c>
      <c r="H581">
        <v>288</v>
      </c>
      <c r="I581">
        <v>460</v>
      </c>
      <c r="J581" s="15" t="s">
        <v>1656</v>
      </c>
      <c r="K581" t="s">
        <v>1697</v>
      </c>
      <c r="L581" s="15" t="s">
        <v>41</v>
      </c>
    </row>
    <row r="582" spans="1:12">
      <c r="A582" t="s">
        <v>1706</v>
      </c>
      <c r="B582">
        <v>2</v>
      </c>
      <c r="C582" t="s">
        <v>1697</v>
      </c>
      <c r="D582" t="s">
        <v>1787</v>
      </c>
      <c r="E582">
        <v>11739</v>
      </c>
      <c r="F582">
        <v>12964</v>
      </c>
      <c r="G582" s="15" t="s">
        <v>35</v>
      </c>
      <c r="H582">
        <v>420</v>
      </c>
      <c r="I582">
        <v>772</v>
      </c>
      <c r="J582" s="15" t="s">
        <v>35</v>
      </c>
      <c r="K582" t="s">
        <v>1697</v>
      </c>
      <c r="L582" s="15" t="s">
        <v>41</v>
      </c>
    </row>
    <row r="583" spans="1:12">
      <c r="A583" t="s">
        <v>1706</v>
      </c>
      <c r="B583">
        <v>2</v>
      </c>
      <c r="C583" t="s">
        <v>2341</v>
      </c>
      <c r="D583" t="s">
        <v>83</v>
      </c>
      <c r="E583">
        <v>1774103</v>
      </c>
      <c r="F583">
        <v>1785081</v>
      </c>
      <c r="G583" s="15" t="s">
        <v>1656</v>
      </c>
      <c r="H583">
        <v>146</v>
      </c>
      <c r="I583">
        <v>405</v>
      </c>
      <c r="J583" s="15" t="s">
        <v>35</v>
      </c>
      <c r="K583">
        <v>0</v>
      </c>
      <c r="L583" s="15" t="s">
        <v>41</v>
      </c>
    </row>
    <row r="584" spans="1:12">
      <c r="A584" t="s">
        <v>1706</v>
      </c>
      <c r="B584">
        <v>2</v>
      </c>
      <c r="C584" t="s">
        <v>2204</v>
      </c>
      <c r="D584" t="s">
        <v>83</v>
      </c>
      <c r="E584">
        <v>122929355</v>
      </c>
      <c r="F584">
        <v>122929430</v>
      </c>
      <c r="G584" s="15" t="s">
        <v>1656</v>
      </c>
      <c r="H584">
        <v>1620</v>
      </c>
      <c r="I584">
        <v>1694</v>
      </c>
      <c r="J584" s="15" t="s">
        <v>35</v>
      </c>
      <c r="K584">
        <v>0</v>
      </c>
      <c r="L584" s="15" t="s">
        <v>41</v>
      </c>
    </row>
    <row r="585" spans="1:12">
      <c r="A585" t="s">
        <v>1706</v>
      </c>
      <c r="B585">
        <v>2</v>
      </c>
      <c r="C585" t="s">
        <v>2212</v>
      </c>
      <c r="D585" t="s">
        <v>129</v>
      </c>
      <c r="E585">
        <v>1990851</v>
      </c>
      <c r="F585">
        <v>1991290</v>
      </c>
      <c r="G585" s="15" t="s">
        <v>1656</v>
      </c>
      <c r="H585">
        <v>731</v>
      </c>
      <c r="I585">
        <v>802</v>
      </c>
      <c r="J585" s="15" t="s">
        <v>1656</v>
      </c>
      <c r="K585">
        <v>0</v>
      </c>
      <c r="L585" s="15" t="s">
        <v>41</v>
      </c>
    </row>
    <row r="586" spans="1:12">
      <c r="A586" t="s">
        <v>1657</v>
      </c>
      <c r="B586">
        <v>2</v>
      </c>
      <c r="C586" t="s">
        <v>1782</v>
      </c>
      <c r="D586" t="s">
        <v>22</v>
      </c>
      <c r="E586">
        <v>161192226</v>
      </c>
      <c r="F586">
        <v>161193212</v>
      </c>
      <c r="G586" s="15" t="s">
        <v>1656</v>
      </c>
      <c r="H586">
        <v>661</v>
      </c>
      <c r="I586">
        <v>1258</v>
      </c>
      <c r="J586" s="15" t="s">
        <v>35</v>
      </c>
      <c r="K586">
        <v>0</v>
      </c>
      <c r="L586" s="15" t="s">
        <v>41</v>
      </c>
    </row>
    <row r="587" spans="1:12">
      <c r="A587" t="s">
        <v>1657</v>
      </c>
      <c r="B587">
        <v>2</v>
      </c>
      <c r="C587" t="s">
        <v>1810</v>
      </c>
      <c r="D587" t="s">
        <v>172</v>
      </c>
      <c r="E587">
        <v>178097271</v>
      </c>
      <c r="F587">
        <v>178097314</v>
      </c>
      <c r="G587" s="15" t="s">
        <v>1656</v>
      </c>
      <c r="H587">
        <v>393</v>
      </c>
      <c r="I587">
        <v>468</v>
      </c>
      <c r="J587" s="15" t="s">
        <v>1656</v>
      </c>
      <c r="K587">
        <v>0</v>
      </c>
      <c r="L587" s="15" t="s">
        <v>41</v>
      </c>
    </row>
    <row r="588" spans="1:12">
      <c r="A588" t="s">
        <v>1657</v>
      </c>
      <c r="B588">
        <v>2</v>
      </c>
      <c r="C588" t="s">
        <v>173</v>
      </c>
      <c r="D588" t="s">
        <v>172</v>
      </c>
      <c r="E588">
        <v>21225401</v>
      </c>
      <c r="F588">
        <v>21225476</v>
      </c>
      <c r="G588" s="15" t="s">
        <v>35</v>
      </c>
      <c r="H588">
        <v>346</v>
      </c>
      <c r="I588">
        <v>419</v>
      </c>
      <c r="J588" s="15" t="s">
        <v>35</v>
      </c>
      <c r="K588">
        <v>0</v>
      </c>
      <c r="L588" s="15" t="s">
        <v>41</v>
      </c>
    </row>
    <row r="589" spans="1:12">
      <c r="A589" t="s">
        <v>1657</v>
      </c>
      <c r="B589">
        <v>2</v>
      </c>
      <c r="C589" t="s">
        <v>1954</v>
      </c>
      <c r="D589" t="s">
        <v>201</v>
      </c>
      <c r="E589">
        <v>186338825</v>
      </c>
      <c r="F589">
        <v>186338900</v>
      </c>
      <c r="G589" s="15" t="s">
        <v>35</v>
      </c>
      <c r="H589">
        <v>1652</v>
      </c>
      <c r="I589">
        <v>1694</v>
      </c>
      <c r="J589" s="15" t="s">
        <v>35</v>
      </c>
      <c r="K589">
        <v>0</v>
      </c>
      <c r="L589" s="15" t="s">
        <v>41</v>
      </c>
    </row>
    <row r="590" spans="1:12">
      <c r="A590" t="s">
        <v>1657</v>
      </c>
      <c r="B590">
        <v>2</v>
      </c>
      <c r="C590" t="s">
        <v>221</v>
      </c>
      <c r="D590" t="s">
        <v>220</v>
      </c>
      <c r="E590">
        <v>74280752</v>
      </c>
      <c r="F590">
        <v>74286900</v>
      </c>
      <c r="G590" s="15" t="s">
        <v>1656</v>
      </c>
      <c r="H590">
        <v>1507</v>
      </c>
      <c r="I590">
        <v>1776</v>
      </c>
      <c r="J590" s="15" t="s">
        <v>35</v>
      </c>
      <c r="K590">
        <v>0</v>
      </c>
      <c r="L590" s="15" t="s">
        <v>41</v>
      </c>
    </row>
    <row r="591" spans="1:12">
      <c r="A591" t="s">
        <v>1657</v>
      </c>
      <c r="B591">
        <v>2</v>
      </c>
      <c r="C591" t="s">
        <v>2240</v>
      </c>
      <c r="D591" t="s">
        <v>220</v>
      </c>
      <c r="E591">
        <v>30284173</v>
      </c>
      <c r="F591">
        <v>30284438</v>
      </c>
      <c r="G591" s="15" t="s">
        <v>35</v>
      </c>
      <c r="H591">
        <v>1753</v>
      </c>
      <c r="I591">
        <v>1799</v>
      </c>
      <c r="J591" s="15" t="s">
        <v>1656</v>
      </c>
      <c r="K591">
        <v>437856</v>
      </c>
      <c r="L591" s="15" t="s">
        <v>41</v>
      </c>
    </row>
    <row r="592" spans="1:12">
      <c r="A592" t="s">
        <v>1657</v>
      </c>
      <c r="B592">
        <v>2</v>
      </c>
      <c r="C592" t="s">
        <v>2243</v>
      </c>
      <c r="D592" t="s">
        <v>257</v>
      </c>
      <c r="E592">
        <v>57421896</v>
      </c>
      <c r="F592">
        <v>57422159</v>
      </c>
      <c r="G592" s="15" t="s">
        <v>1656</v>
      </c>
      <c r="H592">
        <v>1690</v>
      </c>
      <c r="I592">
        <v>1818</v>
      </c>
      <c r="J592" s="15" t="s">
        <v>1656</v>
      </c>
      <c r="K592">
        <v>50571</v>
      </c>
      <c r="L592" s="15" t="s">
        <v>41</v>
      </c>
    </row>
    <row r="593" spans="1:12">
      <c r="A593" t="s">
        <v>1657</v>
      </c>
      <c r="B593">
        <v>2</v>
      </c>
      <c r="C593" t="s">
        <v>2246</v>
      </c>
      <c r="D593" t="s">
        <v>257</v>
      </c>
      <c r="E593">
        <v>127731893</v>
      </c>
      <c r="F593">
        <v>127732141</v>
      </c>
      <c r="G593" s="15" t="s">
        <v>35</v>
      </c>
      <c r="H593">
        <v>1554</v>
      </c>
      <c r="I593">
        <v>1787</v>
      </c>
      <c r="J593" s="15" t="s">
        <v>35</v>
      </c>
      <c r="K593">
        <v>0</v>
      </c>
      <c r="L593" s="15" t="s">
        <v>41</v>
      </c>
    </row>
    <row r="594" spans="1:12">
      <c r="A594" t="s">
        <v>1657</v>
      </c>
      <c r="B594">
        <v>2</v>
      </c>
      <c r="C594" t="s">
        <v>1878</v>
      </c>
      <c r="D594" t="s">
        <v>292</v>
      </c>
      <c r="E594">
        <v>104183694</v>
      </c>
      <c r="F594">
        <v>104184150</v>
      </c>
      <c r="G594" s="15" t="s">
        <v>1656</v>
      </c>
      <c r="H594">
        <v>1529</v>
      </c>
      <c r="I594">
        <v>1639</v>
      </c>
      <c r="J594" s="15" t="s">
        <v>1656</v>
      </c>
      <c r="K594">
        <v>0</v>
      </c>
      <c r="L594" s="15" t="s">
        <v>41</v>
      </c>
    </row>
    <row r="595" spans="1:12">
      <c r="A595" t="s">
        <v>1657</v>
      </c>
      <c r="B595">
        <v>2</v>
      </c>
      <c r="C595" t="s">
        <v>2249</v>
      </c>
      <c r="D595" t="s">
        <v>22</v>
      </c>
      <c r="E595">
        <v>150446589</v>
      </c>
      <c r="F595">
        <v>150446664</v>
      </c>
      <c r="G595" s="15" t="s">
        <v>35</v>
      </c>
      <c r="H595">
        <v>1032</v>
      </c>
      <c r="I595">
        <v>1107</v>
      </c>
      <c r="J595" s="15" t="s">
        <v>1656</v>
      </c>
      <c r="K595">
        <v>0</v>
      </c>
      <c r="L595" s="15" t="s">
        <v>41</v>
      </c>
    </row>
    <row r="596" spans="1:12">
      <c r="A596" t="s">
        <v>1657</v>
      </c>
      <c r="B596">
        <v>2</v>
      </c>
      <c r="C596" t="s">
        <v>1697</v>
      </c>
      <c r="D596" t="s">
        <v>1787</v>
      </c>
      <c r="E596">
        <v>3668</v>
      </c>
      <c r="F596">
        <v>12230</v>
      </c>
      <c r="G596" s="15" t="s">
        <v>35</v>
      </c>
      <c r="H596">
        <v>1566</v>
      </c>
      <c r="I596">
        <v>1698</v>
      </c>
      <c r="J596" s="15" t="s">
        <v>1656</v>
      </c>
      <c r="K596" t="s">
        <v>1697</v>
      </c>
      <c r="L596" s="15" t="s">
        <v>41</v>
      </c>
    </row>
    <row r="597" spans="1:12">
      <c r="A597" t="s">
        <v>1657</v>
      </c>
      <c r="B597">
        <v>2</v>
      </c>
      <c r="C597" t="s">
        <v>2252</v>
      </c>
      <c r="D597" t="s">
        <v>83</v>
      </c>
      <c r="E597">
        <v>2018257</v>
      </c>
      <c r="F597">
        <v>2018332</v>
      </c>
      <c r="G597" s="15" t="s">
        <v>1656</v>
      </c>
      <c r="H597">
        <v>769</v>
      </c>
      <c r="I597">
        <v>844</v>
      </c>
      <c r="J597" s="15" t="s">
        <v>35</v>
      </c>
      <c r="K597">
        <v>0</v>
      </c>
      <c r="L597" s="15" t="s">
        <v>41</v>
      </c>
    </row>
    <row r="598" spans="1:12">
      <c r="A598" t="s">
        <v>1657</v>
      </c>
      <c r="B598">
        <v>2</v>
      </c>
      <c r="C598" t="s">
        <v>2255</v>
      </c>
      <c r="D598" t="s">
        <v>83</v>
      </c>
      <c r="E598">
        <v>95324276</v>
      </c>
      <c r="F598">
        <v>95324398</v>
      </c>
      <c r="G598" s="15" t="s">
        <v>1656</v>
      </c>
      <c r="H598">
        <v>1709</v>
      </c>
      <c r="I598">
        <v>1810</v>
      </c>
      <c r="J598" s="15" t="s">
        <v>1656</v>
      </c>
      <c r="K598">
        <v>177707</v>
      </c>
      <c r="L598" s="15" t="s">
        <v>41</v>
      </c>
    </row>
    <row r="599" spans="1:12">
      <c r="A599" t="s">
        <v>1657</v>
      </c>
      <c r="B599">
        <v>2</v>
      </c>
      <c r="C599" t="s">
        <v>2256</v>
      </c>
      <c r="D599" t="s">
        <v>118</v>
      </c>
      <c r="E599">
        <v>77202138</v>
      </c>
      <c r="F599">
        <v>77202178</v>
      </c>
      <c r="G599" s="15" t="s">
        <v>1656</v>
      </c>
      <c r="H599">
        <v>1680</v>
      </c>
      <c r="I599">
        <v>1820</v>
      </c>
      <c r="J599" s="15" t="s">
        <v>1656</v>
      </c>
      <c r="K599">
        <v>26056</v>
      </c>
      <c r="L599" s="15" t="s">
        <v>41</v>
      </c>
    </row>
    <row r="600" spans="1:12">
      <c r="A600" t="s">
        <v>1657</v>
      </c>
      <c r="B600">
        <v>2</v>
      </c>
      <c r="C600" t="s">
        <v>1697</v>
      </c>
      <c r="D600" t="s">
        <v>118</v>
      </c>
      <c r="E600">
        <v>106949271</v>
      </c>
      <c r="F600">
        <v>106949449</v>
      </c>
      <c r="G600" s="15" t="s">
        <v>1656</v>
      </c>
      <c r="H600">
        <v>1690</v>
      </c>
      <c r="I600">
        <v>1792</v>
      </c>
      <c r="J600" s="15" t="s">
        <v>1656</v>
      </c>
      <c r="K600" t="s">
        <v>1697</v>
      </c>
      <c r="L600" s="15" t="s">
        <v>41</v>
      </c>
    </row>
    <row r="601" spans="1:12">
      <c r="A601" t="s">
        <v>1657</v>
      </c>
      <c r="B601">
        <v>2</v>
      </c>
      <c r="C601" t="s">
        <v>2259</v>
      </c>
      <c r="D601" t="s">
        <v>133</v>
      </c>
      <c r="E601">
        <v>33977570</v>
      </c>
      <c r="F601">
        <v>33977645</v>
      </c>
      <c r="G601" s="15" t="s">
        <v>35</v>
      </c>
      <c r="H601">
        <v>428</v>
      </c>
      <c r="I601">
        <v>509</v>
      </c>
      <c r="J601" s="15" t="s">
        <v>35</v>
      </c>
      <c r="K601">
        <v>0</v>
      </c>
      <c r="L601" s="15" t="s">
        <v>41</v>
      </c>
    </row>
    <row r="602" spans="1:12">
      <c r="A602" t="s">
        <v>1774</v>
      </c>
      <c r="B602">
        <v>2</v>
      </c>
      <c r="C602" t="s">
        <v>2337</v>
      </c>
      <c r="D602" t="s">
        <v>172</v>
      </c>
      <c r="E602">
        <v>234681681</v>
      </c>
      <c r="F602">
        <v>234681756</v>
      </c>
      <c r="G602" s="15" t="s">
        <v>1656</v>
      </c>
      <c r="H602">
        <v>1188</v>
      </c>
      <c r="I602">
        <v>1255</v>
      </c>
      <c r="J602" s="15" t="s">
        <v>35</v>
      </c>
      <c r="K602">
        <v>0</v>
      </c>
      <c r="L602" s="15" t="s">
        <v>41</v>
      </c>
    </row>
  </sheetData>
  <sortState ref="A2:L2393">
    <sortCondition descending="1" ref="B2"/>
  </sortState>
  <mergeCells count="1">
    <mergeCell ref="A1:L1"/>
  </mergeCells>
  <pageMargins left="0.75" right="0.75" top="1" bottom="1" header="0.5" footer="0.5"/>
  <pageSetup scale="90"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2"/>
  <sheetViews>
    <sheetView zoomScale="125" zoomScaleNormal="125" zoomScalePageLayoutView="125" workbookViewId="0">
      <pane ySplit="3" topLeftCell="A4" activePane="bottomLeft" state="frozen"/>
      <selection pane="bottomLeft" sqref="A1:L1"/>
    </sheetView>
  </sheetViews>
  <sheetFormatPr baseColWidth="10" defaultRowHeight="15" x14ac:dyDescent="0"/>
  <cols>
    <col min="1" max="1" width="7.1640625" bestFit="1" customWidth="1"/>
    <col min="2" max="2" width="7.6640625" bestFit="1" customWidth="1"/>
    <col min="3" max="4" width="10.1640625" bestFit="1" customWidth="1"/>
    <col min="5" max="5" width="10.33203125" bestFit="1" customWidth="1"/>
    <col min="6" max="6" width="13.6640625" bestFit="1" customWidth="1"/>
    <col min="7" max="7" width="8.6640625" bestFit="1" customWidth="1"/>
    <col min="8" max="8" width="10.6640625" bestFit="1" customWidth="1"/>
    <col min="9" max="9" width="10.1640625" bestFit="1" customWidth="1"/>
    <col min="10" max="10" width="11.33203125" customWidth="1"/>
    <col min="11" max="11" width="13.6640625" bestFit="1" customWidth="1"/>
  </cols>
  <sheetData>
    <row r="1" spans="1:18" ht="67" customHeight="1">
      <c r="A1" s="19" t="s">
        <v>14273</v>
      </c>
      <c r="B1" s="19"/>
      <c r="C1" s="19"/>
      <c r="D1" s="19"/>
      <c r="E1" s="19"/>
      <c r="F1" s="19"/>
      <c r="G1" s="19"/>
      <c r="H1" s="19"/>
      <c r="I1" s="19"/>
      <c r="J1" s="19"/>
      <c r="K1" s="19"/>
      <c r="L1" s="19"/>
      <c r="M1" s="16"/>
      <c r="N1" s="16"/>
      <c r="O1" s="16"/>
      <c r="P1" s="16"/>
      <c r="Q1" s="16"/>
    </row>
    <row r="3" spans="1:18" ht="30">
      <c r="A3" s="6" t="s">
        <v>0</v>
      </c>
      <c r="B3" s="6" t="s">
        <v>14245</v>
      </c>
      <c r="C3" s="6" t="s">
        <v>14246</v>
      </c>
      <c r="D3" s="6" t="s">
        <v>14247</v>
      </c>
      <c r="E3" s="6" t="s">
        <v>14243</v>
      </c>
      <c r="F3" s="6" t="s">
        <v>14248</v>
      </c>
      <c r="G3" s="6" t="s">
        <v>14244</v>
      </c>
      <c r="H3" s="6" t="s">
        <v>14249</v>
      </c>
      <c r="I3" s="6" t="s">
        <v>14250</v>
      </c>
      <c r="J3" s="6" t="s">
        <v>14251</v>
      </c>
      <c r="K3" s="6" t="s">
        <v>14252</v>
      </c>
      <c r="L3" s="6" t="s">
        <v>14253</v>
      </c>
      <c r="N3" s="6"/>
      <c r="O3" s="6"/>
      <c r="P3" s="6"/>
      <c r="Q3" s="6"/>
      <c r="R3" s="6"/>
    </row>
    <row r="4" spans="1:18">
      <c r="A4" s="12">
        <v>3885</v>
      </c>
      <c r="B4" t="s">
        <v>22</v>
      </c>
      <c r="C4">
        <v>168537250</v>
      </c>
      <c r="D4">
        <v>168537731</v>
      </c>
      <c r="E4" s="15" t="s">
        <v>1656</v>
      </c>
      <c r="F4" t="s">
        <v>1697</v>
      </c>
      <c r="G4" t="s">
        <v>22</v>
      </c>
      <c r="H4">
        <v>173688987</v>
      </c>
      <c r="I4">
        <v>173689122</v>
      </c>
      <c r="J4" s="15" t="s">
        <v>35</v>
      </c>
      <c r="K4" t="s">
        <v>3977</v>
      </c>
      <c r="L4">
        <v>145</v>
      </c>
    </row>
    <row r="5" spans="1:18">
      <c r="A5" s="12">
        <v>3885</v>
      </c>
      <c r="B5" t="s">
        <v>129</v>
      </c>
      <c r="C5">
        <v>19257715</v>
      </c>
      <c r="D5">
        <v>19258142</v>
      </c>
      <c r="E5" s="15" t="s">
        <v>1656</v>
      </c>
      <c r="F5" t="s">
        <v>3999</v>
      </c>
      <c r="G5" t="s">
        <v>129</v>
      </c>
      <c r="H5">
        <v>19258955</v>
      </c>
      <c r="I5">
        <v>19259436</v>
      </c>
      <c r="J5" s="15" t="s">
        <v>1656</v>
      </c>
      <c r="K5" t="s">
        <v>3999</v>
      </c>
      <c r="L5">
        <v>142</v>
      </c>
    </row>
    <row r="6" spans="1:18">
      <c r="A6" s="12">
        <v>3885</v>
      </c>
      <c r="B6" t="s">
        <v>279</v>
      </c>
      <c r="C6">
        <v>94785479</v>
      </c>
      <c r="D6">
        <v>94785961</v>
      </c>
      <c r="E6" s="15" t="s">
        <v>1656</v>
      </c>
      <c r="F6" t="s">
        <v>3990</v>
      </c>
      <c r="G6" t="s">
        <v>339</v>
      </c>
      <c r="H6">
        <v>66933821</v>
      </c>
      <c r="I6">
        <v>66934297</v>
      </c>
      <c r="J6" s="15" t="s">
        <v>35</v>
      </c>
      <c r="K6" t="s">
        <v>3994</v>
      </c>
      <c r="L6">
        <v>142</v>
      </c>
    </row>
    <row r="7" spans="1:18">
      <c r="A7" s="12">
        <v>3885</v>
      </c>
      <c r="B7" t="s">
        <v>279</v>
      </c>
      <c r="C7">
        <v>6590125</v>
      </c>
      <c r="D7">
        <v>6590532</v>
      </c>
      <c r="E7" s="15" t="s">
        <v>35</v>
      </c>
      <c r="F7" t="s">
        <v>3988</v>
      </c>
      <c r="G7" t="s">
        <v>279</v>
      </c>
      <c r="H7">
        <v>90286783</v>
      </c>
      <c r="I7">
        <v>90287261</v>
      </c>
      <c r="J7" s="15" t="s">
        <v>1656</v>
      </c>
      <c r="K7" t="s">
        <v>1697</v>
      </c>
      <c r="L7">
        <v>141</v>
      </c>
    </row>
    <row r="8" spans="1:18">
      <c r="A8" s="12">
        <v>3885</v>
      </c>
      <c r="B8" t="s">
        <v>172</v>
      </c>
      <c r="C8">
        <v>106469762</v>
      </c>
      <c r="D8">
        <v>106470262</v>
      </c>
      <c r="E8" s="15" t="s">
        <v>1656</v>
      </c>
      <c r="F8" t="s">
        <v>2281</v>
      </c>
      <c r="G8" t="s">
        <v>172</v>
      </c>
      <c r="H8">
        <v>106590408</v>
      </c>
      <c r="I8">
        <v>106590900</v>
      </c>
      <c r="J8" s="15" t="s">
        <v>1656</v>
      </c>
      <c r="K8" t="s">
        <v>1697</v>
      </c>
      <c r="L8">
        <v>138</v>
      </c>
    </row>
    <row r="9" spans="1:18">
      <c r="A9" s="12">
        <v>3885</v>
      </c>
      <c r="B9" t="s">
        <v>279</v>
      </c>
      <c r="C9">
        <v>6719633</v>
      </c>
      <c r="D9">
        <v>6720042</v>
      </c>
      <c r="E9" s="15" t="s">
        <v>1656</v>
      </c>
      <c r="F9" t="s">
        <v>1697</v>
      </c>
      <c r="G9" t="s">
        <v>279</v>
      </c>
      <c r="H9">
        <v>94718826</v>
      </c>
      <c r="I9">
        <v>94719153</v>
      </c>
      <c r="J9" s="15" t="s">
        <v>35</v>
      </c>
      <c r="K9" t="s">
        <v>3991</v>
      </c>
      <c r="L9">
        <v>138</v>
      </c>
    </row>
    <row r="10" spans="1:18">
      <c r="A10" s="12">
        <v>3885</v>
      </c>
      <c r="B10" t="s">
        <v>135</v>
      </c>
      <c r="C10">
        <v>30256189</v>
      </c>
      <c r="D10">
        <v>30256631</v>
      </c>
      <c r="E10" s="15" t="s">
        <v>35</v>
      </c>
      <c r="F10" t="s">
        <v>4000</v>
      </c>
      <c r="G10" t="s">
        <v>135</v>
      </c>
      <c r="H10">
        <v>30363915</v>
      </c>
      <c r="I10">
        <v>30364368</v>
      </c>
      <c r="J10" s="15" t="s">
        <v>1656</v>
      </c>
      <c r="K10" t="s">
        <v>1697</v>
      </c>
      <c r="L10">
        <v>132</v>
      </c>
    </row>
    <row r="11" spans="1:18">
      <c r="A11" s="12">
        <v>3885</v>
      </c>
      <c r="B11" t="s">
        <v>172</v>
      </c>
      <c r="C11">
        <v>164262764</v>
      </c>
      <c r="D11">
        <v>164263206</v>
      </c>
      <c r="E11" s="15" t="s">
        <v>1656</v>
      </c>
      <c r="F11" t="s">
        <v>1697</v>
      </c>
      <c r="G11" t="s">
        <v>83</v>
      </c>
      <c r="H11">
        <v>57549141</v>
      </c>
      <c r="I11">
        <v>57549664</v>
      </c>
      <c r="J11" s="15" t="s">
        <v>1656</v>
      </c>
      <c r="K11" t="s">
        <v>3979</v>
      </c>
      <c r="L11">
        <v>127</v>
      </c>
    </row>
    <row r="12" spans="1:18">
      <c r="A12" s="12">
        <v>3885</v>
      </c>
      <c r="B12" t="s">
        <v>220</v>
      </c>
      <c r="C12">
        <v>83665382</v>
      </c>
      <c r="D12">
        <v>83665835</v>
      </c>
      <c r="E12" s="15" t="s">
        <v>1656</v>
      </c>
      <c r="F12" t="s">
        <v>3983</v>
      </c>
      <c r="G12" t="s">
        <v>220</v>
      </c>
      <c r="H12">
        <v>83667119</v>
      </c>
      <c r="I12">
        <v>83667716</v>
      </c>
      <c r="J12" s="15" t="s">
        <v>1656</v>
      </c>
      <c r="K12" t="s">
        <v>3983</v>
      </c>
      <c r="L12">
        <v>124</v>
      </c>
    </row>
    <row r="13" spans="1:18">
      <c r="A13" s="12">
        <v>3885</v>
      </c>
      <c r="B13" t="s">
        <v>83</v>
      </c>
      <c r="C13">
        <v>57195847</v>
      </c>
      <c r="D13">
        <v>57196238</v>
      </c>
      <c r="E13" s="15" t="s">
        <v>35</v>
      </c>
      <c r="F13" t="s">
        <v>4174</v>
      </c>
      <c r="G13" t="s">
        <v>83</v>
      </c>
      <c r="H13">
        <v>58766378</v>
      </c>
      <c r="I13">
        <v>58766841</v>
      </c>
      <c r="J13" s="15" t="s">
        <v>1656</v>
      </c>
      <c r="K13" t="s">
        <v>3996</v>
      </c>
      <c r="L13">
        <v>121</v>
      </c>
    </row>
    <row r="14" spans="1:18">
      <c r="A14" s="12">
        <v>3885</v>
      </c>
      <c r="B14" t="s">
        <v>172</v>
      </c>
      <c r="C14">
        <v>164282865</v>
      </c>
      <c r="D14">
        <v>164283273</v>
      </c>
      <c r="E14" s="15" t="s">
        <v>35</v>
      </c>
      <c r="F14" t="s">
        <v>1697</v>
      </c>
      <c r="G14" t="s">
        <v>118</v>
      </c>
      <c r="H14">
        <v>64852550</v>
      </c>
      <c r="I14">
        <v>64852981</v>
      </c>
      <c r="J14" s="15" t="s">
        <v>35</v>
      </c>
      <c r="K14" t="s">
        <v>3980</v>
      </c>
      <c r="L14">
        <v>119</v>
      </c>
    </row>
    <row r="15" spans="1:18">
      <c r="A15" s="12">
        <v>3885</v>
      </c>
      <c r="B15" t="s">
        <v>201</v>
      </c>
      <c r="C15">
        <v>100016111</v>
      </c>
      <c r="D15">
        <v>100016611</v>
      </c>
      <c r="E15" s="15" t="s">
        <v>1656</v>
      </c>
      <c r="F15" t="s">
        <v>3981</v>
      </c>
      <c r="G15" t="s">
        <v>201</v>
      </c>
      <c r="H15">
        <v>100021019</v>
      </c>
      <c r="I15">
        <v>100021443</v>
      </c>
      <c r="J15" s="15" t="s">
        <v>1656</v>
      </c>
      <c r="K15" t="s">
        <v>3981</v>
      </c>
      <c r="L15">
        <v>107</v>
      </c>
    </row>
    <row r="16" spans="1:18">
      <c r="A16" s="12">
        <v>3885</v>
      </c>
      <c r="B16" t="s">
        <v>201</v>
      </c>
      <c r="C16">
        <v>172561984</v>
      </c>
      <c r="D16">
        <v>172562525</v>
      </c>
      <c r="E16" s="15" t="s">
        <v>35</v>
      </c>
      <c r="F16" t="s">
        <v>1697</v>
      </c>
      <c r="G16" t="s">
        <v>201</v>
      </c>
      <c r="H16">
        <v>175273865</v>
      </c>
      <c r="I16">
        <v>175274244</v>
      </c>
      <c r="J16" s="15" t="s">
        <v>1656</v>
      </c>
      <c r="K16" t="s">
        <v>3982</v>
      </c>
      <c r="L16">
        <v>100</v>
      </c>
    </row>
    <row r="17" spans="1:12">
      <c r="A17" s="12">
        <v>3885</v>
      </c>
      <c r="B17" t="s">
        <v>201</v>
      </c>
      <c r="C17">
        <v>43002651</v>
      </c>
      <c r="D17">
        <v>43003101</v>
      </c>
      <c r="E17" s="15" t="s">
        <v>1656</v>
      </c>
      <c r="F17" t="s">
        <v>1697</v>
      </c>
      <c r="G17" t="s">
        <v>201</v>
      </c>
      <c r="H17">
        <v>65475501</v>
      </c>
      <c r="I17">
        <v>65475932</v>
      </c>
      <c r="J17" s="15" t="s">
        <v>1656</v>
      </c>
      <c r="K17" t="s">
        <v>2079</v>
      </c>
      <c r="L17">
        <v>99</v>
      </c>
    </row>
    <row r="18" spans="1:12">
      <c r="A18" s="12">
        <v>3885</v>
      </c>
      <c r="B18" t="s">
        <v>279</v>
      </c>
      <c r="C18">
        <v>6680929</v>
      </c>
      <c r="D18">
        <v>6681426</v>
      </c>
      <c r="E18" s="15" t="s">
        <v>35</v>
      </c>
      <c r="F18" t="s">
        <v>3989</v>
      </c>
      <c r="G18" t="s">
        <v>279</v>
      </c>
      <c r="H18">
        <v>94784545</v>
      </c>
      <c r="I18">
        <v>94785023</v>
      </c>
      <c r="J18" s="15" t="s">
        <v>1656</v>
      </c>
      <c r="K18" t="s">
        <v>3990</v>
      </c>
      <c r="L18">
        <v>96</v>
      </c>
    </row>
    <row r="19" spans="1:12">
      <c r="A19" s="12">
        <v>3885</v>
      </c>
      <c r="B19" t="s">
        <v>22</v>
      </c>
      <c r="C19">
        <v>173685654</v>
      </c>
      <c r="D19">
        <v>173686153</v>
      </c>
      <c r="E19" s="15" t="s">
        <v>1656</v>
      </c>
      <c r="F19" t="s">
        <v>3977</v>
      </c>
      <c r="G19" t="s">
        <v>22</v>
      </c>
      <c r="H19">
        <v>173687879</v>
      </c>
      <c r="I19">
        <v>173688363</v>
      </c>
      <c r="J19" s="15" t="s">
        <v>35</v>
      </c>
      <c r="K19" t="s">
        <v>3977</v>
      </c>
      <c r="L19">
        <v>85</v>
      </c>
    </row>
    <row r="20" spans="1:12">
      <c r="A20" s="12">
        <v>3885</v>
      </c>
      <c r="B20" t="s">
        <v>339</v>
      </c>
      <c r="C20">
        <v>93333572</v>
      </c>
      <c r="D20">
        <v>93334111</v>
      </c>
      <c r="E20" s="15" t="s">
        <v>35</v>
      </c>
      <c r="F20" t="s">
        <v>3998</v>
      </c>
      <c r="G20" t="s">
        <v>339</v>
      </c>
      <c r="H20">
        <v>93369014</v>
      </c>
      <c r="I20">
        <v>93369489</v>
      </c>
      <c r="J20" s="15" t="s">
        <v>35</v>
      </c>
      <c r="K20" t="s">
        <v>3998</v>
      </c>
      <c r="L20">
        <v>83</v>
      </c>
    </row>
    <row r="21" spans="1:12">
      <c r="A21" s="12">
        <v>3885</v>
      </c>
      <c r="B21" t="s">
        <v>22</v>
      </c>
      <c r="C21">
        <v>173688990</v>
      </c>
      <c r="D21">
        <v>173689125</v>
      </c>
      <c r="E21" s="15" t="s">
        <v>35</v>
      </c>
      <c r="F21" t="s">
        <v>3977</v>
      </c>
      <c r="G21" t="s">
        <v>292</v>
      </c>
      <c r="H21">
        <v>24011489</v>
      </c>
      <c r="I21">
        <v>24011955</v>
      </c>
      <c r="J21" s="15" t="s">
        <v>1656</v>
      </c>
      <c r="K21" t="s">
        <v>1697</v>
      </c>
      <c r="L21">
        <v>80</v>
      </c>
    </row>
    <row r="22" spans="1:12">
      <c r="A22" s="12">
        <v>3885</v>
      </c>
      <c r="B22" t="s">
        <v>279</v>
      </c>
      <c r="C22">
        <v>6589792</v>
      </c>
      <c r="D22">
        <v>6590218</v>
      </c>
      <c r="E22" s="15" t="s">
        <v>1656</v>
      </c>
      <c r="F22" t="s">
        <v>3988</v>
      </c>
      <c r="G22" t="s">
        <v>279</v>
      </c>
      <c r="H22">
        <v>90286781</v>
      </c>
      <c r="I22">
        <v>90287186</v>
      </c>
      <c r="J22" s="15" t="s">
        <v>35</v>
      </c>
      <c r="K22" t="s">
        <v>1697</v>
      </c>
      <c r="L22">
        <v>75</v>
      </c>
    </row>
    <row r="23" spans="1:12">
      <c r="A23" s="12">
        <v>3885</v>
      </c>
      <c r="B23" t="s">
        <v>172</v>
      </c>
      <c r="C23">
        <v>211484267</v>
      </c>
      <c r="D23">
        <v>211484638</v>
      </c>
      <c r="E23" s="15" t="s">
        <v>1656</v>
      </c>
      <c r="F23" t="s">
        <v>1811</v>
      </c>
      <c r="G23" t="s">
        <v>172</v>
      </c>
      <c r="H23">
        <v>211590967</v>
      </c>
      <c r="I23">
        <v>211591354</v>
      </c>
      <c r="J23" s="15" t="s">
        <v>1656</v>
      </c>
      <c r="K23" t="s">
        <v>1697</v>
      </c>
      <c r="L23">
        <v>70</v>
      </c>
    </row>
    <row r="24" spans="1:12">
      <c r="A24" s="12">
        <v>3885</v>
      </c>
      <c r="B24" t="s">
        <v>257</v>
      </c>
      <c r="C24">
        <v>1192573</v>
      </c>
      <c r="D24">
        <v>1193063</v>
      </c>
      <c r="E24" s="15" t="s">
        <v>35</v>
      </c>
      <c r="F24" t="s">
        <v>3984</v>
      </c>
      <c r="G24" t="s">
        <v>257</v>
      </c>
      <c r="H24">
        <v>2906244</v>
      </c>
      <c r="I24">
        <v>2906641</v>
      </c>
      <c r="J24" s="15" t="s">
        <v>35</v>
      </c>
      <c r="K24" t="s">
        <v>1697</v>
      </c>
      <c r="L24">
        <v>70</v>
      </c>
    </row>
    <row r="25" spans="1:12">
      <c r="A25" s="12">
        <v>3885</v>
      </c>
      <c r="B25" t="s">
        <v>257</v>
      </c>
      <c r="C25">
        <v>86156948</v>
      </c>
      <c r="D25">
        <v>86157332</v>
      </c>
      <c r="E25" s="15" t="s">
        <v>35</v>
      </c>
      <c r="F25" t="s">
        <v>1697</v>
      </c>
      <c r="G25" t="s">
        <v>257</v>
      </c>
      <c r="H25">
        <v>87238138</v>
      </c>
      <c r="I25">
        <v>87238549</v>
      </c>
      <c r="J25" s="15" t="s">
        <v>35</v>
      </c>
      <c r="K25" t="s">
        <v>3986</v>
      </c>
      <c r="L25">
        <v>69</v>
      </c>
    </row>
    <row r="26" spans="1:12">
      <c r="A26" s="12">
        <v>3885</v>
      </c>
      <c r="B26" t="s">
        <v>292</v>
      </c>
      <c r="C26">
        <v>76533955</v>
      </c>
      <c r="D26">
        <v>76534312</v>
      </c>
      <c r="E26" s="15" t="s">
        <v>35</v>
      </c>
      <c r="F26" t="s">
        <v>1697</v>
      </c>
      <c r="G26" t="s">
        <v>83</v>
      </c>
      <c r="H26">
        <v>58769284</v>
      </c>
      <c r="I26">
        <v>58769743</v>
      </c>
      <c r="J26" s="15" t="s">
        <v>35</v>
      </c>
      <c r="K26" t="s">
        <v>3996</v>
      </c>
      <c r="L26">
        <v>66</v>
      </c>
    </row>
    <row r="27" spans="1:12">
      <c r="A27" s="12">
        <v>3885</v>
      </c>
      <c r="B27" t="s">
        <v>22</v>
      </c>
      <c r="C27">
        <v>173685518</v>
      </c>
      <c r="D27">
        <v>173685938</v>
      </c>
      <c r="E27" s="15" t="s">
        <v>35</v>
      </c>
      <c r="F27" t="s">
        <v>3977</v>
      </c>
      <c r="G27" t="s">
        <v>22</v>
      </c>
      <c r="H27">
        <v>173689148</v>
      </c>
      <c r="I27">
        <v>173689585</v>
      </c>
      <c r="J27" s="15" t="s">
        <v>1656</v>
      </c>
      <c r="K27" t="s">
        <v>3977</v>
      </c>
      <c r="L27">
        <v>62</v>
      </c>
    </row>
    <row r="28" spans="1:12">
      <c r="A28" s="12">
        <v>3885</v>
      </c>
      <c r="B28" t="s">
        <v>83</v>
      </c>
      <c r="C28">
        <v>110152814</v>
      </c>
      <c r="D28">
        <v>110153300</v>
      </c>
      <c r="E28" s="15" t="s">
        <v>1656</v>
      </c>
      <c r="F28" t="s">
        <v>3995</v>
      </c>
      <c r="G28" t="s">
        <v>118</v>
      </c>
      <c r="H28">
        <v>69184910</v>
      </c>
      <c r="I28">
        <v>69185326</v>
      </c>
      <c r="J28" s="15" t="s">
        <v>1656</v>
      </c>
      <c r="K28" t="s">
        <v>1697</v>
      </c>
      <c r="L28">
        <v>60</v>
      </c>
    </row>
    <row r="29" spans="1:12">
      <c r="A29" s="12">
        <v>3885</v>
      </c>
      <c r="B29" t="s">
        <v>139</v>
      </c>
      <c r="C29">
        <v>3427395</v>
      </c>
      <c r="D29">
        <v>3427869</v>
      </c>
      <c r="E29" s="15" t="s">
        <v>1656</v>
      </c>
      <c r="F29" t="s">
        <v>3807</v>
      </c>
      <c r="G29" t="s">
        <v>139</v>
      </c>
      <c r="H29">
        <v>3434603</v>
      </c>
      <c r="I29">
        <v>3434948</v>
      </c>
      <c r="J29" s="15" t="s">
        <v>35</v>
      </c>
      <c r="K29" t="s">
        <v>3807</v>
      </c>
      <c r="L29">
        <v>60</v>
      </c>
    </row>
    <row r="30" spans="1:12">
      <c r="A30" s="12">
        <v>3885</v>
      </c>
      <c r="B30" t="s">
        <v>135</v>
      </c>
      <c r="C30">
        <v>30255385</v>
      </c>
      <c r="D30">
        <v>30255691</v>
      </c>
      <c r="E30" s="15" t="s">
        <v>1656</v>
      </c>
      <c r="F30" t="s">
        <v>4000</v>
      </c>
      <c r="G30" t="s">
        <v>135</v>
      </c>
      <c r="H30">
        <v>67776891</v>
      </c>
      <c r="I30">
        <v>67777382</v>
      </c>
      <c r="J30" s="15" t="s">
        <v>35</v>
      </c>
      <c r="K30" t="s">
        <v>4001</v>
      </c>
      <c r="L30">
        <v>58</v>
      </c>
    </row>
    <row r="31" spans="1:12">
      <c r="A31" s="12">
        <v>3885</v>
      </c>
      <c r="B31" t="s">
        <v>139</v>
      </c>
      <c r="C31">
        <v>3437102</v>
      </c>
      <c r="D31">
        <v>3437607</v>
      </c>
      <c r="E31" s="15" t="s">
        <v>35</v>
      </c>
      <c r="F31" t="s">
        <v>3807</v>
      </c>
      <c r="G31" t="s">
        <v>139</v>
      </c>
      <c r="H31">
        <v>3439966</v>
      </c>
      <c r="I31">
        <v>3440181</v>
      </c>
      <c r="J31" s="15" t="s">
        <v>1656</v>
      </c>
      <c r="K31" t="s">
        <v>3807</v>
      </c>
      <c r="L31">
        <v>58</v>
      </c>
    </row>
    <row r="32" spans="1:12">
      <c r="A32" s="12">
        <v>3885</v>
      </c>
      <c r="B32" t="s">
        <v>279</v>
      </c>
      <c r="C32">
        <v>6719564</v>
      </c>
      <c r="D32">
        <v>6720042</v>
      </c>
      <c r="E32" s="15" t="s">
        <v>1656</v>
      </c>
      <c r="F32" t="s">
        <v>1697</v>
      </c>
      <c r="G32" t="s">
        <v>279</v>
      </c>
      <c r="H32">
        <v>94719219</v>
      </c>
      <c r="I32">
        <v>94719337</v>
      </c>
      <c r="J32" s="15" t="s">
        <v>1656</v>
      </c>
      <c r="K32" t="s">
        <v>3991</v>
      </c>
      <c r="L32">
        <v>57</v>
      </c>
    </row>
    <row r="33" spans="1:12">
      <c r="A33" s="12">
        <v>3885</v>
      </c>
      <c r="B33" t="s">
        <v>83</v>
      </c>
      <c r="C33">
        <v>58764887</v>
      </c>
      <c r="D33">
        <v>58765273</v>
      </c>
      <c r="E33" s="15" t="s">
        <v>1656</v>
      </c>
      <c r="F33" t="s">
        <v>3996</v>
      </c>
      <c r="G33" t="s">
        <v>83</v>
      </c>
      <c r="H33">
        <v>58941903</v>
      </c>
      <c r="I33">
        <v>58942323</v>
      </c>
      <c r="J33" s="15" t="s">
        <v>1656</v>
      </c>
      <c r="K33" t="s">
        <v>3997</v>
      </c>
      <c r="L33">
        <v>56</v>
      </c>
    </row>
    <row r="34" spans="1:12">
      <c r="A34" s="12">
        <v>3885</v>
      </c>
      <c r="B34" t="s">
        <v>201</v>
      </c>
      <c r="C34">
        <v>120347788</v>
      </c>
      <c r="D34">
        <v>120348231</v>
      </c>
      <c r="E34" s="15" t="s">
        <v>1656</v>
      </c>
      <c r="F34" t="s">
        <v>14195</v>
      </c>
      <c r="G34" t="s">
        <v>201</v>
      </c>
      <c r="H34">
        <v>120445912</v>
      </c>
      <c r="I34">
        <v>120446315</v>
      </c>
      <c r="J34" s="15" t="s">
        <v>35</v>
      </c>
      <c r="K34" t="s">
        <v>10975</v>
      </c>
      <c r="L34">
        <v>56</v>
      </c>
    </row>
    <row r="35" spans="1:12">
      <c r="A35" s="12">
        <v>3885</v>
      </c>
      <c r="B35" t="s">
        <v>220</v>
      </c>
      <c r="C35">
        <v>109077067</v>
      </c>
      <c r="D35">
        <v>109077460</v>
      </c>
      <c r="E35" s="15" t="s">
        <v>1656</v>
      </c>
      <c r="F35" t="s">
        <v>4617</v>
      </c>
      <c r="G35" t="s">
        <v>279</v>
      </c>
      <c r="H35">
        <v>104832888</v>
      </c>
      <c r="I35">
        <v>104833135</v>
      </c>
      <c r="J35" s="15" t="s">
        <v>1656</v>
      </c>
      <c r="K35" t="s">
        <v>14196</v>
      </c>
      <c r="L35">
        <v>56</v>
      </c>
    </row>
    <row r="36" spans="1:12">
      <c r="A36" s="12">
        <v>3885</v>
      </c>
      <c r="B36" t="s">
        <v>172</v>
      </c>
      <c r="C36">
        <v>164262456</v>
      </c>
      <c r="D36">
        <v>164262866</v>
      </c>
      <c r="E36" s="15" t="s">
        <v>35</v>
      </c>
      <c r="F36" t="s">
        <v>1697</v>
      </c>
      <c r="G36" t="s">
        <v>83</v>
      </c>
      <c r="H36">
        <v>57516290</v>
      </c>
      <c r="I36">
        <v>57516748</v>
      </c>
      <c r="J36" s="15" t="s">
        <v>35</v>
      </c>
      <c r="K36" t="s">
        <v>3978</v>
      </c>
      <c r="L36">
        <v>53</v>
      </c>
    </row>
    <row r="37" spans="1:12">
      <c r="A37" s="12">
        <v>3885</v>
      </c>
      <c r="B37" t="s">
        <v>226</v>
      </c>
      <c r="C37">
        <v>11475372</v>
      </c>
      <c r="D37">
        <v>11475748</v>
      </c>
      <c r="E37" s="15" t="s">
        <v>1656</v>
      </c>
      <c r="F37" t="s">
        <v>2712</v>
      </c>
      <c r="G37" t="s">
        <v>226</v>
      </c>
      <c r="H37">
        <v>11767526</v>
      </c>
      <c r="I37">
        <v>11767968</v>
      </c>
      <c r="J37" s="15" t="s">
        <v>1656</v>
      </c>
      <c r="K37" t="s">
        <v>2712</v>
      </c>
      <c r="L37">
        <v>46</v>
      </c>
    </row>
    <row r="38" spans="1:12">
      <c r="A38" s="12">
        <v>3885</v>
      </c>
      <c r="B38" t="s">
        <v>257</v>
      </c>
      <c r="C38">
        <v>117033282</v>
      </c>
      <c r="D38">
        <v>117033694</v>
      </c>
      <c r="E38" s="15" t="s">
        <v>1656</v>
      </c>
      <c r="F38" t="s">
        <v>3987</v>
      </c>
      <c r="G38" t="s">
        <v>257</v>
      </c>
      <c r="H38">
        <v>133959733</v>
      </c>
      <c r="I38">
        <v>133960469</v>
      </c>
      <c r="J38" s="15" t="s">
        <v>1656</v>
      </c>
      <c r="K38" t="s">
        <v>1697</v>
      </c>
      <c r="L38">
        <v>42</v>
      </c>
    </row>
    <row r="39" spans="1:12">
      <c r="A39" s="12">
        <v>3885</v>
      </c>
      <c r="B39" t="s">
        <v>135</v>
      </c>
      <c r="C39">
        <v>56966566</v>
      </c>
      <c r="D39">
        <v>56967060</v>
      </c>
      <c r="E39" s="15" t="s">
        <v>35</v>
      </c>
      <c r="F39" t="s">
        <v>14194</v>
      </c>
      <c r="G39" t="s">
        <v>135</v>
      </c>
      <c r="H39">
        <v>60221793</v>
      </c>
      <c r="I39">
        <v>60222152</v>
      </c>
      <c r="J39" s="15" t="s">
        <v>1656</v>
      </c>
      <c r="K39" t="s">
        <v>1083</v>
      </c>
      <c r="L39">
        <v>38</v>
      </c>
    </row>
    <row r="40" spans="1:12">
      <c r="A40" s="12">
        <v>3885</v>
      </c>
      <c r="B40" t="s">
        <v>172</v>
      </c>
      <c r="C40">
        <v>189722818</v>
      </c>
      <c r="D40">
        <v>189723205</v>
      </c>
      <c r="E40" s="15" t="s">
        <v>35</v>
      </c>
      <c r="F40" t="s">
        <v>1697</v>
      </c>
      <c r="G40" t="s">
        <v>118</v>
      </c>
      <c r="H40">
        <v>64866728</v>
      </c>
      <c r="I40">
        <v>64867249</v>
      </c>
      <c r="J40" s="15" t="s">
        <v>1656</v>
      </c>
      <c r="K40" t="s">
        <v>3980</v>
      </c>
      <c r="L40">
        <v>38</v>
      </c>
    </row>
    <row r="41" spans="1:12">
      <c r="A41" s="12">
        <v>3885</v>
      </c>
      <c r="B41" t="s">
        <v>339</v>
      </c>
      <c r="C41">
        <v>93381500</v>
      </c>
      <c r="D41">
        <v>93381892</v>
      </c>
      <c r="E41" s="15" t="s">
        <v>35</v>
      </c>
      <c r="F41" t="s">
        <v>3998</v>
      </c>
      <c r="G41" t="s">
        <v>339</v>
      </c>
      <c r="H41">
        <v>94040309</v>
      </c>
      <c r="I41">
        <v>94040726</v>
      </c>
      <c r="J41" s="15" t="s">
        <v>35</v>
      </c>
      <c r="K41" t="s">
        <v>6971</v>
      </c>
      <c r="L41">
        <v>35</v>
      </c>
    </row>
    <row r="42" spans="1:12">
      <c r="A42" s="12">
        <v>3885</v>
      </c>
      <c r="B42" t="s">
        <v>135</v>
      </c>
      <c r="C42">
        <v>60221806</v>
      </c>
      <c r="D42">
        <v>60222174</v>
      </c>
      <c r="E42" s="15" t="s">
        <v>1656</v>
      </c>
      <c r="F42" t="s">
        <v>1083</v>
      </c>
      <c r="G42" t="s">
        <v>135</v>
      </c>
      <c r="H42">
        <v>60251955</v>
      </c>
      <c r="I42">
        <v>60252273</v>
      </c>
      <c r="J42" s="15" t="s">
        <v>35</v>
      </c>
      <c r="K42" t="s">
        <v>1697</v>
      </c>
      <c r="L42">
        <v>34</v>
      </c>
    </row>
    <row r="43" spans="1:12">
      <c r="A43" s="12">
        <v>3885</v>
      </c>
      <c r="B43" t="s">
        <v>201</v>
      </c>
      <c r="C43">
        <v>172561438</v>
      </c>
      <c r="D43">
        <v>172561800</v>
      </c>
      <c r="E43" s="15" t="s">
        <v>1656</v>
      </c>
      <c r="F43" t="s">
        <v>1697</v>
      </c>
      <c r="G43" t="s">
        <v>201</v>
      </c>
      <c r="H43">
        <v>175273367</v>
      </c>
      <c r="I43">
        <v>175273785</v>
      </c>
      <c r="J43" s="15" t="s">
        <v>35</v>
      </c>
      <c r="K43" t="s">
        <v>3982</v>
      </c>
      <c r="L43">
        <v>34</v>
      </c>
    </row>
    <row r="44" spans="1:12">
      <c r="A44" s="12">
        <v>3885</v>
      </c>
      <c r="B44" t="s">
        <v>279</v>
      </c>
      <c r="C44">
        <v>94718705</v>
      </c>
      <c r="D44">
        <v>94719153</v>
      </c>
      <c r="E44" s="15" t="s">
        <v>1656</v>
      </c>
      <c r="F44" t="s">
        <v>3991</v>
      </c>
      <c r="G44" t="s">
        <v>279</v>
      </c>
      <c r="H44">
        <v>94719221</v>
      </c>
      <c r="I44">
        <v>94719330</v>
      </c>
      <c r="J44" s="15" t="s">
        <v>35</v>
      </c>
      <c r="K44" t="s">
        <v>3991</v>
      </c>
      <c r="L44">
        <v>33</v>
      </c>
    </row>
    <row r="45" spans="1:12">
      <c r="A45" s="12">
        <v>3885</v>
      </c>
      <c r="B45" t="s">
        <v>257</v>
      </c>
      <c r="C45">
        <v>14315432</v>
      </c>
      <c r="D45">
        <v>14315886</v>
      </c>
      <c r="E45" s="15" t="s">
        <v>1656</v>
      </c>
      <c r="F45" t="s">
        <v>3985</v>
      </c>
      <c r="G45" t="s">
        <v>135</v>
      </c>
      <c r="H45">
        <v>40095072</v>
      </c>
      <c r="I45">
        <v>40095583</v>
      </c>
      <c r="J45" s="15" t="s">
        <v>1656</v>
      </c>
      <c r="K45" t="s">
        <v>1697</v>
      </c>
      <c r="L45">
        <v>32</v>
      </c>
    </row>
    <row r="46" spans="1:12">
      <c r="A46" s="12">
        <v>3885</v>
      </c>
      <c r="B46" t="s">
        <v>135</v>
      </c>
      <c r="C46">
        <v>30274405</v>
      </c>
      <c r="D46">
        <v>30274790</v>
      </c>
      <c r="E46" s="15" t="s">
        <v>1656</v>
      </c>
      <c r="F46" t="s">
        <v>4000</v>
      </c>
      <c r="G46" t="s">
        <v>135</v>
      </c>
      <c r="H46">
        <v>67777453</v>
      </c>
      <c r="I46">
        <v>67777899</v>
      </c>
      <c r="J46" s="15" t="s">
        <v>1656</v>
      </c>
      <c r="K46" t="s">
        <v>4001</v>
      </c>
      <c r="L46">
        <v>31</v>
      </c>
    </row>
    <row r="47" spans="1:12">
      <c r="A47" s="12">
        <v>3885</v>
      </c>
      <c r="B47" t="s">
        <v>279</v>
      </c>
      <c r="C47">
        <v>79677762</v>
      </c>
      <c r="D47">
        <v>79678190</v>
      </c>
      <c r="E47" s="15" t="s">
        <v>35</v>
      </c>
      <c r="F47" t="s">
        <v>3992</v>
      </c>
      <c r="G47" t="s">
        <v>279</v>
      </c>
      <c r="H47">
        <v>80870463</v>
      </c>
      <c r="I47">
        <v>80870889</v>
      </c>
      <c r="J47" s="15" t="s">
        <v>1656</v>
      </c>
      <c r="K47" t="s">
        <v>3993</v>
      </c>
      <c r="L47">
        <v>27</v>
      </c>
    </row>
    <row r="48" spans="1:12">
      <c r="A48" s="12">
        <v>3885</v>
      </c>
      <c r="B48" t="s">
        <v>22</v>
      </c>
      <c r="C48">
        <v>201416095</v>
      </c>
      <c r="D48">
        <v>201416508</v>
      </c>
      <c r="E48" s="15" t="s">
        <v>35</v>
      </c>
      <c r="F48" t="s">
        <v>1697</v>
      </c>
      <c r="G48" t="s">
        <v>22</v>
      </c>
      <c r="H48">
        <v>204225637</v>
      </c>
      <c r="I48">
        <v>204226084</v>
      </c>
      <c r="J48" s="15" t="s">
        <v>35</v>
      </c>
      <c r="K48" t="s">
        <v>14193</v>
      </c>
      <c r="L48">
        <v>26</v>
      </c>
    </row>
    <row r="49" spans="1:12">
      <c r="A49" s="12">
        <v>3885</v>
      </c>
      <c r="B49" t="s">
        <v>257</v>
      </c>
      <c r="C49">
        <v>117034459</v>
      </c>
      <c r="D49">
        <v>117034662</v>
      </c>
      <c r="E49" s="15" t="s">
        <v>35</v>
      </c>
      <c r="F49" t="s">
        <v>3987</v>
      </c>
      <c r="G49" t="s">
        <v>257</v>
      </c>
      <c r="H49">
        <v>117796127</v>
      </c>
      <c r="I49">
        <v>117796568</v>
      </c>
      <c r="J49" s="15" t="s">
        <v>1656</v>
      </c>
      <c r="K49" t="s">
        <v>1697</v>
      </c>
      <c r="L49">
        <v>26</v>
      </c>
    </row>
    <row r="50" spans="1:12">
      <c r="A50" s="12">
        <v>30147</v>
      </c>
      <c r="B50" t="s">
        <v>201</v>
      </c>
      <c r="C50">
        <v>41265591</v>
      </c>
      <c r="D50">
        <v>41266066</v>
      </c>
      <c r="E50" s="15" t="s">
        <v>1656</v>
      </c>
      <c r="F50" t="s">
        <v>934</v>
      </c>
      <c r="G50" t="s">
        <v>201</v>
      </c>
      <c r="H50">
        <v>41266629</v>
      </c>
      <c r="I50">
        <v>41267213</v>
      </c>
      <c r="J50" s="15" t="s">
        <v>1656</v>
      </c>
      <c r="K50" t="s">
        <v>934</v>
      </c>
      <c r="L50">
        <v>164</v>
      </c>
    </row>
    <row r="51" spans="1:12">
      <c r="A51" s="12">
        <v>30374</v>
      </c>
      <c r="B51" t="s">
        <v>237</v>
      </c>
      <c r="C51">
        <v>116291611</v>
      </c>
      <c r="D51">
        <v>116292091</v>
      </c>
      <c r="E51" s="15" t="s">
        <v>1656</v>
      </c>
      <c r="F51" t="s">
        <v>2113</v>
      </c>
      <c r="G51" t="s">
        <v>237</v>
      </c>
      <c r="H51">
        <v>116532323</v>
      </c>
      <c r="I51">
        <v>116532716</v>
      </c>
      <c r="J51" s="15" t="s">
        <v>1656</v>
      </c>
      <c r="K51" t="s">
        <v>2194</v>
      </c>
      <c r="L51">
        <v>44</v>
      </c>
    </row>
    <row r="52" spans="1:12">
      <c r="A52" s="12">
        <v>30374</v>
      </c>
      <c r="B52" t="s">
        <v>172</v>
      </c>
      <c r="C52">
        <v>50330318</v>
      </c>
      <c r="D52">
        <v>50330755</v>
      </c>
      <c r="E52" s="15" t="s">
        <v>35</v>
      </c>
      <c r="F52" t="s">
        <v>2047</v>
      </c>
      <c r="G52" t="s">
        <v>172</v>
      </c>
      <c r="H52">
        <v>50772752</v>
      </c>
      <c r="I52">
        <v>50773130</v>
      </c>
      <c r="J52" s="15" t="s">
        <v>35</v>
      </c>
      <c r="K52" t="s">
        <v>2047</v>
      </c>
      <c r="L52">
        <v>39</v>
      </c>
    </row>
    <row r="53" spans="1:12">
      <c r="A53" s="12">
        <v>30374</v>
      </c>
      <c r="B53" t="s">
        <v>172</v>
      </c>
      <c r="C53">
        <v>65630306</v>
      </c>
      <c r="D53">
        <v>65630665</v>
      </c>
      <c r="E53" s="15" t="s">
        <v>1656</v>
      </c>
      <c r="F53" t="s">
        <v>4002</v>
      </c>
      <c r="G53" t="s">
        <v>172</v>
      </c>
      <c r="H53">
        <v>65774233</v>
      </c>
      <c r="I53">
        <v>65774567</v>
      </c>
      <c r="J53" s="15" t="s">
        <v>1656</v>
      </c>
      <c r="K53" t="s">
        <v>1697</v>
      </c>
      <c r="L53">
        <v>34</v>
      </c>
    </row>
    <row r="54" spans="1:12">
      <c r="A54" s="12">
        <v>30374</v>
      </c>
      <c r="B54" t="s">
        <v>418</v>
      </c>
      <c r="C54">
        <v>44769113</v>
      </c>
      <c r="D54">
        <v>44769436</v>
      </c>
      <c r="E54" s="15" t="s">
        <v>1656</v>
      </c>
      <c r="F54" t="s">
        <v>4005</v>
      </c>
      <c r="G54" t="s">
        <v>418</v>
      </c>
      <c r="H54">
        <v>44868837</v>
      </c>
      <c r="I54">
        <v>44869257</v>
      </c>
      <c r="J54" s="15" t="s">
        <v>1656</v>
      </c>
      <c r="K54" t="s">
        <v>4005</v>
      </c>
      <c r="L54">
        <v>34</v>
      </c>
    </row>
    <row r="55" spans="1:12">
      <c r="A55" s="12">
        <v>30374</v>
      </c>
      <c r="B55" t="s">
        <v>226</v>
      </c>
      <c r="C55">
        <v>940292</v>
      </c>
      <c r="D55">
        <v>940695</v>
      </c>
      <c r="E55" s="15" t="s">
        <v>35</v>
      </c>
      <c r="F55" t="s">
        <v>1697</v>
      </c>
      <c r="G55" t="s">
        <v>292</v>
      </c>
      <c r="H55">
        <v>136900046</v>
      </c>
      <c r="I55">
        <v>136900532</v>
      </c>
      <c r="J55" s="15" t="s">
        <v>1656</v>
      </c>
      <c r="K55" t="s">
        <v>3939</v>
      </c>
      <c r="L55">
        <v>28</v>
      </c>
    </row>
    <row r="56" spans="1:12">
      <c r="A56" s="12">
        <v>30374</v>
      </c>
      <c r="B56" t="s">
        <v>226</v>
      </c>
      <c r="C56">
        <v>1295230</v>
      </c>
      <c r="D56">
        <v>1295352</v>
      </c>
      <c r="E56" s="15" t="s">
        <v>1656</v>
      </c>
      <c r="F56" t="s">
        <v>1692</v>
      </c>
      <c r="G56" t="s">
        <v>292</v>
      </c>
      <c r="H56">
        <v>137216089</v>
      </c>
      <c r="I56">
        <v>137216547</v>
      </c>
      <c r="J56" s="15" t="s">
        <v>35</v>
      </c>
      <c r="K56" t="s">
        <v>1978</v>
      </c>
      <c r="L56">
        <v>27</v>
      </c>
    </row>
    <row r="57" spans="1:12">
      <c r="A57" s="12">
        <v>30996</v>
      </c>
      <c r="B57" t="s">
        <v>133</v>
      </c>
      <c r="C57">
        <v>50002080</v>
      </c>
      <c r="D57">
        <v>50002588</v>
      </c>
      <c r="E57" s="15" t="s">
        <v>35</v>
      </c>
      <c r="F57" t="s">
        <v>4081</v>
      </c>
      <c r="G57" t="s">
        <v>133</v>
      </c>
      <c r="H57">
        <v>50058763</v>
      </c>
      <c r="I57">
        <v>50059311</v>
      </c>
      <c r="J57" s="15" t="s">
        <v>1656</v>
      </c>
      <c r="K57" t="s">
        <v>4081</v>
      </c>
      <c r="L57">
        <v>462</v>
      </c>
    </row>
    <row r="58" spans="1:12">
      <c r="A58" s="12">
        <v>30996</v>
      </c>
      <c r="B58" t="s">
        <v>133</v>
      </c>
      <c r="C58">
        <v>49830134</v>
      </c>
      <c r="D58">
        <v>49830443</v>
      </c>
      <c r="E58" s="15" t="s">
        <v>1656</v>
      </c>
      <c r="F58" t="s">
        <v>4081</v>
      </c>
      <c r="G58" t="s">
        <v>133</v>
      </c>
      <c r="H58">
        <v>50068213</v>
      </c>
      <c r="I58">
        <v>50068750</v>
      </c>
      <c r="J58" s="15" t="s">
        <v>35</v>
      </c>
      <c r="K58" t="s">
        <v>4081</v>
      </c>
      <c r="L58">
        <v>251</v>
      </c>
    </row>
    <row r="59" spans="1:12">
      <c r="A59" s="12">
        <v>30996</v>
      </c>
      <c r="B59" t="s">
        <v>292</v>
      </c>
      <c r="C59">
        <v>73409413</v>
      </c>
      <c r="D59">
        <v>73409727</v>
      </c>
      <c r="E59" s="15" t="s">
        <v>1656</v>
      </c>
      <c r="F59" t="s">
        <v>4034</v>
      </c>
      <c r="G59" t="s">
        <v>292</v>
      </c>
      <c r="H59">
        <v>135125800</v>
      </c>
      <c r="I59">
        <v>135126168</v>
      </c>
      <c r="J59" s="15" t="s">
        <v>1656</v>
      </c>
      <c r="K59" t="s">
        <v>1697</v>
      </c>
      <c r="L59">
        <v>234</v>
      </c>
    </row>
    <row r="60" spans="1:12">
      <c r="A60" s="12">
        <v>30996</v>
      </c>
      <c r="B60" t="s">
        <v>292</v>
      </c>
      <c r="C60">
        <v>73409416</v>
      </c>
      <c r="D60">
        <v>73409732</v>
      </c>
      <c r="E60" s="15" t="s">
        <v>35</v>
      </c>
      <c r="F60" t="s">
        <v>4034</v>
      </c>
      <c r="G60" t="s">
        <v>292</v>
      </c>
      <c r="H60">
        <v>116592313</v>
      </c>
      <c r="I60">
        <v>116592628</v>
      </c>
      <c r="J60" s="15" t="s">
        <v>35</v>
      </c>
      <c r="K60" t="s">
        <v>1697</v>
      </c>
      <c r="L60">
        <v>214</v>
      </c>
    </row>
    <row r="61" spans="1:12">
      <c r="A61" s="12">
        <v>30996</v>
      </c>
      <c r="B61" t="s">
        <v>279</v>
      </c>
      <c r="C61">
        <v>110594557</v>
      </c>
      <c r="D61">
        <v>110595056</v>
      </c>
      <c r="E61" s="15" t="s">
        <v>35</v>
      </c>
      <c r="F61" t="s">
        <v>4033</v>
      </c>
      <c r="G61" t="s">
        <v>279</v>
      </c>
      <c r="H61">
        <v>110596354</v>
      </c>
      <c r="I61">
        <v>110596807</v>
      </c>
      <c r="J61" s="15" t="s">
        <v>35</v>
      </c>
      <c r="K61" t="s">
        <v>4033</v>
      </c>
      <c r="L61">
        <v>208</v>
      </c>
    </row>
    <row r="62" spans="1:12">
      <c r="A62" s="12">
        <v>30996</v>
      </c>
      <c r="B62" t="s">
        <v>292</v>
      </c>
      <c r="C62">
        <v>78215324</v>
      </c>
      <c r="D62">
        <v>78215608</v>
      </c>
      <c r="E62" s="15" t="s">
        <v>35</v>
      </c>
      <c r="F62" t="s">
        <v>14222</v>
      </c>
      <c r="G62" t="s">
        <v>292</v>
      </c>
      <c r="H62">
        <v>109159709</v>
      </c>
      <c r="I62">
        <v>109159982</v>
      </c>
      <c r="J62" s="15" t="s">
        <v>1656</v>
      </c>
      <c r="K62" t="s">
        <v>1697</v>
      </c>
      <c r="L62">
        <v>196</v>
      </c>
    </row>
    <row r="63" spans="1:12">
      <c r="A63" s="12">
        <v>30996</v>
      </c>
      <c r="B63" t="s">
        <v>83</v>
      </c>
      <c r="C63">
        <v>19696239</v>
      </c>
      <c r="D63">
        <v>19696735</v>
      </c>
      <c r="E63" s="15" t="s">
        <v>35</v>
      </c>
      <c r="F63" t="s">
        <v>4061</v>
      </c>
      <c r="G63" t="s">
        <v>83</v>
      </c>
      <c r="H63">
        <v>126053880</v>
      </c>
      <c r="I63">
        <v>126054379</v>
      </c>
      <c r="J63" s="15" t="s">
        <v>1656</v>
      </c>
      <c r="K63" t="s">
        <v>1697</v>
      </c>
      <c r="L63">
        <v>191</v>
      </c>
    </row>
    <row r="64" spans="1:12">
      <c r="A64" s="12">
        <v>30996</v>
      </c>
      <c r="B64" t="s">
        <v>120</v>
      </c>
      <c r="C64">
        <v>95073602</v>
      </c>
      <c r="D64">
        <v>95074044</v>
      </c>
      <c r="E64" s="15" t="s">
        <v>1656</v>
      </c>
      <c r="F64" t="s">
        <v>1697</v>
      </c>
      <c r="G64" t="s">
        <v>120</v>
      </c>
      <c r="H64">
        <v>100593404</v>
      </c>
      <c r="I64">
        <v>100593938</v>
      </c>
      <c r="J64" s="15" t="s">
        <v>1656</v>
      </c>
      <c r="K64" t="s">
        <v>4016</v>
      </c>
      <c r="L64">
        <v>183</v>
      </c>
    </row>
    <row r="65" spans="1:12">
      <c r="A65" s="12">
        <v>30996</v>
      </c>
      <c r="B65" t="s">
        <v>237</v>
      </c>
      <c r="C65">
        <v>61968759</v>
      </c>
      <c r="D65">
        <v>61969225</v>
      </c>
      <c r="E65" s="15" t="s">
        <v>35</v>
      </c>
      <c r="F65" t="s">
        <v>1697</v>
      </c>
      <c r="G65" t="s">
        <v>133</v>
      </c>
      <c r="H65">
        <v>21321941</v>
      </c>
      <c r="I65">
        <v>21322528</v>
      </c>
      <c r="J65" s="15" t="s">
        <v>35</v>
      </c>
      <c r="K65" t="s">
        <v>4029</v>
      </c>
      <c r="L65">
        <v>175</v>
      </c>
    </row>
    <row r="66" spans="1:12">
      <c r="A66" s="12">
        <v>30996</v>
      </c>
      <c r="B66" t="s">
        <v>83</v>
      </c>
      <c r="C66">
        <v>30651389</v>
      </c>
      <c r="D66">
        <v>30651871</v>
      </c>
      <c r="E66" s="15" t="s">
        <v>1656</v>
      </c>
      <c r="F66" t="s">
        <v>1697</v>
      </c>
      <c r="G66" t="s">
        <v>83</v>
      </c>
      <c r="H66">
        <v>107818716</v>
      </c>
      <c r="I66">
        <v>107819239</v>
      </c>
      <c r="J66" s="15" t="s">
        <v>35</v>
      </c>
      <c r="K66" t="s">
        <v>14201</v>
      </c>
      <c r="L66">
        <v>174</v>
      </c>
    </row>
    <row r="67" spans="1:12">
      <c r="A67" s="12">
        <v>30996</v>
      </c>
      <c r="B67" t="s">
        <v>83</v>
      </c>
      <c r="C67">
        <v>18834119</v>
      </c>
      <c r="D67">
        <v>18834553</v>
      </c>
      <c r="E67" s="15" t="s">
        <v>35</v>
      </c>
      <c r="F67" t="s">
        <v>1697</v>
      </c>
      <c r="G67" t="s">
        <v>83</v>
      </c>
      <c r="H67">
        <v>99134037</v>
      </c>
      <c r="I67">
        <v>99134452</v>
      </c>
      <c r="J67" s="15" t="s">
        <v>35</v>
      </c>
      <c r="K67" t="s">
        <v>323</v>
      </c>
      <c r="L67">
        <v>168</v>
      </c>
    </row>
    <row r="68" spans="1:12">
      <c r="A68" s="12">
        <v>30996</v>
      </c>
      <c r="B68" t="s">
        <v>83</v>
      </c>
      <c r="C68">
        <v>11604114</v>
      </c>
      <c r="D68">
        <v>11604645</v>
      </c>
      <c r="E68" s="15" t="s">
        <v>1656</v>
      </c>
      <c r="F68" t="s">
        <v>4053</v>
      </c>
      <c r="G68" t="s">
        <v>83</v>
      </c>
      <c r="H68">
        <v>43414754</v>
      </c>
      <c r="I68">
        <v>43415316</v>
      </c>
      <c r="J68" s="15" t="s">
        <v>1656</v>
      </c>
      <c r="K68" t="s">
        <v>4054</v>
      </c>
      <c r="L68">
        <v>162</v>
      </c>
    </row>
    <row r="69" spans="1:12">
      <c r="A69" s="12">
        <v>30996</v>
      </c>
      <c r="B69" t="s">
        <v>226</v>
      </c>
      <c r="C69">
        <v>5381987</v>
      </c>
      <c r="D69">
        <v>5382609</v>
      </c>
      <c r="E69" s="15" t="s">
        <v>1656</v>
      </c>
      <c r="F69" t="s">
        <v>1697</v>
      </c>
      <c r="G69" t="s">
        <v>120</v>
      </c>
      <c r="H69">
        <v>98362162</v>
      </c>
      <c r="I69">
        <v>98362652</v>
      </c>
      <c r="J69" s="15" t="s">
        <v>1656</v>
      </c>
      <c r="K69" t="s">
        <v>4024</v>
      </c>
      <c r="L69">
        <v>162</v>
      </c>
    </row>
    <row r="70" spans="1:12">
      <c r="A70" s="12">
        <v>30996</v>
      </c>
      <c r="B70" t="s">
        <v>226</v>
      </c>
      <c r="C70">
        <v>5400376</v>
      </c>
      <c r="D70">
        <v>5400842</v>
      </c>
      <c r="E70" s="15" t="s">
        <v>1656</v>
      </c>
      <c r="F70" t="s">
        <v>1697</v>
      </c>
      <c r="G70" t="s">
        <v>226</v>
      </c>
      <c r="H70">
        <v>5483480</v>
      </c>
      <c r="I70">
        <v>5483935</v>
      </c>
      <c r="J70" s="15" t="s">
        <v>1656</v>
      </c>
      <c r="K70" t="s">
        <v>1279</v>
      </c>
      <c r="L70">
        <v>159</v>
      </c>
    </row>
    <row r="71" spans="1:12">
      <c r="A71" s="12">
        <v>30996</v>
      </c>
      <c r="B71" t="s">
        <v>83</v>
      </c>
      <c r="C71">
        <v>66485180</v>
      </c>
      <c r="D71">
        <v>66485776</v>
      </c>
      <c r="E71" s="15" t="s">
        <v>1656</v>
      </c>
      <c r="F71" t="s">
        <v>4073</v>
      </c>
      <c r="G71" t="s">
        <v>83</v>
      </c>
      <c r="H71">
        <v>66487185</v>
      </c>
      <c r="I71">
        <v>66487665</v>
      </c>
      <c r="J71" s="15" t="s">
        <v>1656</v>
      </c>
      <c r="K71" t="s">
        <v>4073</v>
      </c>
      <c r="L71">
        <v>157</v>
      </c>
    </row>
    <row r="72" spans="1:12">
      <c r="A72" s="12">
        <v>30996</v>
      </c>
      <c r="B72" t="s">
        <v>292</v>
      </c>
      <c r="C72">
        <v>76551971</v>
      </c>
      <c r="D72">
        <v>76552323</v>
      </c>
      <c r="E72" s="15" t="s">
        <v>1656</v>
      </c>
      <c r="F72" t="s">
        <v>1697</v>
      </c>
      <c r="G72" t="s">
        <v>292</v>
      </c>
      <c r="H72">
        <v>119037623</v>
      </c>
      <c r="I72">
        <v>119037834</v>
      </c>
      <c r="J72" s="15" t="s">
        <v>35</v>
      </c>
      <c r="K72" t="s">
        <v>4035</v>
      </c>
      <c r="L72">
        <v>154</v>
      </c>
    </row>
    <row r="73" spans="1:12">
      <c r="A73" s="12">
        <v>30996</v>
      </c>
      <c r="B73" t="s">
        <v>226</v>
      </c>
      <c r="C73">
        <v>1050962</v>
      </c>
      <c r="D73">
        <v>1051513</v>
      </c>
      <c r="E73" s="15" t="s">
        <v>1656</v>
      </c>
      <c r="F73" t="s">
        <v>3303</v>
      </c>
      <c r="G73" t="s">
        <v>226</v>
      </c>
      <c r="H73">
        <v>1983497</v>
      </c>
      <c r="I73">
        <v>1983950</v>
      </c>
      <c r="J73" s="15" t="s">
        <v>1656</v>
      </c>
      <c r="K73" t="s">
        <v>1697</v>
      </c>
      <c r="L73">
        <v>152</v>
      </c>
    </row>
    <row r="74" spans="1:12">
      <c r="A74" s="12">
        <v>30996</v>
      </c>
      <c r="B74" t="s">
        <v>226</v>
      </c>
      <c r="C74">
        <v>4304640</v>
      </c>
      <c r="D74">
        <v>4305029</v>
      </c>
      <c r="E74" s="15" t="s">
        <v>35</v>
      </c>
      <c r="F74" t="s">
        <v>1697</v>
      </c>
      <c r="G74" t="s">
        <v>120</v>
      </c>
      <c r="H74">
        <v>92991614</v>
      </c>
      <c r="I74">
        <v>92992126</v>
      </c>
      <c r="J74" s="15" t="s">
        <v>35</v>
      </c>
      <c r="K74" t="s">
        <v>4023</v>
      </c>
      <c r="L74">
        <v>150</v>
      </c>
    </row>
    <row r="75" spans="1:12">
      <c r="A75" s="12">
        <v>30996</v>
      </c>
      <c r="B75" t="s">
        <v>120</v>
      </c>
      <c r="C75">
        <v>94128563</v>
      </c>
      <c r="D75">
        <v>94129112</v>
      </c>
      <c r="E75" s="15" t="s">
        <v>35</v>
      </c>
      <c r="F75" t="s">
        <v>1697</v>
      </c>
      <c r="G75" t="s">
        <v>120</v>
      </c>
      <c r="H75">
        <v>100801450</v>
      </c>
      <c r="I75">
        <v>100801971</v>
      </c>
      <c r="J75" s="15" t="s">
        <v>35</v>
      </c>
      <c r="K75" t="s">
        <v>4016</v>
      </c>
      <c r="L75">
        <v>148</v>
      </c>
    </row>
    <row r="76" spans="1:12">
      <c r="A76" s="12">
        <v>30996</v>
      </c>
      <c r="B76" t="s">
        <v>120</v>
      </c>
      <c r="C76">
        <v>98040728</v>
      </c>
      <c r="D76">
        <v>98041223</v>
      </c>
      <c r="E76" s="15" t="s">
        <v>1656</v>
      </c>
      <c r="F76" t="s">
        <v>1697</v>
      </c>
      <c r="G76" t="s">
        <v>120</v>
      </c>
      <c r="H76">
        <v>100640161</v>
      </c>
      <c r="I76">
        <v>100640712</v>
      </c>
      <c r="J76" s="15" t="s">
        <v>1656</v>
      </c>
      <c r="K76" t="s">
        <v>4016</v>
      </c>
      <c r="L76">
        <v>147</v>
      </c>
    </row>
    <row r="77" spans="1:12">
      <c r="A77" s="12">
        <v>30996</v>
      </c>
      <c r="B77" t="s">
        <v>118</v>
      </c>
      <c r="C77">
        <v>90281037</v>
      </c>
      <c r="D77">
        <v>90281469</v>
      </c>
      <c r="E77" s="15" t="s">
        <v>1656</v>
      </c>
      <c r="F77" t="s">
        <v>14207</v>
      </c>
      <c r="G77" t="s">
        <v>118</v>
      </c>
      <c r="H77">
        <v>90287548</v>
      </c>
      <c r="I77">
        <v>90287985</v>
      </c>
      <c r="J77" s="15" t="s">
        <v>1656</v>
      </c>
      <c r="K77" t="s">
        <v>14207</v>
      </c>
      <c r="L77">
        <v>141</v>
      </c>
    </row>
    <row r="78" spans="1:12">
      <c r="A78" s="12">
        <v>30996</v>
      </c>
      <c r="B78" t="s">
        <v>120</v>
      </c>
      <c r="C78">
        <v>95896798</v>
      </c>
      <c r="D78">
        <v>95897239</v>
      </c>
      <c r="E78" s="15" t="s">
        <v>35</v>
      </c>
      <c r="F78" t="s">
        <v>1697</v>
      </c>
      <c r="G78" t="s">
        <v>120</v>
      </c>
      <c r="H78">
        <v>99456789</v>
      </c>
      <c r="I78">
        <v>99457223</v>
      </c>
      <c r="J78" s="15" t="s">
        <v>1656</v>
      </c>
      <c r="K78" t="s">
        <v>4019</v>
      </c>
      <c r="L78">
        <v>141</v>
      </c>
    </row>
    <row r="79" spans="1:12">
      <c r="A79" s="12">
        <v>30996</v>
      </c>
      <c r="B79" t="s">
        <v>83</v>
      </c>
      <c r="C79">
        <v>69923026</v>
      </c>
      <c r="D79">
        <v>69923455</v>
      </c>
      <c r="E79" s="15" t="s">
        <v>35</v>
      </c>
      <c r="F79" t="s">
        <v>1721</v>
      </c>
      <c r="G79" t="s">
        <v>83</v>
      </c>
      <c r="H79">
        <v>107976576</v>
      </c>
      <c r="I79">
        <v>107976955</v>
      </c>
      <c r="J79" s="15" t="s">
        <v>1656</v>
      </c>
      <c r="K79" t="s">
        <v>4074</v>
      </c>
      <c r="L79">
        <v>140</v>
      </c>
    </row>
    <row r="80" spans="1:12">
      <c r="A80" s="12">
        <v>30996</v>
      </c>
      <c r="B80" t="s">
        <v>292</v>
      </c>
      <c r="C80">
        <v>101584477</v>
      </c>
      <c r="D80">
        <v>101584634</v>
      </c>
      <c r="E80" s="15" t="s">
        <v>35</v>
      </c>
      <c r="F80" t="s">
        <v>4047</v>
      </c>
      <c r="G80" t="s">
        <v>292</v>
      </c>
      <c r="H80">
        <v>119188050</v>
      </c>
      <c r="I80">
        <v>119188370</v>
      </c>
      <c r="J80" s="15" t="s">
        <v>35</v>
      </c>
      <c r="K80" t="s">
        <v>817</v>
      </c>
      <c r="L80">
        <v>139</v>
      </c>
    </row>
    <row r="81" spans="1:12">
      <c r="A81" s="12">
        <v>30996</v>
      </c>
      <c r="B81" t="s">
        <v>292</v>
      </c>
      <c r="C81">
        <v>93230731</v>
      </c>
      <c r="D81">
        <v>93231059</v>
      </c>
      <c r="E81" s="15" t="s">
        <v>1656</v>
      </c>
      <c r="F81" t="s">
        <v>1697</v>
      </c>
      <c r="G81" t="s">
        <v>292</v>
      </c>
      <c r="H81">
        <v>129197057</v>
      </c>
      <c r="I81">
        <v>129197425</v>
      </c>
      <c r="J81" s="15" t="s">
        <v>1656</v>
      </c>
      <c r="K81" t="s">
        <v>4041</v>
      </c>
      <c r="L81">
        <v>138</v>
      </c>
    </row>
    <row r="82" spans="1:12">
      <c r="A82" s="12">
        <v>30996</v>
      </c>
      <c r="B82" t="s">
        <v>83</v>
      </c>
      <c r="C82">
        <v>60518330</v>
      </c>
      <c r="D82">
        <v>60518790</v>
      </c>
      <c r="E82" s="15" t="s">
        <v>1656</v>
      </c>
      <c r="F82" t="s">
        <v>1697</v>
      </c>
      <c r="G82" t="s">
        <v>83</v>
      </c>
      <c r="H82">
        <v>134105943</v>
      </c>
      <c r="I82">
        <v>134106389</v>
      </c>
      <c r="J82" s="15" t="s">
        <v>35</v>
      </c>
      <c r="K82" t="s">
        <v>4072</v>
      </c>
      <c r="L82">
        <v>137</v>
      </c>
    </row>
    <row r="83" spans="1:12">
      <c r="A83" s="12">
        <v>30996</v>
      </c>
      <c r="B83" t="s">
        <v>226</v>
      </c>
      <c r="C83">
        <v>819869</v>
      </c>
      <c r="D83">
        <v>820370</v>
      </c>
      <c r="E83" s="15" t="s">
        <v>1656</v>
      </c>
      <c r="F83" t="s">
        <v>4018</v>
      </c>
      <c r="G83" t="s">
        <v>226</v>
      </c>
      <c r="H83">
        <v>7334257</v>
      </c>
      <c r="I83">
        <v>7334695</v>
      </c>
      <c r="J83" s="15" t="s">
        <v>35</v>
      </c>
      <c r="K83" t="s">
        <v>1697</v>
      </c>
      <c r="L83">
        <v>133</v>
      </c>
    </row>
    <row r="84" spans="1:12">
      <c r="A84" s="12">
        <v>30996</v>
      </c>
      <c r="B84" t="s">
        <v>83</v>
      </c>
      <c r="C84">
        <v>78525091</v>
      </c>
      <c r="D84">
        <v>78525620</v>
      </c>
      <c r="E84" s="15" t="s">
        <v>35</v>
      </c>
      <c r="F84" t="s">
        <v>3238</v>
      </c>
      <c r="G84" t="s">
        <v>83</v>
      </c>
      <c r="H84">
        <v>83741676</v>
      </c>
      <c r="I84">
        <v>83742108</v>
      </c>
      <c r="J84" s="15" t="s">
        <v>1656</v>
      </c>
      <c r="K84" t="s">
        <v>97</v>
      </c>
      <c r="L84">
        <v>132</v>
      </c>
    </row>
    <row r="85" spans="1:12">
      <c r="A85" s="12">
        <v>30996</v>
      </c>
      <c r="B85" t="s">
        <v>226</v>
      </c>
      <c r="C85">
        <v>1051740</v>
      </c>
      <c r="D85">
        <v>1052192</v>
      </c>
      <c r="E85" s="15" t="s">
        <v>35</v>
      </c>
      <c r="F85" t="s">
        <v>3303</v>
      </c>
      <c r="G85" t="s">
        <v>120</v>
      </c>
      <c r="H85">
        <v>98253991</v>
      </c>
      <c r="I85">
        <v>98254496</v>
      </c>
      <c r="J85" s="15" t="s">
        <v>35</v>
      </c>
      <c r="K85" t="s">
        <v>1697</v>
      </c>
      <c r="L85">
        <v>132</v>
      </c>
    </row>
    <row r="86" spans="1:12">
      <c r="A86" s="12">
        <v>30996</v>
      </c>
      <c r="B86" t="s">
        <v>226</v>
      </c>
      <c r="C86">
        <v>1253575</v>
      </c>
      <c r="D86">
        <v>1254120</v>
      </c>
      <c r="E86" s="15" t="s">
        <v>35</v>
      </c>
      <c r="F86" t="s">
        <v>1692</v>
      </c>
      <c r="G86" t="s">
        <v>226</v>
      </c>
      <c r="H86">
        <v>5985697</v>
      </c>
      <c r="I86">
        <v>5986090</v>
      </c>
      <c r="J86" s="15" t="s">
        <v>1656</v>
      </c>
      <c r="K86" t="s">
        <v>1697</v>
      </c>
      <c r="L86">
        <v>132</v>
      </c>
    </row>
    <row r="87" spans="1:12">
      <c r="A87" s="12">
        <v>30996</v>
      </c>
      <c r="B87" t="s">
        <v>226</v>
      </c>
      <c r="C87">
        <v>1176661</v>
      </c>
      <c r="D87">
        <v>1177174</v>
      </c>
      <c r="E87" s="15" t="s">
        <v>1656</v>
      </c>
      <c r="F87" t="s">
        <v>1697</v>
      </c>
      <c r="G87" t="s">
        <v>226</v>
      </c>
      <c r="H87">
        <v>5158177</v>
      </c>
      <c r="I87">
        <v>5158606</v>
      </c>
      <c r="J87" s="15" t="s">
        <v>35</v>
      </c>
      <c r="K87" t="s">
        <v>4014</v>
      </c>
      <c r="L87">
        <v>130</v>
      </c>
    </row>
    <row r="88" spans="1:12">
      <c r="A88" s="12">
        <v>30996</v>
      </c>
      <c r="B88" t="s">
        <v>83</v>
      </c>
      <c r="C88">
        <v>13225725</v>
      </c>
      <c r="D88">
        <v>13226342</v>
      </c>
      <c r="E88" s="15" t="s">
        <v>1656</v>
      </c>
      <c r="F88" t="s">
        <v>1697</v>
      </c>
      <c r="G88" t="s">
        <v>83</v>
      </c>
      <c r="H88">
        <v>35350828</v>
      </c>
      <c r="I88">
        <v>35351685</v>
      </c>
      <c r="J88" s="15" t="s">
        <v>1656</v>
      </c>
      <c r="K88" t="s">
        <v>4056</v>
      </c>
      <c r="L88">
        <v>129</v>
      </c>
    </row>
    <row r="89" spans="1:12">
      <c r="A89" s="12">
        <v>30996</v>
      </c>
      <c r="B89" t="s">
        <v>83</v>
      </c>
      <c r="C89">
        <v>100100116</v>
      </c>
      <c r="D89">
        <v>100100657</v>
      </c>
      <c r="E89" s="15" t="s">
        <v>35</v>
      </c>
      <c r="F89" t="s">
        <v>323</v>
      </c>
      <c r="G89" t="s">
        <v>83</v>
      </c>
      <c r="H89">
        <v>116031377</v>
      </c>
      <c r="I89">
        <v>116031807</v>
      </c>
      <c r="J89" s="15" t="s">
        <v>1656</v>
      </c>
      <c r="K89" t="s">
        <v>1697</v>
      </c>
      <c r="L89">
        <v>129</v>
      </c>
    </row>
    <row r="90" spans="1:12">
      <c r="A90" s="12">
        <v>30996</v>
      </c>
      <c r="B90" t="s">
        <v>226</v>
      </c>
      <c r="C90">
        <v>7426568</v>
      </c>
      <c r="D90">
        <v>7427037</v>
      </c>
      <c r="E90" s="15" t="s">
        <v>1656</v>
      </c>
      <c r="F90" t="s">
        <v>4028</v>
      </c>
      <c r="G90" t="s">
        <v>120</v>
      </c>
      <c r="H90">
        <v>99878682</v>
      </c>
      <c r="I90">
        <v>99879192</v>
      </c>
      <c r="J90" s="15" t="s">
        <v>1656</v>
      </c>
      <c r="K90" t="s">
        <v>2315</v>
      </c>
      <c r="L90">
        <v>128</v>
      </c>
    </row>
    <row r="91" spans="1:12">
      <c r="A91" s="12">
        <v>30996</v>
      </c>
      <c r="B91" t="s">
        <v>83</v>
      </c>
      <c r="C91">
        <v>18407835</v>
      </c>
      <c r="D91">
        <v>18408519</v>
      </c>
      <c r="E91" s="15" t="s">
        <v>35</v>
      </c>
      <c r="F91" t="s">
        <v>1697</v>
      </c>
      <c r="G91" t="s">
        <v>83</v>
      </c>
      <c r="H91">
        <v>134079960</v>
      </c>
      <c r="I91">
        <v>134080667</v>
      </c>
      <c r="J91" s="15" t="s">
        <v>1656</v>
      </c>
      <c r="K91" t="s">
        <v>4059</v>
      </c>
      <c r="L91">
        <v>125</v>
      </c>
    </row>
    <row r="92" spans="1:12">
      <c r="A92" s="12">
        <v>30996</v>
      </c>
      <c r="B92" t="s">
        <v>201</v>
      </c>
      <c r="C92">
        <v>38494528</v>
      </c>
      <c r="D92">
        <v>38495074</v>
      </c>
      <c r="E92" s="15" t="s">
        <v>1656</v>
      </c>
      <c r="F92" t="s">
        <v>14214</v>
      </c>
      <c r="G92" t="s">
        <v>201</v>
      </c>
      <c r="H92">
        <v>38496457</v>
      </c>
      <c r="I92">
        <v>38496895</v>
      </c>
      <c r="J92" s="15" t="s">
        <v>1656</v>
      </c>
      <c r="K92" t="s">
        <v>14214</v>
      </c>
      <c r="L92">
        <v>123</v>
      </c>
    </row>
    <row r="93" spans="1:12">
      <c r="A93" s="12">
        <v>30996</v>
      </c>
      <c r="B93" t="s">
        <v>83</v>
      </c>
      <c r="C93">
        <v>107569171</v>
      </c>
      <c r="D93">
        <v>107569669</v>
      </c>
      <c r="E93" s="15" t="s">
        <v>1656</v>
      </c>
      <c r="F93" t="s">
        <v>1697</v>
      </c>
      <c r="G93" t="s">
        <v>83</v>
      </c>
      <c r="H93">
        <v>123986523</v>
      </c>
      <c r="I93">
        <v>123986986</v>
      </c>
      <c r="J93" s="15" t="s">
        <v>1656</v>
      </c>
      <c r="K93" t="s">
        <v>3350</v>
      </c>
      <c r="L93">
        <v>121</v>
      </c>
    </row>
    <row r="94" spans="1:12">
      <c r="A94" s="12">
        <v>30996</v>
      </c>
      <c r="B94" t="s">
        <v>83</v>
      </c>
      <c r="C94">
        <v>18493612</v>
      </c>
      <c r="D94">
        <v>18494018</v>
      </c>
      <c r="E94" s="15" t="s">
        <v>1656</v>
      </c>
      <c r="F94" t="s">
        <v>4060</v>
      </c>
      <c r="G94" t="s">
        <v>83</v>
      </c>
      <c r="H94">
        <v>114129908</v>
      </c>
      <c r="I94">
        <v>114130381</v>
      </c>
      <c r="J94" s="15" t="s">
        <v>35</v>
      </c>
      <c r="K94" t="s">
        <v>1697</v>
      </c>
      <c r="L94">
        <v>120</v>
      </c>
    </row>
    <row r="95" spans="1:12">
      <c r="A95" s="12">
        <v>30996</v>
      </c>
      <c r="B95" t="s">
        <v>120</v>
      </c>
      <c r="C95">
        <v>93498341</v>
      </c>
      <c r="D95">
        <v>93498745</v>
      </c>
      <c r="E95" s="15" t="s">
        <v>35</v>
      </c>
      <c r="F95" t="s">
        <v>4380</v>
      </c>
      <c r="G95" t="s">
        <v>120</v>
      </c>
      <c r="H95">
        <v>96065388</v>
      </c>
      <c r="I95">
        <v>96065837</v>
      </c>
      <c r="J95" s="15" t="s">
        <v>35</v>
      </c>
      <c r="K95" t="s">
        <v>1697</v>
      </c>
      <c r="L95">
        <v>118</v>
      </c>
    </row>
    <row r="96" spans="1:12">
      <c r="A96" s="12">
        <v>30996</v>
      </c>
      <c r="B96" t="s">
        <v>292</v>
      </c>
      <c r="C96">
        <v>99524794</v>
      </c>
      <c r="D96">
        <v>99524956</v>
      </c>
      <c r="E96" s="15" t="s">
        <v>1656</v>
      </c>
      <c r="F96" t="s">
        <v>4045</v>
      </c>
      <c r="G96" t="s">
        <v>292</v>
      </c>
      <c r="H96">
        <v>140091336</v>
      </c>
      <c r="I96">
        <v>140091543</v>
      </c>
      <c r="J96" s="15" t="s">
        <v>1656</v>
      </c>
      <c r="K96" t="s">
        <v>537</v>
      </c>
      <c r="L96">
        <v>117</v>
      </c>
    </row>
    <row r="97" spans="1:12">
      <c r="A97" s="12">
        <v>30996</v>
      </c>
      <c r="B97" t="s">
        <v>226</v>
      </c>
      <c r="C97">
        <v>5640320</v>
      </c>
      <c r="D97">
        <v>5640777</v>
      </c>
      <c r="E97" s="15" t="s">
        <v>1656</v>
      </c>
      <c r="F97" t="s">
        <v>1697</v>
      </c>
      <c r="G97" t="s">
        <v>120</v>
      </c>
      <c r="H97">
        <v>100539010</v>
      </c>
      <c r="I97">
        <v>100539465</v>
      </c>
      <c r="J97" s="15" t="s">
        <v>1656</v>
      </c>
      <c r="K97" t="s">
        <v>4016</v>
      </c>
      <c r="L97">
        <v>114</v>
      </c>
    </row>
    <row r="98" spans="1:12">
      <c r="A98" s="12">
        <v>30996</v>
      </c>
      <c r="B98" t="s">
        <v>172</v>
      </c>
      <c r="C98">
        <v>179436292</v>
      </c>
      <c r="D98">
        <v>179436775</v>
      </c>
      <c r="E98" s="15" t="s">
        <v>1656</v>
      </c>
      <c r="F98" t="s">
        <v>737</v>
      </c>
      <c r="G98" t="s">
        <v>172</v>
      </c>
      <c r="H98">
        <v>179439408</v>
      </c>
      <c r="I98">
        <v>179439901</v>
      </c>
      <c r="J98" s="15" t="s">
        <v>1656</v>
      </c>
      <c r="K98" t="s">
        <v>737</v>
      </c>
      <c r="L98">
        <v>113</v>
      </c>
    </row>
    <row r="99" spans="1:12">
      <c r="A99" s="12">
        <v>30996</v>
      </c>
      <c r="B99" t="s">
        <v>83</v>
      </c>
      <c r="C99">
        <v>79912137</v>
      </c>
      <c r="D99">
        <v>79912608</v>
      </c>
      <c r="E99" s="15" t="s">
        <v>1656</v>
      </c>
      <c r="F99" t="s">
        <v>1697</v>
      </c>
      <c r="G99" t="s">
        <v>83</v>
      </c>
      <c r="H99">
        <v>103909462</v>
      </c>
      <c r="I99">
        <v>103909992</v>
      </c>
      <c r="J99" s="15" t="s">
        <v>1656</v>
      </c>
      <c r="K99" t="s">
        <v>14204</v>
      </c>
      <c r="L99">
        <v>112</v>
      </c>
    </row>
    <row r="100" spans="1:12">
      <c r="A100" s="12">
        <v>30996</v>
      </c>
      <c r="B100" t="s">
        <v>226</v>
      </c>
      <c r="C100">
        <v>6786599</v>
      </c>
      <c r="D100">
        <v>6787037</v>
      </c>
      <c r="E100" s="15" t="s">
        <v>1656</v>
      </c>
      <c r="F100" t="s">
        <v>1697</v>
      </c>
      <c r="G100" t="s">
        <v>120</v>
      </c>
      <c r="H100">
        <v>92985221</v>
      </c>
      <c r="I100">
        <v>92985563</v>
      </c>
      <c r="J100" s="15" t="s">
        <v>1656</v>
      </c>
      <c r="K100" t="s">
        <v>4023</v>
      </c>
      <c r="L100">
        <v>112</v>
      </c>
    </row>
    <row r="101" spans="1:12">
      <c r="A101" s="12">
        <v>30996</v>
      </c>
      <c r="B101" t="s">
        <v>83</v>
      </c>
      <c r="C101">
        <v>11447009</v>
      </c>
      <c r="D101">
        <v>11447457</v>
      </c>
      <c r="E101" s="15" t="s">
        <v>35</v>
      </c>
      <c r="F101" t="s">
        <v>4053</v>
      </c>
      <c r="G101" t="s">
        <v>83</v>
      </c>
      <c r="H101">
        <v>37400240</v>
      </c>
      <c r="I101">
        <v>37400774</v>
      </c>
      <c r="J101" s="15" t="s">
        <v>35</v>
      </c>
      <c r="K101" t="s">
        <v>1697</v>
      </c>
      <c r="L101">
        <v>111</v>
      </c>
    </row>
    <row r="102" spans="1:12">
      <c r="A102" s="12">
        <v>30996</v>
      </c>
      <c r="B102" t="s">
        <v>69</v>
      </c>
      <c r="C102">
        <v>11963466</v>
      </c>
      <c r="D102">
        <v>11963937</v>
      </c>
      <c r="E102" s="15" t="s">
        <v>1656</v>
      </c>
      <c r="F102" t="s">
        <v>2856</v>
      </c>
      <c r="G102" t="s">
        <v>69</v>
      </c>
      <c r="H102">
        <v>11967299</v>
      </c>
      <c r="I102">
        <v>11967783</v>
      </c>
      <c r="J102" s="15" t="s">
        <v>1656</v>
      </c>
      <c r="K102" t="s">
        <v>2856</v>
      </c>
      <c r="L102">
        <v>107</v>
      </c>
    </row>
    <row r="103" spans="1:12">
      <c r="A103" s="12">
        <v>30996</v>
      </c>
      <c r="B103" t="s">
        <v>83</v>
      </c>
      <c r="C103">
        <v>26380101</v>
      </c>
      <c r="D103">
        <v>26380494</v>
      </c>
      <c r="E103" s="15" t="s">
        <v>1656</v>
      </c>
      <c r="F103" t="s">
        <v>1889</v>
      </c>
      <c r="G103" t="s">
        <v>83</v>
      </c>
      <c r="H103">
        <v>118533432</v>
      </c>
      <c r="I103">
        <v>118533999</v>
      </c>
      <c r="J103" s="15" t="s">
        <v>35</v>
      </c>
      <c r="K103" t="s">
        <v>4063</v>
      </c>
      <c r="L103">
        <v>106</v>
      </c>
    </row>
    <row r="104" spans="1:12">
      <c r="A104" s="12">
        <v>30996</v>
      </c>
      <c r="B104" t="s">
        <v>83</v>
      </c>
      <c r="C104">
        <v>32804754</v>
      </c>
      <c r="D104">
        <v>32805050</v>
      </c>
      <c r="E104" s="15" t="s">
        <v>35</v>
      </c>
      <c r="F104" t="s">
        <v>1302</v>
      </c>
      <c r="G104" t="s">
        <v>83</v>
      </c>
      <c r="H104">
        <v>47664922</v>
      </c>
      <c r="I104">
        <v>47665240</v>
      </c>
      <c r="J104" s="15" t="s">
        <v>35</v>
      </c>
      <c r="K104" t="s">
        <v>8475</v>
      </c>
      <c r="L104">
        <v>104</v>
      </c>
    </row>
    <row r="105" spans="1:12">
      <c r="A105" s="12">
        <v>30996</v>
      </c>
      <c r="B105" t="s">
        <v>83</v>
      </c>
      <c r="C105">
        <v>94524120</v>
      </c>
      <c r="D105">
        <v>94524640</v>
      </c>
      <c r="E105" s="15" t="s">
        <v>35</v>
      </c>
      <c r="F105" t="s">
        <v>4062</v>
      </c>
      <c r="G105" t="s">
        <v>83</v>
      </c>
      <c r="H105">
        <v>134385791</v>
      </c>
      <c r="I105">
        <v>134386136</v>
      </c>
      <c r="J105" s="15" t="s">
        <v>1656</v>
      </c>
      <c r="K105" t="s">
        <v>1697</v>
      </c>
      <c r="L105">
        <v>104</v>
      </c>
    </row>
    <row r="106" spans="1:12">
      <c r="A106" s="12">
        <v>30996</v>
      </c>
      <c r="B106" t="s">
        <v>226</v>
      </c>
      <c r="C106">
        <v>611666</v>
      </c>
      <c r="D106">
        <v>612197</v>
      </c>
      <c r="E106" s="15" t="s">
        <v>35</v>
      </c>
      <c r="F106" t="s">
        <v>4017</v>
      </c>
      <c r="G106" t="s">
        <v>120</v>
      </c>
      <c r="H106">
        <v>102122570</v>
      </c>
      <c r="I106">
        <v>102123075</v>
      </c>
      <c r="J106" s="15" t="s">
        <v>1656</v>
      </c>
      <c r="K106" t="s">
        <v>1697</v>
      </c>
      <c r="L106">
        <v>104</v>
      </c>
    </row>
    <row r="107" spans="1:12">
      <c r="A107" s="12">
        <v>30996</v>
      </c>
      <c r="B107" t="s">
        <v>292</v>
      </c>
      <c r="C107">
        <v>26707881</v>
      </c>
      <c r="D107">
        <v>26708395</v>
      </c>
      <c r="E107" s="15" t="s">
        <v>35</v>
      </c>
      <c r="F107" t="s">
        <v>1697</v>
      </c>
      <c r="G107" t="s">
        <v>292</v>
      </c>
      <c r="H107">
        <v>26852552</v>
      </c>
      <c r="I107">
        <v>26852977</v>
      </c>
      <c r="J107" s="15" t="s">
        <v>1656</v>
      </c>
      <c r="K107" t="s">
        <v>14220</v>
      </c>
      <c r="L107">
        <v>104</v>
      </c>
    </row>
    <row r="108" spans="1:12">
      <c r="A108" s="12">
        <v>30996</v>
      </c>
      <c r="B108" t="s">
        <v>83</v>
      </c>
      <c r="C108">
        <v>103085798</v>
      </c>
      <c r="D108">
        <v>103086252</v>
      </c>
      <c r="E108" s="15" t="s">
        <v>1656</v>
      </c>
      <c r="F108" t="s">
        <v>4078</v>
      </c>
      <c r="G108" t="s">
        <v>83</v>
      </c>
      <c r="H108">
        <v>116379593</v>
      </c>
      <c r="I108">
        <v>116380096</v>
      </c>
      <c r="J108" s="15" t="s">
        <v>35</v>
      </c>
      <c r="K108" t="s">
        <v>1697</v>
      </c>
      <c r="L108">
        <v>103</v>
      </c>
    </row>
    <row r="109" spans="1:12">
      <c r="A109" s="12">
        <v>30996</v>
      </c>
      <c r="B109" t="s">
        <v>226</v>
      </c>
      <c r="C109">
        <v>502232</v>
      </c>
      <c r="D109">
        <v>502718</v>
      </c>
      <c r="E109" s="15" t="s">
        <v>1656</v>
      </c>
      <c r="F109" t="s">
        <v>4015</v>
      </c>
      <c r="G109" t="s">
        <v>120</v>
      </c>
      <c r="H109">
        <v>100775191</v>
      </c>
      <c r="I109">
        <v>100775732</v>
      </c>
      <c r="J109" s="15" t="s">
        <v>35</v>
      </c>
      <c r="K109" t="s">
        <v>4016</v>
      </c>
      <c r="L109">
        <v>102</v>
      </c>
    </row>
    <row r="110" spans="1:12">
      <c r="A110" s="12">
        <v>30996</v>
      </c>
      <c r="B110" t="s">
        <v>226</v>
      </c>
      <c r="C110">
        <v>1172065</v>
      </c>
      <c r="D110">
        <v>1172603</v>
      </c>
      <c r="E110" s="15" t="s">
        <v>35</v>
      </c>
      <c r="F110" t="s">
        <v>1697</v>
      </c>
      <c r="G110" t="s">
        <v>120</v>
      </c>
      <c r="H110">
        <v>99326615</v>
      </c>
      <c r="I110">
        <v>99327052</v>
      </c>
      <c r="J110" s="15" t="s">
        <v>1656</v>
      </c>
      <c r="K110" t="s">
        <v>4019</v>
      </c>
      <c r="L110">
        <v>99</v>
      </c>
    </row>
    <row r="111" spans="1:12">
      <c r="A111" s="12">
        <v>30996</v>
      </c>
      <c r="B111" t="s">
        <v>292</v>
      </c>
      <c r="C111">
        <v>96317712</v>
      </c>
      <c r="D111">
        <v>96317863</v>
      </c>
      <c r="E111" s="15" t="s">
        <v>35</v>
      </c>
      <c r="F111" t="s">
        <v>4042</v>
      </c>
      <c r="G111" t="s">
        <v>292</v>
      </c>
      <c r="H111">
        <v>119188053</v>
      </c>
      <c r="I111">
        <v>119188373</v>
      </c>
      <c r="J111" s="15" t="s">
        <v>1656</v>
      </c>
      <c r="K111" t="s">
        <v>817</v>
      </c>
      <c r="L111">
        <v>96</v>
      </c>
    </row>
    <row r="112" spans="1:12">
      <c r="A112" s="12">
        <v>30996</v>
      </c>
      <c r="B112" t="s">
        <v>83</v>
      </c>
      <c r="C112">
        <v>29492747</v>
      </c>
      <c r="D112">
        <v>29493159</v>
      </c>
      <c r="E112" s="15" t="s">
        <v>1656</v>
      </c>
      <c r="F112" t="s">
        <v>1697</v>
      </c>
      <c r="G112" t="s">
        <v>83</v>
      </c>
      <c r="H112">
        <v>108140855</v>
      </c>
      <c r="I112">
        <v>108141300</v>
      </c>
      <c r="J112" s="15" t="s">
        <v>35</v>
      </c>
      <c r="K112" t="s">
        <v>4066</v>
      </c>
      <c r="L112">
        <v>94</v>
      </c>
    </row>
    <row r="113" spans="1:12">
      <c r="A113" s="12">
        <v>30996</v>
      </c>
      <c r="B113" t="s">
        <v>226</v>
      </c>
      <c r="C113">
        <v>5154637</v>
      </c>
      <c r="D113">
        <v>5155076</v>
      </c>
      <c r="E113" s="15" t="s">
        <v>35</v>
      </c>
      <c r="F113" t="s">
        <v>4014</v>
      </c>
      <c r="G113" t="s">
        <v>120</v>
      </c>
      <c r="H113">
        <v>96115098</v>
      </c>
      <c r="I113">
        <v>96115472</v>
      </c>
      <c r="J113" s="15" t="s">
        <v>35</v>
      </c>
      <c r="K113" t="s">
        <v>1697</v>
      </c>
      <c r="L113">
        <v>93</v>
      </c>
    </row>
    <row r="114" spans="1:12">
      <c r="A114" s="12">
        <v>30996</v>
      </c>
      <c r="B114" t="s">
        <v>226</v>
      </c>
      <c r="C114">
        <v>192197</v>
      </c>
      <c r="D114">
        <v>192766</v>
      </c>
      <c r="E114" s="15" t="s">
        <v>1656</v>
      </c>
      <c r="F114" t="s">
        <v>4011</v>
      </c>
      <c r="G114" t="s">
        <v>226</v>
      </c>
      <c r="H114">
        <v>4505479</v>
      </c>
      <c r="I114">
        <v>4505892</v>
      </c>
      <c r="J114" s="15" t="s">
        <v>35</v>
      </c>
      <c r="K114" t="s">
        <v>1697</v>
      </c>
      <c r="L114">
        <v>92</v>
      </c>
    </row>
    <row r="115" spans="1:12">
      <c r="A115" s="12">
        <v>30996</v>
      </c>
      <c r="B115" t="s">
        <v>279</v>
      </c>
      <c r="C115">
        <v>64016674</v>
      </c>
      <c r="D115">
        <v>64016988</v>
      </c>
      <c r="E115" s="15" t="s">
        <v>1656</v>
      </c>
      <c r="F115" t="s">
        <v>1697</v>
      </c>
      <c r="G115" t="s">
        <v>279</v>
      </c>
      <c r="H115">
        <v>124273612</v>
      </c>
      <c r="I115">
        <v>124274091</v>
      </c>
      <c r="J115" s="15" t="s">
        <v>1656</v>
      </c>
      <c r="K115" t="s">
        <v>4032</v>
      </c>
      <c r="L115">
        <v>89</v>
      </c>
    </row>
    <row r="116" spans="1:12">
      <c r="A116" s="12">
        <v>30996</v>
      </c>
      <c r="B116" t="s">
        <v>83</v>
      </c>
      <c r="C116">
        <v>60497337</v>
      </c>
      <c r="D116">
        <v>60497924</v>
      </c>
      <c r="E116" s="15" t="s">
        <v>35</v>
      </c>
      <c r="F116" t="s">
        <v>1697</v>
      </c>
      <c r="G116" t="s">
        <v>83</v>
      </c>
      <c r="H116">
        <v>67271624</v>
      </c>
      <c r="I116">
        <v>67272090</v>
      </c>
      <c r="J116" s="15" t="s">
        <v>35</v>
      </c>
      <c r="K116" t="s">
        <v>4071</v>
      </c>
      <c r="L116">
        <v>88</v>
      </c>
    </row>
    <row r="117" spans="1:12">
      <c r="A117" s="12">
        <v>30996</v>
      </c>
      <c r="B117" t="s">
        <v>292</v>
      </c>
      <c r="C117">
        <v>90478037</v>
      </c>
      <c r="D117">
        <v>90478216</v>
      </c>
      <c r="E117" s="15" t="s">
        <v>35</v>
      </c>
      <c r="F117" t="s">
        <v>1697</v>
      </c>
      <c r="G117" t="s">
        <v>292</v>
      </c>
      <c r="H117">
        <v>101081596</v>
      </c>
      <c r="I117">
        <v>101081833</v>
      </c>
      <c r="J117" s="15" t="s">
        <v>1656</v>
      </c>
      <c r="K117" t="s">
        <v>4037</v>
      </c>
      <c r="L117">
        <v>88</v>
      </c>
    </row>
    <row r="118" spans="1:12">
      <c r="A118" s="12">
        <v>30996</v>
      </c>
      <c r="B118" t="s">
        <v>83</v>
      </c>
      <c r="C118">
        <v>21636334</v>
      </c>
      <c r="D118">
        <v>21636526</v>
      </c>
      <c r="E118" s="15" t="s">
        <v>35</v>
      </c>
      <c r="F118" t="s">
        <v>1697</v>
      </c>
      <c r="G118" t="s">
        <v>83</v>
      </c>
      <c r="H118">
        <v>107818249</v>
      </c>
      <c r="I118">
        <v>107818687</v>
      </c>
      <c r="J118" s="15" t="s">
        <v>35</v>
      </c>
      <c r="K118" t="s">
        <v>14201</v>
      </c>
      <c r="L118">
        <v>86</v>
      </c>
    </row>
    <row r="119" spans="1:12">
      <c r="A119" s="12">
        <v>30996</v>
      </c>
      <c r="B119" t="s">
        <v>83</v>
      </c>
      <c r="C119">
        <v>57796413</v>
      </c>
      <c r="D119">
        <v>57796935</v>
      </c>
      <c r="E119" s="15" t="s">
        <v>35</v>
      </c>
      <c r="F119" t="s">
        <v>14203</v>
      </c>
      <c r="G119" t="s">
        <v>83</v>
      </c>
      <c r="H119">
        <v>97167755</v>
      </c>
      <c r="I119">
        <v>97168120</v>
      </c>
      <c r="J119" s="15" t="s">
        <v>35</v>
      </c>
      <c r="K119" t="s">
        <v>1697</v>
      </c>
      <c r="L119">
        <v>84</v>
      </c>
    </row>
    <row r="120" spans="1:12">
      <c r="A120" s="12">
        <v>30996</v>
      </c>
      <c r="B120" t="s">
        <v>120</v>
      </c>
      <c r="C120">
        <v>94246379</v>
      </c>
      <c r="D120">
        <v>94246814</v>
      </c>
      <c r="E120" s="15" t="s">
        <v>1656</v>
      </c>
      <c r="F120" t="s">
        <v>1697</v>
      </c>
      <c r="G120" t="s">
        <v>120</v>
      </c>
      <c r="H120">
        <v>99416693</v>
      </c>
      <c r="I120">
        <v>99417213</v>
      </c>
      <c r="J120" s="15" t="s">
        <v>35</v>
      </c>
      <c r="K120" t="s">
        <v>4019</v>
      </c>
      <c r="L120">
        <v>84</v>
      </c>
    </row>
    <row r="121" spans="1:12">
      <c r="A121" s="12">
        <v>30996</v>
      </c>
      <c r="B121" t="s">
        <v>292</v>
      </c>
      <c r="C121">
        <v>117579953</v>
      </c>
      <c r="D121">
        <v>117580327</v>
      </c>
      <c r="E121" s="15" t="s">
        <v>35</v>
      </c>
      <c r="F121" t="s">
        <v>1697</v>
      </c>
      <c r="G121" t="s">
        <v>292</v>
      </c>
      <c r="H121">
        <v>124483775</v>
      </c>
      <c r="I121">
        <v>124483909</v>
      </c>
      <c r="J121" s="15" t="s">
        <v>35</v>
      </c>
      <c r="K121" t="s">
        <v>4038</v>
      </c>
      <c r="L121">
        <v>84</v>
      </c>
    </row>
    <row r="122" spans="1:12">
      <c r="A122" s="12">
        <v>30996</v>
      </c>
      <c r="B122" t="s">
        <v>279</v>
      </c>
      <c r="C122">
        <v>35520287</v>
      </c>
      <c r="D122">
        <v>35520789</v>
      </c>
      <c r="E122" s="15" t="s">
        <v>35</v>
      </c>
      <c r="F122" t="s">
        <v>2139</v>
      </c>
      <c r="G122" t="s">
        <v>133</v>
      </c>
      <c r="H122">
        <v>15073561</v>
      </c>
      <c r="I122">
        <v>15073895</v>
      </c>
      <c r="J122" s="15" t="s">
        <v>35</v>
      </c>
      <c r="K122" t="s">
        <v>1697</v>
      </c>
      <c r="L122">
        <v>83</v>
      </c>
    </row>
    <row r="123" spans="1:12">
      <c r="A123" s="12">
        <v>30996</v>
      </c>
      <c r="B123" t="s">
        <v>292</v>
      </c>
      <c r="C123">
        <v>109159708</v>
      </c>
      <c r="D123">
        <v>109159986</v>
      </c>
      <c r="E123" s="15" t="s">
        <v>1656</v>
      </c>
      <c r="F123" t="s">
        <v>1697</v>
      </c>
      <c r="G123" t="s">
        <v>292</v>
      </c>
      <c r="H123">
        <v>119495669</v>
      </c>
      <c r="I123">
        <v>119495926</v>
      </c>
      <c r="J123" s="15" t="s">
        <v>35</v>
      </c>
      <c r="K123" t="s">
        <v>817</v>
      </c>
      <c r="L123">
        <v>83</v>
      </c>
    </row>
    <row r="124" spans="1:12">
      <c r="A124" s="12">
        <v>30996</v>
      </c>
      <c r="B124" t="s">
        <v>83</v>
      </c>
      <c r="C124">
        <v>35837234</v>
      </c>
      <c r="D124">
        <v>35837693</v>
      </c>
      <c r="E124" s="15" t="s">
        <v>1656</v>
      </c>
      <c r="F124" t="s">
        <v>1697</v>
      </c>
      <c r="G124" t="s">
        <v>83</v>
      </c>
      <c r="H124">
        <v>126138593</v>
      </c>
      <c r="I124">
        <v>126139138</v>
      </c>
      <c r="J124" s="15" t="s">
        <v>35</v>
      </c>
      <c r="K124" t="s">
        <v>4068</v>
      </c>
      <c r="L124">
        <v>81</v>
      </c>
    </row>
    <row r="125" spans="1:12">
      <c r="A125" s="12">
        <v>30996</v>
      </c>
      <c r="B125" t="s">
        <v>83</v>
      </c>
      <c r="C125">
        <v>61079141</v>
      </c>
      <c r="D125">
        <v>61079659</v>
      </c>
      <c r="E125" s="15" t="s">
        <v>35</v>
      </c>
      <c r="F125" t="s">
        <v>2308</v>
      </c>
      <c r="G125" t="s">
        <v>83</v>
      </c>
      <c r="H125">
        <v>66491317</v>
      </c>
      <c r="I125">
        <v>66491877</v>
      </c>
      <c r="J125" s="15" t="s">
        <v>35</v>
      </c>
      <c r="K125" t="s">
        <v>1697</v>
      </c>
      <c r="L125">
        <v>81</v>
      </c>
    </row>
    <row r="126" spans="1:12">
      <c r="A126" s="12">
        <v>30996</v>
      </c>
      <c r="B126" t="s">
        <v>83</v>
      </c>
      <c r="C126">
        <v>19761085</v>
      </c>
      <c r="D126">
        <v>19761541</v>
      </c>
      <c r="E126" s="15" t="s">
        <v>1656</v>
      </c>
      <c r="F126" t="s">
        <v>4061</v>
      </c>
      <c r="G126" t="s">
        <v>83</v>
      </c>
      <c r="H126">
        <v>114779638</v>
      </c>
      <c r="I126">
        <v>114780139</v>
      </c>
      <c r="J126" s="15" t="s">
        <v>35</v>
      </c>
      <c r="K126" t="s">
        <v>1697</v>
      </c>
      <c r="L126">
        <v>80</v>
      </c>
    </row>
    <row r="127" spans="1:12">
      <c r="A127" s="12">
        <v>30996</v>
      </c>
      <c r="B127" t="s">
        <v>118</v>
      </c>
      <c r="C127">
        <v>49526945</v>
      </c>
      <c r="D127">
        <v>49527403</v>
      </c>
      <c r="E127" s="15" t="s">
        <v>35</v>
      </c>
      <c r="F127" t="s">
        <v>1697</v>
      </c>
      <c r="G127" t="s">
        <v>118</v>
      </c>
      <c r="H127">
        <v>50742558</v>
      </c>
      <c r="I127">
        <v>50743095</v>
      </c>
      <c r="J127" s="15" t="s">
        <v>1656</v>
      </c>
      <c r="K127" t="s">
        <v>4079</v>
      </c>
      <c r="L127">
        <v>80</v>
      </c>
    </row>
    <row r="128" spans="1:12">
      <c r="A128" s="12">
        <v>30996</v>
      </c>
      <c r="B128" t="s">
        <v>226</v>
      </c>
      <c r="C128">
        <v>1390649</v>
      </c>
      <c r="D128">
        <v>1391209</v>
      </c>
      <c r="E128" s="15" t="s">
        <v>35</v>
      </c>
      <c r="F128" t="s">
        <v>1697</v>
      </c>
      <c r="G128" t="s">
        <v>120</v>
      </c>
      <c r="H128">
        <v>102221699</v>
      </c>
      <c r="I128">
        <v>102222166</v>
      </c>
      <c r="J128" s="15" t="s">
        <v>35</v>
      </c>
      <c r="K128" t="s">
        <v>4021</v>
      </c>
      <c r="L128">
        <v>79</v>
      </c>
    </row>
    <row r="129" spans="1:12">
      <c r="A129" s="12">
        <v>30996</v>
      </c>
      <c r="B129" t="s">
        <v>83</v>
      </c>
      <c r="C129">
        <v>13218585</v>
      </c>
      <c r="D129">
        <v>13219096</v>
      </c>
      <c r="E129" s="15" t="s">
        <v>35</v>
      </c>
      <c r="F129" t="s">
        <v>1697</v>
      </c>
      <c r="G129" t="s">
        <v>83</v>
      </c>
      <c r="H129">
        <v>16227798</v>
      </c>
      <c r="I129">
        <v>16228193</v>
      </c>
      <c r="J129" s="15" t="s">
        <v>35</v>
      </c>
      <c r="K129" t="s">
        <v>4055</v>
      </c>
      <c r="L129">
        <v>78</v>
      </c>
    </row>
    <row r="130" spans="1:12">
      <c r="A130" s="12">
        <v>30996</v>
      </c>
      <c r="B130" t="s">
        <v>83</v>
      </c>
      <c r="C130">
        <v>30651034</v>
      </c>
      <c r="D130">
        <v>30651432</v>
      </c>
      <c r="E130" s="15" t="s">
        <v>35</v>
      </c>
      <c r="F130" t="s">
        <v>1697</v>
      </c>
      <c r="G130" t="s">
        <v>83</v>
      </c>
      <c r="H130">
        <v>89950211</v>
      </c>
      <c r="I130">
        <v>89950374</v>
      </c>
      <c r="J130" s="15" t="s">
        <v>1656</v>
      </c>
      <c r="K130" t="s">
        <v>1742</v>
      </c>
      <c r="L130">
        <v>78</v>
      </c>
    </row>
    <row r="131" spans="1:12">
      <c r="A131" s="12">
        <v>30996</v>
      </c>
      <c r="B131" t="s">
        <v>133</v>
      </c>
      <c r="C131">
        <v>29172455</v>
      </c>
      <c r="D131">
        <v>29172985</v>
      </c>
      <c r="E131" s="15" t="s">
        <v>1656</v>
      </c>
      <c r="F131" t="s">
        <v>14210</v>
      </c>
      <c r="G131" t="s">
        <v>133</v>
      </c>
      <c r="H131">
        <v>31604707</v>
      </c>
      <c r="I131">
        <v>31605139</v>
      </c>
      <c r="J131" s="15" t="s">
        <v>1656</v>
      </c>
      <c r="K131" t="s">
        <v>14211</v>
      </c>
      <c r="L131">
        <v>78</v>
      </c>
    </row>
    <row r="132" spans="1:12">
      <c r="A132" s="12">
        <v>30996</v>
      </c>
      <c r="B132" t="s">
        <v>226</v>
      </c>
      <c r="C132">
        <v>1208005</v>
      </c>
      <c r="D132">
        <v>1208466</v>
      </c>
      <c r="E132" s="15" t="s">
        <v>1656</v>
      </c>
      <c r="F132" t="s">
        <v>4020</v>
      </c>
      <c r="G132" t="s">
        <v>120</v>
      </c>
      <c r="H132">
        <v>99478645</v>
      </c>
      <c r="I132">
        <v>99479101</v>
      </c>
      <c r="J132" s="15" t="s">
        <v>35</v>
      </c>
      <c r="K132" t="s">
        <v>4019</v>
      </c>
      <c r="L132">
        <v>78</v>
      </c>
    </row>
    <row r="133" spans="1:12">
      <c r="A133" s="12">
        <v>30996</v>
      </c>
      <c r="B133" t="s">
        <v>292</v>
      </c>
      <c r="C133">
        <v>97848624</v>
      </c>
      <c r="D133">
        <v>97848789</v>
      </c>
      <c r="E133" s="15" t="s">
        <v>35</v>
      </c>
      <c r="F133" t="s">
        <v>4043</v>
      </c>
      <c r="G133" t="s">
        <v>292</v>
      </c>
      <c r="H133">
        <v>119037642</v>
      </c>
      <c r="I133">
        <v>119037835</v>
      </c>
      <c r="J133" s="15" t="s">
        <v>1656</v>
      </c>
      <c r="K133" t="s">
        <v>4035</v>
      </c>
      <c r="L133">
        <v>77</v>
      </c>
    </row>
    <row r="134" spans="1:12">
      <c r="A134" s="12">
        <v>30996</v>
      </c>
      <c r="B134" t="s">
        <v>83</v>
      </c>
      <c r="C134">
        <v>21636327</v>
      </c>
      <c r="D134">
        <v>21636524</v>
      </c>
      <c r="E134" s="15" t="s">
        <v>1656</v>
      </c>
      <c r="F134" t="s">
        <v>1697</v>
      </c>
      <c r="G134" t="s">
        <v>83</v>
      </c>
      <c r="H134">
        <v>94524361</v>
      </c>
      <c r="I134">
        <v>94524865</v>
      </c>
      <c r="J134" s="15" t="s">
        <v>35</v>
      </c>
      <c r="K134" t="s">
        <v>4062</v>
      </c>
      <c r="L134">
        <v>76</v>
      </c>
    </row>
    <row r="135" spans="1:12">
      <c r="A135" s="12">
        <v>30996</v>
      </c>
      <c r="B135" t="s">
        <v>292</v>
      </c>
      <c r="C135">
        <v>77264318</v>
      </c>
      <c r="D135">
        <v>77264766</v>
      </c>
      <c r="E135" s="15" t="s">
        <v>35</v>
      </c>
      <c r="F135" t="s">
        <v>4036</v>
      </c>
      <c r="G135" t="s">
        <v>292</v>
      </c>
      <c r="H135">
        <v>90478016</v>
      </c>
      <c r="I135">
        <v>90478217</v>
      </c>
      <c r="J135" s="15" t="s">
        <v>35</v>
      </c>
      <c r="K135" t="s">
        <v>1697</v>
      </c>
      <c r="L135">
        <v>76</v>
      </c>
    </row>
    <row r="136" spans="1:12">
      <c r="A136" s="12">
        <v>30996</v>
      </c>
      <c r="B136" t="s">
        <v>83</v>
      </c>
      <c r="C136">
        <v>14610222</v>
      </c>
      <c r="D136">
        <v>14610652</v>
      </c>
      <c r="E136" s="15" t="s">
        <v>1656</v>
      </c>
      <c r="F136" t="s">
        <v>4057</v>
      </c>
      <c r="G136" t="s">
        <v>83</v>
      </c>
      <c r="H136">
        <v>29254151</v>
      </c>
      <c r="I136">
        <v>29254622</v>
      </c>
      <c r="J136" s="15" t="s">
        <v>1656</v>
      </c>
      <c r="K136" t="s">
        <v>1697</v>
      </c>
      <c r="L136">
        <v>75</v>
      </c>
    </row>
    <row r="137" spans="1:12">
      <c r="A137" s="12">
        <v>30996</v>
      </c>
      <c r="B137" t="s">
        <v>83</v>
      </c>
      <c r="C137">
        <v>3785176</v>
      </c>
      <c r="D137">
        <v>3785561</v>
      </c>
      <c r="E137" s="15" t="s">
        <v>1656</v>
      </c>
      <c r="F137" t="s">
        <v>4050</v>
      </c>
      <c r="G137" t="s">
        <v>83</v>
      </c>
      <c r="H137">
        <v>65917788</v>
      </c>
      <c r="I137">
        <v>65918293</v>
      </c>
      <c r="J137" s="15" t="s">
        <v>35</v>
      </c>
      <c r="K137" t="s">
        <v>4051</v>
      </c>
      <c r="L137">
        <v>73</v>
      </c>
    </row>
    <row r="138" spans="1:12">
      <c r="A138" s="12">
        <v>30996</v>
      </c>
      <c r="B138" t="s">
        <v>83</v>
      </c>
      <c r="C138">
        <v>114691298</v>
      </c>
      <c r="D138">
        <v>114691748</v>
      </c>
      <c r="E138" s="15" t="s">
        <v>35</v>
      </c>
      <c r="F138" t="s">
        <v>1697</v>
      </c>
      <c r="G138" t="s">
        <v>83</v>
      </c>
      <c r="H138">
        <v>132294795</v>
      </c>
      <c r="I138">
        <v>132295338</v>
      </c>
      <c r="J138" s="15" t="s">
        <v>35</v>
      </c>
      <c r="K138" t="s">
        <v>555</v>
      </c>
      <c r="L138">
        <v>73</v>
      </c>
    </row>
    <row r="139" spans="1:12">
      <c r="A139" s="12">
        <v>30996</v>
      </c>
      <c r="B139" t="s">
        <v>226</v>
      </c>
      <c r="C139">
        <v>1008137</v>
      </c>
      <c r="D139">
        <v>1008634</v>
      </c>
      <c r="E139" s="15" t="s">
        <v>1656</v>
      </c>
      <c r="F139" t="s">
        <v>14216</v>
      </c>
      <c r="G139" t="s">
        <v>120</v>
      </c>
      <c r="H139">
        <v>99237808</v>
      </c>
      <c r="I139">
        <v>99238352</v>
      </c>
      <c r="J139" s="15" t="s">
        <v>1656</v>
      </c>
      <c r="K139" t="s">
        <v>4019</v>
      </c>
      <c r="L139">
        <v>72</v>
      </c>
    </row>
    <row r="140" spans="1:12">
      <c r="A140" s="12">
        <v>30996</v>
      </c>
      <c r="B140" t="s">
        <v>83</v>
      </c>
      <c r="C140">
        <v>4156839</v>
      </c>
      <c r="D140">
        <v>4157223</v>
      </c>
      <c r="E140" s="15" t="s">
        <v>35</v>
      </c>
      <c r="F140" t="s">
        <v>4052</v>
      </c>
      <c r="G140" t="s">
        <v>83</v>
      </c>
      <c r="H140">
        <v>5971444</v>
      </c>
      <c r="I140">
        <v>5971936</v>
      </c>
      <c r="J140" s="15" t="s">
        <v>35</v>
      </c>
      <c r="K140" t="s">
        <v>1697</v>
      </c>
      <c r="L140">
        <v>71</v>
      </c>
    </row>
    <row r="141" spans="1:12">
      <c r="A141" s="12">
        <v>30996</v>
      </c>
      <c r="B141" t="s">
        <v>83</v>
      </c>
      <c r="C141">
        <v>78697278</v>
      </c>
      <c r="D141">
        <v>78697667</v>
      </c>
      <c r="E141" s="15" t="s">
        <v>1656</v>
      </c>
      <c r="F141" t="s">
        <v>3238</v>
      </c>
      <c r="G141" t="s">
        <v>83</v>
      </c>
      <c r="H141">
        <v>100120327</v>
      </c>
      <c r="I141">
        <v>100120703</v>
      </c>
      <c r="J141" s="15" t="s">
        <v>35</v>
      </c>
      <c r="K141" t="s">
        <v>323</v>
      </c>
      <c r="L141">
        <v>71</v>
      </c>
    </row>
    <row r="142" spans="1:12">
      <c r="A142" s="12">
        <v>30996</v>
      </c>
      <c r="B142" t="s">
        <v>120</v>
      </c>
      <c r="C142">
        <v>97152616</v>
      </c>
      <c r="D142">
        <v>97153096</v>
      </c>
      <c r="E142" s="15" t="s">
        <v>35</v>
      </c>
      <c r="F142" t="s">
        <v>1697</v>
      </c>
      <c r="G142" t="s">
        <v>120</v>
      </c>
      <c r="H142">
        <v>100702064</v>
      </c>
      <c r="I142">
        <v>100702553</v>
      </c>
      <c r="J142" s="15" t="s">
        <v>35</v>
      </c>
      <c r="K142" t="s">
        <v>4016</v>
      </c>
      <c r="L142">
        <v>71</v>
      </c>
    </row>
    <row r="143" spans="1:12">
      <c r="A143" s="12">
        <v>30996</v>
      </c>
      <c r="B143" t="s">
        <v>292</v>
      </c>
      <c r="C143">
        <v>77264633</v>
      </c>
      <c r="D143">
        <v>77264926</v>
      </c>
      <c r="E143" s="15" t="s">
        <v>1656</v>
      </c>
      <c r="F143" t="s">
        <v>4036</v>
      </c>
      <c r="G143" t="s">
        <v>292</v>
      </c>
      <c r="H143">
        <v>102644164</v>
      </c>
      <c r="I143">
        <v>102644291</v>
      </c>
      <c r="J143" s="15" t="s">
        <v>35</v>
      </c>
      <c r="K143" t="s">
        <v>1697</v>
      </c>
      <c r="L143">
        <v>70</v>
      </c>
    </row>
    <row r="144" spans="1:12">
      <c r="A144" s="12">
        <v>30996</v>
      </c>
      <c r="B144" t="s">
        <v>292</v>
      </c>
      <c r="C144">
        <v>90439605</v>
      </c>
      <c r="D144">
        <v>90440051</v>
      </c>
      <c r="E144" s="15" t="s">
        <v>1656</v>
      </c>
      <c r="F144" t="s">
        <v>1697</v>
      </c>
      <c r="G144" t="s">
        <v>292</v>
      </c>
      <c r="H144">
        <v>140091337</v>
      </c>
      <c r="I144">
        <v>140091550</v>
      </c>
      <c r="J144" s="15" t="s">
        <v>35</v>
      </c>
      <c r="K144" t="s">
        <v>537</v>
      </c>
      <c r="L144">
        <v>70</v>
      </c>
    </row>
    <row r="145" spans="1:12">
      <c r="A145" s="12">
        <v>30996</v>
      </c>
      <c r="B145" t="s">
        <v>83</v>
      </c>
      <c r="C145">
        <v>65909683</v>
      </c>
      <c r="D145">
        <v>65910102</v>
      </c>
      <c r="E145" s="15" t="s">
        <v>35</v>
      </c>
      <c r="F145" t="s">
        <v>4051</v>
      </c>
      <c r="G145" t="s">
        <v>83</v>
      </c>
      <c r="H145">
        <v>113927461</v>
      </c>
      <c r="I145">
        <v>113927930</v>
      </c>
      <c r="J145" s="15" t="s">
        <v>35</v>
      </c>
      <c r="K145" t="s">
        <v>1697</v>
      </c>
      <c r="L145">
        <v>69</v>
      </c>
    </row>
    <row r="146" spans="1:12">
      <c r="A146" s="12">
        <v>30996</v>
      </c>
      <c r="B146" t="s">
        <v>83</v>
      </c>
      <c r="C146">
        <v>66482324</v>
      </c>
      <c r="D146">
        <v>66482777</v>
      </c>
      <c r="E146" s="15" t="s">
        <v>35</v>
      </c>
      <c r="F146" t="s">
        <v>4073</v>
      </c>
      <c r="G146" t="s">
        <v>83</v>
      </c>
      <c r="H146">
        <v>66486909</v>
      </c>
      <c r="I146">
        <v>66487152</v>
      </c>
      <c r="J146" s="15" t="s">
        <v>35</v>
      </c>
      <c r="K146" t="s">
        <v>4073</v>
      </c>
      <c r="L146">
        <v>69</v>
      </c>
    </row>
    <row r="147" spans="1:12">
      <c r="A147" s="12">
        <v>30996</v>
      </c>
      <c r="B147" t="s">
        <v>237</v>
      </c>
      <c r="C147">
        <v>5119144</v>
      </c>
      <c r="D147">
        <v>5119559</v>
      </c>
      <c r="E147" s="15" t="s">
        <v>1656</v>
      </c>
      <c r="F147" t="s">
        <v>14217</v>
      </c>
      <c r="G147" t="s">
        <v>237</v>
      </c>
      <c r="H147">
        <v>5122100</v>
      </c>
      <c r="I147">
        <v>5122539</v>
      </c>
      <c r="J147" s="15" t="s">
        <v>1656</v>
      </c>
      <c r="K147" t="s">
        <v>14217</v>
      </c>
      <c r="L147">
        <v>69</v>
      </c>
    </row>
    <row r="148" spans="1:12">
      <c r="A148" s="12">
        <v>30996</v>
      </c>
      <c r="B148" t="s">
        <v>118</v>
      </c>
      <c r="C148">
        <v>33897569</v>
      </c>
      <c r="D148">
        <v>33897974</v>
      </c>
      <c r="E148" s="15" t="s">
        <v>1656</v>
      </c>
      <c r="F148" t="s">
        <v>3967</v>
      </c>
      <c r="G148" t="s">
        <v>118</v>
      </c>
      <c r="H148">
        <v>33899648</v>
      </c>
      <c r="I148">
        <v>33900078</v>
      </c>
      <c r="J148" s="15" t="s">
        <v>35</v>
      </c>
      <c r="K148" t="s">
        <v>3967</v>
      </c>
      <c r="L148">
        <v>68</v>
      </c>
    </row>
    <row r="149" spans="1:12">
      <c r="A149" s="12">
        <v>30996</v>
      </c>
      <c r="B149" t="s">
        <v>83</v>
      </c>
      <c r="C149">
        <v>5630706</v>
      </c>
      <c r="D149">
        <v>5631057</v>
      </c>
      <c r="E149" s="15" t="s">
        <v>1656</v>
      </c>
      <c r="F149" t="s">
        <v>14199</v>
      </c>
      <c r="G149" t="s">
        <v>83</v>
      </c>
      <c r="H149">
        <v>119640263</v>
      </c>
      <c r="I149">
        <v>119640585</v>
      </c>
      <c r="J149" s="15" t="s">
        <v>1656</v>
      </c>
      <c r="K149" t="s">
        <v>1697</v>
      </c>
      <c r="L149">
        <v>67</v>
      </c>
    </row>
    <row r="150" spans="1:12">
      <c r="A150" s="12">
        <v>30996</v>
      </c>
      <c r="B150" t="s">
        <v>226</v>
      </c>
      <c r="C150">
        <v>503118</v>
      </c>
      <c r="D150">
        <v>503411</v>
      </c>
      <c r="E150" s="15" t="s">
        <v>35</v>
      </c>
      <c r="F150" t="s">
        <v>4015</v>
      </c>
      <c r="G150" t="s">
        <v>226</v>
      </c>
      <c r="H150">
        <v>4895546</v>
      </c>
      <c r="I150">
        <v>4896038</v>
      </c>
      <c r="J150" s="15" t="s">
        <v>1656</v>
      </c>
      <c r="K150" t="s">
        <v>1697</v>
      </c>
      <c r="L150">
        <v>66</v>
      </c>
    </row>
    <row r="151" spans="1:12">
      <c r="A151" s="12">
        <v>30996</v>
      </c>
      <c r="B151" t="s">
        <v>220</v>
      </c>
      <c r="C151">
        <v>59350866</v>
      </c>
      <c r="D151">
        <v>59351304</v>
      </c>
      <c r="E151" s="15" t="s">
        <v>1656</v>
      </c>
      <c r="F151" t="s">
        <v>1697</v>
      </c>
      <c r="G151" t="s">
        <v>188</v>
      </c>
      <c r="H151">
        <v>41526849</v>
      </c>
      <c r="I151">
        <v>41527323</v>
      </c>
      <c r="J151" s="15" t="s">
        <v>1656</v>
      </c>
      <c r="K151" t="s">
        <v>4010</v>
      </c>
      <c r="L151">
        <v>64</v>
      </c>
    </row>
    <row r="152" spans="1:12">
      <c r="A152" s="12">
        <v>30996</v>
      </c>
      <c r="B152" t="s">
        <v>292</v>
      </c>
      <c r="C152">
        <v>78215321</v>
      </c>
      <c r="D152">
        <v>78215504</v>
      </c>
      <c r="E152" s="15" t="s">
        <v>1656</v>
      </c>
      <c r="F152" t="s">
        <v>14222</v>
      </c>
      <c r="G152" t="s">
        <v>292</v>
      </c>
      <c r="H152">
        <v>96317710</v>
      </c>
      <c r="I152">
        <v>96317853</v>
      </c>
      <c r="J152" s="15" t="s">
        <v>35</v>
      </c>
      <c r="K152" t="s">
        <v>4042</v>
      </c>
      <c r="L152">
        <v>64</v>
      </c>
    </row>
    <row r="153" spans="1:12">
      <c r="A153" s="12">
        <v>30996</v>
      </c>
      <c r="B153" t="s">
        <v>83</v>
      </c>
      <c r="C153">
        <v>97624673</v>
      </c>
      <c r="D153">
        <v>97625078</v>
      </c>
      <c r="E153" s="15" t="s">
        <v>35</v>
      </c>
      <c r="F153" t="s">
        <v>1697</v>
      </c>
      <c r="G153" t="s">
        <v>83</v>
      </c>
      <c r="H153">
        <v>106736613</v>
      </c>
      <c r="I153">
        <v>106736925</v>
      </c>
      <c r="J153" s="15" t="s">
        <v>35</v>
      </c>
      <c r="K153" t="s">
        <v>2451</v>
      </c>
      <c r="L153">
        <v>63</v>
      </c>
    </row>
    <row r="154" spans="1:12">
      <c r="A154" s="12">
        <v>30996</v>
      </c>
      <c r="B154" t="s">
        <v>83</v>
      </c>
      <c r="C154">
        <v>100899351</v>
      </c>
      <c r="D154">
        <v>100899759</v>
      </c>
      <c r="E154" s="15" t="s">
        <v>35</v>
      </c>
      <c r="F154" t="s">
        <v>1697</v>
      </c>
      <c r="G154" t="s">
        <v>118</v>
      </c>
      <c r="H154">
        <v>73027000</v>
      </c>
      <c r="I154">
        <v>73027501</v>
      </c>
      <c r="J154" s="15" t="s">
        <v>1656</v>
      </c>
      <c r="K154" t="s">
        <v>3246</v>
      </c>
      <c r="L154">
        <v>63</v>
      </c>
    </row>
    <row r="155" spans="1:12">
      <c r="A155" s="12">
        <v>30996</v>
      </c>
      <c r="B155" t="s">
        <v>279</v>
      </c>
      <c r="C155">
        <v>35782797</v>
      </c>
      <c r="D155">
        <v>35783075</v>
      </c>
      <c r="E155" s="15" t="s">
        <v>1656</v>
      </c>
      <c r="F155" t="s">
        <v>1697</v>
      </c>
      <c r="G155" t="s">
        <v>279</v>
      </c>
      <c r="H155">
        <v>39192621</v>
      </c>
      <c r="I155">
        <v>39193137</v>
      </c>
      <c r="J155" s="15" t="s">
        <v>1656</v>
      </c>
      <c r="K155" t="s">
        <v>14218</v>
      </c>
      <c r="L155">
        <v>63</v>
      </c>
    </row>
    <row r="156" spans="1:12">
      <c r="A156" s="12">
        <v>30996</v>
      </c>
      <c r="B156" t="s">
        <v>279</v>
      </c>
      <c r="C156">
        <v>87237624</v>
      </c>
      <c r="D156">
        <v>87238018</v>
      </c>
      <c r="E156" s="15" t="s">
        <v>1656</v>
      </c>
      <c r="F156" t="s">
        <v>2799</v>
      </c>
      <c r="G156" t="s">
        <v>279</v>
      </c>
      <c r="H156">
        <v>87308685</v>
      </c>
      <c r="I156">
        <v>87309013</v>
      </c>
      <c r="J156" s="15" t="s">
        <v>1656</v>
      </c>
      <c r="K156" t="s">
        <v>1697</v>
      </c>
      <c r="L156">
        <v>62</v>
      </c>
    </row>
    <row r="157" spans="1:12">
      <c r="A157" s="12">
        <v>30996</v>
      </c>
      <c r="B157" t="s">
        <v>172</v>
      </c>
      <c r="C157">
        <v>169551305</v>
      </c>
      <c r="D157">
        <v>169551663</v>
      </c>
      <c r="E157" s="15" t="s">
        <v>35</v>
      </c>
      <c r="F157" t="s">
        <v>14212</v>
      </c>
      <c r="G157" t="s">
        <v>172</v>
      </c>
      <c r="H157">
        <v>169563572</v>
      </c>
      <c r="I157">
        <v>169563979</v>
      </c>
      <c r="J157" s="15" t="s">
        <v>1656</v>
      </c>
      <c r="K157" t="s">
        <v>14212</v>
      </c>
      <c r="L157">
        <v>61</v>
      </c>
    </row>
    <row r="158" spans="1:12">
      <c r="A158" s="12">
        <v>30996</v>
      </c>
      <c r="B158" t="s">
        <v>257</v>
      </c>
      <c r="C158">
        <v>138521706</v>
      </c>
      <c r="D158">
        <v>138522187</v>
      </c>
      <c r="E158" s="15" t="s">
        <v>1656</v>
      </c>
      <c r="F158" t="s">
        <v>4031</v>
      </c>
      <c r="G158" t="s">
        <v>257</v>
      </c>
      <c r="H158">
        <v>138522723</v>
      </c>
      <c r="I158">
        <v>138523085</v>
      </c>
      <c r="J158" s="15" t="s">
        <v>35</v>
      </c>
      <c r="K158" t="s">
        <v>4031</v>
      </c>
      <c r="L158">
        <v>60</v>
      </c>
    </row>
    <row r="159" spans="1:12">
      <c r="A159" s="12">
        <v>30996</v>
      </c>
      <c r="B159" t="s">
        <v>226</v>
      </c>
      <c r="C159">
        <v>343402</v>
      </c>
      <c r="D159">
        <v>343905</v>
      </c>
      <c r="E159" s="15" t="s">
        <v>35</v>
      </c>
      <c r="F159" t="s">
        <v>4013</v>
      </c>
      <c r="G159" t="s">
        <v>226</v>
      </c>
      <c r="H159">
        <v>4352002</v>
      </c>
      <c r="I159">
        <v>4352415</v>
      </c>
      <c r="J159" s="15" t="s">
        <v>1656</v>
      </c>
      <c r="K159" t="s">
        <v>1697</v>
      </c>
      <c r="L159">
        <v>57</v>
      </c>
    </row>
    <row r="160" spans="1:12">
      <c r="A160" s="12">
        <v>30996</v>
      </c>
      <c r="B160" t="s">
        <v>226</v>
      </c>
      <c r="C160">
        <v>5159083</v>
      </c>
      <c r="D160">
        <v>5159365</v>
      </c>
      <c r="E160" s="15" t="s">
        <v>35</v>
      </c>
      <c r="F160" t="s">
        <v>4014</v>
      </c>
      <c r="G160" t="s">
        <v>120</v>
      </c>
      <c r="H160">
        <v>99880906</v>
      </c>
      <c r="I160">
        <v>99881460</v>
      </c>
      <c r="J160" s="15" t="s">
        <v>35</v>
      </c>
      <c r="K160" t="s">
        <v>2315</v>
      </c>
      <c r="L160">
        <v>57</v>
      </c>
    </row>
    <row r="161" spans="1:12">
      <c r="A161" s="12">
        <v>30996</v>
      </c>
      <c r="B161" t="s">
        <v>226</v>
      </c>
      <c r="C161">
        <v>8203268</v>
      </c>
      <c r="D161">
        <v>8203800</v>
      </c>
      <c r="E161" s="15" t="s">
        <v>35</v>
      </c>
      <c r="F161" t="s">
        <v>1697</v>
      </c>
      <c r="G161" t="s">
        <v>120</v>
      </c>
      <c r="H161">
        <v>99216586</v>
      </c>
      <c r="I161">
        <v>99217138</v>
      </c>
      <c r="J161" s="15" t="s">
        <v>35</v>
      </c>
      <c r="K161" t="s">
        <v>4019</v>
      </c>
      <c r="L161">
        <v>57</v>
      </c>
    </row>
    <row r="162" spans="1:12">
      <c r="A162" s="12">
        <v>30996</v>
      </c>
      <c r="B162" t="s">
        <v>292</v>
      </c>
      <c r="C162">
        <v>77264318</v>
      </c>
      <c r="D162">
        <v>77264552</v>
      </c>
      <c r="E162" s="15" t="s">
        <v>35</v>
      </c>
      <c r="F162" t="s">
        <v>4036</v>
      </c>
      <c r="G162" t="s">
        <v>292</v>
      </c>
      <c r="H162">
        <v>101081544</v>
      </c>
      <c r="I162">
        <v>101081778</v>
      </c>
      <c r="J162" s="15" t="s">
        <v>1656</v>
      </c>
      <c r="K162" t="s">
        <v>4037</v>
      </c>
      <c r="L162">
        <v>57</v>
      </c>
    </row>
    <row r="163" spans="1:12">
      <c r="A163" s="12">
        <v>30996</v>
      </c>
      <c r="B163" t="s">
        <v>292</v>
      </c>
      <c r="C163">
        <v>77264517</v>
      </c>
      <c r="D163">
        <v>77264926</v>
      </c>
      <c r="E163" s="15" t="s">
        <v>1656</v>
      </c>
      <c r="F163" t="s">
        <v>4036</v>
      </c>
      <c r="G163" t="s">
        <v>292</v>
      </c>
      <c r="H163">
        <v>124483778</v>
      </c>
      <c r="I163">
        <v>124483912</v>
      </c>
      <c r="J163" s="15" t="s">
        <v>1656</v>
      </c>
      <c r="K163" t="s">
        <v>4038</v>
      </c>
      <c r="L163">
        <v>57</v>
      </c>
    </row>
    <row r="164" spans="1:12">
      <c r="A164" s="12">
        <v>30996</v>
      </c>
      <c r="B164" t="s">
        <v>292</v>
      </c>
      <c r="C164">
        <v>78215340</v>
      </c>
      <c r="D164">
        <v>78215609</v>
      </c>
      <c r="E164" s="15" t="s">
        <v>1656</v>
      </c>
      <c r="F164" t="s">
        <v>14222</v>
      </c>
      <c r="G164" t="s">
        <v>292</v>
      </c>
      <c r="H164">
        <v>79364307</v>
      </c>
      <c r="I164">
        <v>79364422</v>
      </c>
      <c r="J164" s="15" t="s">
        <v>1656</v>
      </c>
      <c r="K164" t="s">
        <v>1877</v>
      </c>
      <c r="L164">
        <v>56</v>
      </c>
    </row>
    <row r="165" spans="1:12">
      <c r="A165" s="12">
        <v>30996</v>
      </c>
      <c r="B165" t="s">
        <v>83</v>
      </c>
      <c r="C165">
        <v>103916069</v>
      </c>
      <c r="D165">
        <v>103916402</v>
      </c>
      <c r="E165" s="15" t="s">
        <v>1656</v>
      </c>
      <c r="F165" t="s">
        <v>436</v>
      </c>
      <c r="G165" t="s">
        <v>83</v>
      </c>
      <c r="H165">
        <v>107771534</v>
      </c>
      <c r="I165">
        <v>107772073</v>
      </c>
      <c r="J165" s="15" t="s">
        <v>1656</v>
      </c>
      <c r="K165" t="s">
        <v>1697</v>
      </c>
      <c r="L165">
        <v>54</v>
      </c>
    </row>
    <row r="166" spans="1:12">
      <c r="A166" s="12">
        <v>30996</v>
      </c>
      <c r="B166" t="s">
        <v>120</v>
      </c>
      <c r="C166">
        <v>95499251</v>
      </c>
      <c r="D166">
        <v>95499634</v>
      </c>
      <c r="E166" s="15" t="s">
        <v>35</v>
      </c>
      <c r="F166" t="s">
        <v>1697</v>
      </c>
      <c r="G166" t="s">
        <v>120</v>
      </c>
      <c r="H166">
        <v>100886308</v>
      </c>
      <c r="I166">
        <v>100886806</v>
      </c>
      <c r="J166" s="15" t="s">
        <v>35</v>
      </c>
      <c r="K166" t="s">
        <v>4080</v>
      </c>
      <c r="L166">
        <v>54</v>
      </c>
    </row>
    <row r="167" spans="1:12">
      <c r="A167" s="12">
        <v>30996</v>
      </c>
      <c r="B167" t="s">
        <v>201</v>
      </c>
      <c r="C167">
        <v>50421119</v>
      </c>
      <c r="D167">
        <v>50421562</v>
      </c>
      <c r="E167" s="15" t="s">
        <v>1656</v>
      </c>
      <c r="F167" t="s">
        <v>2686</v>
      </c>
      <c r="G167" t="s">
        <v>201</v>
      </c>
      <c r="H167">
        <v>50824898</v>
      </c>
      <c r="I167">
        <v>50825384</v>
      </c>
      <c r="J167" s="15" t="s">
        <v>1656</v>
      </c>
      <c r="K167" t="s">
        <v>1268</v>
      </c>
      <c r="L167">
        <v>54</v>
      </c>
    </row>
    <row r="168" spans="1:12">
      <c r="A168" s="12">
        <v>30996</v>
      </c>
      <c r="B168" t="s">
        <v>257</v>
      </c>
      <c r="C168">
        <v>117008366</v>
      </c>
      <c r="D168">
        <v>117008531</v>
      </c>
      <c r="E168" s="15" t="s">
        <v>35</v>
      </c>
      <c r="F168" t="s">
        <v>3987</v>
      </c>
      <c r="G168" t="s">
        <v>279</v>
      </c>
      <c r="H168">
        <v>35516532</v>
      </c>
      <c r="I168">
        <v>35516933</v>
      </c>
      <c r="J168" s="15" t="s">
        <v>1656</v>
      </c>
      <c r="K168" t="s">
        <v>2139</v>
      </c>
      <c r="L168">
        <v>54</v>
      </c>
    </row>
    <row r="169" spans="1:12">
      <c r="A169" s="12">
        <v>30996</v>
      </c>
      <c r="B169" t="s">
        <v>22</v>
      </c>
      <c r="C169">
        <v>154953378</v>
      </c>
      <c r="D169">
        <v>154953710</v>
      </c>
      <c r="E169" s="15" t="s">
        <v>1656</v>
      </c>
      <c r="F169" t="s">
        <v>1697</v>
      </c>
      <c r="G169" t="s">
        <v>22</v>
      </c>
      <c r="H169">
        <v>154956496</v>
      </c>
      <c r="I169">
        <v>154956812</v>
      </c>
      <c r="J169" s="15" t="s">
        <v>1656</v>
      </c>
      <c r="K169" t="s">
        <v>14198</v>
      </c>
      <c r="L169">
        <v>52</v>
      </c>
    </row>
    <row r="170" spans="1:12">
      <c r="A170" s="12">
        <v>30996</v>
      </c>
      <c r="B170" t="s">
        <v>201</v>
      </c>
      <c r="C170">
        <v>136437846</v>
      </c>
      <c r="D170">
        <v>136438288</v>
      </c>
      <c r="E170" s="15" t="s">
        <v>35</v>
      </c>
      <c r="F170" t="s">
        <v>2190</v>
      </c>
      <c r="G170" t="s">
        <v>201</v>
      </c>
      <c r="H170">
        <v>172985619</v>
      </c>
      <c r="I170">
        <v>172986077</v>
      </c>
      <c r="J170" s="15" t="s">
        <v>35</v>
      </c>
      <c r="K170" t="s">
        <v>1697</v>
      </c>
      <c r="L170">
        <v>52</v>
      </c>
    </row>
    <row r="171" spans="1:12">
      <c r="A171" s="12">
        <v>30996</v>
      </c>
      <c r="B171" t="s">
        <v>226</v>
      </c>
      <c r="C171">
        <v>472374</v>
      </c>
      <c r="D171">
        <v>472839</v>
      </c>
      <c r="E171" s="15" t="s">
        <v>1656</v>
      </c>
      <c r="F171" t="s">
        <v>14215</v>
      </c>
      <c r="G171" t="s">
        <v>226</v>
      </c>
      <c r="H171">
        <v>5314863</v>
      </c>
      <c r="I171">
        <v>5315379</v>
      </c>
      <c r="J171" s="15" t="s">
        <v>35</v>
      </c>
      <c r="K171" t="s">
        <v>4014</v>
      </c>
      <c r="L171">
        <v>52</v>
      </c>
    </row>
    <row r="172" spans="1:12">
      <c r="A172" s="12">
        <v>30996</v>
      </c>
      <c r="B172" t="s">
        <v>292</v>
      </c>
      <c r="C172">
        <v>72949520</v>
      </c>
      <c r="D172">
        <v>72949729</v>
      </c>
      <c r="E172" s="15" t="s">
        <v>35</v>
      </c>
      <c r="F172" t="s">
        <v>14221</v>
      </c>
      <c r="G172" t="s">
        <v>292</v>
      </c>
      <c r="H172">
        <v>134842173</v>
      </c>
      <c r="I172">
        <v>134842329</v>
      </c>
      <c r="J172" s="15" t="s">
        <v>1656</v>
      </c>
      <c r="K172" t="s">
        <v>4044</v>
      </c>
      <c r="L172">
        <v>52</v>
      </c>
    </row>
    <row r="173" spans="1:12">
      <c r="A173" s="12">
        <v>30996</v>
      </c>
      <c r="B173" t="s">
        <v>292</v>
      </c>
      <c r="C173">
        <v>77264691</v>
      </c>
      <c r="D173">
        <v>77264926</v>
      </c>
      <c r="E173" s="15" t="s">
        <v>1656</v>
      </c>
      <c r="F173" t="s">
        <v>4036</v>
      </c>
      <c r="G173" t="s">
        <v>292</v>
      </c>
      <c r="H173">
        <v>117579953</v>
      </c>
      <c r="I173">
        <v>117580090</v>
      </c>
      <c r="J173" s="15" t="s">
        <v>1656</v>
      </c>
      <c r="K173" t="s">
        <v>1697</v>
      </c>
      <c r="L173">
        <v>52</v>
      </c>
    </row>
    <row r="174" spans="1:12">
      <c r="A174" s="12">
        <v>30996</v>
      </c>
      <c r="B174" t="s">
        <v>83</v>
      </c>
      <c r="C174">
        <v>21826947</v>
      </c>
      <c r="D174">
        <v>21827320</v>
      </c>
      <c r="E174" s="15" t="s">
        <v>35</v>
      </c>
      <c r="F174" t="s">
        <v>1697</v>
      </c>
      <c r="G174" t="s">
        <v>83</v>
      </c>
      <c r="H174">
        <v>48081392</v>
      </c>
      <c r="I174">
        <v>48081869</v>
      </c>
      <c r="J174" s="15" t="s">
        <v>35</v>
      </c>
      <c r="K174" t="s">
        <v>1985</v>
      </c>
      <c r="L174">
        <v>51</v>
      </c>
    </row>
    <row r="175" spans="1:12">
      <c r="A175" s="12">
        <v>30996</v>
      </c>
      <c r="B175" t="s">
        <v>83</v>
      </c>
      <c r="C175">
        <v>89950209</v>
      </c>
      <c r="D175">
        <v>89950372</v>
      </c>
      <c r="E175" s="15" t="s">
        <v>1656</v>
      </c>
      <c r="F175" t="s">
        <v>1742</v>
      </c>
      <c r="G175" t="s">
        <v>83</v>
      </c>
      <c r="H175">
        <v>91446111</v>
      </c>
      <c r="I175">
        <v>91446626</v>
      </c>
      <c r="J175" s="15" t="s">
        <v>35</v>
      </c>
      <c r="K175" t="s">
        <v>1697</v>
      </c>
      <c r="L175">
        <v>51</v>
      </c>
    </row>
    <row r="176" spans="1:12">
      <c r="A176" s="12">
        <v>30996</v>
      </c>
      <c r="B176" t="s">
        <v>226</v>
      </c>
      <c r="C176">
        <v>3493641</v>
      </c>
      <c r="D176">
        <v>3494010</v>
      </c>
      <c r="E176" s="15" t="s">
        <v>35</v>
      </c>
      <c r="F176" t="s">
        <v>4022</v>
      </c>
      <c r="G176" t="s">
        <v>120</v>
      </c>
      <c r="H176">
        <v>95087539</v>
      </c>
      <c r="I176">
        <v>95087983</v>
      </c>
      <c r="J176" s="15" t="s">
        <v>35</v>
      </c>
      <c r="K176" t="s">
        <v>1697</v>
      </c>
      <c r="L176">
        <v>51</v>
      </c>
    </row>
    <row r="177" spans="1:12">
      <c r="A177" s="12">
        <v>30996</v>
      </c>
      <c r="B177" t="s">
        <v>292</v>
      </c>
      <c r="C177">
        <v>119188053</v>
      </c>
      <c r="D177">
        <v>119188372</v>
      </c>
      <c r="E177" s="15" t="s">
        <v>35</v>
      </c>
      <c r="F177" t="s">
        <v>817</v>
      </c>
      <c r="G177" t="s">
        <v>292</v>
      </c>
      <c r="H177">
        <v>125346471</v>
      </c>
      <c r="I177">
        <v>125346542</v>
      </c>
      <c r="J177" s="15" t="s">
        <v>35</v>
      </c>
      <c r="K177" t="s">
        <v>1697</v>
      </c>
      <c r="L177">
        <v>51</v>
      </c>
    </row>
    <row r="178" spans="1:12">
      <c r="A178" s="12">
        <v>30996</v>
      </c>
      <c r="B178" t="s">
        <v>226</v>
      </c>
      <c r="C178">
        <v>1671989</v>
      </c>
      <c r="D178">
        <v>1672457</v>
      </c>
      <c r="E178" s="15" t="s">
        <v>35</v>
      </c>
      <c r="F178" t="s">
        <v>1697</v>
      </c>
      <c r="G178" t="s">
        <v>120</v>
      </c>
      <c r="H178">
        <v>100814452</v>
      </c>
      <c r="I178">
        <v>100814799</v>
      </c>
      <c r="J178" s="15" t="s">
        <v>1656</v>
      </c>
      <c r="K178" t="s">
        <v>4016</v>
      </c>
      <c r="L178">
        <v>50</v>
      </c>
    </row>
    <row r="179" spans="1:12">
      <c r="A179" s="12">
        <v>30996</v>
      </c>
      <c r="B179" t="s">
        <v>226</v>
      </c>
      <c r="C179">
        <v>6664777</v>
      </c>
      <c r="D179">
        <v>6665352</v>
      </c>
      <c r="E179" s="15" t="s">
        <v>1656</v>
      </c>
      <c r="F179" t="s">
        <v>4026</v>
      </c>
      <c r="G179" t="s">
        <v>120</v>
      </c>
      <c r="H179">
        <v>97157942</v>
      </c>
      <c r="I179">
        <v>97158350</v>
      </c>
      <c r="J179" s="15" t="s">
        <v>35</v>
      </c>
      <c r="K179" t="s">
        <v>1697</v>
      </c>
      <c r="L179">
        <v>50</v>
      </c>
    </row>
    <row r="180" spans="1:12">
      <c r="A180" s="12">
        <v>30996</v>
      </c>
      <c r="B180" t="s">
        <v>292</v>
      </c>
      <c r="C180">
        <v>90370054</v>
      </c>
      <c r="D180">
        <v>90370262</v>
      </c>
      <c r="E180" s="15" t="s">
        <v>1656</v>
      </c>
      <c r="F180" t="s">
        <v>1697</v>
      </c>
      <c r="G180" t="s">
        <v>292</v>
      </c>
      <c r="H180">
        <v>130047924</v>
      </c>
      <c r="I180">
        <v>130048102</v>
      </c>
      <c r="J180" s="15" t="s">
        <v>35</v>
      </c>
      <c r="K180" t="s">
        <v>4046</v>
      </c>
      <c r="L180">
        <v>50</v>
      </c>
    </row>
    <row r="181" spans="1:12">
      <c r="A181" s="12">
        <v>30996</v>
      </c>
      <c r="B181" t="s">
        <v>418</v>
      </c>
      <c r="C181">
        <v>7206277</v>
      </c>
      <c r="D181">
        <v>7206785</v>
      </c>
      <c r="E181" s="15" t="s">
        <v>35</v>
      </c>
      <c r="F181" t="s">
        <v>14226</v>
      </c>
      <c r="G181" t="s">
        <v>418</v>
      </c>
      <c r="H181">
        <v>9189764</v>
      </c>
      <c r="I181">
        <v>9190048</v>
      </c>
      <c r="J181" s="15" t="s">
        <v>35</v>
      </c>
      <c r="K181" t="s">
        <v>1697</v>
      </c>
      <c r="L181">
        <v>50</v>
      </c>
    </row>
    <row r="182" spans="1:12">
      <c r="A182" s="12">
        <v>30996</v>
      </c>
      <c r="B182" t="s">
        <v>120</v>
      </c>
      <c r="C182">
        <v>96721917</v>
      </c>
      <c r="D182">
        <v>96722360</v>
      </c>
      <c r="E182" s="15" t="s">
        <v>35</v>
      </c>
      <c r="F182" t="s">
        <v>1697</v>
      </c>
      <c r="G182" t="s">
        <v>120</v>
      </c>
      <c r="H182">
        <v>100140013</v>
      </c>
      <c r="I182">
        <v>100140483</v>
      </c>
      <c r="J182" s="15" t="s">
        <v>1656</v>
      </c>
      <c r="K182" t="s">
        <v>4025</v>
      </c>
      <c r="L182">
        <v>49</v>
      </c>
    </row>
    <row r="183" spans="1:12">
      <c r="A183" s="12">
        <v>30996</v>
      </c>
      <c r="B183" t="s">
        <v>226</v>
      </c>
      <c r="C183">
        <v>472948</v>
      </c>
      <c r="D183">
        <v>473283</v>
      </c>
      <c r="E183" s="15" t="s">
        <v>35</v>
      </c>
      <c r="F183" t="s">
        <v>14215</v>
      </c>
      <c r="G183" t="s">
        <v>120</v>
      </c>
      <c r="H183">
        <v>97049410</v>
      </c>
      <c r="I183">
        <v>97049838</v>
      </c>
      <c r="J183" s="15" t="s">
        <v>1656</v>
      </c>
      <c r="K183" t="s">
        <v>1697</v>
      </c>
      <c r="L183">
        <v>49</v>
      </c>
    </row>
    <row r="184" spans="1:12">
      <c r="A184" s="12">
        <v>30996</v>
      </c>
      <c r="B184" t="s">
        <v>83</v>
      </c>
      <c r="C184">
        <v>79811623</v>
      </c>
      <c r="D184">
        <v>79812051</v>
      </c>
      <c r="E184" s="15" t="s">
        <v>35</v>
      </c>
      <c r="F184" t="s">
        <v>1697</v>
      </c>
      <c r="G184" t="s">
        <v>83</v>
      </c>
      <c r="H184">
        <v>107399377</v>
      </c>
      <c r="I184">
        <v>107399650</v>
      </c>
      <c r="J184" s="15" t="s">
        <v>1656</v>
      </c>
      <c r="K184" t="s">
        <v>4076</v>
      </c>
      <c r="L184">
        <v>47</v>
      </c>
    </row>
    <row r="185" spans="1:12">
      <c r="A185" s="12">
        <v>30996</v>
      </c>
      <c r="B185" t="s">
        <v>279</v>
      </c>
      <c r="C185">
        <v>85075271</v>
      </c>
      <c r="D185">
        <v>85075619</v>
      </c>
      <c r="E185" s="15" t="s">
        <v>1656</v>
      </c>
      <c r="F185" t="s">
        <v>1697</v>
      </c>
      <c r="G185" t="s">
        <v>279</v>
      </c>
      <c r="H185">
        <v>85288149</v>
      </c>
      <c r="I185">
        <v>85288603</v>
      </c>
      <c r="J185" s="15" t="s">
        <v>1656</v>
      </c>
      <c r="K185" t="s">
        <v>2143</v>
      </c>
      <c r="L185">
        <v>47</v>
      </c>
    </row>
    <row r="186" spans="1:12">
      <c r="A186" s="12">
        <v>30996</v>
      </c>
      <c r="B186" t="s">
        <v>83</v>
      </c>
      <c r="C186">
        <v>40977021</v>
      </c>
      <c r="D186">
        <v>40977506</v>
      </c>
      <c r="E186" s="15" t="s">
        <v>35</v>
      </c>
      <c r="F186" t="s">
        <v>1697</v>
      </c>
      <c r="G186" t="s">
        <v>83</v>
      </c>
      <c r="H186">
        <v>64511803</v>
      </c>
      <c r="I186">
        <v>64512261</v>
      </c>
      <c r="J186" s="15" t="s">
        <v>35</v>
      </c>
      <c r="K186" t="s">
        <v>4069</v>
      </c>
      <c r="L186">
        <v>46</v>
      </c>
    </row>
    <row r="187" spans="1:12">
      <c r="A187" s="12">
        <v>30996</v>
      </c>
      <c r="B187" t="s">
        <v>120</v>
      </c>
      <c r="C187">
        <v>95000178</v>
      </c>
      <c r="D187">
        <v>95000307</v>
      </c>
      <c r="E187" s="15" t="s">
        <v>35</v>
      </c>
      <c r="F187" t="s">
        <v>3541</v>
      </c>
      <c r="G187" t="s">
        <v>120</v>
      </c>
      <c r="H187">
        <v>100232423</v>
      </c>
      <c r="I187">
        <v>100232866</v>
      </c>
      <c r="J187" s="15" t="s">
        <v>35</v>
      </c>
      <c r="K187" t="s">
        <v>4025</v>
      </c>
      <c r="L187">
        <v>46</v>
      </c>
    </row>
    <row r="188" spans="1:12">
      <c r="A188" s="12">
        <v>30996</v>
      </c>
      <c r="B188" t="s">
        <v>226</v>
      </c>
      <c r="C188">
        <v>612941</v>
      </c>
      <c r="D188">
        <v>613445</v>
      </c>
      <c r="E188" s="15" t="s">
        <v>1656</v>
      </c>
      <c r="F188" t="s">
        <v>4017</v>
      </c>
      <c r="G188" t="s">
        <v>226</v>
      </c>
      <c r="H188">
        <v>2121797</v>
      </c>
      <c r="I188">
        <v>2122160</v>
      </c>
      <c r="J188" s="15" t="s">
        <v>35</v>
      </c>
      <c r="K188" t="s">
        <v>1697</v>
      </c>
      <c r="L188">
        <v>46</v>
      </c>
    </row>
    <row r="189" spans="1:12">
      <c r="A189" s="12">
        <v>30996</v>
      </c>
      <c r="B189" t="s">
        <v>292</v>
      </c>
      <c r="C189">
        <v>26368185</v>
      </c>
      <c r="D189">
        <v>26368642</v>
      </c>
      <c r="E189" s="15" t="s">
        <v>35</v>
      </c>
      <c r="F189" t="s">
        <v>1697</v>
      </c>
      <c r="G189" t="s">
        <v>292</v>
      </c>
      <c r="H189">
        <v>26855800</v>
      </c>
      <c r="I189">
        <v>26855869</v>
      </c>
      <c r="J189" s="15" t="s">
        <v>1656</v>
      </c>
      <c r="K189" t="s">
        <v>14220</v>
      </c>
      <c r="L189">
        <v>46</v>
      </c>
    </row>
    <row r="190" spans="1:12">
      <c r="A190" s="12">
        <v>30996</v>
      </c>
      <c r="B190" t="s">
        <v>226</v>
      </c>
      <c r="C190">
        <v>2443478</v>
      </c>
      <c r="D190">
        <v>2443799</v>
      </c>
      <c r="E190" s="15" t="s">
        <v>1656</v>
      </c>
      <c r="F190" t="s">
        <v>1697</v>
      </c>
      <c r="G190" t="s">
        <v>226</v>
      </c>
      <c r="H190">
        <v>5482596</v>
      </c>
      <c r="I190">
        <v>5483004</v>
      </c>
      <c r="J190" s="15" t="s">
        <v>35</v>
      </c>
      <c r="K190" t="s">
        <v>1279</v>
      </c>
      <c r="L190">
        <v>45</v>
      </c>
    </row>
    <row r="191" spans="1:12">
      <c r="A191" s="12">
        <v>30996</v>
      </c>
      <c r="B191" t="s">
        <v>292</v>
      </c>
      <c r="C191">
        <v>98512083</v>
      </c>
      <c r="D191">
        <v>98512593</v>
      </c>
      <c r="E191" s="15" t="s">
        <v>1656</v>
      </c>
      <c r="F191" t="s">
        <v>1697</v>
      </c>
      <c r="G191" t="s">
        <v>292</v>
      </c>
      <c r="H191">
        <v>135213037</v>
      </c>
      <c r="I191">
        <v>135213213</v>
      </c>
      <c r="J191" s="15" t="s">
        <v>1656</v>
      </c>
      <c r="K191" t="s">
        <v>3328</v>
      </c>
      <c r="L191">
        <v>45</v>
      </c>
    </row>
    <row r="192" spans="1:12">
      <c r="A192" s="12">
        <v>30996</v>
      </c>
      <c r="B192" t="s">
        <v>83</v>
      </c>
      <c r="C192">
        <v>19769031</v>
      </c>
      <c r="D192">
        <v>19769339</v>
      </c>
      <c r="E192" s="15" t="s">
        <v>1656</v>
      </c>
      <c r="F192" t="s">
        <v>4061</v>
      </c>
      <c r="G192" t="s">
        <v>83</v>
      </c>
      <c r="H192">
        <v>134249059</v>
      </c>
      <c r="I192">
        <v>134249377</v>
      </c>
      <c r="J192" s="15" t="s">
        <v>35</v>
      </c>
      <c r="K192" t="s">
        <v>4065</v>
      </c>
      <c r="L192">
        <v>44</v>
      </c>
    </row>
    <row r="193" spans="1:12">
      <c r="A193" s="12">
        <v>30996</v>
      </c>
      <c r="B193" t="s">
        <v>83</v>
      </c>
      <c r="C193">
        <v>26785764</v>
      </c>
      <c r="D193">
        <v>26786246</v>
      </c>
      <c r="E193" s="15" t="s">
        <v>1656</v>
      </c>
      <c r="F193" t="s">
        <v>1697</v>
      </c>
      <c r="G193" t="s">
        <v>83</v>
      </c>
      <c r="H193">
        <v>134249061</v>
      </c>
      <c r="I193">
        <v>134249369</v>
      </c>
      <c r="J193" s="15" t="s">
        <v>1656</v>
      </c>
      <c r="K193" t="s">
        <v>4065</v>
      </c>
      <c r="L193">
        <v>44</v>
      </c>
    </row>
    <row r="194" spans="1:12">
      <c r="A194" s="12">
        <v>30996</v>
      </c>
      <c r="B194" t="s">
        <v>279</v>
      </c>
      <c r="C194">
        <v>63998616</v>
      </c>
      <c r="D194">
        <v>63999075</v>
      </c>
      <c r="E194" s="15" t="s">
        <v>35</v>
      </c>
      <c r="F194" t="s">
        <v>14219</v>
      </c>
      <c r="G194" t="s">
        <v>279</v>
      </c>
      <c r="H194">
        <v>124310044</v>
      </c>
      <c r="I194">
        <v>124310134</v>
      </c>
      <c r="J194" s="15" t="s">
        <v>35</v>
      </c>
      <c r="K194" t="s">
        <v>1697</v>
      </c>
      <c r="L194">
        <v>44</v>
      </c>
    </row>
    <row r="195" spans="1:12">
      <c r="A195" s="12">
        <v>30996</v>
      </c>
      <c r="B195" t="s">
        <v>292</v>
      </c>
      <c r="C195">
        <v>94226013</v>
      </c>
      <c r="D195">
        <v>94226167</v>
      </c>
      <c r="E195" s="15" t="s">
        <v>35</v>
      </c>
      <c r="F195" t="s">
        <v>1697</v>
      </c>
      <c r="G195" t="s">
        <v>292</v>
      </c>
      <c r="H195">
        <v>134396509</v>
      </c>
      <c r="I195">
        <v>134396653</v>
      </c>
      <c r="J195" s="15" t="s">
        <v>1656</v>
      </c>
      <c r="K195" t="s">
        <v>2809</v>
      </c>
      <c r="L195">
        <v>44</v>
      </c>
    </row>
    <row r="196" spans="1:12">
      <c r="A196" s="12">
        <v>30996</v>
      </c>
      <c r="B196" t="s">
        <v>292</v>
      </c>
      <c r="C196">
        <v>90439739</v>
      </c>
      <c r="D196">
        <v>90440031</v>
      </c>
      <c r="E196" s="15" t="s">
        <v>1656</v>
      </c>
      <c r="F196" t="s">
        <v>1697</v>
      </c>
      <c r="G196" t="s">
        <v>292</v>
      </c>
      <c r="H196">
        <v>130302466</v>
      </c>
      <c r="I196">
        <v>130302628</v>
      </c>
      <c r="J196" s="15" t="s">
        <v>35</v>
      </c>
      <c r="K196" t="s">
        <v>14224</v>
      </c>
      <c r="L196">
        <v>43</v>
      </c>
    </row>
    <row r="197" spans="1:12">
      <c r="A197" s="12">
        <v>30996</v>
      </c>
      <c r="B197" t="s">
        <v>292</v>
      </c>
      <c r="C197">
        <v>121460592</v>
      </c>
      <c r="D197">
        <v>121460720</v>
      </c>
      <c r="E197" s="15" t="s">
        <v>35</v>
      </c>
      <c r="F197" t="s">
        <v>1697</v>
      </c>
      <c r="G197" t="s">
        <v>292</v>
      </c>
      <c r="H197">
        <v>127457340</v>
      </c>
      <c r="I197">
        <v>127457556</v>
      </c>
      <c r="J197" s="15" t="s">
        <v>1656</v>
      </c>
      <c r="K197" t="s">
        <v>4048</v>
      </c>
      <c r="L197">
        <v>43</v>
      </c>
    </row>
    <row r="198" spans="1:12">
      <c r="A198" s="12">
        <v>30996</v>
      </c>
      <c r="B198" t="s">
        <v>292</v>
      </c>
      <c r="C198">
        <v>124395590</v>
      </c>
      <c r="D198">
        <v>124395742</v>
      </c>
      <c r="E198" s="15" t="s">
        <v>35</v>
      </c>
      <c r="F198" t="s">
        <v>4038</v>
      </c>
      <c r="G198" t="s">
        <v>292</v>
      </c>
      <c r="H198">
        <v>135024539</v>
      </c>
      <c r="I198">
        <v>135024725</v>
      </c>
      <c r="J198" s="15" t="s">
        <v>1656</v>
      </c>
      <c r="K198" t="s">
        <v>1697</v>
      </c>
      <c r="L198">
        <v>43</v>
      </c>
    </row>
    <row r="199" spans="1:12">
      <c r="A199" s="12">
        <v>30996</v>
      </c>
      <c r="B199" t="s">
        <v>83</v>
      </c>
      <c r="C199">
        <v>3191060</v>
      </c>
      <c r="D199">
        <v>3191224</v>
      </c>
      <c r="E199" s="15" t="s">
        <v>35</v>
      </c>
      <c r="F199" t="s">
        <v>1697</v>
      </c>
      <c r="G199" t="s">
        <v>83</v>
      </c>
      <c r="H199">
        <v>8879008</v>
      </c>
      <c r="I199">
        <v>8879395</v>
      </c>
      <c r="J199" s="15" t="s">
        <v>35</v>
      </c>
      <c r="K199" t="s">
        <v>4049</v>
      </c>
      <c r="L199">
        <v>40</v>
      </c>
    </row>
    <row r="200" spans="1:12">
      <c r="A200" s="12">
        <v>30996</v>
      </c>
      <c r="B200" t="s">
        <v>83</v>
      </c>
      <c r="C200">
        <v>70754225</v>
      </c>
      <c r="D200">
        <v>70754432</v>
      </c>
      <c r="E200" s="15" t="s">
        <v>1656</v>
      </c>
      <c r="F200" t="s">
        <v>90</v>
      </c>
      <c r="G200" t="s">
        <v>83</v>
      </c>
      <c r="H200">
        <v>113983134</v>
      </c>
      <c r="I200">
        <v>113983330</v>
      </c>
      <c r="J200" s="15" t="s">
        <v>1656</v>
      </c>
      <c r="K200" t="s">
        <v>4075</v>
      </c>
      <c r="L200">
        <v>40</v>
      </c>
    </row>
    <row r="201" spans="1:12">
      <c r="A201" s="12">
        <v>30996</v>
      </c>
      <c r="B201" t="s">
        <v>201</v>
      </c>
      <c r="C201">
        <v>60365429</v>
      </c>
      <c r="D201">
        <v>60365817</v>
      </c>
      <c r="E201" s="15" t="s">
        <v>1656</v>
      </c>
      <c r="F201" t="s">
        <v>2067</v>
      </c>
      <c r="G201" t="s">
        <v>201</v>
      </c>
      <c r="H201">
        <v>60889968</v>
      </c>
      <c r="I201">
        <v>60890315</v>
      </c>
      <c r="J201" s="15" t="s">
        <v>1656</v>
      </c>
      <c r="K201" t="s">
        <v>2067</v>
      </c>
      <c r="L201">
        <v>40</v>
      </c>
    </row>
    <row r="202" spans="1:12">
      <c r="A202" s="12">
        <v>30996</v>
      </c>
      <c r="B202" t="s">
        <v>201</v>
      </c>
      <c r="C202">
        <v>127609714</v>
      </c>
      <c r="D202">
        <v>127610137</v>
      </c>
      <c r="E202" s="15" t="s">
        <v>35</v>
      </c>
      <c r="F202" t="s">
        <v>1697</v>
      </c>
      <c r="G202" t="s">
        <v>201</v>
      </c>
      <c r="H202">
        <v>127789831</v>
      </c>
      <c r="I202">
        <v>127790264</v>
      </c>
      <c r="J202" s="15" t="s">
        <v>35</v>
      </c>
      <c r="K202" t="s">
        <v>2214</v>
      </c>
      <c r="L202">
        <v>40</v>
      </c>
    </row>
    <row r="203" spans="1:12">
      <c r="A203" s="12">
        <v>30996</v>
      </c>
      <c r="B203" t="s">
        <v>226</v>
      </c>
      <c r="C203">
        <v>5995769</v>
      </c>
      <c r="D203">
        <v>5996058</v>
      </c>
      <c r="E203" s="15" t="s">
        <v>1656</v>
      </c>
      <c r="F203" t="s">
        <v>1697</v>
      </c>
      <c r="G203" t="s">
        <v>120</v>
      </c>
      <c r="H203">
        <v>100232569</v>
      </c>
      <c r="I203">
        <v>100232866</v>
      </c>
      <c r="J203" s="15" t="s">
        <v>35</v>
      </c>
      <c r="K203" t="s">
        <v>4025</v>
      </c>
      <c r="L203">
        <v>40</v>
      </c>
    </row>
    <row r="204" spans="1:12">
      <c r="A204" s="12">
        <v>30996</v>
      </c>
      <c r="B204" t="s">
        <v>292</v>
      </c>
      <c r="C204">
        <v>102931234</v>
      </c>
      <c r="D204">
        <v>102931457</v>
      </c>
      <c r="E204" s="15" t="s">
        <v>35</v>
      </c>
      <c r="F204" t="s">
        <v>4039</v>
      </c>
      <c r="G204" t="s">
        <v>292</v>
      </c>
      <c r="H204">
        <v>121460589</v>
      </c>
      <c r="I204">
        <v>121460703</v>
      </c>
      <c r="J204" s="15" t="s">
        <v>35</v>
      </c>
      <c r="K204" t="s">
        <v>1697</v>
      </c>
      <c r="L204">
        <v>40</v>
      </c>
    </row>
    <row r="205" spans="1:12">
      <c r="A205" s="12">
        <v>30996</v>
      </c>
      <c r="B205" t="s">
        <v>201</v>
      </c>
      <c r="C205">
        <v>119321184</v>
      </c>
      <c r="D205">
        <v>119321560</v>
      </c>
      <c r="E205" s="15" t="s">
        <v>35</v>
      </c>
      <c r="F205" t="s">
        <v>4009</v>
      </c>
      <c r="G205" t="s">
        <v>201</v>
      </c>
      <c r="H205">
        <v>164975396</v>
      </c>
      <c r="I205">
        <v>164975799</v>
      </c>
      <c r="J205" s="15" t="s">
        <v>1656</v>
      </c>
      <c r="K205" t="s">
        <v>1697</v>
      </c>
      <c r="L205">
        <v>39</v>
      </c>
    </row>
    <row r="206" spans="1:12">
      <c r="A206" s="12">
        <v>30996</v>
      </c>
      <c r="B206" t="s">
        <v>292</v>
      </c>
      <c r="C206">
        <v>80845006</v>
      </c>
      <c r="D206">
        <v>80845079</v>
      </c>
      <c r="E206" s="15" t="s">
        <v>35</v>
      </c>
      <c r="F206" t="s">
        <v>1697</v>
      </c>
      <c r="G206" t="s">
        <v>292</v>
      </c>
      <c r="H206">
        <v>119495704</v>
      </c>
      <c r="I206">
        <v>119495924</v>
      </c>
      <c r="J206" s="15" t="s">
        <v>1656</v>
      </c>
      <c r="K206" t="s">
        <v>817</v>
      </c>
      <c r="L206">
        <v>39</v>
      </c>
    </row>
    <row r="207" spans="1:12">
      <c r="A207" s="12">
        <v>30996</v>
      </c>
      <c r="B207" t="s">
        <v>201</v>
      </c>
      <c r="C207">
        <v>81608274</v>
      </c>
      <c r="D207">
        <v>81608746</v>
      </c>
      <c r="E207" s="15" t="s">
        <v>1656</v>
      </c>
      <c r="F207" t="s">
        <v>1949</v>
      </c>
      <c r="G207" t="s">
        <v>118</v>
      </c>
      <c r="H207">
        <v>24984266</v>
      </c>
      <c r="I207">
        <v>24984671</v>
      </c>
      <c r="J207" s="15" t="s">
        <v>1656</v>
      </c>
      <c r="K207" t="s">
        <v>1697</v>
      </c>
      <c r="L207">
        <v>38</v>
      </c>
    </row>
    <row r="208" spans="1:12">
      <c r="A208" s="12">
        <v>30996</v>
      </c>
      <c r="B208" t="s">
        <v>226</v>
      </c>
      <c r="C208">
        <v>5315593</v>
      </c>
      <c r="D208">
        <v>5316138</v>
      </c>
      <c r="E208" s="15" t="s">
        <v>35</v>
      </c>
      <c r="F208" t="s">
        <v>4014</v>
      </c>
      <c r="G208" t="s">
        <v>120</v>
      </c>
      <c r="H208">
        <v>102175479</v>
      </c>
      <c r="I208">
        <v>102175958</v>
      </c>
      <c r="J208" s="15" t="s">
        <v>1656</v>
      </c>
      <c r="K208" t="s">
        <v>1697</v>
      </c>
      <c r="L208">
        <v>38</v>
      </c>
    </row>
    <row r="209" spans="1:12">
      <c r="A209" s="12">
        <v>30996</v>
      </c>
      <c r="B209" t="s">
        <v>83</v>
      </c>
      <c r="C209">
        <v>14470707</v>
      </c>
      <c r="D209">
        <v>14471177</v>
      </c>
      <c r="E209" s="15" t="s">
        <v>35</v>
      </c>
      <c r="F209" t="s">
        <v>1697</v>
      </c>
      <c r="G209" t="s">
        <v>83</v>
      </c>
      <c r="H209">
        <v>124010295</v>
      </c>
      <c r="I209">
        <v>124010699</v>
      </c>
      <c r="J209" s="15" t="s">
        <v>35</v>
      </c>
      <c r="K209" t="s">
        <v>3350</v>
      </c>
      <c r="L209">
        <v>37</v>
      </c>
    </row>
    <row r="210" spans="1:12">
      <c r="A210" s="12">
        <v>30996</v>
      </c>
      <c r="B210" t="s">
        <v>83</v>
      </c>
      <c r="C210">
        <v>95531037</v>
      </c>
      <c r="D210">
        <v>95531152</v>
      </c>
      <c r="E210" s="15" t="s">
        <v>1656</v>
      </c>
      <c r="F210" t="s">
        <v>4077</v>
      </c>
      <c r="G210" t="s">
        <v>83</v>
      </c>
      <c r="H210">
        <v>100717528</v>
      </c>
      <c r="I210">
        <v>100718054</v>
      </c>
      <c r="J210" s="15" t="s">
        <v>1656</v>
      </c>
      <c r="K210" t="s">
        <v>3229</v>
      </c>
      <c r="L210">
        <v>37</v>
      </c>
    </row>
    <row r="211" spans="1:12">
      <c r="A211" s="12">
        <v>30996</v>
      </c>
      <c r="B211" t="s">
        <v>292</v>
      </c>
      <c r="C211">
        <v>99524795</v>
      </c>
      <c r="D211">
        <v>99524918</v>
      </c>
      <c r="E211" s="15" t="s">
        <v>1656</v>
      </c>
      <c r="F211" t="s">
        <v>4045</v>
      </c>
      <c r="G211" t="s">
        <v>292</v>
      </c>
      <c r="H211">
        <v>130302473</v>
      </c>
      <c r="I211">
        <v>130302633</v>
      </c>
      <c r="J211" s="15" t="s">
        <v>1656</v>
      </c>
      <c r="K211" t="s">
        <v>14224</v>
      </c>
      <c r="L211">
        <v>37</v>
      </c>
    </row>
    <row r="212" spans="1:12">
      <c r="A212" s="12">
        <v>30996</v>
      </c>
      <c r="B212" t="s">
        <v>83</v>
      </c>
      <c r="C212">
        <v>89950391</v>
      </c>
      <c r="D212">
        <v>89950573</v>
      </c>
      <c r="E212" s="15" t="s">
        <v>1656</v>
      </c>
      <c r="F212" t="s">
        <v>1742</v>
      </c>
      <c r="G212" t="s">
        <v>83</v>
      </c>
      <c r="H212">
        <v>107817867</v>
      </c>
      <c r="I212">
        <v>107818300</v>
      </c>
      <c r="J212" s="15" t="s">
        <v>1656</v>
      </c>
      <c r="K212" t="s">
        <v>14201</v>
      </c>
      <c r="L212">
        <v>36</v>
      </c>
    </row>
    <row r="213" spans="1:12">
      <c r="A213" s="12">
        <v>30996</v>
      </c>
      <c r="B213" t="s">
        <v>279</v>
      </c>
      <c r="C213">
        <v>35516946</v>
      </c>
      <c r="D213">
        <v>35517040</v>
      </c>
      <c r="E213" s="15" t="s">
        <v>1656</v>
      </c>
      <c r="F213" t="s">
        <v>2139</v>
      </c>
      <c r="G213" t="s">
        <v>133</v>
      </c>
      <c r="H213">
        <v>15073466</v>
      </c>
      <c r="I213">
        <v>15073873</v>
      </c>
      <c r="J213" s="15" t="s">
        <v>1656</v>
      </c>
      <c r="K213" t="s">
        <v>1697</v>
      </c>
      <c r="L213">
        <v>36</v>
      </c>
    </row>
    <row r="214" spans="1:12">
      <c r="A214" s="12">
        <v>30996</v>
      </c>
      <c r="B214" t="s">
        <v>83</v>
      </c>
      <c r="C214">
        <v>21327309</v>
      </c>
      <c r="D214">
        <v>21327535</v>
      </c>
      <c r="E214" s="15" t="s">
        <v>1656</v>
      </c>
      <c r="F214" t="s">
        <v>654</v>
      </c>
      <c r="G214" t="s">
        <v>83</v>
      </c>
      <c r="H214">
        <v>100717528</v>
      </c>
      <c r="I214">
        <v>100717865</v>
      </c>
      <c r="J214" s="15" t="s">
        <v>1656</v>
      </c>
      <c r="K214" t="s">
        <v>3229</v>
      </c>
      <c r="L214">
        <v>35</v>
      </c>
    </row>
    <row r="215" spans="1:12">
      <c r="A215" s="12">
        <v>30996</v>
      </c>
      <c r="B215" t="s">
        <v>83</v>
      </c>
      <c r="C215">
        <v>61087940</v>
      </c>
      <c r="D215">
        <v>61088221</v>
      </c>
      <c r="E215" s="15" t="s">
        <v>1656</v>
      </c>
      <c r="F215" t="s">
        <v>2308</v>
      </c>
      <c r="G215" t="s">
        <v>83</v>
      </c>
      <c r="H215">
        <v>68281469</v>
      </c>
      <c r="I215">
        <v>68281780</v>
      </c>
      <c r="J215" s="15" t="s">
        <v>1656</v>
      </c>
      <c r="K215" t="s">
        <v>3423</v>
      </c>
      <c r="L215">
        <v>35</v>
      </c>
    </row>
    <row r="216" spans="1:12">
      <c r="A216" s="12">
        <v>30996</v>
      </c>
      <c r="B216" t="s">
        <v>118</v>
      </c>
      <c r="C216">
        <v>33899639</v>
      </c>
      <c r="D216">
        <v>33899983</v>
      </c>
      <c r="E216" s="15" t="s">
        <v>35</v>
      </c>
      <c r="F216" t="s">
        <v>3967</v>
      </c>
      <c r="G216" t="s">
        <v>118</v>
      </c>
      <c r="H216">
        <v>40630257</v>
      </c>
      <c r="I216">
        <v>40630697</v>
      </c>
      <c r="J216" s="15" t="s">
        <v>1656</v>
      </c>
      <c r="K216" t="s">
        <v>1697</v>
      </c>
      <c r="L216">
        <v>35</v>
      </c>
    </row>
    <row r="217" spans="1:12">
      <c r="A217" s="12">
        <v>30996</v>
      </c>
      <c r="B217" t="s">
        <v>120</v>
      </c>
      <c r="C217">
        <v>65360413</v>
      </c>
      <c r="D217">
        <v>65360698</v>
      </c>
      <c r="E217" s="15" t="s">
        <v>35</v>
      </c>
      <c r="F217" t="s">
        <v>14208</v>
      </c>
      <c r="G217" t="s">
        <v>120</v>
      </c>
      <c r="H217">
        <v>65399679</v>
      </c>
      <c r="I217">
        <v>65400056</v>
      </c>
      <c r="J217" s="15" t="s">
        <v>35</v>
      </c>
      <c r="K217" t="s">
        <v>14209</v>
      </c>
      <c r="L217">
        <v>34</v>
      </c>
    </row>
    <row r="218" spans="1:12">
      <c r="A218" s="12">
        <v>30996</v>
      </c>
      <c r="B218" t="s">
        <v>172</v>
      </c>
      <c r="C218">
        <v>128728146</v>
      </c>
      <c r="D218">
        <v>128728476</v>
      </c>
      <c r="E218" s="15" t="s">
        <v>1656</v>
      </c>
      <c r="F218" t="s">
        <v>4007</v>
      </c>
      <c r="G218" t="s">
        <v>172</v>
      </c>
      <c r="H218">
        <v>128729524</v>
      </c>
      <c r="I218">
        <v>128730044</v>
      </c>
      <c r="J218" s="15" t="s">
        <v>1656</v>
      </c>
      <c r="K218" t="s">
        <v>4007</v>
      </c>
      <c r="L218">
        <v>34</v>
      </c>
    </row>
    <row r="219" spans="1:12">
      <c r="A219" s="12">
        <v>30996</v>
      </c>
      <c r="B219" t="s">
        <v>292</v>
      </c>
      <c r="C219">
        <v>97848608</v>
      </c>
      <c r="D219">
        <v>97848787</v>
      </c>
      <c r="E219" s="15" t="s">
        <v>1656</v>
      </c>
      <c r="F219" t="s">
        <v>4043</v>
      </c>
      <c r="G219" t="s">
        <v>292</v>
      </c>
      <c r="H219">
        <v>134842171</v>
      </c>
      <c r="I219">
        <v>134842327</v>
      </c>
      <c r="J219" s="15" t="s">
        <v>35</v>
      </c>
      <c r="K219" t="s">
        <v>4044</v>
      </c>
      <c r="L219">
        <v>34</v>
      </c>
    </row>
    <row r="220" spans="1:12">
      <c r="A220" s="12">
        <v>30996</v>
      </c>
      <c r="B220" t="s">
        <v>292</v>
      </c>
      <c r="C220">
        <v>134058454</v>
      </c>
      <c r="D220">
        <v>134058545</v>
      </c>
      <c r="E220" s="15" t="s">
        <v>35</v>
      </c>
      <c r="F220" t="s">
        <v>2881</v>
      </c>
      <c r="G220" t="s">
        <v>292</v>
      </c>
      <c r="H220">
        <v>135125795</v>
      </c>
      <c r="I220">
        <v>135126171</v>
      </c>
      <c r="J220" s="15" t="s">
        <v>35</v>
      </c>
      <c r="K220" t="s">
        <v>1697</v>
      </c>
      <c r="L220">
        <v>34</v>
      </c>
    </row>
    <row r="221" spans="1:12">
      <c r="A221" s="12">
        <v>30996</v>
      </c>
      <c r="B221" t="s">
        <v>83</v>
      </c>
      <c r="C221">
        <v>28291564</v>
      </c>
      <c r="D221">
        <v>28292038</v>
      </c>
      <c r="E221" s="15" t="s">
        <v>35</v>
      </c>
      <c r="F221" t="s">
        <v>14202</v>
      </c>
      <c r="G221" t="s">
        <v>83</v>
      </c>
      <c r="H221">
        <v>39853501</v>
      </c>
      <c r="I221">
        <v>39853879</v>
      </c>
      <c r="J221" s="15" t="s">
        <v>35</v>
      </c>
      <c r="K221" t="s">
        <v>1697</v>
      </c>
      <c r="L221">
        <v>33</v>
      </c>
    </row>
    <row r="222" spans="1:12">
      <c r="A222" s="12">
        <v>30996</v>
      </c>
      <c r="B222" t="s">
        <v>83</v>
      </c>
      <c r="C222">
        <v>33194070</v>
      </c>
      <c r="D222">
        <v>33194391</v>
      </c>
      <c r="E222" s="15" t="s">
        <v>35</v>
      </c>
      <c r="F222" t="s">
        <v>4067</v>
      </c>
      <c r="G222" t="s">
        <v>83</v>
      </c>
      <c r="H222">
        <v>33195813</v>
      </c>
      <c r="I222">
        <v>33196286</v>
      </c>
      <c r="J222" s="15" t="s">
        <v>1656</v>
      </c>
      <c r="K222" t="s">
        <v>4067</v>
      </c>
      <c r="L222">
        <v>33</v>
      </c>
    </row>
    <row r="223" spans="1:12">
      <c r="A223" s="12">
        <v>30996</v>
      </c>
      <c r="B223" t="s">
        <v>120</v>
      </c>
      <c r="C223">
        <v>92985097</v>
      </c>
      <c r="D223">
        <v>92985190</v>
      </c>
      <c r="E223" s="15" t="s">
        <v>35</v>
      </c>
      <c r="F223" t="s">
        <v>4023</v>
      </c>
      <c r="G223" t="s">
        <v>120</v>
      </c>
      <c r="H223">
        <v>92985428</v>
      </c>
      <c r="I223">
        <v>92985747</v>
      </c>
      <c r="J223" s="15" t="s">
        <v>1656</v>
      </c>
      <c r="K223" t="s">
        <v>4023</v>
      </c>
      <c r="L223">
        <v>33</v>
      </c>
    </row>
    <row r="224" spans="1:12">
      <c r="A224" s="12">
        <v>30996</v>
      </c>
      <c r="B224" t="s">
        <v>292</v>
      </c>
      <c r="C224">
        <v>105788898</v>
      </c>
      <c r="D224">
        <v>105789065</v>
      </c>
      <c r="E224" s="15" t="s">
        <v>35</v>
      </c>
      <c r="F224" t="s">
        <v>1697</v>
      </c>
      <c r="G224" t="s">
        <v>292</v>
      </c>
      <c r="H224">
        <v>124395497</v>
      </c>
      <c r="I224">
        <v>124395734</v>
      </c>
      <c r="J224" s="15" t="s">
        <v>35</v>
      </c>
      <c r="K224" t="s">
        <v>4038</v>
      </c>
      <c r="L224">
        <v>33</v>
      </c>
    </row>
    <row r="225" spans="1:12">
      <c r="A225" s="12">
        <v>30996</v>
      </c>
      <c r="B225" t="s">
        <v>83</v>
      </c>
      <c r="C225">
        <v>8874409</v>
      </c>
      <c r="D225">
        <v>8874627</v>
      </c>
      <c r="E225" s="15" t="s">
        <v>35</v>
      </c>
      <c r="F225" t="s">
        <v>4049</v>
      </c>
      <c r="G225" t="s">
        <v>83</v>
      </c>
      <c r="H225">
        <v>106726896</v>
      </c>
      <c r="I225">
        <v>106727245</v>
      </c>
      <c r="J225" s="15" t="s">
        <v>1656</v>
      </c>
      <c r="K225" t="s">
        <v>2451</v>
      </c>
      <c r="L225">
        <v>32</v>
      </c>
    </row>
    <row r="226" spans="1:12">
      <c r="A226" s="12">
        <v>30996</v>
      </c>
      <c r="B226" t="s">
        <v>133</v>
      </c>
      <c r="C226">
        <v>50057219</v>
      </c>
      <c r="D226">
        <v>50057708</v>
      </c>
      <c r="E226" s="15" t="s">
        <v>1656</v>
      </c>
      <c r="F226" t="s">
        <v>4081</v>
      </c>
      <c r="G226" t="s">
        <v>133</v>
      </c>
      <c r="H226">
        <v>50058184</v>
      </c>
      <c r="I226">
        <v>50058476</v>
      </c>
      <c r="J226" s="15" t="s">
        <v>35</v>
      </c>
      <c r="K226" t="s">
        <v>4081</v>
      </c>
      <c r="L226">
        <v>32</v>
      </c>
    </row>
    <row r="227" spans="1:12">
      <c r="A227" s="12">
        <v>30996</v>
      </c>
      <c r="B227" t="s">
        <v>172</v>
      </c>
      <c r="C227">
        <v>223753034</v>
      </c>
      <c r="D227">
        <v>223753321</v>
      </c>
      <c r="E227" s="15" t="s">
        <v>35</v>
      </c>
      <c r="F227" t="s">
        <v>14213</v>
      </c>
      <c r="G227" t="s">
        <v>172</v>
      </c>
      <c r="H227">
        <v>237285672</v>
      </c>
      <c r="I227">
        <v>237285979</v>
      </c>
      <c r="J227" s="15" t="s">
        <v>1656</v>
      </c>
      <c r="K227" t="s">
        <v>4008</v>
      </c>
      <c r="L227">
        <v>32</v>
      </c>
    </row>
    <row r="228" spans="1:12">
      <c r="A228" s="12">
        <v>30996</v>
      </c>
      <c r="B228" t="s">
        <v>201</v>
      </c>
      <c r="C228">
        <v>49415006</v>
      </c>
      <c r="D228">
        <v>49415317</v>
      </c>
      <c r="E228" s="15" t="s">
        <v>1656</v>
      </c>
      <c r="F228" t="s">
        <v>1956</v>
      </c>
      <c r="G228" t="s">
        <v>201</v>
      </c>
      <c r="H228">
        <v>53532476</v>
      </c>
      <c r="I228">
        <v>53532979</v>
      </c>
      <c r="J228" s="15" t="s">
        <v>35</v>
      </c>
      <c r="K228" t="s">
        <v>3890</v>
      </c>
      <c r="L228">
        <v>32</v>
      </c>
    </row>
    <row r="229" spans="1:12">
      <c r="A229" s="12">
        <v>30996</v>
      </c>
      <c r="B229" t="s">
        <v>292</v>
      </c>
      <c r="C229">
        <v>76211277</v>
      </c>
      <c r="D229">
        <v>76211348</v>
      </c>
      <c r="E229" s="15" t="s">
        <v>1656</v>
      </c>
      <c r="F229" t="s">
        <v>1697</v>
      </c>
      <c r="G229" t="s">
        <v>292</v>
      </c>
      <c r="H229">
        <v>78215502</v>
      </c>
      <c r="I229">
        <v>78215610</v>
      </c>
      <c r="J229" s="15" t="s">
        <v>1656</v>
      </c>
      <c r="K229" t="s">
        <v>14222</v>
      </c>
      <c r="L229">
        <v>32</v>
      </c>
    </row>
    <row r="230" spans="1:12">
      <c r="A230" s="12">
        <v>30996</v>
      </c>
      <c r="B230" t="s">
        <v>83</v>
      </c>
      <c r="C230">
        <v>24584819</v>
      </c>
      <c r="D230">
        <v>24585167</v>
      </c>
      <c r="E230" s="15" t="s">
        <v>1656</v>
      </c>
      <c r="F230" t="s">
        <v>2306</v>
      </c>
      <c r="G230" t="s">
        <v>83</v>
      </c>
      <c r="H230">
        <v>73346107</v>
      </c>
      <c r="I230">
        <v>73346629</v>
      </c>
      <c r="J230" s="15" t="s">
        <v>1656</v>
      </c>
      <c r="K230" t="s">
        <v>1697</v>
      </c>
      <c r="L230">
        <v>31</v>
      </c>
    </row>
    <row r="231" spans="1:12">
      <c r="A231" s="12">
        <v>30996</v>
      </c>
      <c r="B231" t="s">
        <v>226</v>
      </c>
      <c r="C231">
        <v>8922115</v>
      </c>
      <c r="D231">
        <v>8922489</v>
      </c>
      <c r="E231" s="15" t="s">
        <v>35</v>
      </c>
      <c r="F231" t="s">
        <v>1697</v>
      </c>
      <c r="G231" t="s">
        <v>120</v>
      </c>
      <c r="H231">
        <v>100631016</v>
      </c>
      <c r="I231">
        <v>100631413</v>
      </c>
      <c r="J231" s="15" t="s">
        <v>35</v>
      </c>
      <c r="K231" t="s">
        <v>4016</v>
      </c>
      <c r="L231">
        <v>31</v>
      </c>
    </row>
    <row r="232" spans="1:12">
      <c r="A232" s="12">
        <v>30996</v>
      </c>
      <c r="B232" t="s">
        <v>83</v>
      </c>
      <c r="C232">
        <v>9786840</v>
      </c>
      <c r="D232">
        <v>9787266</v>
      </c>
      <c r="E232" s="15" t="s">
        <v>35</v>
      </c>
      <c r="F232" t="s">
        <v>1697</v>
      </c>
      <c r="G232" t="s">
        <v>83</v>
      </c>
      <c r="H232">
        <v>9802471</v>
      </c>
      <c r="I232">
        <v>9802958</v>
      </c>
      <c r="J232" s="15" t="s">
        <v>35</v>
      </c>
      <c r="K232" t="s">
        <v>14200</v>
      </c>
      <c r="L232">
        <v>30</v>
      </c>
    </row>
    <row r="233" spans="1:12">
      <c r="A233" s="12">
        <v>30996</v>
      </c>
      <c r="B233" t="s">
        <v>83</v>
      </c>
      <c r="C233">
        <v>26752283</v>
      </c>
      <c r="D233">
        <v>26752558</v>
      </c>
      <c r="E233" s="15" t="s">
        <v>35</v>
      </c>
      <c r="F233" t="s">
        <v>1697</v>
      </c>
      <c r="G233" t="s">
        <v>83</v>
      </c>
      <c r="H233">
        <v>100989017</v>
      </c>
      <c r="I233">
        <v>100989320</v>
      </c>
      <c r="J233" s="15" t="s">
        <v>35</v>
      </c>
      <c r="K233" t="s">
        <v>4064</v>
      </c>
      <c r="L233">
        <v>30</v>
      </c>
    </row>
    <row r="234" spans="1:12">
      <c r="A234" s="12">
        <v>30996</v>
      </c>
      <c r="B234" t="s">
        <v>120</v>
      </c>
      <c r="C234">
        <v>96969051</v>
      </c>
      <c r="D234">
        <v>96969333</v>
      </c>
      <c r="E234" s="15" t="s">
        <v>1656</v>
      </c>
      <c r="F234" t="s">
        <v>1697</v>
      </c>
      <c r="G234" t="s">
        <v>120</v>
      </c>
      <c r="H234">
        <v>99324504</v>
      </c>
      <c r="I234">
        <v>99324671</v>
      </c>
      <c r="J234" s="15" t="s">
        <v>35</v>
      </c>
      <c r="K234" t="s">
        <v>4019</v>
      </c>
      <c r="L234">
        <v>30</v>
      </c>
    </row>
    <row r="235" spans="1:12">
      <c r="A235" s="12">
        <v>30996</v>
      </c>
      <c r="B235" t="s">
        <v>226</v>
      </c>
      <c r="C235">
        <v>1722267</v>
      </c>
      <c r="D235">
        <v>1722613</v>
      </c>
      <c r="E235" s="15" t="s">
        <v>35</v>
      </c>
      <c r="F235" t="s">
        <v>1697</v>
      </c>
      <c r="G235" t="s">
        <v>120</v>
      </c>
      <c r="H235">
        <v>99877846</v>
      </c>
      <c r="I235">
        <v>99878340</v>
      </c>
      <c r="J235" s="15" t="s">
        <v>35</v>
      </c>
      <c r="K235" t="s">
        <v>2315</v>
      </c>
      <c r="L235">
        <v>30</v>
      </c>
    </row>
    <row r="236" spans="1:12">
      <c r="A236" s="12">
        <v>30996</v>
      </c>
      <c r="B236" t="s">
        <v>292</v>
      </c>
      <c r="C236">
        <v>76211281</v>
      </c>
      <c r="D236">
        <v>76211352</v>
      </c>
      <c r="E236" s="15" t="s">
        <v>1656</v>
      </c>
      <c r="F236" t="s">
        <v>1697</v>
      </c>
      <c r="G236" t="s">
        <v>292</v>
      </c>
      <c r="H236">
        <v>96317718</v>
      </c>
      <c r="I236">
        <v>96317851</v>
      </c>
      <c r="J236" s="15" t="s">
        <v>35</v>
      </c>
      <c r="K236" t="s">
        <v>4042</v>
      </c>
      <c r="L236">
        <v>29</v>
      </c>
    </row>
    <row r="237" spans="1:12">
      <c r="A237" s="12">
        <v>30996</v>
      </c>
      <c r="B237" t="s">
        <v>83</v>
      </c>
      <c r="C237">
        <v>36629117</v>
      </c>
      <c r="D237">
        <v>36629546</v>
      </c>
      <c r="E237" s="15" t="s">
        <v>35</v>
      </c>
      <c r="F237" t="s">
        <v>2307</v>
      </c>
      <c r="G237" t="s">
        <v>83</v>
      </c>
      <c r="H237">
        <v>78330794</v>
      </c>
      <c r="I237">
        <v>78331286</v>
      </c>
      <c r="J237" s="15" t="s">
        <v>35</v>
      </c>
      <c r="K237" t="s">
        <v>1697</v>
      </c>
      <c r="L237">
        <v>28</v>
      </c>
    </row>
    <row r="238" spans="1:12">
      <c r="A238" s="12">
        <v>30996</v>
      </c>
      <c r="B238" t="s">
        <v>83</v>
      </c>
      <c r="C238">
        <v>94524547</v>
      </c>
      <c r="D238">
        <v>94524835</v>
      </c>
      <c r="E238" s="15" t="s">
        <v>1656</v>
      </c>
      <c r="F238" t="s">
        <v>4062</v>
      </c>
      <c r="G238" t="s">
        <v>83</v>
      </c>
      <c r="H238">
        <v>108842134</v>
      </c>
      <c r="I238">
        <v>108842226</v>
      </c>
      <c r="J238" s="15" t="s">
        <v>35</v>
      </c>
      <c r="K238" t="s">
        <v>1697</v>
      </c>
      <c r="L238">
        <v>28</v>
      </c>
    </row>
    <row r="239" spans="1:12">
      <c r="A239" s="12">
        <v>30996</v>
      </c>
      <c r="B239" t="s">
        <v>83</v>
      </c>
      <c r="C239">
        <v>128617805</v>
      </c>
      <c r="D239">
        <v>128618155</v>
      </c>
      <c r="E239" s="15" t="s">
        <v>35</v>
      </c>
      <c r="F239" t="s">
        <v>2462</v>
      </c>
      <c r="G239" t="s">
        <v>139</v>
      </c>
      <c r="H239">
        <v>7678510</v>
      </c>
      <c r="I239">
        <v>7678667</v>
      </c>
      <c r="J239" s="15" t="s">
        <v>35</v>
      </c>
      <c r="K239" t="s">
        <v>14205</v>
      </c>
      <c r="L239">
        <v>28</v>
      </c>
    </row>
    <row r="240" spans="1:12">
      <c r="A240" s="12">
        <v>30996</v>
      </c>
      <c r="B240" t="s">
        <v>104</v>
      </c>
      <c r="C240">
        <v>1284997</v>
      </c>
      <c r="D240">
        <v>1285334</v>
      </c>
      <c r="E240" s="15" t="s">
        <v>1656</v>
      </c>
      <c r="F240" t="s">
        <v>14206</v>
      </c>
      <c r="G240" t="s">
        <v>104</v>
      </c>
      <c r="H240">
        <v>1392075</v>
      </c>
      <c r="I240">
        <v>1392452</v>
      </c>
      <c r="J240" s="15" t="s">
        <v>1656</v>
      </c>
      <c r="K240" t="s">
        <v>14206</v>
      </c>
      <c r="L240">
        <v>28</v>
      </c>
    </row>
    <row r="241" spans="1:12">
      <c r="A241" s="12">
        <v>30996</v>
      </c>
      <c r="B241" t="s">
        <v>279</v>
      </c>
      <c r="C241">
        <v>35515719</v>
      </c>
      <c r="D241">
        <v>35515966</v>
      </c>
      <c r="E241" s="15" t="s">
        <v>35</v>
      </c>
      <c r="F241" t="s">
        <v>2139</v>
      </c>
      <c r="G241" t="s">
        <v>279</v>
      </c>
      <c r="H241">
        <v>35516532</v>
      </c>
      <c r="I241">
        <v>35516845</v>
      </c>
      <c r="J241" s="15" t="s">
        <v>1656</v>
      </c>
      <c r="K241" t="s">
        <v>2139</v>
      </c>
      <c r="L241">
        <v>28</v>
      </c>
    </row>
    <row r="242" spans="1:12">
      <c r="A242" s="12">
        <v>30996</v>
      </c>
      <c r="B242" t="s">
        <v>292</v>
      </c>
      <c r="C242">
        <v>99524594</v>
      </c>
      <c r="D242">
        <v>99524958</v>
      </c>
      <c r="E242" s="15" t="s">
        <v>35</v>
      </c>
      <c r="F242" t="s">
        <v>4045</v>
      </c>
      <c r="G242" t="s">
        <v>292</v>
      </c>
      <c r="H242">
        <v>105788900</v>
      </c>
      <c r="I242">
        <v>105789081</v>
      </c>
      <c r="J242" s="15" t="s">
        <v>35</v>
      </c>
      <c r="K242" t="s">
        <v>1697</v>
      </c>
      <c r="L242">
        <v>28</v>
      </c>
    </row>
    <row r="243" spans="1:12">
      <c r="A243" s="12">
        <v>30996</v>
      </c>
      <c r="B243" t="s">
        <v>83</v>
      </c>
      <c r="C243">
        <v>18019280</v>
      </c>
      <c r="D243">
        <v>18019683</v>
      </c>
      <c r="E243" s="15" t="s">
        <v>1656</v>
      </c>
      <c r="F243" t="s">
        <v>4058</v>
      </c>
      <c r="G243" t="s">
        <v>83</v>
      </c>
      <c r="H243">
        <v>73347329</v>
      </c>
      <c r="I243">
        <v>73347721</v>
      </c>
      <c r="J243" s="15" t="s">
        <v>35</v>
      </c>
      <c r="K243" t="s">
        <v>1697</v>
      </c>
      <c r="L243">
        <v>27</v>
      </c>
    </row>
    <row r="244" spans="1:12">
      <c r="A244" s="12">
        <v>30996</v>
      </c>
      <c r="B244" t="s">
        <v>83</v>
      </c>
      <c r="C244">
        <v>94524652</v>
      </c>
      <c r="D244">
        <v>94524866</v>
      </c>
      <c r="E244" s="15" t="s">
        <v>1656</v>
      </c>
      <c r="F244" t="s">
        <v>4062</v>
      </c>
      <c r="G244" t="s">
        <v>83</v>
      </c>
      <c r="H244">
        <v>107818435</v>
      </c>
      <c r="I244">
        <v>107818704</v>
      </c>
      <c r="J244" s="15" t="s">
        <v>35</v>
      </c>
      <c r="K244" t="s">
        <v>14201</v>
      </c>
      <c r="L244">
        <v>27</v>
      </c>
    </row>
    <row r="245" spans="1:12">
      <c r="A245" s="12">
        <v>30996</v>
      </c>
      <c r="B245" t="s">
        <v>226</v>
      </c>
      <c r="C245">
        <v>228934</v>
      </c>
      <c r="D245">
        <v>229455</v>
      </c>
      <c r="E245" s="15" t="s">
        <v>35</v>
      </c>
      <c r="F245" t="s">
        <v>4012</v>
      </c>
      <c r="G245" t="s">
        <v>226</v>
      </c>
      <c r="H245">
        <v>5401104</v>
      </c>
      <c r="I245">
        <v>5401559</v>
      </c>
      <c r="J245" s="15" t="s">
        <v>1656</v>
      </c>
      <c r="K245" t="s">
        <v>1697</v>
      </c>
      <c r="L245">
        <v>27</v>
      </c>
    </row>
    <row r="246" spans="1:12">
      <c r="A246" s="12">
        <v>30996</v>
      </c>
      <c r="B246" t="s">
        <v>226</v>
      </c>
      <c r="C246">
        <v>5482530</v>
      </c>
      <c r="D246">
        <v>5482797</v>
      </c>
      <c r="E246" s="15" t="s">
        <v>1656</v>
      </c>
      <c r="F246" t="s">
        <v>1279</v>
      </c>
      <c r="G246" t="s">
        <v>120</v>
      </c>
      <c r="H246">
        <v>97230241</v>
      </c>
      <c r="I246">
        <v>97230321</v>
      </c>
      <c r="J246" s="15" t="s">
        <v>1656</v>
      </c>
      <c r="K246" t="s">
        <v>1697</v>
      </c>
      <c r="L246">
        <v>27</v>
      </c>
    </row>
    <row r="247" spans="1:12">
      <c r="A247" s="12">
        <v>30996</v>
      </c>
      <c r="B247" t="s">
        <v>292</v>
      </c>
      <c r="C247">
        <v>78215437</v>
      </c>
      <c r="D247">
        <v>78215609</v>
      </c>
      <c r="E247" s="15" t="s">
        <v>1656</v>
      </c>
      <c r="F247" t="s">
        <v>14222</v>
      </c>
      <c r="G247" t="s">
        <v>292</v>
      </c>
      <c r="H247">
        <v>119188053</v>
      </c>
      <c r="I247">
        <v>119188369</v>
      </c>
      <c r="J247" s="15" t="s">
        <v>1656</v>
      </c>
      <c r="K247" t="s">
        <v>817</v>
      </c>
      <c r="L247">
        <v>27</v>
      </c>
    </row>
    <row r="248" spans="1:12">
      <c r="A248" s="12">
        <v>30996</v>
      </c>
      <c r="B248" t="s">
        <v>292</v>
      </c>
      <c r="C248">
        <v>113544611</v>
      </c>
      <c r="D248">
        <v>113544659</v>
      </c>
      <c r="E248" s="15" t="s">
        <v>1656</v>
      </c>
      <c r="F248" t="s">
        <v>14225</v>
      </c>
      <c r="G248" t="s">
        <v>292</v>
      </c>
      <c r="H248">
        <v>119495608</v>
      </c>
      <c r="I248">
        <v>119495845</v>
      </c>
      <c r="J248" s="15" t="s">
        <v>35</v>
      </c>
      <c r="K248" t="s">
        <v>817</v>
      </c>
      <c r="L248">
        <v>27</v>
      </c>
    </row>
    <row r="249" spans="1:12">
      <c r="A249" s="12">
        <v>30996</v>
      </c>
      <c r="B249" t="s">
        <v>22</v>
      </c>
      <c r="C249">
        <v>220099746</v>
      </c>
      <c r="D249">
        <v>220099900</v>
      </c>
      <c r="E249" s="15" t="s">
        <v>35</v>
      </c>
      <c r="F249" t="s">
        <v>4006</v>
      </c>
      <c r="G249" t="s">
        <v>118</v>
      </c>
      <c r="H249">
        <v>26129354</v>
      </c>
      <c r="I249">
        <v>26129869</v>
      </c>
      <c r="J249" s="15" t="s">
        <v>35</v>
      </c>
      <c r="K249" t="s">
        <v>1697</v>
      </c>
      <c r="L249">
        <v>26</v>
      </c>
    </row>
    <row r="250" spans="1:12">
      <c r="A250" s="12">
        <v>30996</v>
      </c>
      <c r="B250" t="s">
        <v>83</v>
      </c>
      <c r="C250">
        <v>49920595</v>
      </c>
      <c r="D250">
        <v>49921074</v>
      </c>
      <c r="E250" s="15" t="s">
        <v>35</v>
      </c>
      <c r="F250" t="s">
        <v>1697</v>
      </c>
      <c r="G250" t="s">
        <v>83</v>
      </c>
      <c r="H250">
        <v>64134403</v>
      </c>
      <c r="I250">
        <v>64134616</v>
      </c>
      <c r="J250" s="15" t="s">
        <v>1656</v>
      </c>
      <c r="K250" t="s">
        <v>4070</v>
      </c>
      <c r="L250">
        <v>26</v>
      </c>
    </row>
    <row r="251" spans="1:12">
      <c r="A251" s="12">
        <v>30996</v>
      </c>
      <c r="B251" t="s">
        <v>172</v>
      </c>
      <c r="C251">
        <v>169564886</v>
      </c>
      <c r="D251">
        <v>169565273</v>
      </c>
      <c r="E251" s="15" t="s">
        <v>1656</v>
      </c>
      <c r="F251" t="s">
        <v>14212</v>
      </c>
      <c r="G251" t="s">
        <v>172</v>
      </c>
      <c r="H251">
        <v>224041005</v>
      </c>
      <c r="I251">
        <v>224041455</v>
      </c>
      <c r="J251" s="15" t="s">
        <v>1656</v>
      </c>
      <c r="K251" t="s">
        <v>1697</v>
      </c>
      <c r="L251">
        <v>26</v>
      </c>
    </row>
    <row r="252" spans="1:12">
      <c r="A252" s="12">
        <v>30996</v>
      </c>
      <c r="B252" t="s">
        <v>226</v>
      </c>
      <c r="C252">
        <v>1690575</v>
      </c>
      <c r="D252">
        <v>1690999</v>
      </c>
      <c r="E252" s="15" t="s">
        <v>1656</v>
      </c>
      <c r="F252" t="s">
        <v>1697</v>
      </c>
      <c r="G252" t="s">
        <v>120</v>
      </c>
      <c r="H252">
        <v>101503345</v>
      </c>
      <c r="I252">
        <v>101503723</v>
      </c>
      <c r="J252" s="15" t="s">
        <v>35</v>
      </c>
      <c r="K252" t="s">
        <v>3250</v>
      </c>
      <c r="L252">
        <v>26</v>
      </c>
    </row>
    <row r="253" spans="1:12">
      <c r="A253" s="12">
        <v>30996</v>
      </c>
      <c r="B253" t="s">
        <v>257</v>
      </c>
      <c r="C253">
        <v>56723036</v>
      </c>
      <c r="D253">
        <v>56723543</v>
      </c>
      <c r="E253" s="15" t="s">
        <v>35</v>
      </c>
      <c r="F253" t="s">
        <v>1697</v>
      </c>
      <c r="G253" t="s">
        <v>279</v>
      </c>
      <c r="H253">
        <v>40616606</v>
      </c>
      <c r="I253">
        <v>40617076</v>
      </c>
      <c r="J253" s="15" t="s">
        <v>1656</v>
      </c>
      <c r="K253" t="s">
        <v>4030</v>
      </c>
      <c r="L253">
        <v>26</v>
      </c>
    </row>
    <row r="254" spans="1:12">
      <c r="A254" s="12">
        <v>30996</v>
      </c>
      <c r="B254" t="s">
        <v>292</v>
      </c>
      <c r="C254">
        <v>78914591</v>
      </c>
      <c r="D254">
        <v>78914703</v>
      </c>
      <c r="E254" s="15" t="s">
        <v>35</v>
      </c>
      <c r="F254" t="s">
        <v>14223</v>
      </c>
      <c r="G254" t="s">
        <v>292</v>
      </c>
      <c r="H254">
        <v>124395494</v>
      </c>
      <c r="I254">
        <v>124395691</v>
      </c>
      <c r="J254" s="15" t="s">
        <v>35</v>
      </c>
      <c r="K254" t="s">
        <v>4038</v>
      </c>
      <c r="L254">
        <v>26</v>
      </c>
    </row>
    <row r="255" spans="1:12">
      <c r="A255" s="12">
        <v>30997</v>
      </c>
      <c r="B255" t="s">
        <v>237</v>
      </c>
      <c r="C255">
        <v>65881649</v>
      </c>
      <c r="D255">
        <v>65882154</v>
      </c>
      <c r="E255" s="15" t="s">
        <v>1656</v>
      </c>
      <c r="F255" t="s">
        <v>799</v>
      </c>
      <c r="G255" t="s">
        <v>237</v>
      </c>
      <c r="H255">
        <v>88297210</v>
      </c>
      <c r="I255">
        <v>88297663</v>
      </c>
      <c r="J255" s="15" t="s">
        <v>1656</v>
      </c>
      <c r="K255" t="s">
        <v>4085</v>
      </c>
      <c r="L255">
        <v>223</v>
      </c>
    </row>
    <row r="256" spans="1:12">
      <c r="A256" s="12">
        <v>30997</v>
      </c>
      <c r="B256" t="s">
        <v>279</v>
      </c>
      <c r="C256">
        <v>41371339</v>
      </c>
      <c r="D256">
        <v>41371791</v>
      </c>
      <c r="E256" s="15" t="s">
        <v>1656</v>
      </c>
      <c r="F256" t="s">
        <v>1697</v>
      </c>
      <c r="G256" t="s">
        <v>279</v>
      </c>
      <c r="H256">
        <v>41726931</v>
      </c>
      <c r="I256">
        <v>41727424</v>
      </c>
      <c r="J256" s="15" t="s">
        <v>35</v>
      </c>
      <c r="K256" t="s">
        <v>4087</v>
      </c>
      <c r="L256">
        <v>170</v>
      </c>
    </row>
    <row r="257" spans="1:12">
      <c r="A257" s="12">
        <v>30997</v>
      </c>
      <c r="B257" t="s">
        <v>104</v>
      </c>
      <c r="C257">
        <v>40265730</v>
      </c>
      <c r="D257">
        <v>40266132</v>
      </c>
      <c r="E257" s="15" t="s">
        <v>35</v>
      </c>
      <c r="F257" t="s">
        <v>4090</v>
      </c>
      <c r="G257" t="s">
        <v>104</v>
      </c>
      <c r="H257">
        <v>40265749</v>
      </c>
      <c r="I257">
        <v>40266123</v>
      </c>
      <c r="J257" s="15" t="s">
        <v>35</v>
      </c>
      <c r="K257" t="s">
        <v>4090</v>
      </c>
      <c r="L257">
        <v>78</v>
      </c>
    </row>
    <row r="258" spans="1:12">
      <c r="A258" s="12">
        <v>30997</v>
      </c>
      <c r="B258" t="s">
        <v>220</v>
      </c>
      <c r="C258">
        <v>185223507</v>
      </c>
      <c r="D258">
        <v>185223866</v>
      </c>
      <c r="E258" s="15" t="s">
        <v>1656</v>
      </c>
      <c r="F258" t="s">
        <v>1697</v>
      </c>
      <c r="G258" t="s">
        <v>220</v>
      </c>
      <c r="H258">
        <v>186876937</v>
      </c>
      <c r="I258">
        <v>186877393</v>
      </c>
      <c r="J258" s="15" t="s">
        <v>1656</v>
      </c>
      <c r="K258" t="s">
        <v>2700</v>
      </c>
      <c r="L258">
        <v>54</v>
      </c>
    </row>
    <row r="259" spans="1:12">
      <c r="A259" s="12">
        <v>30997</v>
      </c>
      <c r="B259" t="s">
        <v>257</v>
      </c>
      <c r="C259">
        <v>94290719</v>
      </c>
      <c r="D259">
        <v>94291182</v>
      </c>
      <c r="E259" s="15" t="s">
        <v>35</v>
      </c>
      <c r="F259" t="s">
        <v>2245</v>
      </c>
      <c r="G259" t="s">
        <v>257</v>
      </c>
      <c r="H259">
        <v>94290797</v>
      </c>
      <c r="I259">
        <v>94291188</v>
      </c>
      <c r="J259" s="15" t="s">
        <v>35</v>
      </c>
      <c r="K259" t="s">
        <v>2245</v>
      </c>
      <c r="L259">
        <v>46</v>
      </c>
    </row>
    <row r="260" spans="1:12">
      <c r="A260" s="12">
        <v>30997</v>
      </c>
      <c r="B260" t="s">
        <v>129</v>
      </c>
      <c r="C260">
        <v>34497485</v>
      </c>
      <c r="D260">
        <v>34497814</v>
      </c>
      <c r="E260" s="15" t="s">
        <v>35</v>
      </c>
      <c r="F260" t="s">
        <v>1697</v>
      </c>
      <c r="G260" t="s">
        <v>129</v>
      </c>
      <c r="H260">
        <v>56505915</v>
      </c>
      <c r="I260">
        <v>56506388</v>
      </c>
      <c r="J260" s="15" t="s">
        <v>1656</v>
      </c>
      <c r="K260" t="s">
        <v>4091</v>
      </c>
      <c r="L260">
        <v>41</v>
      </c>
    </row>
    <row r="261" spans="1:12">
      <c r="A261" s="12">
        <v>30997</v>
      </c>
      <c r="B261" t="s">
        <v>201</v>
      </c>
      <c r="C261">
        <v>59993814</v>
      </c>
      <c r="D261">
        <v>59994349</v>
      </c>
      <c r="E261" s="15" t="s">
        <v>1656</v>
      </c>
      <c r="F261" t="s">
        <v>2067</v>
      </c>
      <c r="G261" t="s">
        <v>201</v>
      </c>
      <c r="H261">
        <v>60144450</v>
      </c>
      <c r="I261">
        <v>60144835</v>
      </c>
      <c r="J261" s="15" t="s">
        <v>1656</v>
      </c>
      <c r="K261" t="s">
        <v>2067</v>
      </c>
      <c r="L261">
        <v>37</v>
      </c>
    </row>
    <row r="262" spans="1:12">
      <c r="A262" s="12">
        <v>30997</v>
      </c>
      <c r="B262" t="s">
        <v>22</v>
      </c>
      <c r="C262">
        <v>233257103</v>
      </c>
      <c r="D262">
        <v>233257534</v>
      </c>
      <c r="E262" s="15" t="s">
        <v>1656</v>
      </c>
      <c r="F262" t="s">
        <v>2986</v>
      </c>
      <c r="G262" t="s">
        <v>22</v>
      </c>
      <c r="H262">
        <v>233452325</v>
      </c>
      <c r="I262">
        <v>233452742</v>
      </c>
      <c r="J262" s="15" t="s">
        <v>1656</v>
      </c>
      <c r="K262" t="s">
        <v>1697</v>
      </c>
      <c r="L262">
        <v>29</v>
      </c>
    </row>
    <row r="263" spans="1:12">
      <c r="A263" s="12">
        <v>30997</v>
      </c>
      <c r="B263" t="s">
        <v>201</v>
      </c>
      <c r="C263">
        <v>16274245</v>
      </c>
      <c r="D263">
        <v>16274597</v>
      </c>
      <c r="E263" s="15" t="s">
        <v>1656</v>
      </c>
      <c r="F263" t="s">
        <v>1697</v>
      </c>
      <c r="G263" t="s">
        <v>201</v>
      </c>
      <c r="H263">
        <v>16415787</v>
      </c>
      <c r="I263">
        <v>16416118</v>
      </c>
      <c r="J263" s="15" t="s">
        <v>1656</v>
      </c>
      <c r="K263" t="s">
        <v>14197</v>
      </c>
      <c r="L263">
        <v>29</v>
      </c>
    </row>
    <row r="264" spans="1:12">
      <c r="A264" s="12">
        <v>30997</v>
      </c>
      <c r="B264" t="s">
        <v>104</v>
      </c>
      <c r="C264">
        <v>27531216</v>
      </c>
      <c r="D264">
        <v>27531652</v>
      </c>
      <c r="E264" s="15" t="s">
        <v>1656</v>
      </c>
      <c r="F264" t="s">
        <v>4088</v>
      </c>
      <c r="G264" t="s">
        <v>104</v>
      </c>
      <c r="H264">
        <v>27753795</v>
      </c>
      <c r="I264">
        <v>27754212</v>
      </c>
      <c r="J264" s="15" t="s">
        <v>1656</v>
      </c>
      <c r="K264" t="s">
        <v>4089</v>
      </c>
      <c r="L264">
        <v>27</v>
      </c>
    </row>
    <row r="265" spans="1:12">
      <c r="A265" s="12">
        <v>30997</v>
      </c>
      <c r="B265" t="s">
        <v>237</v>
      </c>
      <c r="C265">
        <v>64369437</v>
      </c>
      <c r="D265">
        <v>64369980</v>
      </c>
      <c r="E265" s="15" t="s">
        <v>1656</v>
      </c>
      <c r="F265" t="s">
        <v>4084</v>
      </c>
      <c r="G265" t="s">
        <v>237</v>
      </c>
      <c r="H265">
        <v>64417787</v>
      </c>
      <c r="I265">
        <v>64418322</v>
      </c>
      <c r="J265" s="15" t="s">
        <v>1656</v>
      </c>
      <c r="K265" t="s">
        <v>4084</v>
      </c>
      <c r="L265">
        <v>27</v>
      </c>
    </row>
    <row r="266" spans="1:12">
      <c r="A266" s="12">
        <v>31107</v>
      </c>
      <c r="B266" t="s">
        <v>172</v>
      </c>
      <c r="C266">
        <v>37472032</v>
      </c>
      <c r="D266">
        <v>37472455</v>
      </c>
      <c r="E266" s="15" t="s">
        <v>1656</v>
      </c>
      <c r="F266" t="s">
        <v>3974</v>
      </c>
      <c r="G266" t="s">
        <v>172</v>
      </c>
      <c r="H266">
        <v>37498320</v>
      </c>
      <c r="I266">
        <v>37498649</v>
      </c>
      <c r="J266" s="15" t="s">
        <v>1656</v>
      </c>
      <c r="K266" t="s">
        <v>3975</v>
      </c>
      <c r="L266">
        <v>38</v>
      </c>
    </row>
    <row r="267" spans="1:12">
      <c r="A267" s="12">
        <v>31107</v>
      </c>
      <c r="B267" t="s">
        <v>135</v>
      </c>
      <c r="C267">
        <v>54477214</v>
      </c>
      <c r="D267">
        <v>54477568</v>
      </c>
      <c r="E267" s="15" t="s">
        <v>1656</v>
      </c>
      <c r="F267" t="s">
        <v>3976</v>
      </c>
      <c r="G267" t="s">
        <v>135</v>
      </c>
      <c r="H267">
        <v>54516004</v>
      </c>
      <c r="I267">
        <v>54516512</v>
      </c>
      <c r="J267" s="15" t="s">
        <v>1656</v>
      </c>
      <c r="K267" t="s">
        <v>3976</v>
      </c>
      <c r="L267">
        <v>30</v>
      </c>
    </row>
    <row r="268" spans="1:12">
      <c r="A268" s="12">
        <v>31119</v>
      </c>
      <c r="B268" t="s">
        <v>201</v>
      </c>
      <c r="C268">
        <v>185865583</v>
      </c>
      <c r="D268">
        <v>185866064</v>
      </c>
      <c r="E268" s="15" t="s">
        <v>1656</v>
      </c>
      <c r="F268" t="s">
        <v>4096</v>
      </c>
      <c r="G268" t="s">
        <v>201</v>
      </c>
      <c r="H268">
        <v>185868152</v>
      </c>
      <c r="I268">
        <v>185868638</v>
      </c>
      <c r="J268" s="15" t="s">
        <v>1656</v>
      </c>
      <c r="K268" t="s">
        <v>4096</v>
      </c>
      <c r="L268">
        <v>164</v>
      </c>
    </row>
    <row r="269" spans="1:12">
      <c r="A269" s="12">
        <v>31119</v>
      </c>
      <c r="B269" t="s">
        <v>201</v>
      </c>
      <c r="C269">
        <v>2429327</v>
      </c>
      <c r="D269">
        <v>2429698</v>
      </c>
      <c r="E269" s="15" t="s">
        <v>1656</v>
      </c>
      <c r="F269" t="s">
        <v>2064</v>
      </c>
      <c r="G269" t="s">
        <v>201</v>
      </c>
      <c r="H269">
        <v>23204427</v>
      </c>
      <c r="I269">
        <v>23204813</v>
      </c>
      <c r="J269" s="15" t="s">
        <v>1656</v>
      </c>
      <c r="K269" t="s">
        <v>1697</v>
      </c>
      <c r="L269">
        <v>62</v>
      </c>
    </row>
    <row r="270" spans="1:12">
      <c r="A270" s="12">
        <v>31119</v>
      </c>
      <c r="B270" t="s">
        <v>201</v>
      </c>
      <c r="C270">
        <v>62231830</v>
      </c>
      <c r="D270">
        <v>62232219</v>
      </c>
      <c r="E270" s="15" t="s">
        <v>35</v>
      </c>
      <c r="F270" t="s">
        <v>4095</v>
      </c>
      <c r="G270" t="s">
        <v>201</v>
      </c>
      <c r="H270">
        <v>74634712</v>
      </c>
      <c r="I270">
        <v>74635103</v>
      </c>
      <c r="J270" s="15" t="s">
        <v>35</v>
      </c>
      <c r="K270" t="s">
        <v>1697</v>
      </c>
      <c r="L270">
        <v>58</v>
      </c>
    </row>
    <row r="271" spans="1:12">
      <c r="A271" s="12">
        <v>31119</v>
      </c>
      <c r="B271" t="s">
        <v>201</v>
      </c>
      <c r="C271">
        <v>51822893</v>
      </c>
      <c r="D271">
        <v>51823398</v>
      </c>
      <c r="E271" s="15" t="s">
        <v>35</v>
      </c>
      <c r="F271" t="s">
        <v>1697</v>
      </c>
      <c r="G271" t="s">
        <v>201</v>
      </c>
      <c r="H271">
        <v>60730033</v>
      </c>
      <c r="I271">
        <v>60730375</v>
      </c>
      <c r="J271" s="15" t="s">
        <v>35</v>
      </c>
      <c r="K271" t="s">
        <v>2067</v>
      </c>
      <c r="L271">
        <v>45</v>
      </c>
    </row>
    <row r="272" spans="1:12">
      <c r="A272" s="12">
        <v>31119</v>
      </c>
      <c r="B272" t="s">
        <v>133</v>
      </c>
      <c r="C272">
        <v>1228317</v>
      </c>
      <c r="D272">
        <v>1228700</v>
      </c>
      <c r="E272" s="15" t="s">
        <v>1656</v>
      </c>
      <c r="F272" t="s">
        <v>1697</v>
      </c>
      <c r="G272" t="s">
        <v>133</v>
      </c>
      <c r="H272">
        <v>1515692</v>
      </c>
      <c r="I272">
        <v>1516019</v>
      </c>
      <c r="J272" s="15" t="s">
        <v>35</v>
      </c>
      <c r="K272" t="s">
        <v>4097</v>
      </c>
      <c r="L272">
        <v>38</v>
      </c>
    </row>
    <row r="273" spans="1:12">
      <c r="A273" s="12">
        <v>31119</v>
      </c>
      <c r="B273" t="s">
        <v>201</v>
      </c>
      <c r="C273">
        <v>45472375</v>
      </c>
      <c r="D273">
        <v>45472858</v>
      </c>
      <c r="E273" s="15" t="s">
        <v>1656</v>
      </c>
      <c r="F273" t="s">
        <v>4094</v>
      </c>
      <c r="G273" t="s">
        <v>201</v>
      </c>
      <c r="H273">
        <v>67582030</v>
      </c>
      <c r="I273">
        <v>67582399</v>
      </c>
      <c r="J273" s="15" t="s">
        <v>1656</v>
      </c>
      <c r="K273" t="s">
        <v>1832</v>
      </c>
      <c r="L273">
        <v>37</v>
      </c>
    </row>
    <row r="274" spans="1:12">
      <c r="A274" s="12">
        <v>31119</v>
      </c>
      <c r="B274" t="s">
        <v>133</v>
      </c>
      <c r="C274">
        <v>1222854</v>
      </c>
      <c r="D274">
        <v>1223302</v>
      </c>
      <c r="E274" s="15" t="s">
        <v>35</v>
      </c>
      <c r="F274" t="s">
        <v>1697</v>
      </c>
      <c r="G274" t="s">
        <v>133</v>
      </c>
      <c r="H274">
        <v>1516267</v>
      </c>
      <c r="I274">
        <v>1516540</v>
      </c>
      <c r="J274" s="15" t="s">
        <v>1656</v>
      </c>
      <c r="K274" t="s">
        <v>4097</v>
      </c>
      <c r="L274">
        <v>30</v>
      </c>
    </row>
    <row r="275" spans="1:12">
      <c r="A275" s="12">
        <v>31656</v>
      </c>
      <c r="B275" t="s">
        <v>118</v>
      </c>
      <c r="C275">
        <v>34049595</v>
      </c>
      <c r="D275">
        <v>34049999</v>
      </c>
      <c r="E275" s="15" t="s">
        <v>35</v>
      </c>
      <c r="F275" t="s">
        <v>3967</v>
      </c>
      <c r="G275" t="s">
        <v>118</v>
      </c>
      <c r="H275">
        <v>34050618</v>
      </c>
      <c r="I275">
        <v>34051146</v>
      </c>
      <c r="J275" s="15" t="s">
        <v>1656</v>
      </c>
      <c r="K275" t="s">
        <v>3967</v>
      </c>
      <c r="L275">
        <v>104</v>
      </c>
    </row>
    <row r="276" spans="1:12">
      <c r="A276" s="12">
        <v>31656</v>
      </c>
      <c r="B276" t="s">
        <v>220</v>
      </c>
      <c r="C276">
        <v>9847971</v>
      </c>
      <c r="D276">
        <v>9848440</v>
      </c>
      <c r="E276" s="15" t="s">
        <v>35</v>
      </c>
      <c r="F276" t="s">
        <v>3965</v>
      </c>
      <c r="G276" t="s">
        <v>257</v>
      </c>
      <c r="H276">
        <v>63819893</v>
      </c>
      <c r="I276">
        <v>63820367</v>
      </c>
      <c r="J276" s="15" t="s">
        <v>1656</v>
      </c>
      <c r="K276" t="s">
        <v>1697</v>
      </c>
      <c r="L276">
        <v>93</v>
      </c>
    </row>
    <row r="277" spans="1:12">
      <c r="A277" s="12">
        <v>31656</v>
      </c>
      <c r="B277" t="s">
        <v>118</v>
      </c>
      <c r="C277">
        <v>32056287</v>
      </c>
      <c r="D277">
        <v>32056753</v>
      </c>
      <c r="E277" s="15" t="s">
        <v>35</v>
      </c>
      <c r="F277" t="s">
        <v>3966</v>
      </c>
      <c r="G277" t="s">
        <v>118</v>
      </c>
      <c r="H277">
        <v>32058446</v>
      </c>
      <c r="I277">
        <v>32058742</v>
      </c>
      <c r="J277" s="15" t="s">
        <v>1656</v>
      </c>
      <c r="K277" t="s">
        <v>3966</v>
      </c>
      <c r="L277">
        <v>82</v>
      </c>
    </row>
    <row r="278" spans="1:12">
      <c r="A278" s="12">
        <v>31656</v>
      </c>
      <c r="B278" t="s">
        <v>292</v>
      </c>
      <c r="C278">
        <v>84273999</v>
      </c>
      <c r="D278">
        <v>84274161</v>
      </c>
      <c r="E278" s="15" t="s">
        <v>35</v>
      </c>
      <c r="F278" t="s">
        <v>2250</v>
      </c>
      <c r="G278" t="s">
        <v>118</v>
      </c>
      <c r="H278">
        <v>38626822</v>
      </c>
      <c r="I278">
        <v>38627296</v>
      </c>
      <c r="J278" s="15" t="s">
        <v>1656</v>
      </c>
      <c r="K278" t="s">
        <v>1697</v>
      </c>
      <c r="L278">
        <v>79</v>
      </c>
    </row>
    <row r="279" spans="1:12">
      <c r="A279" s="12">
        <v>31656</v>
      </c>
      <c r="B279" t="s">
        <v>292</v>
      </c>
      <c r="C279">
        <v>84274022</v>
      </c>
      <c r="D279">
        <v>84274159</v>
      </c>
      <c r="E279" s="15" t="s">
        <v>1656</v>
      </c>
      <c r="F279" t="s">
        <v>2250</v>
      </c>
      <c r="G279" t="s">
        <v>118</v>
      </c>
      <c r="H279">
        <v>38627878</v>
      </c>
      <c r="I279">
        <v>38628116</v>
      </c>
      <c r="J279" s="15" t="s">
        <v>1656</v>
      </c>
      <c r="K279" t="s">
        <v>1697</v>
      </c>
      <c r="L279">
        <v>37</v>
      </c>
    </row>
    <row r="280" spans="1:12">
      <c r="A280" s="12" t="s">
        <v>1427</v>
      </c>
      <c r="B280" t="s">
        <v>104</v>
      </c>
      <c r="C280">
        <v>13698983</v>
      </c>
      <c r="D280">
        <v>13699543</v>
      </c>
      <c r="E280" s="15" t="s">
        <v>35</v>
      </c>
      <c r="F280" t="s">
        <v>1697</v>
      </c>
      <c r="G280" t="s">
        <v>139</v>
      </c>
      <c r="H280">
        <v>19132194</v>
      </c>
      <c r="I280">
        <v>19132612</v>
      </c>
      <c r="J280" s="15" t="s">
        <v>1656</v>
      </c>
      <c r="K280" t="s">
        <v>14190</v>
      </c>
      <c r="L280">
        <v>841</v>
      </c>
    </row>
    <row r="281" spans="1:12">
      <c r="A281" s="12" t="s">
        <v>1427</v>
      </c>
      <c r="B281" t="s">
        <v>104</v>
      </c>
      <c r="C281">
        <v>13661641</v>
      </c>
      <c r="D281">
        <v>13662164</v>
      </c>
      <c r="E281" s="15" t="s">
        <v>1656</v>
      </c>
      <c r="F281" t="s">
        <v>1697</v>
      </c>
      <c r="G281" t="s">
        <v>139</v>
      </c>
      <c r="H281">
        <v>18893339</v>
      </c>
      <c r="I281">
        <v>18893929</v>
      </c>
      <c r="J281" s="15" t="s">
        <v>35</v>
      </c>
      <c r="K281" t="s">
        <v>4100</v>
      </c>
      <c r="L281">
        <v>806</v>
      </c>
    </row>
    <row r="282" spans="1:12">
      <c r="A282" s="12" t="s">
        <v>1427</v>
      </c>
      <c r="B282" t="s">
        <v>104</v>
      </c>
      <c r="C282">
        <v>18203954</v>
      </c>
      <c r="D282">
        <v>18204315</v>
      </c>
      <c r="E282" s="15" t="s">
        <v>35</v>
      </c>
      <c r="F282" t="s">
        <v>1697</v>
      </c>
      <c r="G282" t="s">
        <v>139</v>
      </c>
      <c r="H282">
        <v>18235630</v>
      </c>
      <c r="I282">
        <v>18236155</v>
      </c>
      <c r="J282" s="15" t="s">
        <v>1656</v>
      </c>
      <c r="K282" t="s">
        <v>4103</v>
      </c>
      <c r="L282">
        <v>225</v>
      </c>
    </row>
    <row r="283" spans="1:12">
      <c r="A283" s="12" t="s">
        <v>1427</v>
      </c>
      <c r="B283" t="s">
        <v>279</v>
      </c>
      <c r="C283">
        <v>116108650</v>
      </c>
      <c r="D283">
        <v>116109131</v>
      </c>
      <c r="E283" s="15" t="s">
        <v>1656</v>
      </c>
      <c r="F283" t="s">
        <v>1697</v>
      </c>
      <c r="G283" t="s">
        <v>279</v>
      </c>
      <c r="H283">
        <v>139187769</v>
      </c>
      <c r="I283">
        <v>139188216</v>
      </c>
      <c r="J283" s="15" t="s">
        <v>35</v>
      </c>
      <c r="K283" t="s">
        <v>2782</v>
      </c>
      <c r="L283">
        <v>198</v>
      </c>
    </row>
    <row r="284" spans="1:12">
      <c r="A284" s="12" t="s">
        <v>1427</v>
      </c>
      <c r="B284" t="s">
        <v>279</v>
      </c>
      <c r="C284">
        <v>81700391</v>
      </c>
      <c r="D284">
        <v>81700883</v>
      </c>
      <c r="E284" s="15" t="s">
        <v>1656</v>
      </c>
      <c r="F284" t="s">
        <v>14191</v>
      </c>
      <c r="G284" t="s">
        <v>279</v>
      </c>
      <c r="H284">
        <v>81775175</v>
      </c>
      <c r="I284">
        <v>81775648</v>
      </c>
      <c r="J284" s="15" t="s">
        <v>1656</v>
      </c>
      <c r="K284" t="s">
        <v>14191</v>
      </c>
      <c r="L284">
        <v>148</v>
      </c>
    </row>
    <row r="285" spans="1:12">
      <c r="A285" s="12" t="s">
        <v>1427</v>
      </c>
      <c r="B285" t="s">
        <v>279</v>
      </c>
      <c r="C285">
        <v>127568500</v>
      </c>
      <c r="D285">
        <v>127569033</v>
      </c>
      <c r="E285" s="15" t="s">
        <v>1656</v>
      </c>
      <c r="F285" t="s">
        <v>1705</v>
      </c>
      <c r="G285" t="s">
        <v>279</v>
      </c>
      <c r="H285">
        <v>139188359</v>
      </c>
      <c r="I285">
        <v>139188796</v>
      </c>
      <c r="J285" s="15" t="s">
        <v>1656</v>
      </c>
      <c r="K285" t="s">
        <v>2782</v>
      </c>
      <c r="L285">
        <v>142</v>
      </c>
    </row>
    <row r="286" spans="1:12">
      <c r="A286" s="12" t="s">
        <v>1427</v>
      </c>
      <c r="B286" t="s">
        <v>339</v>
      </c>
      <c r="C286">
        <v>95693612</v>
      </c>
      <c r="D286">
        <v>95694125</v>
      </c>
      <c r="E286" s="15" t="s">
        <v>1656</v>
      </c>
      <c r="F286" t="s">
        <v>4105</v>
      </c>
      <c r="G286" t="s">
        <v>339</v>
      </c>
      <c r="H286">
        <v>95695041</v>
      </c>
      <c r="I286">
        <v>95695556</v>
      </c>
      <c r="J286" s="15" t="s">
        <v>1656</v>
      </c>
      <c r="K286" t="s">
        <v>4105</v>
      </c>
      <c r="L286">
        <v>133</v>
      </c>
    </row>
    <row r="287" spans="1:12">
      <c r="A287" s="12" t="s">
        <v>1427</v>
      </c>
      <c r="B287" t="s">
        <v>279</v>
      </c>
      <c r="C287">
        <v>56019769</v>
      </c>
      <c r="D287">
        <v>56020419</v>
      </c>
      <c r="E287" s="15" t="s">
        <v>35</v>
      </c>
      <c r="F287" t="s">
        <v>4099</v>
      </c>
      <c r="G287" t="s">
        <v>279</v>
      </c>
      <c r="H287">
        <v>76962300</v>
      </c>
      <c r="I287">
        <v>76962673</v>
      </c>
      <c r="J287" s="15" t="s">
        <v>1656</v>
      </c>
      <c r="K287" t="s">
        <v>1697</v>
      </c>
      <c r="L287">
        <v>119</v>
      </c>
    </row>
    <row r="288" spans="1:12">
      <c r="A288" s="12" t="s">
        <v>1427</v>
      </c>
      <c r="B288" t="s">
        <v>104</v>
      </c>
      <c r="C288">
        <v>15084999</v>
      </c>
      <c r="D288">
        <v>15085524</v>
      </c>
      <c r="E288" s="15" t="s">
        <v>1656</v>
      </c>
      <c r="F288" t="s">
        <v>4101</v>
      </c>
      <c r="G288" t="s">
        <v>104</v>
      </c>
      <c r="H288">
        <v>21793585</v>
      </c>
      <c r="I288">
        <v>21794091</v>
      </c>
      <c r="J288" s="15" t="s">
        <v>35</v>
      </c>
      <c r="K288" t="s">
        <v>4102</v>
      </c>
      <c r="L288">
        <v>111</v>
      </c>
    </row>
    <row r="289" spans="1:12">
      <c r="A289" s="12" t="s">
        <v>1427</v>
      </c>
      <c r="B289" t="s">
        <v>104</v>
      </c>
      <c r="C289">
        <v>69034489</v>
      </c>
      <c r="D289">
        <v>69034877</v>
      </c>
      <c r="E289" s="15" t="s">
        <v>1656</v>
      </c>
      <c r="F289" t="s">
        <v>450</v>
      </c>
      <c r="G289" t="s">
        <v>104</v>
      </c>
      <c r="H289">
        <v>69035215</v>
      </c>
      <c r="I289">
        <v>69035605</v>
      </c>
      <c r="J289" s="15" t="s">
        <v>35</v>
      </c>
      <c r="K289" t="s">
        <v>450</v>
      </c>
      <c r="L289">
        <v>110</v>
      </c>
    </row>
    <row r="290" spans="1:12">
      <c r="A290" s="12" t="s">
        <v>1427</v>
      </c>
      <c r="B290" t="s">
        <v>292</v>
      </c>
      <c r="C290">
        <v>27520563</v>
      </c>
      <c r="D290">
        <v>27521052</v>
      </c>
      <c r="E290" s="15" t="s">
        <v>35</v>
      </c>
      <c r="F290" t="s">
        <v>14192</v>
      </c>
      <c r="G290" t="s">
        <v>292</v>
      </c>
      <c r="H290">
        <v>27521674</v>
      </c>
      <c r="I290">
        <v>27522053</v>
      </c>
      <c r="J290" s="15" t="s">
        <v>1656</v>
      </c>
      <c r="K290" t="s">
        <v>14192</v>
      </c>
      <c r="L290">
        <v>108</v>
      </c>
    </row>
    <row r="291" spans="1:12">
      <c r="A291" s="12" t="s">
        <v>1427</v>
      </c>
      <c r="B291" t="s">
        <v>104</v>
      </c>
      <c r="C291">
        <v>21718357</v>
      </c>
      <c r="D291">
        <v>21718484</v>
      </c>
      <c r="E291" s="15" t="s">
        <v>1656</v>
      </c>
      <c r="F291" t="s">
        <v>4104</v>
      </c>
      <c r="G291" t="s">
        <v>104</v>
      </c>
      <c r="H291">
        <v>60949158</v>
      </c>
      <c r="I291">
        <v>60949711</v>
      </c>
      <c r="J291" s="15" t="s">
        <v>35</v>
      </c>
      <c r="K291" t="s">
        <v>1697</v>
      </c>
      <c r="L291">
        <v>106</v>
      </c>
    </row>
    <row r="292" spans="1:12">
      <c r="A292" s="12" t="s">
        <v>1427</v>
      </c>
      <c r="B292" t="s">
        <v>139</v>
      </c>
      <c r="C292">
        <v>21328790</v>
      </c>
      <c r="D292">
        <v>21329023</v>
      </c>
      <c r="E292" s="15" t="s">
        <v>35</v>
      </c>
      <c r="F292" t="s">
        <v>4107</v>
      </c>
      <c r="G292" t="s">
        <v>139</v>
      </c>
      <c r="H292">
        <v>30014540</v>
      </c>
      <c r="I292">
        <v>30015036</v>
      </c>
      <c r="J292" s="15" t="s">
        <v>1656</v>
      </c>
      <c r="K292" t="s">
        <v>1697</v>
      </c>
      <c r="L292">
        <v>89</v>
      </c>
    </row>
    <row r="293" spans="1:12">
      <c r="A293" s="12" t="s">
        <v>1427</v>
      </c>
      <c r="B293" t="s">
        <v>226</v>
      </c>
      <c r="C293">
        <v>26674681</v>
      </c>
      <c r="D293">
        <v>26675175</v>
      </c>
      <c r="E293" s="15" t="s">
        <v>1656</v>
      </c>
      <c r="F293" t="s">
        <v>1697</v>
      </c>
      <c r="G293" t="s">
        <v>279</v>
      </c>
      <c r="H293">
        <v>127569103</v>
      </c>
      <c r="I293">
        <v>127569657</v>
      </c>
      <c r="J293" s="15" t="s">
        <v>1656</v>
      </c>
      <c r="K293" t="s">
        <v>1705</v>
      </c>
      <c r="L293">
        <v>82</v>
      </c>
    </row>
    <row r="294" spans="1:12">
      <c r="A294" s="12" t="s">
        <v>1427</v>
      </c>
      <c r="B294" t="s">
        <v>104</v>
      </c>
      <c r="C294">
        <v>18196709</v>
      </c>
      <c r="D294">
        <v>18197171</v>
      </c>
      <c r="E294" s="15" t="s">
        <v>1656</v>
      </c>
      <c r="F294" t="s">
        <v>1697</v>
      </c>
      <c r="G294" t="s">
        <v>139</v>
      </c>
      <c r="H294">
        <v>18235036</v>
      </c>
      <c r="I294">
        <v>18235137</v>
      </c>
      <c r="J294" s="15" t="s">
        <v>1656</v>
      </c>
      <c r="K294" t="s">
        <v>4103</v>
      </c>
      <c r="L294">
        <v>76</v>
      </c>
    </row>
    <row r="295" spans="1:12">
      <c r="A295" s="12" t="s">
        <v>1427</v>
      </c>
      <c r="B295" t="s">
        <v>172</v>
      </c>
      <c r="C295">
        <v>209159598</v>
      </c>
      <c r="D295">
        <v>209160023</v>
      </c>
      <c r="E295" s="15" t="s">
        <v>1656</v>
      </c>
      <c r="F295" t="s">
        <v>4098</v>
      </c>
      <c r="G295" t="s">
        <v>172</v>
      </c>
      <c r="H295">
        <v>211997797</v>
      </c>
      <c r="I295">
        <v>211998277</v>
      </c>
      <c r="J295" s="15" t="s">
        <v>1656</v>
      </c>
      <c r="K295" t="s">
        <v>1697</v>
      </c>
      <c r="L295">
        <v>75</v>
      </c>
    </row>
    <row r="296" spans="1:12">
      <c r="A296" s="12" t="s">
        <v>1427</v>
      </c>
      <c r="B296" t="s">
        <v>139</v>
      </c>
      <c r="C296">
        <v>18265461</v>
      </c>
      <c r="D296">
        <v>18265890</v>
      </c>
      <c r="E296" s="15" t="s">
        <v>1656</v>
      </c>
      <c r="F296" t="s">
        <v>4106</v>
      </c>
      <c r="G296" t="s">
        <v>139</v>
      </c>
      <c r="H296">
        <v>20635345</v>
      </c>
      <c r="I296">
        <v>20635652</v>
      </c>
      <c r="J296" s="15" t="s">
        <v>1656</v>
      </c>
      <c r="K296" t="s">
        <v>1697</v>
      </c>
      <c r="L296">
        <v>73</v>
      </c>
    </row>
    <row r="297" spans="1:12">
      <c r="A297" s="12" t="s">
        <v>1427</v>
      </c>
      <c r="B297" t="s">
        <v>279</v>
      </c>
      <c r="C297">
        <v>56019308</v>
      </c>
      <c r="D297">
        <v>56019772</v>
      </c>
      <c r="E297" s="15" t="s">
        <v>1656</v>
      </c>
      <c r="F297" t="s">
        <v>4099</v>
      </c>
      <c r="G297" t="s">
        <v>279</v>
      </c>
      <c r="H297">
        <v>56358144</v>
      </c>
      <c r="I297">
        <v>56358709</v>
      </c>
      <c r="J297" s="15" t="s">
        <v>1656</v>
      </c>
      <c r="K297" t="s">
        <v>4099</v>
      </c>
      <c r="L297">
        <v>67</v>
      </c>
    </row>
    <row r="298" spans="1:12">
      <c r="A298" s="12" t="s">
        <v>1427</v>
      </c>
      <c r="B298" t="s">
        <v>139</v>
      </c>
      <c r="C298">
        <v>22254820</v>
      </c>
      <c r="D298">
        <v>22255206</v>
      </c>
      <c r="E298" s="15" t="s">
        <v>1656</v>
      </c>
      <c r="F298" t="s">
        <v>144</v>
      </c>
      <c r="G298" t="s">
        <v>139</v>
      </c>
      <c r="H298">
        <v>22257227</v>
      </c>
      <c r="I298">
        <v>22257771</v>
      </c>
      <c r="J298" s="15" t="s">
        <v>1656</v>
      </c>
      <c r="K298" t="s">
        <v>144</v>
      </c>
      <c r="L298">
        <v>57</v>
      </c>
    </row>
    <row r="299" spans="1:12">
      <c r="A299" s="12" t="s">
        <v>1427</v>
      </c>
      <c r="B299" t="s">
        <v>139</v>
      </c>
      <c r="C299">
        <v>29769865</v>
      </c>
      <c r="D299">
        <v>29770357</v>
      </c>
      <c r="E299" s="15" t="s">
        <v>1656</v>
      </c>
      <c r="F299" t="s">
        <v>1697</v>
      </c>
      <c r="G299" t="s">
        <v>139</v>
      </c>
      <c r="H299">
        <v>30039105</v>
      </c>
      <c r="I299">
        <v>30039593</v>
      </c>
      <c r="J299" s="15" t="s">
        <v>35</v>
      </c>
      <c r="K299" t="s">
        <v>4108</v>
      </c>
      <c r="L299">
        <v>55</v>
      </c>
    </row>
    <row r="300" spans="1:12">
      <c r="A300" s="12" t="s">
        <v>1427</v>
      </c>
      <c r="B300" t="s">
        <v>139</v>
      </c>
      <c r="C300">
        <v>18235034</v>
      </c>
      <c r="D300">
        <v>18235135</v>
      </c>
      <c r="E300" s="15" t="s">
        <v>1656</v>
      </c>
      <c r="F300" t="s">
        <v>4103</v>
      </c>
      <c r="G300" t="s">
        <v>139</v>
      </c>
      <c r="H300">
        <v>20640502</v>
      </c>
      <c r="I300">
        <v>20640922</v>
      </c>
      <c r="J300" s="15" t="s">
        <v>35</v>
      </c>
      <c r="K300" t="s">
        <v>1697</v>
      </c>
      <c r="L300">
        <v>36</v>
      </c>
    </row>
    <row r="301" spans="1:12">
      <c r="A301" s="12" t="s">
        <v>1554</v>
      </c>
      <c r="B301" t="s">
        <v>139</v>
      </c>
      <c r="C301">
        <v>30243211</v>
      </c>
      <c r="D301">
        <v>30243753</v>
      </c>
      <c r="E301" s="15" t="s">
        <v>35</v>
      </c>
      <c r="F301" t="s">
        <v>1697</v>
      </c>
      <c r="G301" t="s">
        <v>139</v>
      </c>
      <c r="H301">
        <v>30314453</v>
      </c>
      <c r="I301">
        <v>30314988</v>
      </c>
      <c r="J301" s="15" t="s">
        <v>35</v>
      </c>
      <c r="K301" t="s">
        <v>1688</v>
      </c>
      <c r="L301">
        <v>428</v>
      </c>
    </row>
    <row r="302" spans="1:12">
      <c r="A302" s="12" t="s">
        <v>1554</v>
      </c>
      <c r="B302" t="s">
        <v>22</v>
      </c>
      <c r="C302">
        <v>150444402</v>
      </c>
      <c r="D302">
        <v>150444903</v>
      </c>
      <c r="E302" s="15" t="s">
        <v>35</v>
      </c>
      <c r="F302" t="s">
        <v>2249</v>
      </c>
      <c r="G302" t="s">
        <v>292</v>
      </c>
      <c r="H302">
        <v>134431056</v>
      </c>
      <c r="I302">
        <v>134431599</v>
      </c>
      <c r="J302" s="15" t="s">
        <v>35</v>
      </c>
      <c r="K302" t="s">
        <v>1697</v>
      </c>
      <c r="L302">
        <v>338</v>
      </c>
    </row>
    <row r="303" spans="1:12">
      <c r="A303" s="12" t="s">
        <v>1554</v>
      </c>
      <c r="B303" t="s">
        <v>22</v>
      </c>
      <c r="C303">
        <v>155278483</v>
      </c>
      <c r="D303">
        <v>155278993</v>
      </c>
      <c r="E303" s="15" t="s">
        <v>1656</v>
      </c>
      <c r="F303" t="s">
        <v>4124</v>
      </c>
      <c r="G303" t="s">
        <v>22</v>
      </c>
      <c r="H303">
        <v>161209517</v>
      </c>
      <c r="I303">
        <v>161209985</v>
      </c>
      <c r="J303" s="15" t="s">
        <v>1656</v>
      </c>
      <c r="K303" t="s">
        <v>14150</v>
      </c>
      <c r="L303">
        <v>326</v>
      </c>
    </row>
    <row r="304" spans="1:12">
      <c r="A304" s="12" t="s">
        <v>1554</v>
      </c>
      <c r="B304" t="s">
        <v>22</v>
      </c>
      <c r="C304">
        <v>204461150</v>
      </c>
      <c r="D304">
        <v>204461618</v>
      </c>
      <c r="E304" s="15" t="s">
        <v>35</v>
      </c>
      <c r="F304" t="s">
        <v>14151</v>
      </c>
      <c r="G304" t="s">
        <v>22</v>
      </c>
      <c r="H304">
        <v>204499279</v>
      </c>
      <c r="I304">
        <v>204499685</v>
      </c>
      <c r="J304" s="15" t="s">
        <v>35</v>
      </c>
      <c r="K304" t="s">
        <v>4127</v>
      </c>
      <c r="L304">
        <v>274</v>
      </c>
    </row>
    <row r="305" spans="1:12">
      <c r="A305" s="12" t="s">
        <v>1554</v>
      </c>
      <c r="B305" t="s">
        <v>104</v>
      </c>
      <c r="C305">
        <v>7169741</v>
      </c>
      <c r="D305">
        <v>7170395</v>
      </c>
      <c r="E305" s="15" t="s">
        <v>35</v>
      </c>
      <c r="F305" t="s">
        <v>1994</v>
      </c>
      <c r="G305" t="s">
        <v>104</v>
      </c>
      <c r="H305">
        <v>7262901</v>
      </c>
      <c r="I305">
        <v>7263449</v>
      </c>
      <c r="J305" s="15" t="s">
        <v>35</v>
      </c>
      <c r="K305" t="s">
        <v>14156</v>
      </c>
      <c r="L305">
        <v>258</v>
      </c>
    </row>
    <row r="306" spans="1:12">
      <c r="A306" s="12" t="s">
        <v>1554</v>
      </c>
      <c r="B306" t="s">
        <v>139</v>
      </c>
      <c r="C306">
        <v>4487542</v>
      </c>
      <c r="D306">
        <v>4487991</v>
      </c>
      <c r="E306" s="15" t="s">
        <v>35</v>
      </c>
      <c r="F306" t="s">
        <v>4227</v>
      </c>
      <c r="G306" t="s">
        <v>139</v>
      </c>
      <c r="H306">
        <v>4682339</v>
      </c>
      <c r="I306">
        <v>4682901</v>
      </c>
      <c r="J306" s="15" t="s">
        <v>35</v>
      </c>
      <c r="K306" t="s">
        <v>4228</v>
      </c>
      <c r="L306">
        <v>251</v>
      </c>
    </row>
    <row r="307" spans="1:12">
      <c r="A307" s="12" t="s">
        <v>1554</v>
      </c>
      <c r="B307" t="s">
        <v>188</v>
      </c>
      <c r="C307">
        <v>39812601</v>
      </c>
      <c r="D307">
        <v>39813085</v>
      </c>
      <c r="E307" s="15" t="s">
        <v>35</v>
      </c>
      <c r="F307" t="s">
        <v>501</v>
      </c>
      <c r="G307" t="s">
        <v>188</v>
      </c>
      <c r="H307">
        <v>40092218</v>
      </c>
      <c r="I307">
        <v>40092751</v>
      </c>
      <c r="J307" s="15" t="s">
        <v>35</v>
      </c>
      <c r="K307" t="s">
        <v>2650</v>
      </c>
      <c r="L307">
        <v>228</v>
      </c>
    </row>
    <row r="308" spans="1:12">
      <c r="A308" s="12" t="s">
        <v>1554</v>
      </c>
      <c r="B308" t="s">
        <v>104</v>
      </c>
      <c r="C308">
        <v>755493</v>
      </c>
      <c r="D308">
        <v>755999</v>
      </c>
      <c r="E308" s="15" t="s">
        <v>35</v>
      </c>
      <c r="F308" t="s">
        <v>4194</v>
      </c>
      <c r="G308" t="s">
        <v>104</v>
      </c>
      <c r="H308">
        <v>768251</v>
      </c>
      <c r="I308">
        <v>768631</v>
      </c>
      <c r="J308" s="15" t="s">
        <v>35</v>
      </c>
      <c r="K308" t="s">
        <v>4194</v>
      </c>
      <c r="L308">
        <v>218</v>
      </c>
    </row>
    <row r="309" spans="1:12">
      <c r="A309" s="12" t="s">
        <v>1554</v>
      </c>
      <c r="B309" t="s">
        <v>22</v>
      </c>
      <c r="C309">
        <v>24416865</v>
      </c>
      <c r="D309">
        <v>24417331</v>
      </c>
      <c r="E309" s="15" t="s">
        <v>35</v>
      </c>
      <c r="F309" t="s">
        <v>4110</v>
      </c>
      <c r="G309" t="s">
        <v>22</v>
      </c>
      <c r="H309">
        <v>24428241</v>
      </c>
      <c r="I309">
        <v>24428670</v>
      </c>
      <c r="J309" s="15" t="s">
        <v>35</v>
      </c>
      <c r="K309" t="s">
        <v>4110</v>
      </c>
      <c r="L309">
        <v>211</v>
      </c>
    </row>
    <row r="310" spans="1:12">
      <c r="A310" s="12" t="s">
        <v>1554</v>
      </c>
      <c r="B310" t="s">
        <v>139</v>
      </c>
      <c r="C310">
        <v>4495400</v>
      </c>
      <c r="D310">
        <v>4496017</v>
      </c>
      <c r="E310" s="15" t="s">
        <v>1656</v>
      </c>
      <c r="F310" t="s">
        <v>4227</v>
      </c>
      <c r="G310" t="s">
        <v>188</v>
      </c>
      <c r="H310">
        <v>37049650</v>
      </c>
      <c r="I310">
        <v>37050129</v>
      </c>
      <c r="J310" s="15" t="s">
        <v>1656</v>
      </c>
      <c r="K310" t="s">
        <v>4229</v>
      </c>
      <c r="L310">
        <v>193</v>
      </c>
    </row>
    <row r="311" spans="1:12">
      <c r="A311" s="12" t="s">
        <v>1554</v>
      </c>
      <c r="B311" t="s">
        <v>120</v>
      </c>
      <c r="C311">
        <v>101718953</v>
      </c>
      <c r="D311">
        <v>101719432</v>
      </c>
      <c r="E311" s="15" t="s">
        <v>35</v>
      </c>
      <c r="F311" t="s">
        <v>4205</v>
      </c>
      <c r="G311" t="s">
        <v>139</v>
      </c>
      <c r="H311">
        <v>30034461</v>
      </c>
      <c r="I311">
        <v>30034934</v>
      </c>
      <c r="J311" s="15" t="s">
        <v>1656</v>
      </c>
      <c r="K311" t="s">
        <v>4108</v>
      </c>
      <c r="L311">
        <v>189</v>
      </c>
    </row>
    <row r="312" spans="1:12">
      <c r="A312" s="12" t="s">
        <v>1554</v>
      </c>
      <c r="B312" t="s">
        <v>83</v>
      </c>
      <c r="C312">
        <v>66964930</v>
      </c>
      <c r="D312">
        <v>66965403</v>
      </c>
      <c r="E312" s="15" t="s">
        <v>35</v>
      </c>
      <c r="F312" t="s">
        <v>4004</v>
      </c>
      <c r="G312" t="s">
        <v>83</v>
      </c>
      <c r="H312">
        <v>67223067</v>
      </c>
      <c r="I312">
        <v>67223685</v>
      </c>
      <c r="J312" s="15" t="s">
        <v>35</v>
      </c>
      <c r="K312" t="s">
        <v>2474</v>
      </c>
      <c r="L312">
        <v>187</v>
      </c>
    </row>
    <row r="313" spans="1:12">
      <c r="A313" s="12" t="s">
        <v>1554</v>
      </c>
      <c r="B313" t="s">
        <v>188</v>
      </c>
      <c r="C313">
        <v>48897291</v>
      </c>
      <c r="D313">
        <v>48897850</v>
      </c>
      <c r="E313" s="15" t="s">
        <v>35</v>
      </c>
      <c r="F313" t="s">
        <v>1697</v>
      </c>
      <c r="G313" t="s">
        <v>188</v>
      </c>
      <c r="H313">
        <v>49197664</v>
      </c>
      <c r="I313">
        <v>49198219</v>
      </c>
      <c r="J313" s="15" t="s">
        <v>35</v>
      </c>
      <c r="K313" t="s">
        <v>4170</v>
      </c>
      <c r="L313">
        <v>185</v>
      </c>
    </row>
    <row r="314" spans="1:12">
      <c r="A314" s="12" t="s">
        <v>1554</v>
      </c>
      <c r="B314" t="s">
        <v>83</v>
      </c>
      <c r="C314">
        <v>67223133</v>
      </c>
      <c r="D314">
        <v>67223687</v>
      </c>
      <c r="E314" s="15" t="s">
        <v>1656</v>
      </c>
      <c r="F314" t="s">
        <v>2474</v>
      </c>
      <c r="G314" t="s">
        <v>83</v>
      </c>
      <c r="H314">
        <v>75014662</v>
      </c>
      <c r="I314">
        <v>75015164</v>
      </c>
      <c r="J314" s="15" t="s">
        <v>35</v>
      </c>
      <c r="K314" t="s">
        <v>4191</v>
      </c>
      <c r="L314">
        <v>179</v>
      </c>
    </row>
    <row r="315" spans="1:12">
      <c r="A315" s="12" t="s">
        <v>1554</v>
      </c>
      <c r="B315" t="s">
        <v>237</v>
      </c>
      <c r="C315">
        <v>43822037</v>
      </c>
      <c r="D315">
        <v>43822545</v>
      </c>
      <c r="E315" s="15" t="s">
        <v>1656</v>
      </c>
      <c r="F315" t="s">
        <v>1697</v>
      </c>
      <c r="G315" t="s">
        <v>279</v>
      </c>
      <c r="H315">
        <v>134486276</v>
      </c>
      <c r="I315">
        <v>134486769</v>
      </c>
      <c r="J315" s="15" t="s">
        <v>35</v>
      </c>
      <c r="K315" t="s">
        <v>4165</v>
      </c>
      <c r="L315">
        <v>179</v>
      </c>
    </row>
    <row r="316" spans="1:12">
      <c r="A316" s="12" t="s">
        <v>1554</v>
      </c>
      <c r="B316" t="s">
        <v>237</v>
      </c>
      <c r="C316">
        <v>36075760</v>
      </c>
      <c r="D316">
        <v>36076279</v>
      </c>
      <c r="E316" s="15" t="s">
        <v>35</v>
      </c>
      <c r="F316" t="s">
        <v>2117</v>
      </c>
      <c r="G316" t="s">
        <v>237</v>
      </c>
      <c r="H316">
        <v>36197713</v>
      </c>
      <c r="I316">
        <v>36198219</v>
      </c>
      <c r="J316" s="15" t="s">
        <v>35</v>
      </c>
      <c r="K316" t="s">
        <v>4162</v>
      </c>
      <c r="L316">
        <v>177</v>
      </c>
    </row>
    <row r="317" spans="1:12">
      <c r="A317" s="12" t="s">
        <v>1554</v>
      </c>
      <c r="B317" t="s">
        <v>257</v>
      </c>
      <c r="C317">
        <v>27709915</v>
      </c>
      <c r="D317">
        <v>27710628</v>
      </c>
      <c r="E317" s="15" t="s">
        <v>1656</v>
      </c>
      <c r="F317" t="s">
        <v>1697</v>
      </c>
      <c r="G317" t="s">
        <v>83</v>
      </c>
      <c r="H317">
        <v>46408984</v>
      </c>
      <c r="I317">
        <v>46409620</v>
      </c>
      <c r="J317" s="15" t="s">
        <v>1656</v>
      </c>
      <c r="K317" t="s">
        <v>2928</v>
      </c>
      <c r="L317">
        <v>175</v>
      </c>
    </row>
    <row r="318" spans="1:12">
      <c r="A318" s="12" t="s">
        <v>1554</v>
      </c>
      <c r="B318" t="s">
        <v>22</v>
      </c>
      <c r="C318">
        <v>150602106</v>
      </c>
      <c r="D318">
        <v>150602639</v>
      </c>
      <c r="E318" s="15" t="s">
        <v>1656</v>
      </c>
      <c r="F318" t="s">
        <v>14148</v>
      </c>
      <c r="G318" t="s">
        <v>292</v>
      </c>
      <c r="H318">
        <v>134359156</v>
      </c>
      <c r="I318">
        <v>134359575</v>
      </c>
      <c r="J318" s="15" t="s">
        <v>1656</v>
      </c>
      <c r="K318" t="s">
        <v>14149</v>
      </c>
      <c r="L318">
        <v>173</v>
      </c>
    </row>
    <row r="319" spans="1:12">
      <c r="A319" s="12" t="s">
        <v>1554</v>
      </c>
      <c r="B319" t="s">
        <v>257</v>
      </c>
      <c r="C319">
        <v>76868770</v>
      </c>
      <c r="D319">
        <v>76869300</v>
      </c>
      <c r="E319" s="15" t="s">
        <v>1656</v>
      </c>
      <c r="F319" t="s">
        <v>4169</v>
      </c>
      <c r="G319" t="s">
        <v>139</v>
      </c>
      <c r="H319">
        <v>30301752</v>
      </c>
      <c r="I319">
        <v>30302219</v>
      </c>
      <c r="J319" s="15" t="s">
        <v>35</v>
      </c>
      <c r="K319" t="s">
        <v>1688</v>
      </c>
      <c r="L319">
        <v>171</v>
      </c>
    </row>
    <row r="320" spans="1:12">
      <c r="A320" s="12" t="s">
        <v>1554</v>
      </c>
      <c r="B320" t="s">
        <v>22</v>
      </c>
      <c r="C320">
        <v>212024674</v>
      </c>
      <c r="D320">
        <v>212025132</v>
      </c>
      <c r="E320" s="15" t="s">
        <v>35</v>
      </c>
      <c r="F320" t="s">
        <v>1697</v>
      </c>
      <c r="G320" t="s">
        <v>22</v>
      </c>
      <c r="H320">
        <v>212238051</v>
      </c>
      <c r="I320">
        <v>212238519</v>
      </c>
      <c r="J320" s="15" t="s">
        <v>35</v>
      </c>
      <c r="K320" t="s">
        <v>4128</v>
      </c>
      <c r="L320">
        <v>170</v>
      </c>
    </row>
    <row r="321" spans="1:12">
      <c r="A321" s="12" t="s">
        <v>1554</v>
      </c>
      <c r="B321" t="s">
        <v>22</v>
      </c>
      <c r="C321">
        <v>176493128</v>
      </c>
      <c r="D321">
        <v>176493615</v>
      </c>
      <c r="E321" s="15" t="s">
        <v>35</v>
      </c>
      <c r="F321" t="s">
        <v>4125</v>
      </c>
      <c r="G321" t="s">
        <v>22</v>
      </c>
      <c r="H321">
        <v>176513738</v>
      </c>
      <c r="I321">
        <v>176514265</v>
      </c>
      <c r="J321" s="15" t="s">
        <v>35</v>
      </c>
      <c r="K321" t="s">
        <v>4125</v>
      </c>
      <c r="L321">
        <v>162</v>
      </c>
    </row>
    <row r="322" spans="1:12">
      <c r="A322" s="12" t="s">
        <v>1554</v>
      </c>
      <c r="B322" t="s">
        <v>22</v>
      </c>
      <c r="C322">
        <v>109724028</v>
      </c>
      <c r="D322">
        <v>109724504</v>
      </c>
      <c r="E322" s="15" t="s">
        <v>35</v>
      </c>
      <c r="F322" t="s">
        <v>4118</v>
      </c>
      <c r="G322" t="s">
        <v>22</v>
      </c>
      <c r="H322">
        <v>109728397</v>
      </c>
      <c r="I322">
        <v>109728815</v>
      </c>
      <c r="J322" s="15" t="s">
        <v>35</v>
      </c>
      <c r="K322" t="s">
        <v>4118</v>
      </c>
      <c r="L322">
        <v>160</v>
      </c>
    </row>
    <row r="323" spans="1:12">
      <c r="A323" s="12" t="s">
        <v>1554</v>
      </c>
      <c r="B323" t="s">
        <v>22</v>
      </c>
      <c r="C323">
        <v>145687950</v>
      </c>
      <c r="D323">
        <v>145688507</v>
      </c>
      <c r="E323" s="15" t="s">
        <v>35</v>
      </c>
      <c r="F323" t="s">
        <v>4119</v>
      </c>
      <c r="G323" t="s">
        <v>22</v>
      </c>
      <c r="H323">
        <v>145700383</v>
      </c>
      <c r="I323">
        <v>145700822</v>
      </c>
      <c r="J323" s="15" t="s">
        <v>35</v>
      </c>
      <c r="K323" t="s">
        <v>4120</v>
      </c>
      <c r="L323">
        <v>159</v>
      </c>
    </row>
    <row r="324" spans="1:12">
      <c r="A324" s="12" t="s">
        <v>1554</v>
      </c>
      <c r="B324" t="s">
        <v>135</v>
      </c>
      <c r="C324">
        <v>42282313</v>
      </c>
      <c r="D324">
        <v>42282808</v>
      </c>
      <c r="E324" s="15" t="s">
        <v>1656</v>
      </c>
      <c r="F324" t="s">
        <v>2036</v>
      </c>
      <c r="G324" t="s">
        <v>135</v>
      </c>
      <c r="H324">
        <v>42337355</v>
      </c>
      <c r="I324">
        <v>42337859</v>
      </c>
      <c r="J324" s="15" t="s">
        <v>1656</v>
      </c>
      <c r="K324" t="s">
        <v>2036</v>
      </c>
      <c r="L324">
        <v>158</v>
      </c>
    </row>
    <row r="325" spans="1:12">
      <c r="A325" s="12" t="s">
        <v>1554</v>
      </c>
      <c r="B325" t="s">
        <v>129</v>
      </c>
      <c r="C325">
        <v>716870</v>
      </c>
      <c r="D325">
        <v>717396</v>
      </c>
      <c r="E325" s="15" t="s">
        <v>35</v>
      </c>
      <c r="F325" t="s">
        <v>4207</v>
      </c>
      <c r="G325" t="s">
        <v>129</v>
      </c>
      <c r="H325">
        <v>731104</v>
      </c>
      <c r="I325">
        <v>731590</v>
      </c>
      <c r="J325" s="15" t="s">
        <v>35</v>
      </c>
      <c r="K325" t="s">
        <v>4208</v>
      </c>
      <c r="L325">
        <v>157</v>
      </c>
    </row>
    <row r="326" spans="1:12">
      <c r="A326" s="12" t="s">
        <v>1554</v>
      </c>
      <c r="B326" t="s">
        <v>83</v>
      </c>
      <c r="C326">
        <v>72334577</v>
      </c>
      <c r="D326">
        <v>72335045</v>
      </c>
      <c r="E326" s="15" t="s">
        <v>35</v>
      </c>
      <c r="F326" t="s">
        <v>668</v>
      </c>
      <c r="G326" t="s">
        <v>83</v>
      </c>
      <c r="H326">
        <v>72338523</v>
      </c>
      <c r="I326">
        <v>72339021</v>
      </c>
      <c r="J326" s="15" t="s">
        <v>35</v>
      </c>
      <c r="K326" t="s">
        <v>668</v>
      </c>
      <c r="L326">
        <v>156</v>
      </c>
    </row>
    <row r="327" spans="1:12">
      <c r="A327" s="12" t="s">
        <v>1554</v>
      </c>
      <c r="B327" t="s">
        <v>226</v>
      </c>
      <c r="C327">
        <v>115049157</v>
      </c>
      <c r="D327">
        <v>115049528</v>
      </c>
      <c r="E327" s="15" t="s">
        <v>35</v>
      </c>
      <c r="F327" t="s">
        <v>1697</v>
      </c>
      <c r="G327" t="s">
        <v>226</v>
      </c>
      <c r="H327">
        <v>115152021</v>
      </c>
      <c r="I327">
        <v>115152588</v>
      </c>
      <c r="J327" s="15" t="s">
        <v>35</v>
      </c>
      <c r="K327" t="s">
        <v>14176</v>
      </c>
      <c r="L327">
        <v>156</v>
      </c>
    </row>
    <row r="328" spans="1:12">
      <c r="A328" s="12" t="s">
        <v>1554</v>
      </c>
      <c r="B328" t="s">
        <v>83</v>
      </c>
      <c r="C328">
        <v>76757341</v>
      </c>
      <c r="D328">
        <v>76757762</v>
      </c>
      <c r="E328" s="15" t="s">
        <v>35</v>
      </c>
      <c r="F328" t="s">
        <v>1697</v>
      </c>
      <c r="G328" t="s">
        <v>118</v>
      </c>
      <c r="H328">
        <v>24552197</v>
      </c>
      <c r="I328">
        <v>24552679</v>
      </c>
      <c r="J328" s="15" t="s">
        <v>1656</v>
      </c>
      <c r="K328" t="s">
        <v>14155</v>
      </c>
      <c r="L328">
        <v>152</v>
      </c>
    </row>
    <row r="329" spans="1:12">
      <c r="A329" s="12" t="s">
        <v>1554</v>
      </c>
      <c r="B329" t="s">
        <v>201</v>
      </c>
      <c r="C329">
        <v>126010980</v>
      </c>
      <c r="D329">
        <v>126011446</v>
      </c>
      <c r="E329" s="15" t="s">
        <v>35</v>
      </c>
      <c r="F329" t="s">
        <v>1697</v>
      </c>
      <c r="G329" t="s">
        <v>201</v>
      </c>
      <c r="H329">
        <v>126226125</v>
      </c>
      <c r="I329">
        <v>126226517</v>
      </c>
      <c r="J329" s="15" t="s">
        <v>35</v>
      </c>
      <c r="K329" t="s">
        <v>4145</v>
      </c>
      <c r="L329">
        <v>152</v>
      </c>
    </row>
    <row r="330" spans="1:12">
      <c r="A330" s="12" t="s">
        <v>1554</v>
      </c>
      <c r="B330" t="s">
        <v>220</v>
      </c>
      <c r="C330">
        <v>155471495</v>
      </c>
      <c r="D330">
        <v>155471977</v>
      </c>
      <c r="E330" s="15" t="s">
        <v>35</v>
      </c>
      <c r="F330" t="s">
        <v>4152</v>
      </c>
      <c r="G330" t="s">
        <v>220</v>
      </c>
      <c r="H330">
        <v>155473799</v>
      </c>
      <c r="I330">
        <v>155474264</v>
      </c>
      <c r="J330" s="15" t="s">
        <v>35</v>
      </c>
      <c r="K330" t="s">
        <v>1697</v>
      </c>
      <c r="L330">
        <v>152</v>
      </c>
    </row>
    <row r="331" spans="1:12">
      <c r="A331" s="12" t="s">
        <v>1554</v>
      </c>
      <c r="B331" t="s">
        <v>139</v>
      </c>
      <c r="C331">
        <v>13038960</v>
      </c>
      <c r="D331">
        <v>13039456</v>
      </c>
      <c r="E331" s="15" t="s">
        <v>35</v>
      </c>
      <c r="F331" t="s">
        <v>4230</v>
      </c>
      <c r="G331" t="s">
        <v>139</v>
      </c>
      <c r="H331">
        <v>13096772</v>
      </c>
      <c r="I331">
        <v>13097270</v>
      </c>
      <c r="J331" s="15" t="s">
        <v>35</v>
      </c>
      <c r="K331" t="s">
        <v>1697</v>
      </c>
      <c r="L331">
        <v>149</v>
      </c>
    </row>
    <row r="332" spans="1:12">
      <c r="A332" s="12" t="s">
        <v>1554</v>
      </c>
      <c r="B332" t="s">
        <v>104</v>
      </c>
      <c r="C332">
        <v>113808505</v>
      </c>
      <c r="D332">
        <v>113809036</v>
      </c>
      <c r="E332" s="15" t="s">
        <v>35</v>
      </c>
      <c r="F332" t="s">
        <v>2207</v>
      </c>
      <c r="G332" t="s">
        <v>104</v>
      </c>
      <c r="H332">
        <v>113865195</v>
      </c>
      <c r="I332">
        <v>113865573</v>
      </c>
      <c r="J332" s="15" t="s">
        <v>35</v>
      </c>
      <c r="K332" t="s">
        <v>4198</v>
      </c>
      <c r="L332">
        <v>148</v>
      </c>
    </row>
    <row r="333" spans="1:12">
      <c r="A333" s="12" t="s">
        <v>1554</v>
      </c>
      <c r="B333" t="s">
        <v>135</v>
      </c>
      <c r="C333">
        <v>56094099</v>
      </c>
      <c r="D333">
        <v>56094596</v>
      </c>
      <c r="E333" s="15" t="s">
        <v>1656</v>
      </c>
      <c r="F333" t="s">
        <v>1697</v>
      </c>
      <c r="G333" t="s">
        <v>139</v>
      </c>
      <c r="H333">
        <v>13206662</v>
      </c>
      <c r="I333">
        <v>13207132</v>
      </c>
      <c r="J333" s="15" t="s">
        <v>35</v>
      </c>
      <c r="K333" t="s">
        <v>4223</v>
      </c>
      <c r="L333">
        <v>148</v>
      </c>
    </row>
    <row r="334" spans="1:12">
      <c r="A334" s="12" t="s">
        <v>1554</v>
      </c>
      <c r="B334" t="s">
        <v>172</v>
      </c>
      <c r="C334">
        <v>165507434</v>
      </c>
      <c r="D334">
        <v>165507887</v>
      </c>
      <c r="E334" s="15" t="s">
        <v>35</v>
      </c>
      <c r="F334" t="s">
        <v>1697</v>
      </c>
      <c r="G334" t="s">
        <v>172</v>
      </c>
      <c r="H334">
        <v>166098022</v>
      </c>
      <c r="I334">
        <v>166098524</v>
      </c>
      <c r="J334" s="15" t="s">
        <v>35</v>
      </c>
      <c r="K334" t="s">
        <v>4138</v>
      </c>
      <c r="L334">
        <v>146</v>
      </c>
    </row>
    <row r="335" spans="1:12">
      <c r="A335" s="12" t="s">
        <v>1554</v>
      </c>
      <c r="B335" t="s">
        <v>133</v>
      </c>
      <c r="C335">
        <v>66446349</v>
      </c>
      <c r="D335">
        <v>66446896</v>
      </c>
      <c r="E335" s="15" t="s">
        <v>35</v>
      </c>
      <c r="F335" t="s">
        <v>4219</v>
      </c>
      <c r="G335" t="s">
        <v>133</v>
      </c>
      <c r="H335">
        <v>66469087</v>
      </c>
      <c r="I335">
        <v>66469452</v>
      </c>
      <c r="J335" s="15" t="s">
        <v>35</v>
      </c>
      <c r="K335" t="s">
        <v>1697</v>
      </c>
      <c r="L335">
        <v>143</v>
      </c>
    </row>
    <row r="336" spans="1:12">
      <c r="A336" s="12" t="s">
        <v>1554</v>
      </c>
      <c r="B336" t="s">
        <v>135</v>
      </c>
      <c r="C336">
        <v>29418098</v>
      </c>
      <c r="D336">
        <v>29418584</v>
      </c>
      <c r="E336" s="15" t="s">
        <v>35</v>
      </c>
      <c r="F336" t="s">
        <v>14163</v>
      </c>
      <c r="G336" t="s">
        <v>135</v>
      </c>
      <c r="H336">
        <v>29752785</v>
      </c>
      <c r="I336">
        <v>29753420</v>
      </c>
      <c r="J336" s="15" t="s">
        <v>35</v>
      </c>
      <c r="K336" t="s">
        <v>1697</v>
      </c>
      <c r="L336">
        <v>143</v>
      </c>
    </row>
    <row r="337" spans="1:12">
      <c r="A337" s="12" t="s">
        <v>1554</v>
      </c>
      <c r="B337" t="s">
        <v>237</v>
      </c>
      <c r="C337">
        <v>35940569</v>
      </c>
      <c r="D337">
        <v>35941027</v>
      </c>
      <c r="E337" s="15" t="s">
        <v>1656</v>
      </c>
      <c r="F337" t="s">
        <v>4161</v>
      </c>
      <c r="G337" t="s">
        <v>237</v>
      </c>
      <c r="H337">
        <v>39265914</v>
      </c>
      <c r="I337">
        <v>39266404</v>
      </c>
      <c r="J337" s="15" t="s">
        <v>1656</v>
      </c>
      <c r="K337" t="s">
        <v>1697</v>
      </c>
      <c r="L337">
        <v>143</v>
      </c>
    </row>
    <row r="338" spans="1:12">
      <c r="A338" s="12" t="s">
        <v>1554</v>
      </c>
      <c r="B338" t="s">
        <v>201</v>
      </c>
      <c r="C338">
        <v>128931852</v>
      </c>
      <c r="D338">
        <v>128932269</v>
      </c>
      <c r="E338" s="15" t="s">
        <v>35</v>
      </c>
      <c r="F338" t="s">
        <v>1697</v>
      </c>
      <c r="G338" t="s">
        <v>133</v>
      </c>
      <c r="H338">
        <v>49239264</v>
      </c>
      <c r="I338">
        <v>49239763</v>
      </c>
      <c r="J338" s="15" t="s">
        <v>35</v>
      </c>
      <c r="K338" t="s">
        <v>4146</v>
      </c>
      <c r="L338">
        <v>138</v>
      </c>
    </row>
    <row r="339" spans="1:12">
      <c r="A339" s="12" t="s">
        <v>1554</v>
      </c>
      <c r="B339" t="s">
        <v>104</v>
      </c>
      <c r="C339">
        <v>7242956</v>
      </c>
      <c r="D339">
        <v>7243467</v>
      </c>
      <c r="E339" s="15" t="s">
        <v>35</v>
      </c>
      <c r="F339" t="s">
        <v>2173</v>
      </c>
      <c r="G339" t="s">
        <v>104</v>
      </c>
      <c r="H339">
        <v>7269384</v>
      </c>
      <c r="I339">
        <v>7269938</v>
      </c>
      <c r="J339" s="15" t="s">
        <v>35</v>
      </c>
      <c r="K339" t="s">
        <v>14156</v>
      </c>
      <c r="L339">
        <v>137</v>
      </c>
    </row>
    <row r="340" spans="1:12">
      <c r="A340" s="12" t="s">
        <v>1554</v>
      </c>
      <c r="B340" t="s">
        <v>139</v>
      </c>
      <c r="C340">
        <v>997535</v>
      </c>
      <c r="D340">
        <v>998051</v>
      </c>
      <c r="E340" s="15" t="s">
        <v>35</v>
      </c>
      <c r="F340" t="s">
        <v>1697</v>
      </c>
      <c r="G340" t="s">
        <v>139</v>
      </c>
      <c r="H340">
        <v>1003994</v>
      </c>
      <c r="I340">
        <v>1004312</v>
      </c>
      <c r="J340" s="15" t="s">
        <v>35</v>
      </c>
      <c r="K340" t="s">
        <v>4224</v>
      </c>
      <c r="L340">
        <v>137</v>
      </c>
    </row>
    <row r="341" spans="1:12">
      <c r="A341" s="12" t="s">
        <v>1554</v>
      </c>
      <c r="B341" t="s">
        <v>201</v>
      </c>
      <c r="C341">
        <v>169945832</v>
      </c>
      <c r="D341">
        <v>169946288</v>
      </c>
      <c r="E341" s="15" t="s">
        <v>35</v>
      </c>
      <c r="F341" t="s">
        <v>4147</v>
      </c>
      <c r="G341" t="s">
        <v>201</v>
      </c>
      <c r="H341">
        <v>170134917</v>
      </c>
      <c r="I341">
        <v>170135378</v>
      </c>
      <c r="J341" s="15" t="s">
        <v>35</v>
      </c>
      <c r="K341" t="s">
        <v>14173</v>
      </c>
      <c r="L341">
        <v>137</v>
      </c>
    </row>
    <row r="342" spans="1:12">
      <c r="A342" s="12" t="s">
        <v>1554</v>
      </c>
      <c r="B342" t="s">
        <v>133</v>
      </c>
      <c r="C342">
        <v>8108049</v>
      </c>
      <c r="D342">
        <v>8108499</v>
      </c>
      <c r="E342" s="15" t="s">
        <v>35</v>
      </c>
      <c r="F342" t="s">
        <v>4217</v>
      </c>
      <c r="G342" t="s">
        <v>133</v>
      </c>
      <c r="H342">
        <v>8110170</v>
      </c>
      <c r="I342">
        <v>8110608</v>
      </c>
      <c r="J342" s="15" t="s">
        <v>35</v>
      </c>
      <c r="K342" t="s">
        <v>4217</v>
      </c>
      <c r="L342">
        <v>136</v>
      </c>
    </row>
    <row r="343" spans="1:12">
      <c r="A343" s="12" t="s">
        <v>1554</v>
      </c>
      <c r="B343" t="s">
        <v>118</v>
      </c>
      <c r="C343">
        <v>95026950</v>
      </c>
      <c r="D343">
        <v>95027463</v>
      </c>
      <c r="E343" s="15" t="s">
        <v>1656</v>
      </c>
      <c r="F343" t="s">
        <v>1793</v>
      </c>
      <c r="G343" t="s">
        <v>118</v>
      </c>
      <c r="H343">
        <v>103490567</v>
      </c>
      <c r="I343">
        <v>103491018</v>
      </c>
      <c r="J343" s="15" t="s">
        <v>35</v>
      </c>
      <c r="K343" t="s">
        <v>688</v>
      </c>
      <c r="L343">
        <v>132</v>
      </c>
    </row>
    <row r="344" spans="1:12">
      <c r="A344" s="12" t="s">
        <v>1554</v>
      </c>
      <c r="B344" t="s">
        <v>129</v>
      </c>
      <c r="C344">
        <v>46830651</v>
      </c>
      <c r="D344">
        <v>46831158</v>
      </c>
      <c r="E344" s="15" t="s">
        <v>35</v>
      </c>
      <c r="F344" t="s">
        <v>1697</v>
      </c>
      <c r="G344" t="s">
        <v>129</v>
      </c>
      <c r="H344">
        <v>46953109</v>
      </c>
      <c r="I344">
        <v>46953594</v>
      </c>
      <c r="J344" s="15" t="s">
        <v>35</v>
      </c>
      <c r="K344" t="s">
        <v>1925</v>
      </c>
      <c r="L344">
        <v>132</v>
      </c>
    </row>
    <row r="345" spans="1:12">
      <c r="A345" s="12" t="s">
        <v>1554</v>
      </c>
      <c r="B345" t="s">
        <v>201</v>
      </c>
      <c r="C345">
        <v>12417845</v>
      </c>
      <c r="D345">
        <v>12418291</v>
      </c>
      <c r="E345" s="15" t="s">
        <v>35</v>
      </c>
      <c r="F345" t="s">
        <v>4142</v>
      </c>
      <c r="G345" t="s">
        <v>201</v>
      </c>
      <c r="H345">
        <v>12442558</v>
      </c>
      <c r="I345">
        <v>12443011</v>
      </c>
      <c r="J345" s="15" t="s">
        <v>35</v>
      </c>
      <c r="K345" t="s">
        <v>4142</v>
      </c>
      <c r="L345">
        <v>132</v>
      </c>
    </row>
    <row r="346" spans="1:12">
      <c r="A346" s="12" t="s">
        <v>1554</v>
      </c>
      <c r="B346" t="s">
        <v>104</v>
      </c>
      <c r="C346">
        <v>56863677</v>
      </c>
      <c r="D346">
        <v>56864162</v>
      </c>
      <c r="E346" s="15" t="s">
        <v>1656</v>
      </c>
      <c r="F346" t="s">
        <v>2496</v>
      </c>
      <c r="G346" t="s">
        <v>188</v>
      </c>
      <c r="H346">
        <v>48753656</v>
      </c>
      <c r="I346">
        <v>48754153</v>
      </c>
      <c r="J346" s="15" t="s">
        <v>1656</v>
      </c>
      <c r="K346" t="s">
        <v>14158</v>
      </c>
      <c r="L346">
        <v>129</v>
      </c>
    </row>
    <row r="347" spans="1:12">
      <c r="A347" s="12" t="s">
        <v>1554</v>
      </c>
      <c r="B347" t="s">
        <v>226</v>
      </c>
      <c r="C347">
        <v>90186115</v>
      </c>
      <c r="D347">
        <v>90186584</v>
      </c>
      <c r="E347" s="15" t="s">
        <v>35</v>
      </c>
      <c r="F347" t="s">
        <v>1163</v>
      </c>
      <c r="G347" t="s">
        <v>226</v>
      </c>
      <c r="H347">
        <v>90192216</v>
      </c>
      <c r="I347">
        <v>90192622</v>
      </c>
      <c r="J347" s="15" t="s">
        <v>35</v>
      </c>
      <c r="K347" t="s">
        <v>1163</v>
      </c>
      <c r="L347">
        <v>129</v>
      </c>
    </row>
    <row r="348" spans="1:12">
      <c r="A348" s="12" t="s">
        <v>1554</v>
      </c>
      <c r="B348" t="s">
        <v>22</v>
      </c>
      <c r="C348">
        <v>61535985</v>
      </c>
      <c r="D348">
        <v>61536439</v>
      </c>
      <c r="E348" s="15" t="s">
        <v>35</v>
      </c>
      <c r="F348" t="s">
        <v>1697</v>
      </c>
      <c r="G348" t="s">
        <v>22</v>
      </c>
      <c r="H348">
        <v>61541045</v>
      </c>
      <c r="I348">
        <v>61541513</v>
      </c>
      <c r="J348" s="15" t="s">
        <v>35</v>
      </c>
      <c r="K348" t="s">
        <v>2166</v>
      </c>
      <c r="L348">
        <v>127</v>
      </c>
    </row>
    <row r="349" spans="1:12">
      <c r="A349" s="12" t="s">
        <v>1554</v>
      </c>
      <c r="B349" t="s">
        <v>226</v>
      </c>
      <c r="C349">
        <v>78232241</v>
      </c>
      <c r="D349">
        <v>78232709</v>
      </c>
      <c r="E349" s="15" t="s">
        <v>35</v>
      </c>
      <c r="F349" t="s">
        <v>4154</v>
      </c>
      <c r="G349" t="s">
        <v>226</v>
      </c>
      <c r="H349">
        <v>78344189</v>
      </c>
      <c r="I349">
        <v>78344720</v>
      </c>
      <c r="J349" s="15" t="s">
        <v>35</v>
      </c>
      <c r="K349" t="s">
        <v>2098</v>
      </c>
      <c r="L349">
        <v>126</v>
      </c>
    </row>
    <row r="350" spans="1:12">
      <c r="A350" s="12" t="s">
        <v>1554</v>
      </c>
      <c r="B350" t="s">
        <v>188</v>
      </c>
      <c r="C350">
        <v>45958315</v>
      </c>
      <c r="D350">
        <v>45958844</v>
      </c>
      <c r="E350" s="15" t="s">
        <v>35</v>
      </c>
      <c r="F350" t="s">
        <v>4244</v>
      </c>
      <c r="G350" t="s">
        <v>197</v>
      </c>
      <c r="H350">
        <v>36000199</v>
      </c>
      <c r="I350">
        <v>36000700</v>
      </c>
      <c r="J350" s="15" t="s">
        <v>1656</v>
      </c>
      <c r="K350" t="s">
        <v>1697</v>
      </c>
      <c r="L350">
        <v>125</v>
      </c>
    </row>
    <row r="351" spans="1:12">
      <c r="A351" s="12" t="s">
        <v>1554</v>
      </c>
      <c r="B351" t="s">
        <v>139</v>
      </c>
      <c r="C351">
        <v>45248305</v>
      </c>
      <c r="D351">
        <v>45248797</v>
      </c>
      <c r="E351" s="15" t="s">
        <v>1656</v>
      </c>
      <c r="F351" t="s">
        <v>1697</v>
      </c>
      <c r="G351" t="s">
        <v>188</v>
      </c>
      <c r="H351">
        <v>329583</v>
      </c>
      <c r="I351">
        <v>330044</v>
      </c>
      <c r="J351" s="15" t="s">
        <v>1656</v>
      </c>
      <c r="K351" t="s">
        <v>1941</v>
      </c>
      <c r="L351">
        <v>124</v>
      </c>
    </row>
    <row r="352" spans="1:12">
      <c r="A352" s="12" t="s">
        <v>1554</v>
      </c>
      <c r="B352" t="s">
        <v>220</v>
      </c>
      <c r="C352">
        <v>185741354</v>
      </c>
      <c r="D352">
        <v>185741776</v>
      </c>
      <c r="E352" s="15" t="s">
        <v>35</v>
      </c>
      <c r="F352" t="s">
        <v>4153</v>
      </c>
      <c r="G352" t="s">
        <v>220</v>
      </c>
      <c r="H352">
        <v>186044699</v>
      </c>
      <c r="I352">
        <v>186045126</v>
      </c>
      <c r="J352" s="15" t="s">
        <v>35</v>
      </c>
      <c r="K352" t="s">
        <v>1697</v>
      </c>
      <c r="L352">
        <v>124</v>
      </c>
    </row>
    <row r="353" spans="1:12">
      <c r="A353" s="12" t="s">
        <v>1554</v>
      </c>
      <c r="B353" t="s">
        <v>188</v>
      </c>
      <c r="C353">
        <v>37009781</v>
      </c>
      <c r="D353">
        <v>37010181</v>
      </c>
      <c r="E353" s="15" t="s">
        <v>35</v>
      </c>
      <c r="F353" t="s">
        <v>1697</v>
      </c>
      <c r="G353" t="s">
        <v>197</v>
      </c>
      <c r="H353">
        <v>29167157</v>
      </c>
      <c r="I353">
        <v>29167470</v>
      </c>
      <c r="J353" s="15" t="s">
        <v>35</v>
      </c>
      <c r="K353" t="s">
        <v>14168</v>
      </c>
      <c r="L353">
        <v>122</v>
      </c>
    </row>
    <row r="354" spans="1:12">
      <c r="A354" s="12" t="s">
        <v>1554</v>
      </c>
      <c r="B354" t="s">
        <v>172</v>
      </c>
      <c r="C354">
        <v>169888637</v>
      </c>
      <c r="D354">
        <v>169889096</v>
      </c>
      <c r="E354" s="15" t="s">
        <v>35</v>
      </c>
      <c r="F354" t="s">
        <v>4286</v>
      </c>
      <c r="G354" t="s">
        <v>133</v>
      </c>
      <c r="H354">
        <v>38753186</v>
      </c>
      <c r="I354">
        <v>38753620</v>
      </c>
      <c r="J354" s="15" t="s">
        <v>1656</v>
      </c>
      <c r="K354" t="s">
        <v>1697</v>
      </c>
      <c r="L354">
        <v>121</v>
      </c>
    </row>
    <row r="355" spans="1:12">
      <c r="A355" s="12" t="s">
        <v>1554</v>
      </c>
      <c r="B355" t="s">
        <v>22</v>
      </c>
      <c r="C355">
        <v>155273479</v>
      </c>
      <c r="D355">
        <v>155273967</v>
      </c>
      <c r="E355" s="15" t="s">
        <v>35</v>
      </c>
      <c r="F355" t="s">
        <v>1697</v>
      </c>
      <c r="G355" t="s">
        <v>22</v>
      </c>
      <c r="H355">
        <v>155277351</v>
      </c>
      <c r="I355">
        <v>155277914</v>
      </c>
      <c r="J355" s="15" t="s">
        <v>35</v>
      </c>
      <c r="K355" t="s">
        <v>4124</v>
      </c>
      <c r="L355">
        <v>120</v>
      </c>
    </row>
    <row r="356" spans="1:12">
      <c r="A356" s="12" t="s">
        <v>1554</v>
      </c>
      <c r="B356" t="s">
        <v>201</v>
      </c>
      <c r="C356">
        <v>52546967</v>
      </c>
      <c r="D356">
        <v>52547482</v>
      </c>
      <c r="E356" s="15" t="s">
        <v>35</v>
      </c>
      <c r="F356" t="s">
        <v>4144</v>
      </c>
      <c r="G356" t="s">
        <v>201</v>
      </c>
      <c r="H356">
        <v>52551027</v>
      </c>
      <c r="I356">
        <v>52551527</v>
      </c>
      <c r="J356" s="15" t="s">
        <v>35</v>
      </c>
      <c r="K356" t="s">
        <v>4144</v>
      </c>
      <c r="L356">
        <v>120</v>
      </c>
    </row>
    <row r="357" spans="1:12">
      <c r="A357" s="12" t="s">
        <v>1554</v>
      </c>
      <c r="B357" t="s">
        <v>83</v>
      </c>
      <c r="C357">
        <v>65010061</v>
      </c>
      <c r="D357">
        <v>65010503</v>
      </c>
      <c r="E357" s="15" t="s">
        <v>35</v>
      </c>
      <c r="F357" t="s">
        <v>4190</v>
      </c>
      <c r="G357" t="s">
        <v>83</v>
      </c>
      <c r="H357">
        <v>65028383</v>
      </c>
      <c r="I357">
        <v>65028857</v>
      </c>
      <c r="J357" s="15" t="s">
        <v>35</v>
      </c>
      <c r="K357" t="s">
        <v>14154</v>
      </c>
      <c r="L357">
        <v>119</v>
      </c>
    </row>
    <row r="358" spans="1:12">
      <c r="A358" s="12" t="s">
        <v>1554</v>
      </c>
      <c r="B358" t="s">
        <v>279</v>
      </c>
      <c r="C358">
        <v>67434957</v>
      </c>
      <c r="D358">
        <v>67435461</v>
      </c>
      <c r="E358" s="15" t="s">
        <v>35</v>
      </c>
      <c r="F358" t="s">
        <v>1697</v>
      </c>
      <c r="G358" t="s">
        <v>279</v>
      </c>
      <c r="H358">
        <v>67494101</v>
      </c>
      <c r="I358">
        <v>67494490</v>
      </c>
      <c r="J358" s="15" t="s">
        <v>35</v>
      </c>
      <c r="K358" t="s">
        <v>4173</v>
      </c>
      <c r="L358">
        <v>116</v>
      </c>
    </row>
    <row r="359" spans="1:12">
      <c r="A359" s="12" t="s">
        <v>1554</v>
      </c>
      <c r="B359" t="s">
        <v>292</v>
      </c>
      <c r="C359">
        <v>116090305</v>
      </c>
      <c r="D359">
        <v>116090742</v>
      </c>
      <c r="E359" s="15" t="s">
        <v>35</v>
      </c>
      <c r="F359" t="s">
        <v>4177</v>
      </c>
      <c r="G359" t="s">
        <v>83</v>
      </c>
      <c r="H359">
        <v>125673220</v>
      </c>
      <c r="I359">
        <v>125673737</v>
      </c>
      <c r="J359" s="15" t="s">
        <v>1656</v>
      </c>
      <c r="K359" t="s">
        <v>1697</v>
      </c>
      <c r="L359">
        <v>115</v>
      </c>
    </row>
    <row r="360" spans="1:12">
      <c r="A360" s="12" t="s">
        <v>1554</v>
      </c>
      <c r="B360" t="s">
        <v>118</v>
      </c>
      <c r="C360">
        <v>103274144</v>
      </c>
      <c r="D360">
        <v>103274545</v>
      </c>
      <c r="E360" s="15" t="s">
        <v>35</v>
      </c>
      <c r="F360" t="s">
        <v>4202</v>
      </c>
      <c r="G360" t="s">
        <v>197</v>
      </c>
      <c r="H360">
        <v>37781034</v>
      </c>
      <c r="I360">
        <v>37781594</v>
      </c>
      <c r="J360" s="15" t="s">
        <v>1656</v>
      </c>
      <c r="K360" t="s">
        <v>4203</v>
      </c>
      <c r="L360">
        <v>114</v>
      </c>
    </row>
    <row r="361" spans="1:12">
      <c r="A361" s="12" t="s">
        <v>1554</v>
      </c>
      <c r="B361" t="s">
        <v>129</v>
      </c>
      <c r="C361">
        <v>71565542</v>
      </c>
      <c r="D361">
        <v>71565960</v>
      </c>
      <c r="E361" s="15" t="s">
        <v>35</v>
      </c>
      <c r="F361" t="s">
        <v>4213</v>
      </c>
      <c r="G361" t="s">
        <v>133</v>
      </c>
      <c r="H361">
        <v>67146582</v>
      </c>
      <c r="I361">
        <v>67147020</v>
      </c>
      <c r="J361" s="15" t="s">
        <v>1656</v>
      </c>
      <c r="K361" t="s">
        <v>4214</v>
      </c>
      <c r="L361">
        <v>114</v>
      </c>
    </row>
    <row r="362" spans="1:12">
      <c r="A362" s="12" t="s">
        <v>1554</v>
      </c>
      <c r="B362" t="s">
        <v>279</v>
      </c>
      <c r="C362">
        <v>22421746</v>
      </c>
      <c r="D362">
        <v>22422261</v>
      </c>
      <c r="E362" s="15" t="s">
        <v>1656</v>
      </c>
      <c r="F362" t="s">
        <v>4171</v>
      </c>
      <c r="G362" t="s">
        <v>279</v>
      </c>
      <c r="H362">
        <v>120691869</v>
      </c>
      <c r="I362">
        <v>120692308</v>
      </c>
      <c r="J362" s="15" t="s">
        <v>35</v>
      </c>
      <c r="K362" t="s">
        <v>1697</v>
      </c>
      <c r="L362">
        <v>114</v>
      </c>
    </row>
    <row r="363" spans="1:12">
      <c r="A363" s="12" t="s">
        <v>1554</v>
      </c>
      <c r="B363" t="s">
        <v>69</v>
      </c>
      <c r="C363">
        <v>79050682</v>
      </c>
      <c r="D363">
        <v>79051137</v>
      </c>
      <c r="E363" s="15" t="s">
        <v>1656</v>
      </c>
      <c r="F363" t="s">
        <v>2448</v>
      </c>
      <c r="G363" t="s">
        <v>129</v>
      </c>
      <c r="H363">
        <v>66955190</v>
      </c>
      <c r="I363">
        <v>66955800</v>
      </c>
      <c r="J363" s="15" t="s">
        <v>1656</v>
      </c>
      <c r="K363" t="s">
        <v>14153</v>
      </c>
      <c r="L363">
        <v>113</v>
      </c>
    </row>
    <row r="364" spans="1:12">
      <c r="A364" s="12" t="s">
        <v>1554</v>
      </c>
      <c r="B364" t="s">
        <v>69</v>
      </c>
      <c r="C364">
        <v>45368584</v>
      </c>
      <c r="D364">
        <v>45369087</v>
      </c>
      <c r="E364" s="15" t="s">
        <v>35</v>
      </c>
      <c r="F364" t="s">
        <v>14152</v>
      </c>
      <c r="G364" t="s">
        <v>69</v>
      </c>
      <c r="H364">
        <v>45464106</v>
      </c>
      <c r="I364">
        <v>45464590</v>
      </c>
      <c r="J364" s="15" t="s">
        <v>35</v>
      </c>
      <c r="K364" t="s">
        <v>4182</v>
      </c>
      <c r="L364">
        <v>111</v>
      </c>
    </row>
    <row r="365" spans="1:12">
      <c r="A365" s="12" t="s">
        <v>1554</v>
      </c>
      <c r="B365" t="s">
        <v>83</v>
      </c>
      <c r="C365">
        <v>62376141</v>
      </c>
      <c r="D365">
        <v>62376680</v>
      </c>
      <c r="E365" s="15" t="s">
        <v>1656</v>
      </c>
      <c r="F365" t="s">
        <v>4188</v>
      </c>
      <c r="G365" t="s">
        <v>104</v>
      </c>
      <c r="H365">
        <v>112012918</v>
      </c>
      <c r="I365">
        <v>112013450</v>
      </c>
      <c r="J365" s="15" t="s">
        <v>1656</v>
      </c>
      <c r="K365" t="s">
        <v>4189</v>
      </c>
      <c r="L365">
        <v>111</v>
      </c>
    </row>
    <row r="366" spans="1:12">
      <c r="A366" s="12" t="s">
        <v>1554</v>
      </c>
      <c r="B366" t="s">
        <v>139</v>
      </c>
      <c r="C366">
        <v>18356225</v>
      </c>
      <c r="D366">
        <v>18356670</v>
      </c>
      <c r="E366" s="15" t="s">
        <v>35</v>
      </c>
      <c r="F366" t="s">
        <v>4231</v>
      </c>
      <c r="G366" t="s">
        <v>139</v>
      </c>
      <c r="H366">
        <v>18360652</v>
      </c>
      <c r="I366">
        <v>18361019</v>
      </c>
      <c r="J366" s="15" t="s">
        <v>35</v>
      </c>
      <c r="K366" t="s">
        <v>4231</v>
      </c>
      <c r="L366">
        <v>111</v>
      </c>
    </row>
    <row r="367" spans="1:12">
      <c r="A367" s="12" t="s">
        <v>1554</v>
      </c>
      <c r="B367" t="s">
        <v>83</v>
      </c>
      <c r="C367">
        <v>31373493</v>
      </c>
      <c r="D367">
        <v>31373875</v>
      </c>
      <c r="E367" s="15" t="s">
        <v>1656</v>
      </c>
      <c r="F367" t="s">
        <v>4186</v>
      </c>
      <c r="G367" t="s">
        <v>83</v>
      </c>
      <c r="H367">
        <v>31572860</v>
      </c>
      <c r="I367">
        <v>31573337</v>
      </c>
      <c r="J367" s="15" t="s">
        <v>1656</v>
      </c>
      <c r="K367" t="s">
        <v>2167</v>
      </c>
      <c r="L367">
        <v>109</v>
      </c>
    </row>
    <row r="368" spans="1:12">
      <c r="A368" s="12" t="s">
        <v>1554</v>
      </c>
      <c r="B368" t="s">
        <v>172</v>
      </c>
      <c r="C368">
        <v>158918776</v>
      </c>
      <c r="D368">
        <v>158919319</v>
      </c>
      <c r="E368" s="15" t="s">
        <v>35</v>
      </c>
      <c r="F368" t="s">
        <v>4137</v>
      </c>
      <c r="G368" t="s">
        <v>172</v>
      </c>
      <c r="H368">
        <v>158927035</v>
      </c>
      <c r="I368">
        <v>158927486</v>
      </c>
      <c r="J368" s="15" t="s">
        <v>35</v>
      </c>
      <c r="K368" t="s">
        <v>4137</v>
      </c>
      <c r="L368">
        <v>109</v>
      </c>
    </row>
    <row r="369" spans="1:12">
      <c r="A369" s="12" t="s">
        <v>1554</v>
      </c>
      <c r="B369" t="s">
        <v>172</v>
      </c>
      <c r="C369">
        <v>219279632</v>
      </c>
      <c r="D369">
        <v>219280022</v>
      </c>
      <c r="E369" s="15" t="s">
        <v>35</v>
      </c>
      <c r="F369" t="s">
        <v>1697</v>
      </c>
      <c r="G369" t="s">
        <v>172</v>
      </c>
      <c r="H369">
        <v>219294447</v>
      </c>
      <c r="I369">
        <v>219294827</v>
      </c>
      <c r="J369" s="15" t="s">
        <v>35</v>
      </c>
      <c r="K369" t="s">
        <v>4140</v>
      </c>
      <c r="L369">
        <v>106</v>
      </c>
    </row>
    <row r="370" spans="1:12">
      <c r="A370" s="12" t="s">
        <v>1554</v>
      </c>
      <c r="B370" t="s">
        <v>22</v>
      </c>
      <c r="C370">
        <v>150504023</v>
      </c>
      <c r="D370">
        <v>150504362</v>
      </c>
      <c r="E370" s="15" t="s">
        <v>35</v>
      </c>
      <c r="F370" t="s">
        <v>1697</v>
      </c>
      <c r="G370" t="s">
        <v>22</v>
      </c>
      <c r="H370">
        <v>150521021</v>
      </c>
      <c r="I370">
        <v>150521429</v>
      </c>
      <c r="J370" s="15" t="s">
        <v>35</v>
      </c>
      <c r="K370" t="s">
        <v>14147</v>
      </c>
      <c r="L370">
        <v>105</v>
      </c>
    </row>
    <row r="371" spans="1:12">
      <c r="A371" s="12" t="s">
        <v>1554</v>
      </c>
      <c r="B371" t="s">
        <v>188</v>
      </c>
      <c r="C371">
        <v>5960657</v>
      </c>
      <c r="D371">
        <v>5961119</v>
      </c>
      <c r="E371" s="15" t="s">
        <v>35</v>
      </c>
      <c r="F371" t="s">
        <v>4241</v>
      </c>
      <c r="G371" t="s">
        <v>188</v>
      </c>
      <c r="H371">
        <v>6156350</v>
      </c>
      <c r="I371">
        <v>6156856</v>
      </c>
      <c r="J371" s="15" t="s">
        <v>35</v>
      </c>
      <c r="K371" t="s">
        <v>1697</v>
      </c>
      <c r="L371">
        <v>104</v>
      </c>
    </row>
    <row r="372" spans="1:12">
      <c r="A372" s="12" t="s">
        <v>1554</v>
      </c>
      <c r="B372" t="s">
        <v>220</v>
      </c>
      <c r="C372">
        <v>100272395</v>
      </c>
      <c r="D372">
        <v>100272870</v>
      </c>
      <c r="E372" s="15" t="s">
        <v>35</v>
      </c>
      <c r="F372" t="s">
        <v>2091</v>
      </c>
      <c r="G372" t="s">
        <v>220</v>
      </c>
      <c r="H372">
        <v>100309875</v>
      </c>
      <c r="I372">
        <v>100310289</v>
      </c>
      <c r="J372" s="15" t="s">
        <v>35</v>
      </c>
      <c r="K372" t="s">
        <v>1697</v>
      </c>
      <c r="L372">
        <v>104</v>
      </c>
    </row>
    <row r="373" spans="1:12">
      <c r="A373" s="12" t="s">
        <v>1554</v>
      </c>
      <c r="B373" t="s">
        <v>22</v>
      </c>
      <c r="C373">
        <v>100949002</v>
      </c>
      <c r="D373">
        <v>100949407</v>
      </c>
      <c r="E373" s="15" t="s">
        <v>35</v>
      </c>
      <c r="F373" t="s">
        <v>4117</v>
      </c>
      <c r="G373" t="s">
        <v>22</v>
      </c>
      <c r="H373">
        <v>100954614</v>
      </c>
      <c r="I373">
        <v>100955106</v>
      </c>
      <c r="J373" s="15" t="s">
        <v>35</v>
      </c>
      <c r="K373" t="s">
        <v>4117</v>
      </c>
      <c r="L373">
        <v>103</v>
      </c>
    </row>
    <row r="374" spans="1:12">
      <c r="A374" s="12" t="s">
        <v>1554</v>
      </c>
      <c r="B374" t="s">
        <v>133</v>
      </c>
      <c r="C374">
        <v>65241560</v>
      </c>
      <c r="D374">
        <v>65241997</v>
      </c>
      <c r="E374" s="15" t="s">
        <v>35</v>
      </c>
      <c r="F374" t="s">
        <v>12957</v>
      </c>
      <c r="G374" t="s">
        <v>133</v>
      </c>
      <c r="H374">
        <v>65251843</v>
      </c>
      <c r="I374">
        <v>65252241</v>
      </c>
      <c r="J374" s="15" t="s">
        <v>35</v>
      </c>
      <c r="K374" t="s">
        <v>1697</v>
      </c>
      <c r="L374">
        <v>102</v>
      </c>
    </row>
    <row r="375" spans="1:12">
      <c r="A375" s="12" t="s">
        <v>1554</v>
      </c>
      <c r="B375" t="s">
        <v>83</v>
      </c>
      <c r="C375">
        <v>57174478</v>
      </c>
      <c r="D375">
        <v>57175206</v>
      </c>
      <c r="E375" s="15" t="s">
        <v>35</v>
      </c>
      <c r="F375" t="s">
        <v>4174</v>
      </c>
      <c r="G375" t="s">
        <v>83</v>
      </c>
      <c r="H375">
        <v>57238180</v>
      </c>
      <c r="I375">
        <v>57238459</v>
      </c>
      <c r="J375" s="15" t="s">
        <v>35</v>
      </c>
      <c r="K375" t="s">
        <v>2203</v>
      </c>
      <c r="L375">
        <v>100</v>
      </c>
    </row>
    <row r="376" spans="1:12">
      <c r="A376" s="12" t="s">
        <v>1554</v>
      </c>
      <c r="B376" t="s">
        <v>172</v>
      </c>
      <c r="C376">
        <v>85654823</v>
      </c>
      <c r="D376">
        <v>85655266</v>
      </c>
      <c r="E376" s="15" t="s">
        <v>35</v>
      </c>
      <c r="F376" t="s">
        <v>1697</v>
      </c>
      <c r="G376" t="s">
        <v>172</v>
      </c>
      <c r="H376">
        <v>85662112</v>
      </c>
      <c r="I376">
        <v>85662374</v>
      </c>
      <c r="J376" s="15" t="s">
        <v>35</v>
      </c>
      <c r="K376" t="s">
        <v>4130</v>
      </c>
      <c r="L376">
        <v>100</v>
      </c>
    </row>
    <row r="377" spans="1:12">
      <c r="A377" s="12" t="s">
        <v>1554</v>
      </c>
      <c r="B377" t="s">
        <v>237</v>
      </c>
      <c r="C377">
        <v>31759741</v>
      </c>
      <c r="D377">
        <v>31760159</v>
      </c>
      <c r="E377" s="15" t="s">
        <v>35</v>
      </c>
      <c r="F377" t="s">
        <v>1966</v>
      </c>
      <c r="G377" t="s">
        <v>237</v>
      </c>
      <c r="H377">
        <v>32040147</v>
      </c>
      <c r="I377">
        <v>32040559</v>
      </c>
      <c r="J377" s="15" t="s">
        <v>35</v>
      </c>
      <c r="K377" t="s">
        <v>2749</v>
      </c>
      <c r="L377">
        <v>100</v>
      </c>
    </row>
    <row r="378" spans="1:12">
      <c r="A378" s="12" t="s">
        <v>1554</v>
      </c>
      <c r="B378" t="s">
        <v>257</v>
      </c>
      <c r="C378">
        <v>27693796</v>
      </c>
      <c r="D378">
        <v>27694211</v>
      </c>
      <c r="E378" s="15" t="s">
        <v>35</v>
      </c>
      <c r="F378" t="s">
        <v>4166</v>
      </c>
      <c r="G378" t="s">
        <v>83</v>
      </c>
      <c r="H378">
        <v>116687830</v>
      </c>
      <c r="I378">
        <v>116688290</v>
      </c>
      <c r="J378" s="15" t="s">
        <v>35</v>
      </c>
      <c r="K378" t="s">
        <v>1697</v>
      </c>
      <c r="L378">
        <v>100</v>
      </c>
    </row>
    <row r="379" spans="1:12">
      <c r="A379" s="12" t="s">
        <v>1554</v>
      </c>
      <c r="B379" t="s">
        <v>104</v>
      </c>
      <c r="C379">
        <v>6881731</v>
      </c>
      <c r="D379">
        <v>6881979</v>
      </c>
      <c r="E379" s="15" t="s">
        <v>35</v>
      </c>
      <c r="F379" t="s">
        <v>2497</v>
      </c>
      <c r="G379" t="s">
        <v>104</v>
      </c>
      <c r="H379">
        <v>56689292</v>
      </c>
      <c r="I379">
        <v>56689666</v>
      </c>
      <c r="J379" s="15" t="s">
        <v>35</v>
      </c>
      <c r="K379" t="s">
        <v>4195</v>
      </c>
      <c r="L379">
        <v>98</v>
      </c>
    </row>
    <row r="380" spans="1:12">
      <c r="A380" s="12" t="s">
        <v>1554</v>
      </c>
      <c r="B380" t="s">
        <v>133</v>
      </c>
      <c r="C380">
        <v>80298288</v>
      </c>
      <c r="D380">
        <v>80298586</v>
      </c>
      <c r="E380" s="15" t="s">
        <v>35</v>
      </c>
      <c r="F380" t="s">
        <v>1697</v>
      </c>
      <c r="G380" t="s">
        <v>133</v>
      </c>
      <c r="H380">
        <v>80319509</v>
      </c>
      <c r="I380">
        <v>80319944</v>
      </c>
      <c r="J380" s="15" t="s">
        <v>35</v>
      </c>
      <c r="K380" t="s">
        <v>4221</v>
      </c>
      <c r="L380">
        <v>98</v>
      </c>
    </row>
    <row r="381" spans="1:12">
      <c r="A381" s="12" t="s">
        <v>1554</v>
      </c>
      <c r="B381" t="s">
        <v>226</v>
      </c>
      <c r="C381">
        <v>149893089</v>
      </c>
      <c r="D381">
        <v>149893502</v>
      </c>
      <c r="E381" s="15" t="s">
        <v>1656</v>
      </c>
      <c r="F381" t="s">
        <v>4156</v>
      </c>
      <c r="G381" t="s">
        <v>257</v>
      </c>
      <c r="H381">
        <v>99635032</v>
      </c>
      <c r="I381">
        <v>99635513</v>
      </c>
      <c r="J381" s="15" t="s">
        <v>35</v>
      </c>
      <c r="K381" t="s">
        <v>1968</v>
      </c>
      <c r="L381">
        <v>98</v>
      </c>
    </row>
    <row r="382" spans="1:12">
      <c r="A382" s="12" t="s">
        <v>1554</v>
      </c>
      <c r="B382" t="s">
        <v>257</v>
      </c>
      <c r="C382">
        <v>73132922</v>
      </c>
      <c r="D382">
        <v>73133429</v>
      </c>
      <c r="E382" s="15" t="s">
        <v>35</v>
      </c>
      <c r="F382" t="s">
        <v>4167</v>
      </c>
      <c r="G382" t="s">
        <v>197</v>
      </c>
      <c r="H382">
        <v>30184748</v>
      </c>
      <c r="I382">
        <v>30185314</v>
      </c>
      <c r="J382" s="15" t="s">
        <v>35</v>
      </c>
      <c r="K382" t="s">
        <v>1943</v>
      </c>
      <c r="L382">
        <v>98</v>
      </c>
    </row>
    <row r="383" spans="1:12">
      <c r="A383" s="12" t="s">
        <v>1554</v>
      </c>
      <c r="B383" t="s">
        <v>22</v>
      </c>
      <c r="C383">
        <v>3740278</v>
      </c>
      <c r="D383">
        <v>3740731</v>
      </c>
      <c r="E383" s="15" t="s">
        <v>1656</v>
      </c>
      <c r="F383" t="s">
        <v>14145</v>
      </c>
      <c r="G383" t="s">
        <v>22</v>
      </c>
      <c r="H383">
        <v>3748474</v>
      </c>
      <c r="I383">
        <v>3748826</v>
      </c>
      <c r="J383" s="15" t="s">
        <v>1656</v>
      </c>
      <c r="K383" t="s">
        <v>14145</v>
      </c>
      <c r="L383">
        <v>97</v>
      </c>
    </row>
    <row r="384" spans="1:12">
      <c r="A384" s="12" t="s">
        <v>1554</v>
      </c>
      <c r="B384" t="s">
        <v>22</v>
      </c>
      <c r="C384">
        <v>28613199</v>
      </c>
      <c r="D384">
        <v>28613637</v>
      </c>
      <c r="E384" s="15" t="s">
        <v>35</v>
      </c>
      <c r="F384" t="s">
        <v>1697</v>
      </c>
      <c r="G384" t="s">
        <v>22</v>
      </c>
      <c r="H384">
        <v>28661264</v>
      </c>
      <c r="I384">
        <v>28661578</v>
      </c>
      <c r="J384" s="15" t="s">
        <v>35</v>
      </c>
      <c r="K384" t="s">
        <v>4111</v>
      </c>
      <c r="L384">
        <v>96</v>
      </c>
    </row>
    <row r="385" spans="1:12">
      <c r="A385" s="12" t="s">
        <v>1554</v>
      </c>
      <c r="B385" t="s">
        <v>139</v>
      </c>
      <c r="C385">
        <v>39337904</v>
      </c>
      <c r="D385">
        <v>39338409</v>
      </c>
      <c r="E385" s="15" t="s">
        <v>35</v>
      </c>
      <c r="F385" t="s">
        <v>4236</v>
      </c>
      <c r="G385" t="s">
        <v>139</v>
      </c>
      <c r="H385">
        <v>39405959</v>
      </c>
      <c r="I385">
        <v>39406527</v>
      </c>
      <c r="J385" s="15" t="s">
        <v>35</v>
      </c>
      <c r="K385" t="s">
        <v>4237</v>
      </c>
      <c r="L385">
        <v>96</v>
      </c>
    </row>
    <row r="386" spans="1:12">
      <c r="A386" s="12" t="s">
        <v>1554</v>
      </c>
      <c r="B386" t="s">
        <v>172</v>
      </c>
      <c r="C386">
        <v>211381227</v>
      </c>
      <c r="D386">
        <v>211381732</v>
      </c>
      <c r="E386" s="15" t="s">
        <v>35</v>
      </c>
      <c r="F386" t="s">
        <v>1811</v>
      </c>
      <c r="G386" t="s">
        <v>172</v>
      </c>
      <c r="H386">
        <v>211468615</v>
      </c>
      <c r="I386">
        <v>211469073</v>
      </c>
      <c r="J386" s="15" t="s">
        <v>35</v>
      </c>
      <c r="K386" t="s">
        <v>1811</v>
      </c>
      <c r="L386">
        <v>96</v>
      </c>
    </row>
    <row r="387" spans="1:12">
      <c r="A387" s="12" t="s">
        <v>1554</v>
      </c>
      <c r="B387" t="s">
        <v>118</v>
      </c>
      <c r="C387">
        <v>100039267</v>
      </c>
      <c r="D387">
        <v>100039818</v>
      </c>
      <c r="E387" s="15" t="s">
        <v>35</v>
      </c>
      <c r="F387" t="s">
        <v>4201</v>
      </c>
      <c r="G387" t="s">
        <v>118</v>
      </c>
      <c r="H387">
        <v>100109964</v>
      </c>
      <c r="I387">
        <v>100110454</v>
      </c>
      <c r="J387" s="15" t="s">
        <v>35</v>
      </c>
      <c r="K387" t="s">
        <v>14159</v>
      </c>
      <c r="L387">
        <v>95</v>
      </c>
    </row>
    <row r="388" spans="1:12">
      <c r="A388" s="12" t="s">
        <v>1554</v>
      </c>
      <c r="B388" t="s">
        <v>172</v>
      </c>
      <c r="C388">
        <v>211403801</v>
      </c>
      <c r="D388">
        <v>211404228</v>
      </c>
      <c r="E388" s="15" t="s">
        <v>35</v>
      </c>
      <c r="F388" t="s">
        <v>1811</v>
      </c>
      <c r="G388" t="s">
        <v>172</v>
      </c>
      <c r="H388">
        <v>211422921</v>
      </c>
      <c r="I388">
        <v>211423459</v>
      </c>
      <c r="J388" s="15" t="s">
        <v>35</v>
      </c>
      <c r="K388" t="s">
        <v>1811</v>
      </c>
      <c r="L388">
        <v>95</v>
      </c>
    </row>
    <row r="389" spans="1:12">
      <c r="A389" s="12" t="s">
        <v>1554</v>
      </c>
      <c r="B389" t="s">
        <v>237</v>
      </c>
      <c r="C389">
        <v>35354407</v>
      </c>
      <c r="D389">
        <v>35354881</v>
      </c>
      <c r="E389" s="15" t="s">
        <v>1656</v>
      </c>
      <c r="F389" t="s">
        <v>4160</v>
      </c>
      <c r="G389" t="s">
        <v>135</v>
      </c>
      <c r="H389">
        <v>55866306</v>
      </c>
      <c r="I389">
        <v>55866720</v>
      </c>
      <c r="J389" s="15" t="s">
        <v>1656</v>
      </c>
      <c r="K389" t="s">
        <v>2319</v>
      </c>
      <c r="L389">
        <v>95</v>
      </c>
    </row>
    <row r="390" spans="1:12">
      <c r="A390" s="12" t="s">
        <v>1554</v>
      </c>
      <c r="B390" t="s">
        <v>201</v>
      </c>
      <c r="C390">
        <v>124343107</v>
      </c>
      <c r="D390">
        <v>124343623</v>
      </c>
      <c r="E390" s="15" t="s">
        <v>35</v>
      </c>
      <c r="F390" t="s">
        <v>2071</v>
      </c>
      <c r="G390" t="s">
        <v>201</v>
      </c>
      <c r="H390">
        <v>124566714</v>
      </c>
      <c r="I390">
        <v>124567203</v>
      </c>
      <c r="J390" s="15" t="s">
        <v>35</v>
      </c>
      <c r="K390" t="s">
        <v>2237</v>
      </c>
      <c r="L390">
        <v>94</v>
      </c>
    </row>
    <row r="391" spans="1:12">
      <c r="A391" s="12" t="s">
        <v>1554</v>
      </c>
      <c r="B391" t="s">
        <v>104</v>
      </c>
      <c r="C391">
        <v>7242133</v>
      </c>
      <c r="D391">
        <v>7242598</v>
      </c>
      <c r="E391" s="15" t="s">
        <v>35</v>
      </c>
      <c r="F391" t="s">
        <v>2173</v>
      </c>
      <c r="G391" t="s">
        <v>104</v>
      </c>
      <c r="H391">
        <v>7247111</v>
      </c>
      <c r="I391">
        <v>7247554</v>
      </c>
      <c r="J391" s="15" t="s">
        <v>35</v>
      </c>
      <c r="K391" t="s">
        <v>14157</v>
      </c>
      <c r="L391">
        <v>93</v>
      </c>
    </row>
    <row r="392" spans="1:12">
      <c r="A392" s="12" t="s">
        <v>1554</v>
      </c>
      <c r="B392" t="s">
        <v>201</v>
      </c>
      <c r="C392">
        <v>99927984</v>
      </c>
      <c r="D392">
        <v>99928466</v>
      </c>
      <c r="E392" s="15" t="s">
        <v>35</v>
      </c>
      <c r="F392" t="s">
        <v>1697</v>
      </c>
      <c r="G392" t="s">
        <v>201</v>
      </c>
      <c r="H392">
        <v>100369257</v>
      </c>
      <c r="I392">
        <v>100369681</v>
      </c>
      <c r="J392" s="15" t="s">
        <v>35</v>
      </c>
      <c r="K392" t="s">
        <v>4003</v>
      </c>
      <c r="L392">
        <v>92</v>
      </c>
    </row>
    <row r="393" spans="1:12">
      <c r="A393" s="12" t="s">
        <v>1554</v>
      </c>
      <c r="B393" t="s">
        <v>237</v>
      </c>
      <c r="C393">
        <v>35015278</v>
      </c>
      <c r="D393">
        <v>35015714</v>
      </c>
      <c r="E393" s="15" t="s">
        <v>35</v>
      </c>
      <c r="F393" t="s">
        <v>4159</v>
      </c>
      <c r="G393" t="s">
        <v>139</v>
      </c>
      <c r="H393">
        <v>12860856</v>
      </c>
      <c r="I393">
        <v>12861333</v>
      </c>
      <c r="J393" s="15" t="s">
        <v>1656</v>
      </c>
      <c r="K393" t="s">
        <v>1697</v>
      </c>
      <c r="L393">
        <v>91</v>
      </c>
    </row>
    <row r="394" spans="1:12">
      <c r="A394" s="12" t="s">
        <v>1554</v>
      </c>
      <c r="B394" t="s">
        <v>22</v>
      </c>
      <c r="C394">
        <v>57324809</v>
      </c>
      <c r="D394">
        <v>57325278</v>
      </c>
      <c r="E394" s="15" t="s">
        <v>1656</v>
      </c>
      <c r="F394" t="s">
        <v>4116</v>
      </c>
      <c r="G394" t="s">
        <v>83</v>
      </c>
      <c r="H394">
        <v>66726805</v>
      </c>
      <c r="I394">
        <v>66727249</v>
      </c>
      <c r="J394" s="15" t="s">
        <v>1656</v>
      </c>
      <c r="K394" t="s">
        <v>2254</v>
      </c>
      <c r="L394">
        <v>90</v>
      </c>
    </row>
    <row r="395" spans="1:12">
      <c r="A395" s="12" t="s">
        <v>1554</v>
      </c>
      <c r="B395" t="s">
        <v>129</v>
      </c>
      <c r="C395">
        <v>48178516</v>
      </c>
      <c r="D395">
        <v>48178961</v>
      </c>
      <c r="E395" s="15" t="s">
        <v>35</v>
      </c>
      <c r="F395" t="s">
        <v>4396</v>
      </c>
      <c r="G395" t="s">
        <v>129</v>
      </c>
      <c r="H395">
        <v>48384919</v>
      </c>
      <c r="I395">
        <v>48385357</v>
      </c>
      <c r="J395" s="15" t="s">
        <v>35</v>
      </c>
      <c r="K395" t="s">
        <v>14160</v>
      </c>
      <c r="L395">
        <v>90</v>
      </c>
    </row>
    <row r="396" spans="1:12">
      <c r="A396" s="12" t="s">
        <v>1554</v>
      </c>
      <c r="B396" t="s">
        <v>292</v>
      </c>
      <c r="C396">
        <v>130743654</v>
      </c>
      <c r="D396">
        <v>130744145</v>
      </c>
      <c r="E396" s="15" t="s">
        <v>35</v>
      </c>
      <c r="F396" t="s">
        <v>1976</v>
      </c>
      <c r="G396" t="s">
        <v>292</v>
      </c>
      <c r="H396">
        <v>130754092</v>
      </c>
      <c r="I396">
        <v>130754326</v>
      </c>
      <c r="J396" s="15" t="s">
        <v>35</v>
      </c>
      <c r="K396" t="s">
        <v>1697</v>
      </c>
      <c r="L396">
        <v>89</v>
      </c>
    </row>
    <row r="397" spans="1:12">
      <c r="A397" s="12" t="s">
        <v>1554</v>
      </c>
      <c r="B397" t="s">
        <v>83</v>
      </c>
      <c r="C397">
        <v>67223678</v>
      </c>
      <c r="D397">
        <v>67224095</v>
      </c>
      <c r="E397" s="15" t="s">
        <v>35</v>
      </c>
      <c r="F397" t="s">
        <v>2474</v>
      </c>
      <c r="G397" t="s">
        <v>83</v>
      </c>
      <c r="H397">
        <v>74767932</v>
      </c>
      <c r="I397">
        <v>74768393</v>
      </c>
      <c r="J397" s="15" t="s">
        <v>1656</v>
      </c>
      <c r="K397" t="s">
        <v>1697</v>
      </c>
      <c r="L397">
        <v>87</v>
      </c>
    </row>
    <row r="398" spans="1:12">
      <c r="A398" s="12" t="s">
        <v>1554</v>
      </c>
      <c r="B398" t="s">
        <v>172</v>
      </c>
      <c r="C398">
        <v>201558354</v>
      </c>
      <c r="D398">
        <v>201558774</v>
      </c>
      <c r="E398" s="15" t="s">
        <v>1656</v>
      </c>
      <c r="F398" t="s">
        <v>14167</v>
      </c>
      <c r="G398" t="s">
        <v>201</v>
      </c>
      <c r="H398">
        <v>172250023</v>
      </c>
      <c r="I398">
        <v>172250514</v>
      </c>
      <c r="J398" s="15" t="s">
        <v>1656</v>
      </c>
      <c r="K398" t="s">
        <v>1697</v>
      </c>
      <c r="L398">
        <v>87</v>
      </c>
    </row>
    <row r="399" spans="1:12">
      <c r="A399" s="12" t="s">
        <v>1554</v>
      </c>
      <c r="B399" t="s">
        <v>279</v>
      </c>
      <c r="C399">
        <v>27954276</v>
      </c>
      <c r="D399">
        <v>27954667</v>
      </c>
      <c r="E399" s="15" t="s">
        <v>1656</v>
      </c>
      <c r="F399" t="s">
        <v>4172</v>
      </c>
      <c r="G399" t="s">
        <v>83</v>
      </c>
      <c r="H399">
        <v>72894423</v>
      </c>
      <c r="I399">
        <v>72894946</v>
      </c>
      <c r="J399" s="15" t="s">
        <v>35</v>
      </c>
      <c r="K399" t="s">
        <v>1697</v>
      </c>
      <c r="L399">
        <v>86</v>
      </c>
    </row>
    <row r="400" spans="1:12">
      <c r="A400" s="12" t="s">
        <v>1554</v>
      </c>
      <c r="B400" t="s">
        <v>418</v>
      </c>
      <c r="C400">
        <v>111002174</v>
      </c>
      <c r="D400">
        <v>111002728</v>
      </c>
      <c r="E400" s="15" t="s">
        <v>1656</v>
      </c>
      <c r="F400" t="s">
        <v>14189</v>
      </c>
      <c r="G400" t="s">
        <v>418</v>
      </c>
      <c r="H400">
        <v>111305443</v>
      </c>
      <c r="I400">
        <v>111305882</v>
      </c>
      <c r="J400" s="15" t="s">
        <v>1656</v>
      </c>
      <c r="K400" t="s">
        <v>4246</v>
      </c>
      <c r="L400">
        <v>86</v>
      </c>
    </row>
    <row r="401" spans="1:12">
      <c r="A401" s="12" t="s">
        <v>1554</v>
      </c>
      <c r="B401" t="s">
        <v>104</v>
      </c>
      <c r="C401">
        <v>56632559</v>
      </c>
      <c r="D401">
        <v>56633048</v>
      </c>
      <c r="E401" s="15" t="s">
        <v>35</v>
      </c>
      <c r="F401" t="s">
        <v>4196</v>
      </c>
      <c r="G401" t="s">
        <v>188</v>
      </c>
      <c r="H401">
        <v>49015226</v>
      </c>
      <c r="I401">
        <v>49015709</v>
      </c>
      <c r="J401" s="15" t="s">
        <v>35</v>
      </c>
      <c r="K401" t="s">
        <v>1697</v>
      </c>
      <c r="L401">
        <v>83</v>
      </c>
    </row>
    <row r="402" spans="1:12">
      <c r="A402" s="12" t="s">
        <v>1554</v>
      </c>
      <c r="B402" t="s">
        <v>292</v>
      </c>
      <c r="C402">
        <v>34432177</v>
      </c>
      <c r="D402">
        <v>34432571</v>
      </c>
      <c r="E402" s="15" t="s">
        <v>35</v>
      </c>
      <c r="F402" t="s">
        <v>14184</v>
      </c>
      <c r="G402" t="s">
        <v>188</v>
      </c>
      <c r="H402">
        <v>10307780</v>
      </c>
      <c r="I402">
        <v>10308255</v>
      </c>
      <c r="J402" s="15" t="s">
        <v>1656</v>
      </c>
      <c r="K402" t="s">
        <v>1697</v>
      </c>
      <c r="L402">
        <v>83</v>
      </c>
    </row>
    <row r="403" spans="1:12">
      <c r="A403" s="12" t="s">
        <v>1554</v>
      </c>
      <c r="B403" t="s">
        <v>69</v>
      </c>
      <c r="C403">
        <v>75627816</v>
      </c>
      <c r="D403">
        <v>75628379</v>
      </c>
      <c r="E403" s="15" t="s">
        <v>35</v>
      </c>
      <c r="F403" t="s">
        <v>4183</v>
      </c>
      <c r="G403" t="s">
        <v>69</v>
      </c>
      <c r="H403">
        <v>75643564</v>
      </c>
      <c r="I403">
        <v>75643985</v>
      </c>
      <c r="J403" s="15" t="s">
        <v>35</v>
      </c>
      <c r="K403" t="s">
        <v>1697</v>
      </c>
      <c r="L403">
        <v>81</v>
      </c>
    </row>
    <row r="404" spans="1:12">
      <c r="A404" s="12" t="s">
        <v>1554</v>
      </c>
      <c r="B404" t="s">
        <v>188</v>
      </c>
      <c r="C404">
        <v>31037625</v>
      </c>
      <c r="D404">
        <v>31038144</v>
      </c>
      <c r="E404" s="15" t="s">
        <v>35</v>
      </c>
      <c r="F404" t="s">
        <v>4242</v>
      </c>
      <c r="G404" t="s">
        <v>188</v>
      </c>
      <c r="H404">
        <v>31094110</v>
      </c>
      <c r="I404">
        <v>31094655</v>
      </c>
      <c r="J404" s="15" t="s">
        <v>35</v>
      </c>
      <c r="K404" t="s">
        <v>1697</v>
      </c>
      <c r="L404">
        <v>81</v>
      </c>
    </row>
    <row r="405" spans="1:12">
      <c r="A405" s="12" t="s">
        <v>1554</v>
      </c>
      <c r="B405" t="s">
        <v>22</v>
      </c>
      <c r="C405">
        <v>11285897</v>
      </c>
      <c r="D405">
        <v>11286310</v>
      </c>
      <c r="E405" s="15" t="s">
        <v>35</v>
      </c>
      <c r="F405" t="s">
        <v>4109</v>
      </c>
      <c r="G405" t="s">
        <v>22</v>
      </c>
      <c r="H405">
        <v>11333894</v>
      </c>
      <c r="I405">
        <v>11334684</v>
      </c>
      <c r="J405" s="15" t="s">
        <v>35</v>
      </c>
      <c r="K405" t="s">
        <v>2231</v>
      </c>
      <c r="L405">
        <v>80</v>
      </c>
    </row>
    <row r="406" spans="1:12">
      <c r="A406" s="12" t="s">
        <v>1554</v>
      </c>
      <c r="B406" t="s">
        <v>22</v>
      </c>
      <c r="C406">
        <v>177881092</v>
      </c>
      <c r="D406">
        <v>177881531</v>
      </c>
      <c r="E406" s="15" t="s">
        <v>35</v>
      </c>
      <c r="F406" t="s">
        <v>1697</v>
      </c>
      <c r="G406" t="s">
        <v>22</v>
      </c>
      <c r="H406">
        <v>178073080</v>
      </c>
      <c r="I406">
        <v>178073628</v>
      </c>
      <c r="J406" s="15" t="s">
        <v>35</v>
      </c>
      <c r="K406" t="s">
        <v>4126</v>
      </c>
      <c r="L406">
        <v>80</v>
      </c>
    </row>
    <row r="407" spans="1:12">
      <c r="A407" s="12" t="s">
        <v>1554</v>
      </c>
      <c r="B407" t="s">
        <v>201</v>
      </c>
      <c r="C407">
        <v>172325720</v>
      </c>
      <c r="D407">
        <v>172326128</v>
      </c>
      <c r="E407" s="15" t="s">
        <v>1656</v>
      </c>
      <c r="F407" t="s">
        <v>1697</v>
      </c>
      <c r="G407" t="s">
        <v>129</v>
      </c>
      <c r="H407">
        <v>30438818</v>
      </c>
      <c r="I407">
        <v>30439096</v>
      </c>
      <c r="J407" s="15" t="s">
        <v>35</v>
      </c>
      <c r="K407" t="s">
        <v>14174</v>
      </c>
      <c r="L407">
        <v>80</v>
      </c>
    </row>
    <row r="408" spans="1:12">
      <c r="A408" s="12" t="s">
        <v>1554</v>
      </c>
      <c r="B408" t="s">
        <v>139</v>
      </c>
      <c r="C408">
        <v>35445455</v>
      </c>
      <c r="D408">
        <v>35445959</v>
      </c>
      <c r="E408" s="15" t="s">
        <v>35</v>
      </c>
      <c r="F408" t="s">
        <v>1697</v>
      </c>
      <c r="G408" t="s">
        <v>139</v>
      </c>
      <c r="H408">
        <v>45464828</v>
      </c>
      <c r="I408">
        <v>45465315</v>
      </c>
      <c r="J408" s="15" t="s">
        <v>1656</v>
      </c>
      <c r="K408" t="s">
        <v>2042</v>
      </c>
      <c r="L408">
        <v>79</v>
      </c>
    </row>
    <row r="409" spans="1:12">
      <c r="A409" s="12" t="s">
        <v>1554</v>
      </c>
      <c r="B409" t="s">
        <v>257</v>
      </c>
      <c r="C409">
        <v>73142225</v>
      </c>
      <c r="D409">
        <v>73142579</v>
      </c>
      <c r="E409" s="15" t="s">
        <v>1656</v>
      </c>
      <c r="F409" t="s">
        <v>1697</v>
      </c>
      <c r="G409" t="s">
        <v>83</v>
      </c>
      <c r="H409">
        <v>65125016</v>
      </c>
      <c r="I409">
        <v>65125518</v>
      </c>
      <c r="J409" s="15" t="s">
        <v>1656</v>
      </c>
      <c r="K409" t="s">
        <v>4168</v>
      </c>
      <c r="L409">
        <v>79</v>
      </c>
    </row>
    <row r="410" spans="1:12">
      <c r="A410" s="12" t="s">
        <v>1554</v>
      </c>
      <c r="B410" t="s">
        <v>257</v>
      </c>
      <c r="C410">
        <v>100167942</v>
      </c>
      <c r="D410">
        <v>100168464</v>
      </c>
      <c r="E410" s="15" t="s">
        <v>1656</v>
      </c>
      <c r="F410" t="s">
        <v>1697</v>
      </c>
      <c r="G410" t="s">
        <v>188</v>
      </c>
      <c r="H410">
        <v>49198006</v>
      </c>
      <c r="I410">
        <v>49198487</v>
      </c>
      <c r="J410" s="15" t="s">
        <v>1656</v>
      </c>
      <c r="K410" t="s">
        <v>4170</v>
      </c>
      <c r="L410">
        <v>79</v>
      </c>
    </row>
    <row r="411" spans="1:12">
      <c r="A411" s="12" t="s">
        <v>1554</v>
      </c>
      <c r="B411" t="s">
        <v>135</v>
      </c>
      <c r="C411">
        <v>2902335</v>
      </c>
      <c r="D411">
        <v>2902782</v>
      </c>
      <c r="E411" s="15" t="s">
        <v>35</v>
      </c>
      <c r="F411" t="s">
        <v>4222</v>
      </c>
      <c r="G411" t="s">
        <v>135</v>
      </c>
      <c r="H411">
        <v>3021557</v>
      </c>
      <c r="I411">
        <v>3022025</v>
      </c>
      <c r="J411" s="15" t="s">
        <v>35</v>
      </c>
      <c r="K411" t="s">
        <v>1697</v>
      </c>
      <c r="L411">
        <v>78</v>
      </c>
    </row>
    <row r="412" spans="1:12">
      <c r="A412" s="12" t="s">
        <v>1554</v>
      </c>
      <c r="B412" t="s">
        <v>226</v>
      </c>
      <c r="C412">
        <v>139977546</v>
      </c>
      <c r="D412">
        <v>139977956</v>
      </c>
      <c r="E412" s="15" t="s">
        <v>35</v>
      </c>
      <c r="F412" t="s">
        <v>1697</v>
      </c>
      <c r="G412" t="s">
        <v>226</v>
      </c>
      <c r="H412">
        <v>140057818</v>
      </c>
      <c r="I412">
        <v>140058359</v>
      </c>
      <c r="J412" s="15" t="s">
        <v>35</v>
      </c>
      <c r="K412" t="s">
        <v>4155</v>
      </c>
      <c r="L412">
        <v>78</v>
      </c>
    </row>
    <row r="413" spans="1:12">
      <c r="A413" s="12" t="s">
        <v>1554</v>
      </c>
      <c r="B413" t="s">
        <v>172</v>
      </c>
      <c r="C413">
        <v>211302246</v>
      </c>
      <c r="D413">
        <v>211302693</v>
      </c>
      <c r="E413" s="15" t="s">
        <v>35</v>
      </c>
      <c r="F413" t="s">
        <v>4139</v>
      </c>
      <c r="G413" t="s">
        <v>172</v>
      </c>
      <c r="H413">
        <v>211573371</v>
      </c>
      <c r="I413">
        <v>211573856</v>
      </c>
      <c r="J413" s="15" t="s">
        <v>35</v>
      </c>
      <c r="K413" t="s">
        <v>1697</v>
      </c>
      <c r="L413">
        <v>77</v>
      </c>
    </row>
    <row r="414" spans="1:12">
      <c r="A414" s="12" t="s">
        <v>1554</v>
      </c>
      <c r="B414" t="s">
        <v>201</v>
      </c>
      <c r="C414">
        <v>2862677</v>
      </c>
      <c r="D414">
        <v>2863267</v>
      </c>
      <c r="E414" s="15" t="s">
        <v>35</v>
      </c>
      <c r="F414" t="s">
        <v>2064</v>
      </c>
      <c r="G414" t="s">
        <v>201</v>
      </c>
      <c r="H414">
        <v>2928871</v>
      </c>
      <c r="I414">
        <v>2929248</v>
      </c>
      <c r="J414" s="15" t="s">
        <v>35</v>
      </c>
      <c r="K414" t="s">
        <v>2064</v>
      </c>
      <c r="L414">
        <v>77</v>
      </c>
    </row>
    <row r="415" spans="1:12">
      <c r="A415" s="12" t="s">
        <v>1554</v>
      </c>
      <c r="B415" t="s">
        <v>83</v>
      </c>
      <c r="C415">
        <v>1699896</v>
      </c>
      <c r="D415">
        <v>1700380</v>
      </c>
      <c r="E415" s="15" t="s">
        <v>1656</v>
      </c>
      <c r="F415" t="s">
        <v>1888</v>
      </c>
      <c r="G415" t="s">
        <v>104</v>
      </c>
      <c r="H415">
        <v>1739096</v>
      </c>
      <c r="I415">
        <v>1739470</v>
      </c>
      <c r="J415" s="15" t="s">
        <v>1656</v>
      </c>
      <c r="K415" t="s">
        <v>4185</v>
      </c>
      <c r="L415">
        <v>76</v>
      </c>
    </row>
    <row r="416" spans="1:12">
      <c r="A416" s="12" t="s">
        <v>1554</v>
      </c>
      <c r="B416" t="s">
        <v>257</v>
      </c>
      <c r="C416">
        <v>100436014</v>
      </c>
      <c r="D416">
        <v>100436500</v>
      </c>
      <c r="E416" s="15" t="s">
        <v>35</v>
      </c>
      <c r="F416" t="s">
        <v>1697</v>
      </c>
      <c r="G416" t="s">
        <v>257</v>
      </c>
      <c r="H416">
        <v>100460866</v>
      </c>
      <c r="I416">
        <v>100461341</v>
      </c>
      <c r="J416" s="15" t="s">
        <v>35</v>
      </c>
      <c r="K416" t="s">
        <v>2755</v>
      </c>
      <c r="L416">
        <v>75</v>
      </c>
    </row>
    <row r="417" spans="1:12">
      <c r="A417" s="12" t="s">
        <v>1554</v>
      </c>
      <c r="B417" t="s">
        <v>104</v>
      </c>
      <c r="C417">
        <v>1797000</v>
      </c>
      <c r="D417">
        <v>1797429</v>
      </c>
      <c r="E417" s="15" t="s">
        <v>1656</v>
      </c>
      <c r="F417" t="s">
        <v>1697</v>
      </c>
      <c r="G417" t="s">
        <v>104</v>
      </c>
      <c r="H417">
        <v>56753655</v>
      </c>
      <c r="I417">
        <v>56754071</v>
      </c>
      <c r="J417" s="15" t="s">
        <v>1656</v>
      </c>
      <c r="K417" t="s">
        <v>2206</v>
      </c>
      <c r="L417">
        <v>74</v>
      </c>
    </row>
    <row r="418" spans="1:12">
      <c r="A418" s="12" t="s">
        <v>1554</v>
      </c>
      <c r="B418" t="s">
        <v>237</v>
      </c>
      <c r="C418">
        <v>43255335</v>
      </c>
      <c r="D418">
        <v>43255864</v>
      </c>
      <c r="E418" s="15" t="s">
        <v>35</v>
      </c>
      <c r="F418" t="s">
        <v>4164</v>
      </c>
      <c r="G418" t="s">
        <v>237</v>
      </c>
      <c r="H418">
        <v>43259426</v>
      </c>
      <c r="I418">
        <v>43259839</v>
      </c>
      <c r="J418" s="15" t="s">
        <v>35</v>
      </c>
      <c r="K418" t="s">
        <v>1697</v>
      </c>
      <c r="L418">
        <v>73</v>
      </c>
    </row>
    <row r="419" spans="1:12">
      <c r="A419" s="12" t="s">
        <v>1554</v>
      </c>
      <c r="B419" t="s">
        <v>22</v>
      </c>
      <c r="C419">
        <v>43702426</v>
      </c>
      <c r="D419">
        <v>43702898</v>
      </c>
      <c r="E419" s="15" t="s">
        <v>35</v>
      </c>
      <c r="F419" t="s">
        <v>1697</v>
      </c>
      <c r="G419" t="s">
        <v>22</v>
      </c>
      <c r="H419">
        <v>44020815</v>
      </c>
      <c r="I419">
        <v>44021057</v>
      </c>
      <c r="J419" s="15" t="s">
        <v>35</v>
      </c>
      <c r="K419" t="s">
        <v>2425</v>
      </c>
      <c r="L419">
        <v>71</v>
      </c>
    </row>
    <row r="420" spans="1:12">
      <c r="A420" s="12" t="s">
        <v>1554</v>
      </c>
      <c r="B420" t="s">
        <v>83</v>
      </c>
      <c r="C420">
        <v>47221068</v>
      </c>
      <c r="D420">
        <v>47221675</v>
      </c>
      <c r="E420" s="15" t="s">
        <v>35</v>
      </c>
      <c r="F420" t="s">
        <v>1697</v>
      </c>
      <c r="G420" t="s">
        <v>197</v>
      </c>
      <c r="H420">
        <v>38468617</v>
      </c>
      <c r="I420">
        <v>38469173</v>
      </c>
      <c r="J420" s="15" t="s">
        <v>35</v>
      </c>
      <c r="K420" t="s">
        <v>4187</v>
      </c>
      <c r="L420">
        <v>69</v>
      </c>
    </row>
    <row r="421" spans="1:12">
      <c r="A421" s="12" t="s">
        <v>1554</v>
      </c>
      <c r="B421" t="s">
        <v>133</v>
      </c>
      <c r="C421">
        <v>67630466</v>
      </c>
      <c r="D421">
        <v>67630881</v>
      </c>
      <c r="E421" s="15" t="s">
        <v>1656</v>
      </c>
      <c r="F421" t="s">
        <v>1697</v>
      </c>
      <c r="G421" t="s">
        <v>139</v>
      </c>
      <c r="H421">
        <v>45027793</v>
      </c>
      <c r="I421">
        <v>45028272</v>
      </c>
      <c r="J421" s="15" t="s">
        <v>1656</v>
      </c>
      <c r="K421" t="s">
        <v>4220</v>
      </c>
      <c r="L421">
        <v>69</v>
      </c>
    </row>
    <row r="422" spans="1:12">
      <c r="A422" s="12" t="s">
        <v>1554</v>
      </c>
      <c r="B422" t="s">
        <v>69</v>
      </c>
      <c r="C422">
        <v>89274507</v>
      </c>
      <c r="D422">
        <v>89274872</v>
      </c>
      <c r="E422" s="15" t="s">
        <v>35</v>
      </c>
      <c r="F422" t="s">
        <v>4184</v>
      </c>
      <c r="G422" t="s">
        <v>69</v>
      </c>
      <c r="H422">
        <v>113904548</v>
      </c>
      <c r="I422">
        <v>113904817</v>
      </c>
      <c r="J422" s="15" t="s">
        <v>1656</v>
      </c>
      <c r="K422" t="s">
        <v>1697</v>
      </c>
      <c r="L422">
        <v>68</v>
      </c>
    </row>
    <row r="423" spans="1:12">
      <c r="A423" s="12" t="s">
        <v>1554</v>
      </c>
      <c r="B423" t="s">
        <v>197</v>
      </c>
      <c r="C423">
        <v>41763857</v>
      </c>
      <c r="D423">
        <v>41764296</v>
      </c>
      <c r="E423" s="15" t="s">
        <v>35</v>
      </c>
      <c r="F423" t="s">
        <v>506</v>
      </c>
      <c r="G423" t="s">
        <v>197</v>
      </c>
      <c r="H423">
        <v>41963713</v>
      </c>
      <c r="I423">
        <v>41964223</v>
      </c>
      <c r="J423" s="15" t="s">
        <v>35</v>
      </c>
      <c r="K423" t="s">
        <v>4245</v>
      </c>
      <c r="L423">
        <v>68</v>
      </c>
    </row>
    <row r="424" spans="1:12">
      <c r="A424" s="12" t="s">
        <v>1554</v>
      </c>
      <c r="B424" t="s">
        <v>292</v>
      </c>
      <c r="C424">
        <v>130673440</v>
      </c>
      <c r="D424">
        <v>130673901</v>
      </c>
      <c r="E424" s="15" t="s">
        <v>35</v>
      </c>
      <c r="F424" t="s">
        <v>4180</v>
      </c>
      <c r="G424" t="s">
        <v>292</v>
      </c>
      <c r="H424">
        <v>130837474</v>
      </c>
      <c r="I424">
        <v>130838023</v>
      </c>
      <c r="J424" s="15" t="s">
        <v>35</v>
      </c>
      <c r="K424" t="s">
        <v>4181</v>
      </c>
      <c r="L424">
        <v>68</v>
      </c>
    </row>
    <row r="425" spans="1:12">
      <c r="A425" s="12" t="s">
        <v>1554</v>
      </c>
      <c r="B425" t="s">
        <v>292</v>
      </c>
      <c r="C425">
        <v>139525242</v>
      </c>
      <c r="D425">
        <v>139525843</v>
      </c>
      <c r="E425" s="15" t="s">
        <v>35</v>
      </c>
      <c r="F425" t="s">
        <v>1697</v>
      </c>
      <c r="G425" t="s">
        <v>292</v>
      </c>
      <c r="H425">
        <v>139564358</v>
      </c>
      <c r="I425">
        <v>139564844</v>
      </c>
      <c r="J425" s="15" t="s">
        <v>35</v>
      </c>
      <c r="K425" t="s">
        <v>14188</v>
      </c>
      <c r="L425">
        <v>68</v>
      </c>
    </row>
    <row r="426" spans="1:12">
      <c r="A426" s="12" t="s">
        <v>1554</v>
      </c>
      <c r="B426" t="s">
        <v>83</v>
      </c>
      <c r="C426">
        <v>57344669</v>
      </c>
      <c r="D426">
        <v>57344958</v>
      </c>
      <c r="E426" s="15" t="s">
        <v>35</v>
      </c>
      <c r="F426" t="s">
        <v>1697</v>
      </c>
      <c r="G426" t="s">
        <v>83</v>
      </c>
      <c r="H426">
        <v>57368875</v>
      </c>
      <c r="I426">
        <v>57369276</v>
      </c>
      <c r="J426" s="15" t="s">
        <v>35</v>
      </c>
      <c r="K426" t="s">
        <v>1986</v>
      </c>
      <c r="L426">
        <v>67</v>
      </c>
    </row>
    <row r="427" spans="1:12">
      <c r="A427" s="12" t="s">
        <v>1554</v>
      </c>
      <c r="B427" t="s">
        <v>83</v>
      </c>
      <c r="C427">
        <v>71278678</v>
      </c>
      <c r="D427">
        <v>71279119</v>
      </c>
      <c r="E427" s="15" t="s">
        <v>1656</v>
      </c>
      <c r="F427" t="s">
        <v>1697</v>
      </c>
      <c r="G427" t="s">
        <v>188</v>
      </c>
      <c r="H427">
        <v>10641518</v>
      </c>
      <c r="I427">
        <v>10642047</v>
      </c>
      <c r="J427" s="15" t="s">
        <v>35</v>
      </c>
      <c r="K427" t="s">
        <v>4192</v>
      </c>
      <c r="L427">
        <v>67</v>
      </c>
    </row>
    <row r="428" spans="1:12">
      <c r="A428" s="12" t="s">
        <v>1554</v>
      </c>
      <c r="B428" t="s">
        <v>279</v>
      </c>
      <c r="C428">
        <v>27940599</v>
      </c>
      <c r="D428">
        <v>27941112</v>
      </c>
      <c r="E428" s="15" t="s">
        <v>35</v>
      </c>
      <c r="F428" t="s">
        <v>14182</v>
      </c>
      <c r="G428" t="s">
        <v>279</v>
      </c>
      <c r="H428">
        <v>27959121</v>
      </c>
      <c r="I428">
        <v>27959560</v>
      </c>
      <c r="J428" s="15" t="s">
        <v>35</v>
      </c>
      <c r="K428" t="s">
        <v>4172</v>
      </c>
      <c r="L428">
        <v>67</v>
      </c>
    </row>
    <row r="429" spans="1:12">
      <c r="A429" s="12" t="s">
        <v>1554</v>
      </c>
      <c r="B429" t="s">
        <v>133</v>
      </c>
      <c r="C429">
        <v>57686657</v>
      </c>
      <c r="D429">
        <v>57687161</v>
      </c>
      <c r="E429" s="15" t="s">
        <v>35</v>
      </c>
      <c r="F429" t="s">
        <v>1697</v>
      </c>
      <c r="G429" t="s">
        <v>133</v>
      </c>
      <c r="H429">
        <v>57697257</v>
      </c>
      <c r="I429">
        <v>57697751</v>
      </c>
      <c r="J429" s="15" t="s">
        <v>35</v>
      </c>
      <c r="K429" t="s">
        <v>2901</v>
      </c>
      <c r="L429">
        <v>66</v>
      </c>
    </row>
    <row r="430" spans="1:12">
      <c r="A430" s="12" t="s">
        <v>1554</v>
      </c>
      <c r="B430" t="s">
        <v>139</v>
      </c>
      <c r="C430">
        <v>35696367</v>
      </c>
      <c r="D430">
        <v>35696782</v>
      </c>
      <c r="E430" s="15" t="s">
        <v>1656</v>
      </c>
      <c r="F430" t="s">
        <v>1697</v>
      </c>
      <c r="G430" t="s">
        <v>139</v>
      </c>
      <c r="H430">
        <v>45724130</v>
      </c>
      <c r="I430">
        <v>45724561</v>
      </c>
      <c r="J430" s="15" t="s">
        <v>35</v>
      </c>
      <c r="K430" t="s">
        <v>4235</v>
      </c>
      <c r="L430">
        <v>64</v>
      </c>
    </row>
    <row r="431" spans="1:12">
      <c r="A431" s="12" t="s">
        <v>1554</v>
      </c>
      <c r="B431" t="s">
        <v>201</v>
      </c>
      <c r="C431">
        <v>50255896</v>
      </c>
      <c r="D431">
        <v>50256350</v>
      </c>
      <c r="E431" s="15" t="s">
        <v>1656</v>
      </c>
      <c r="F431" t="s">
        <v>1957</v>
      </c>
      <c r="G431" t="s">
        <v>83</v>
      </c>
      <c r="H431">
        <v>116520695</v>
      </c>
      <c r="I431">
        <v>116521130</v>
      </c>
      <c r="J431" s="15" t="s">
        <v>1656</v>
      </c>
      <c r="K431" t="s">
        <v>1697</v>
      </c>
      <c r="L431">
        <v>64</v>
      </c>
    </row>
    <row r="432" spans="1:12">
      <c r="A432" s="12" t="s">
        <v>1554</v>
      </c>
      <c r="B432" t="s">
        <v>237</v>
      </c>
      <c r="C432">
        <v>128313745</v>
      </c>
      <c r="D432">
        <v>128314230</v>
      </c>
      <c r="E432" s="15" t="s">
        <v>1656</v>
      </c>
      <c r="F432" t="s">
        <v>1530</v>
      </c>
      <c r="G432" t="s">
        <v>237</v>
      </c>
      <c r="H432">
        <v>128528458</v>
      </c>
      <c r="I432">
        <v>128528850</v>
      </c>
      <c r="J432" s="15" t="s">
        <v>1656</v>
      </c>
      <c r="K432" t="s">
        <v>1530</v>
      </c>
      <c r="L432">
        <v>63</v>
      </c>
    </row>
    <row r="433" spans="1:12">
      <c r="A433" s="12" t="s">
        <v>1554</v>
      </c>
      <c r="B433" t="s">
        <v>83</v>
      </c>
      <c r="C433">
        <v>1676607</v>
      </c>
      <c r="D433">
        <v>1676898</v>
      </c>
      <c r="E433" s="15" t="s">
        <v>35</v>
      </c>
      <c r="F433" t="s">
        <v>1888</v>
      </c>
      <c r="G433" t="s">
        <v>104</v>
      </c>
      <c r="H433">
        <v>56488162</v>
      </c>
      <c r="I433">
        <v>56488686</v>
      </c>
      <c r="J433" s="15" t="s">
        <v>35</v>
      </c>
      <c r="K433" t="s">
        <v>3801</v>
      </c>
      <c r="L433">
        <v>61</v>
      </c>
    </row>
    <row r="434" spans="1:12">
      <c r="A434" s="12" t="s">
        <v>1554</v>
      </c>
      <c r="B434" t="s">
        <v>22</v>
      </c>
      <c r="C434">
        <v>47424960</v>
      </c>
      <c r="D434">
        <v>47425448</v>
      </c>
      <c r="E434" s="15" t="s">
        <v>35</v>
      </c>
      <c r="F434" t="s">
        <v>1697</v>
      </c>
      <c r="G434" t="s">
        <v>22</v>
      </c>
      <c r="H434">
        <v>47496781</v>
      </c>
      <c r="I434">
        <v>47497174</v>
      </c>
      <c r="J434" s="15" t="s">
        <v>35</v>
      </c>
      <c r="K434" t="s">
        <v>4114</v>
      </c>
      <c r="L434">
        <v>60</v>
      </c>
    </row>
    <row r="435" spans="1:12">
      <c r="A435" s="12" t="s">
        <v>1554</v>
      </c>
      <c r="B435" t="s">
        <v>120</v>
      </c>
      <c r="C435">
        <v>57424146</v>
      </c>
      <c r="D435">
        <v>57424559</v>
      </c>
      <c r="E435" s="15" t="s">
        <v>35</v>
      </c>
      <c r="F435" t="s">
        <v>4204</v>
      </c>
      <c r="G435" t="s">
        <v>120</v>
      </c>
      <c r="H435">
        <v>57984909</v>
      </c>
      <c r="I435">
        <v>57985338</v>
      </c>
      <c r="J435" s="15" t="s">
        <v>35</v>
      </c>
      <c r="K435" t="s">
        <v>3852</v>
      </c>
      <c r="L435">
        <v>60</v>
      </c>
    </row>
    <row r="436" spans="1:12">
      <c r="A436" s="12" t="s">
        <v>1554</v>
      </c>
      <c r="B436" t="s">
        <v>139</v>
      </c>
      <c r="C436">
        <v>11528337</v>
      </c>
      <c r="D436">
        <v>11528818</v>
      </c>
      <c r="E436" s="15" t="s">
        <v>35</v>
      </c>
      <c r="F436" t="s">
        <v>3183</v>
      </c>
      <c r="G436" t="s">
        <v>139</v>
      </c>
      <c r="H436">
        <v>11532470</v>
      </c>
      <c r="I436">
        <v>11532828</v>
      </c>
      <c r="J436" s="15" t="s">
        <v>35</v>
      </c>
      <c r="K436" t="s">
        <v>2572</v>
      </c>
      <c r="L436">
        <v>59</v>
      </c>
    </row>
    <row r="437" spans="1:12">
      <c r="A437" s="12" t="s">
        <v>1554</v>
      </c>
      <c r="B437" t="s">
        <v>139</v>
      </c>
      <c r="C437">
        <v>45429241</v>
      </c>
      <c r="D437">
        <v>45429807</v>
      </c>
      <c r="E437" s="15" t="s">
        <v>35</v>
      </c>
      <c r="F437" t="s">
        <v>14165</v>
      </c>
      <c r="G437" t="s">
        <v>139</v>
      </c>
      <c r="H437">
        <v>45438840</v>
      </c>
      <c r="I437">
        <v>45439092</v>
      </c>
      <c r="J437" s="15" t="s">
        <v>35</v>
      </c>
      <c r="K437" t="s">
        <v>1697</v>
      </c>
      <c r="L437">
        <v>59</v>
      </c>
    </row>
    <row r="438" spans="1:12">
      <c r="A438" s="12" t="s">
        <v>1554</v>
      </c>
      <c r="B438" t="s">
        <v>257</v>
      </c>
      <c r="C438">
        <v>75462653</v>
      </c>
      <c r="D438">
        <v>75463052</v>
      </c>
      <c r="E438" s="15" t="s">
        <v>35</v>
      </c>
      <c r="F438" t="s">
        <v>1697</v>
      </c>
      <c r="G438" t="s">
        <v>257</v>
      </c>
      <c r="H438">
        <v>75563298</v>
      </c>
      <c r="I438">
        <v>75563710</v>
      </c>
      <c r="J438" s="15" t="s">
        <v>35</v>
      </c>
      <c r="K438" t="s">
        <v>1865</v>
      </c>
      <c r="L438">
        <v>59</v>
      </c>
    </row>
    <row r="439" spans="1:12">
      <c r="A439" s="12" t="s">
        <v>1554</v>
      </c>
      <c r="B439" t="s">
        <v>237</v>
      </c>
      <c r="C439">
        <v>109242224</v>
      </c>
      <c r="D439">
        <v>109242658</v>
      </c>
      <c r="E439" s="15" t="s">
        <v>35</v>
      </c>
      <c r="F439" t="s">
        <v>14178</v>
      </c>
      <c r="G439" t="s">
        <v>237</v>
      </c>
      <c r="H439">
        <v>109250958</v>
      </c>
      <c r="I439">
        <v>109251416</v>
      </c>
      <c r="J439" s="15" t="s">
        <v>35</v>
      </c>
      <c r="K439" t="s">
        <v>14178</v>
      </c>
      <c r="L439">
        <v>58</v>
      </c>
    </row>
    <row r="440" spans="1:12">
      <c r="A440" s="12" t="s">
        <v>1554</v>
      </c>
      <c r="B440" t="s">
        <v>279</v>
      </c>
      <c r="C440">
        <v>22411705</v>
      </c>
      <c r="D440">
        <v>22412134</v>
      </c>
      <c r="E440" s="15" t="s">
        <v>35</v>
      </c>
      <c r="F440" t="s">
        <v>4171</v>
      </c>
      <c r="G440" t="s">
        <v>279</v>
      </c>
      <c r="H440">
        <v>120674013</v>
      </c>
      <c r="I440">
        <v>120674513</v>
      </c>
      <c r="J440" s="15" t="s">
        <v>1656</v>
      </c>
      <c r="K440" t="s">
        <v>1697</v>
      </c>
      <c r="L440">
        <v>58</v>
      </c>
    </row>
    <row r="441" spans="1:12">
      <c r="A441" s="12" t="s">
        <v>1554</v>
      </c>
      <c r="B441" t="s">
        <v>22</v>
      </c>
      <c r="C441">
        <v>150810186</v>
      </c>
      <c r="D441">
        <v>150810624</v>
      </c>
      <c r="E441" s="15" t="s">
        <v>1656</v>
      </c>
      <c r="F441" t="s">
        <v>4121</v>
      </c>
      <c r="G441" t="s">
        <v>279</v>
      </c>
      <c r="H441">
        <v>145507901</v>
      </c>
      <c r="I441">
        <v>145508239</v>
      </c>
      <c r="J441" s="15" t="s">
        <v>35</v>
      </c>
      <c r="K441" t="s">
        <v>4122</v>
      </c>
      <c r="L441">
        <v>57</v>
      </c>
    </row>
    <row r="442" spans="1:12">
      <c r="A442" s="12" t="s">
        <v>1554</v>
      </c>
      <c r="B442" t="s">
        <v>133</v>
      </c>
      <c r="C442">
        <v>4799942</v>
      </c>
      <c r="D442">
        <v>4800241</v>
      </c>
      <c r="E442" s="15" t="s">
        <v>35</v>
      </c>
      <c r="F442" t="s">
        <v>4216</v>
      </c>
      <c r="G442" t="s">
        <v>133</v>
      </c>
      <c r="H442">
        <v>4815233</v>
      </c>
      <c r="I442">
        <v>4815745</v>
      </c>
      <c r="J442" s="15" t="s">
        <v>35</v>
      </c>
      <c r="K442" t="s">
        <v>1697</v>
      </c>
      <c r="L442">
        <v>57</v>
      </c>
    </row>
    <row r="443" spans="1:12">
      <c r="A443" s="12" t="s">
        <v>1554</v>
      </c>
      <c r="B443" t="s">
        <v>339</v>
      </c>
      <c r="C443">
        <v>61001302</v>
      </c>
      <c r="D443">
        <v>61001792</v>
      </c>
      <c r="E443" s="15" t="s">
        <v>1656</v>
      </c>
      <c r="F443" t="s">
        <v>1903</v>
      </c>
      <c r="G443" t="s">
        <v>339</v>
      </c>
      <c r="H443">
        <v>61207692</v>
      </c>
      <c r="I443">
        <v>61208168</v>
      </c>
      <c r="J443" s="15" t="s">
        <v>1656</v>
      </c>
      <c r="K443" t="s">
        <v>1697</v>
      </c>
      <c r="L443">
        <v>56</v>
      </c>
    </row>
    <row r="444" spans="1:12">
      <c r="A444" s="12" t="s">
        <v>1554</v>
      </c>
      <c r="B444" t="s">
        <v>69</v>
      </c>
      <c r="C444">
        <v>79035526</v>
      </c>
      <c r="D444">
        <v>79035977</v>
      </c>
      <c r="E444" s="15" t="s">
        <v>35</v>
      </c>
      <c r="F444" t="s">
        <v>2448</v>
      </c>
      <c r="G444" t="s">
        <v>129</v>
      </c>
      <c r="H444">
        <v>66964370</v>
      </c>
      <c r="I444">
        <v>66964967</v>
      </c>
      <c r="J444" s="15" t="s">
        <v>35</v>
      </c>
      <c r="K444" t="s">
        <v>1697</v>
      </c>
      <c r="L444">
        <v>55</v>
      </c>
    </row>
    <row r="445" spans="1:12">
      <c r="A445" s="12" t="s">
        <v>1554</v>
      </c>
      <c r="B445" t="s">
        <v>129</v>
      </c>
      <c r="C445">
        <v>542029</v>
      </c>
      <c r="D445">
        <v>542521</v>
      </c>
      <c r="E445" s="15" t="s">
        <v>35</v>
      </c>
      <c r="F445" t="s">
        <v>4206</v>
      </c>
      <c r="G445" t="s">
        <v>129</v>
      </c>
      <c r="H445">
        <v>545687</v>
      </c>
      <c r="I445">
        <v>546168</v>
      </c>
      <c r="J445" s="15" t="s">
        <v>35</v>
      </c>
      <c r="K445" t="s">
        <v>4206</v>
      </c>
      <c r="L445">
        <v>55</v>
      </c>
    </row>
    <row r="446" spans="1:12">
      <c r="A446" s="12" t="s">
        <v>1554</v>
      </c>
      <c r="B446" t="s">
        <v>172</v>
      </c>
      <c r="C446">
        <v>141791351</v>
      </c>
      <c r="D446">
        <v>141791750</v>
      </c>
      <c r="E446" s="15" t="s">
        <v>1656</v>
      </c>
      <c r="F446" t="s">
        <v>4136</v>
      </c>
      <c r="G446" t="s">
        <v>172</v>
      </c>
      <c r="H446">
        <v>142123676</v>
      </c>
      <c r="I446">
        <v>142124139</v>
      </c>
      <c r="J446" s="15" t="s">
        <v>1656</v>
      </c>
      <c r="K446" t="s">
        <v>4136</v>
      </c>
      <c r="L446">
        <v>55</v>
      </c>
    </row>
    <row r="447" spans="1:12">
      <c r="A447" s="12" t="s">
        <v>1554</v>
      </c>
      <c r="B447" t="s">
        <v>279</v>
      </c>
      <c r="C447">
        <v>103373259</v>
      </c>
      <c r="D447">
        <v>103373687</v>
      </c>
      <c r="E447" s="15" t="s">
        <v>35</v>
      </c>
      <c r="F447" t="s">
        <v>4175</v>
      </c>
      <c r="G447" t="s">
        <v>120</v>
      </c>
      <c r="H447">
        <v>45101583</v>
      </c>
      <c r="I447">
        <v>45102079</v>
      </c>
      <c r="J447" s="15" t="s">
        <v>1656</v>
      </c>
      <c r="K447" t="s">
        <v>1697</v>
      </c>
      <c r="L447">
        <v>55</v>
      </c>
    </row>
    <row r="448" spans="1:12">
      <c r="A448" s="12" t="s">
        <v>1554</v>
      </c>
      <c r="B448" t="s">
        <v>172</v>
      </c>
      <c r="C448">
        <v>113010191</v>
      </c>
      <c r="D448">
        <v>113010463</v>
      </c>
      <c r="E448" s="15" t="s">
        <v>35</v>
      </c>
      <c r="F448" t="s">
        <v>4131</v>
      </c>
      <c r="G448" t="s">
        <v>172</v>
      </c>
      <c r="H448">
        <v>219551508</v>
      </c>
      <c r="I448">
        <v>219551970</v>
      </c>
      <c r="J448" s="15" t="s">
        <v>1656</v>
      </c>
      <c r="K448" t="s">
        <v>4132</v>
      </c>
      <c r="L448">
        <v>54</v>
      </c>
    </row>
    <row r="449" spans="1:12">
      <c r="A449" s="12" t="s">
        <v>1554</v>
      </c>
      <c r="B449" t="s">
        <v>188</v>
      </c>
      <c r="C449">
        <v>43978195</v>
      </c>
      <c r="D449">
        <v>43978739</v>
      </c>
      <c r="E449" s="15" t="s">
        <v>35</v>
      </c>
      <c r="F449" t="s">
        <v>14169</v>
      </c>
      <c r="G449" t="s">
        <v>188</v>
      </c>
      <c r="H449">
        <v>44020507</v>
      </c>
      <c r="I449">
        <v>44020970</v>
      </c>
      <c r="J449" s="15" t="s">
        <v>35</v>
      </c>
      <c r="K449" t="s">
        <v>4243</v>
      </c>
      <c r="L449">
        <v>54</v>
      </c>
    </row>
    <row r="450" spans="1:12">
      <c r="A450" s="12" t="s">
        <v>1554</v>
      </c>
      <c r="B450" t="s">
        <v>226</v>
      </c>
      <c r="C450">
        <v>90207312</v>
      </c>
      <c r="D450">
        <v>90207745</v>
      </c>
      <c r="E450" s="15" t="s">
        <v>1656</v>
      </c>
      <c r="F450" t="s">
        <v>1163</v>
      </c>
      <c r="G450" t="s">
        <v>104</v>
      </c>
      <c r="H450">
        <v>57218647</v>
      </c>
      <c r="I450">
        <v>57219127</v>
      </c>
      <c r="J450" s="15" t="s">
        <v>1656</v>
      </c>
      <c r="K450" t="s">
        <v>1697</v>
      </c>
      <c r="L450">
        <v>54</v>
      </c>
    </row>
    <row r="451" spans="1:12">
      <c r="A451" s="12" t="s">
        <v>1554</v>
      </c>
      <c r="B451" t="s">
        <v>237</v>
      </c>
      <c r="C451">
        <v>43252643</v>
      </c>
      <c r="D451">
        <v>43252920</v>
      </c>
      <c r="E451" s="15" t="s">
        <v>35</v>
      </c>
      <c r="F451" t="s">
        <v>4164</v>
      </c>
      <c r="G451" t="s">
        <v>237</v>
      </c>
      <c r="H451">
        <v>43272026</v>
      </c>
      <c r="I451">
        <v>43272501</v>
      </c>
      <c r="J451" s="15" t="s">
        <v>35</v>
      </c>
      <c r="K451" t="s">
        <v>1862</v>
      </c>
      <c r="L451">
        <v>54</v>
      </c>
    </row>
    <row r="452" spans="1:12">
      <c r="A452" s="12" t="s">
        <v>1554</v>
      </c>
      <c r="B452" t="s">
        <v>83</v>
      </c>
      <c r="C452">
        <v>57222790</v>
      </c>
      <c r="D452">
        <v>57223263</v>
      </c>
      <c r="E452" s="15" t="s">
        <v>35</v>
      </c>
      <c r="F452" t="s">
        <v>1697</v>
      </c>
      <c r="G452" t="s">
        <v>83</v>
      </c>
      <c r="H452">
        <v>57226573</v>
      </c>
      <c r="I452">
        <v>57226955</v>
      </c>
      <c r="J452" s="15" t="s">
        <v>35</v>
      </c>
      <c r="K452" t="s">
        <v>2203</v>
      </c>
      <c r="L452">
        <v>53</v>
      </c>
    </row>
    <row r="453" spans="1:12">
      <c r="A453" s="12" t="s">
        <v>1554</v>
      </c>
      <c r="B453" t="s">
        <v>133</v>
      </c>
      <c r="C453">
        <v>38150073</v>
      </c>
      <c r="D453">
        <v>38150379</v>
      </c>
      <c r="E453" s="15" t="s">
        <v>35</v>
      </c>
      <c r="F453" t="s">
        <v>4218</v>
      </c>
      <c r="G453" t="s">
        <v>133</v>
      </c>
      <c r="H453">
        <v>38257670</v>
      </c>
      <c r="I453">
        <v>38258172</v>
      </c>
      <c r="J453" s="15" t="s">
        <v>35</v>
      </c>
      <c r="K453" t="s">
        <v>14162</v>
      </c>
      <c r="L453">
        <v>53</v>
      </c>
    </row>
    <row r="454" spans="1:12">
      <c r="A454" s="12" t="s">
        <v>1554</v>
      </c>
      <c r="B454" t="s">
        <v>237</v>
      </c>
      <c r="C454">
        <v>30639913</v>
      </c>
      <c r="D454">
        <v>30640346</v>
      </c>
      <c r="E454" s="15" t="s">
        <v>35</v>
      </c>
      <c r="F454" t="s">
        <v>4158</v>
      </c>
      <c r="G454" t="s">
        <v>237</v>
      </c>
      <c r="H454">
        <v>30686378</v>
      </c>
      <c r="I454">
        <v>30686864</v>
      </c>
      <c r="J454" s="15" t="s">
        <v>35</v>
      </c>
      <c r="K454" t="s">
        <v>14177</v>
      </c>
      <c r="L454">
        <v>53</v>
      </c>
    </row>
    <row r="455" spans="1:12">
      <c r="A455" s="12" t="s">
        <v>1554</v>
      </c>
      <c r="B455" t="s">
        <v>292</v>
      </c>
      <c r="C455">
        <v>116682640</v>
      </c>
      <c r="D455">
        <v>116683122</v>
      </c>
      <c r="E455" s="15" t="s">
        <v>1656</v>
      </c>
      <c r="F455" t="s">
        <v>4178</v>
      </c>
      <c r="G455" t="s">
        <v>292</v>
      </c>
      <c r="H455">
        <v>131147307</v>
      </c>
      <c r="I455">
        <v>131147854</v>
      </c>
      <c r="J455" s="15" t="s">
        <v>35</v>
      </c>
      <c r="K455" t="s">
        <v>4179</v>
      </c>
      <c r="L455">
        <v>53</v>
      </c>
    </row>
    <row r="456" spans="1:12">
      <c r="A456" s="12" t="s">
        <v>1554</v>
      </c>
      <c r="B456" t="s">
        <v>257</v>
      </c>
      <c r="C456">
        <v>66300498</v>
      </c>
      <c r="D456">
        <v>66300908</v>
      </c>
      <c r="E456" s="15" t="s">
        <v>35</v>
      </c>
      <c r="F456" t="s">
        <v>14181</v>
      </c>
      <c r="G456" t="s">
        <v>257</v>
      </c>
      <c r="H456">
        <v>66301852</v>
      </c>
      <c r="I456">
        <v>66302153</v>
      </c>
      <c r="J456" s="15" t="s">
        <v>35</v>
      </c>
      <c r="K456" t="s">
        <v>14181</v>
      </c>
      <c r="L456">
        <v>51</v>
      </c>
    </row>
    <row r="457" spans="1:12">
      <c r="A457" s="12" t="s">
        <v>1554</v>
      </c>
      <c r="B457" t="s">
        <v>22</v>
      </c>
      <c r="C457">
        <v>51651865</v>
      </c>
      <c r="D457">
        <v>51652237</v>
      </c>
      <c r="E457" s="15" t="s">
        <v>35</v>
      </c>
      <c r="F457" t="s">
        <v>1697</v>
      </c>
      <c r="G457" t="s">
        <v>22</v>
      </c>
      <c r="H457">
        <v>51732382</v>
      </c>
      <c r="I457">
        <v>51732780</v>
      </c>
      <c r="J457" s="15" t="s">
        <v>35</v>
      </c>
      <c r="K457" t="s">
        <v>4115</v>
      </c>
      <c r="L457">
        <v>50</v>
      </c>
    </row>
    <row r="458" spans="1:12">
      <c r="A458" s="12" t="s">
        <v>1554</v>
      </c>
      <c r="B458" t="s">
        <v>129</v>
      </c>
      <c r="C458">
        <v>71456150</v>
      </c>
      <c r="D458">
        <v>71456554</v>
      </c>
      <c r="E458" s="15" t="s">
        <v>35</v>
      </c>
      <c r="F458" t="s">
        <v>1697</v>
      </c>
      <c r="G458" t="s">
        <v>129</v>
      </c>
      <c r="H458">
        <v>71740231</v>
      </c>
      <c r="I458">
        <v>71740658</v>
      </c>
      <c r="J458" s="15" t="s">
        <v>35</v>
      </c>
      <c r="K458" t="s">
        <v>572</v>
      </c>
      <c r="L458">
        <v>50</v>
      </c>
    </row>
    <row r="459" spans="1:12">
      <c r="A459" s="12" t="s">
        <v>1554</v>
      </c>
      <c r="B459" t="s">
        <v>226</v>
      </c>
      <c r="C459">
        <v>90198837</v>
      </c>
      <c r="D459">
        <v>90199274</v>
      </c>
      <c r="E459" s="15" t="s">
        <v>35</v>
      </c>
      <c r="F459" t="s">
        <v>1163</v>
      </c>
      <c r="G459" t="s">
        <v>226</v>
      </c>
      <c r="H459">
        <v>90202531</v>
      </c>
      <c r="I459">
        <v>90202939</v>
      </c>
      <c r="J459" s="15" t="s">
        <v>35</v>
      </c>
      <c r="K459" t="s">
        <v>1163</v>
      </c>
      <c r="L459">
        <v>49</v>
      </c>
    </row>
    <row r="460" spans="1:12">
      <c r="A460" s="12" t="s">
        <v>1554</v>
      </c>
      <c r="B460" t="s">
        <v>83</v>
      </c>
      <c r="C460">
        <v>70750769</v>
      </c>
      <c r="D460">
        <v>70751248</v>
      </c>
      <c r="E460" s="15" t="s">
        <v>35</v>
      </c>
      <c r="F460" t="s">
        <v>90</v>
      </c>
      <c r="G460" t="s">
        <v>104</v>
      </c>
      <c r="H460">
        <v>69524977</v>
      </c>
      <c r="I460">
        <v>69525416</v>
      </c>
      <c r="J460" s="15" t="s">
        <v>1656</v>
      </c>
      <c r="K460" t="s">
        <v>1697</v>
      </c>
      <c r="L460">
        <v>48</v>
      </c>
    </row>
    <row r="461" spans="1:12">
      <c r="A461" s="12" t="s">
        <v>1554</v>
      </c>
      <c r="B461" t="s">
        <v>139</v>
      </c>
      <c r="C461">
        <v>45197728</v>
      </c>
      <c r="D461">
        <v>45198155</v>
      </c>
      <c r="E461" s="15" t="s">
        <v>35</v>
      </c>
      <c r="F461" t="s">
        <v>1697</v>
      </c>
      <c r="G461" t="s">
        <v>139</v>
      </c>
      <c r="H461">
        <v>45319582</v>
      </c>
      <c r="I461">
        <v>45320041</v>
      </c>
      <c r="J461" s="15" t="s">
        <v>35</v>
      </c>
      <c r="K461" t="s">
        <v>4238</v>
      </c>
      <c r="L461">
        <v>48</v>
      </c>
    </row>
    <row r="462" spans="1:12">
      <c r="A462" s="12" t="s">
        <v>1554</v>
      </c>
      <c r="B462" t="s">
        <v>172</v>
      </c>
      <c r="C462">
        <v>38999532</v>
      </c>
      <c r="D462">
        <v>39000012</v>
      </c>
      <c r="E462" s="15" t="s">
        <v>35</v>
      </c>
      <c r="F462" t="s">
        <v>1697</v>
      </c>
      <c r="G462" t="s">
        <v>172</v>
      </c>
      <c r="H462">
        <v>39062975</v>
      </c>
      <c r="I462">
        <v>39063314</v>
      </c>
      <c r="J462" s="15" t="s">
        <v>35</v>
      </c>
      <c r="K462" t="s">
        <v>3187</v>
      </c>
      <c r="L462">
        <v>48</v>
      </c>
    </row>
    <row r="463" spans="1:12">
      <c r="A463" s="12" t="s">
        <v>1554</v>
      </c>
      <c r="B463" t="s">
        <v>201</v>
      </c>
      <c r="C463">
        <v>45562677</v>
      </c>
      <c r="D463">
        <v>45563095</v>
      </c>
      <c r="E463" s="15" t="s">
        <v>35</v>
      </c>
      <c r="F463" t="s">
        <v>4094</v>
      </c>
      <c r="G463" t="s">
        <v>201</v>
      </c>
      <c r="H463">
        <v>45648720</v>
      </c>
      <c r="I463">
        <v>45649049</v>
      </c>
      <c r="J463" s="15" t="s">
        <v>35</v>
      </c>
      <c r="K463" t="s">
        <v>4143</v>
      </c>
      <c r="L463">
        <v>48</v>
      </c>
    </row>
    <row r="464" spans="1:12">
      <c r="A464" s="12" t="s">
        <v>1554</v>
      </c>
      <c r="B464" t="s">
        <v>133</v>
      </c>
      <c r="C464">
        <v>1476304</v>
      </c>
      <c r="D464">
        <v>1476880</v>
      </c>
      <c r="E464" s="15" t="s">
        <v>35</v>
      </c>
      <c r="F464" t="s">
        <v>1697</v>
      </c>
      <c r="G464" t="s">
        <v>133</v>
      </c>
      <c r="H464">
        <v>1685147</v>
      </c>
      <c r="I464">
        <v>1685749</v>
      </c>
      <c r="J464" s="15" t="s">
        <v>35</v>
      </c>
      <c r="K464" t="s">
        <v>4215</v>
      </c>
      <c r="L464">
        <v>47</v>
      </c>
    </row>
    <row r="465" spans="1:12">
      <c r="A465" s="12" t="s">
        <v>1554</v>
      </c>
      <c r="B465" t="s">
        <v>172</v>
      </c>
      <c r="C465">
        <v>113995912</v>
      </c>
      <c r="D465">
        <v>113996193</v>
      </c>
      <c r="E465" s="15" t="s">
        <v>1656</v>
      </c>
      <c r="F465" t="s">
        <v>14166</v>
      </c>
      <c r="G465" t="s">
        <v>292</v>
      </c>
      <c r="H465">
        <v>4827059</v>
      </c>
      <c r="I465">
        <v>4827482</v>
      </c>
      <c r="J465" s="15" t="s">
        <v>35</v>
      </c>
      <c r="K465" t="s">
        <v>4135</v>
      </c>
      <c r="L465">
        <v>47</v>
      </c>
    </row>
    <row r="466" spans="1:12">
      <c r="A466" s="12" t="s">
        <v>1554</v>
      </c>
      <c r="B466" t="s">
        <v>201</v>
      </c>
      <c r="C466">
        <v>47517862</v>
      </c>
      <c r="D466">
        <v>47518326</v>
      </c>
      <c r="E466" s="15" t="s">
        <v>35</v>
      </c>
      <c r="F466" t="s">
        <v>14171</v>
      </c>
      <c r="G466" t="s">
        <v>201</v>
      </c>
      <c r="H466">
        <v>47523028</v>
      </c>
      <c r="I466">
        <v>47523587</v>
      </c>
      <c r="J466" s="15" t="s">
        <v>35</v>
      </c>
      <c r="K466" t="s">
        <v>1697</v>
      </c>
      <c r="L466">
        <v>47</v>
      </c>
    </row>
    <row r="467" spans="1:12">
      <c r="A467" s="12" t="s">
        <v>1554</v>
      </c>
      <c r="B467" t="s">
        <v>226</v>
      </c>
      <c r="C467">
        <v>172200156</v>
      </c>
      <c r="D467">
        <v>172200634</v>
      </c>
      <c r="E467" s="15" t="s">
        <v>35</v>
      </c>
      <c r="F467" t="s">
        <v>2241</v>
      </c>
      <c r="G467" t="s">
        <v>226</v>
      </c>
      <c r="H467">
        <v>172209249</v>
      </c>
      <c r="I467">
        <v>172209585</v>
      </c>
      <c r="J467" s="15" t="s">
        <v>35</v>
      </c>
      <c r="K467" t="s">
        <v>1697</v>
      </c>
      <c r="L467">
        <v>47</v>
      </c>
    </row>
    <row r="468" spans="1:12">
      <c r="A468" s="12" t="s">
        <v>1554</v>
      </c>
      <c r="B468" t="s">
        <v>226</v>
      </c>
      <c r="C468">
        <v>154049889</v>
      </c>
      <c r="D468">
        <v>154050314</v>
      </c>
      <c r="E468" s="15" t="s">
        <v>1656</v>
      </c>
      <c r="F468" t="s">
        <v>1697</v>
      </c>
      <c r="G468" t="s">
        <v>129</v>
      </c>
      <c r="H468">
        <v>48259825</v>
      </c>
      <c r="I468">
        <v>48260189</v>
      </c>
      <c r="J468" s="15" t="s">
        <v>1656</v>
      </c>
      <c r="K468" t="s">
        <v>4157</v>
      </c>
      <c r="L468">
        <v>46</v>
      </c>
    </row>
    <row r="469" spans="1:12">
      <c r="A469" s="12" t="s">
        <v>1554</v>
      </c>
      <c r="B469" t="s">
        <v>237</v>
      </c>
      <c r="C469">
        <v>39254087</v>
      </c>
      <c r="D469">
        <v>39254582</v>
      </c>
      <c r="E469" s="15" t="s">
        <v>35</v>
      </c>
      <c r="F469" t="s">
        <v>1697</v>
      </c>
      <c r="G469" t="s">
        <v>237</v>
      </c>
      <c r="H469">
        <v>39271167</v>
      </c>
      <c r="I469">
        <v>39271604</v>
      </c>
      <c r="J469" s="15" t="s">
        <v>35</v>
      </c>
      <c r="K469" t="s">
        <v>4163</v>
      </c>
      <c r="L469">
        <v>46</v>
      </c>
    </row>
    <row r="470" spans="1:12">
      <c r="A470" s="12" t="s">
        <v>1554</v>
      </c>
      <c r="B470" t="s">
        <v>292</v>
      </c>
      <c r="C470">
        <v>130832461</v>
      </c>
      <c r="D470">
        <v>130832928</v>
      </c>
      <c r="E470" s="15" t="s">
        <v>35</v>
      </c>
      <c r="F470" t="s">
        <v>4181</v>
      </c>
      <c r="G470" t="s">
        <v>292</v>
      </c>
      <c r="H470">
        <v>137187969</v>
      </c>
      <c r="I470">
        <v>137188384</v>
      </c>
      <c r="J470" s="15" t="s">
        <v>35</v>
      </c>
      <c r="K470" t="s">
        <v>1697</v>
      </c>
      <c r="L470">
        <v>45</v>
      </c>
    </row>
    <row r="471" spans="1:12">
      <c r="A471" s="12" t="s">
        <v>1554</v>
      </c>
      <c r="B471" t="s">
        <v>201</v>
      </c>
      <c r="C471">
        <v>78799666</v>
      </c>
      <c r="D471">
        <v>78799950</v>
      </c>
      <c r="E471" s="15" t="s">
        <v>1656</v>
      </c>
      <c r="F471" t="s">
        <v>2068</v>
      </c>
      <c r="G471" t="s">
        <v>201</v>
      </c>
      <c r="H471">
        <v>79283753</v>
      </c>
      <c r="I471">
        <v>79284195</v>
      </c>
      <c r="J471" s="15" t="s">
        <v>1656</v>
      </c>
      <c r="K471" t="s">
        <v>2068</v>
      </c>
      <c r="L471">
        <v>44</v>
      </c>
    </row>
    <row r="472" spans="1:12">
      <c r="A472" s="12" t="s">
        <v>1554</v>
      </c>
      <c r="B472" t="s">
        <v>201</v>
      </c>
      <c r="C472">
        <v>185024774</v>
      </c>
      <c r="D472">
        <v>185025608</v>
      </c>
      <c r="E472" s="15" t="s">
        <v>1656</v>
      </c>
      <c r="F472" t="s">
        <v>1697</v>
      </c>
      <c r="G472" t="s">
        <v>129</v>
      </c>
      <c r="H472">
        <v>4463817</v>
      </c>
      <c r="I472">
        <v>4464248</v>
      </c>
      <c r="J472" s="15" t="s">
        <v>1656</v>
      </c>
      <c r="K472" t="s">
        <v>2529</v>
      </c>
      <c r="L472">
        <v>44</v>
      </c>
    </row>
    <row r="473" spans="1:12">
      <c r="A473" s="12" t="s">
        <v>1554</v>
      </c>
      <c r="B473" t="s">
        <v>83</v>
      </c>
      <c r="C473">
        <v>65143042</v>
      </c>
      <c r="D473">
        <v>65143558</v>
      </c>
      <c r="E473" s="15" t="s">
        <v>1656</v>
      </c>
      <c r="F473" t="s">
        <v>2473</v>
      </c>
      <c r="G473" t="s">
        <v>83</v>
      </c>
      <c r="H473">
        <v>65215737</v>
      </c>
      <c r="I473">
        <v>65216227</v>
      </c>
      <c r="J473" s="15" t="s">
        <v>1656</v>
      </c>
      <c r="K473" t="s">
        <v>1697</v>
      </c>
      <c r="L473">
        <v>43</v>
      </c>
    </row>
    <row r="474" spans="1:12">
      <c r="A474" s="12" t="s">
        <v>1554</v>
      </c>
      <c r="B474" t="s">
        <v>139</v>
      </c>
      <c r="C474">
        <v>4059910</v>
      </c>
      <c r="D474">
        <v>4060495</v>
      </c>
      <c r="E474" s="15" t="s">
        <v>35</v>
      </c>
      <c r="F474" t="s">
        <v>4225</v>
      </c>
      <c r="G474" t="s">
        <v>139</v>
      </c>
      <c r="H474">
        <v>4217733</v>
      </c>
      <c r="I474">
        <v>4218072</v>
      </c>
      <c r="J474" s="15" t="s">
        <v>35</v>
      </c>
      <c r="K474" t="s">
        <v>4226</v>
      </c>
      <c r="L474">
        <v>43</v>
      </c>
    </row>
    <row r="475" spans="1:12">
      <c r="A475" s="12" t="s">
        <v>1554</v>
      </c>
      <c r="B475" t="s">
        <v>201</v>
      </c>
      <c r="C475">
        <v>4707856</v>
      </c>
      <c r="D475">
        <v>4708290</v>
      </c>
      <c r="E475" s="15" t="s">
        <v>1656</v>
      </c>
      <c r="F475" t="s">
        <v>762</v>
      </c>
      <c r="G475" t="s">
        <v>201</v>
      </c>
      <c r="H475">
        <v>4822247</v>
      </c>
      <c r="I475">
        <v>4822627</v>
      </c>
      <c r="J475" s="15" t="s">
        <v>1656</v>
      </c>
      <c r="K475" t="s">
        <v>762</v>
      </c>
      <c r="L475">
        <v>43</v>
      </c>
    </row>
    <row r="476" spans="1:12">
      <c r="A476" s="12" t="s">
        <v>1554</v>
      </c>
      <c r="B476" t="s">
        <v>201</v>
      </c>
      <c r="C476">
        <v>172355710</v>
      </c>
      <c r="D476">
        <v>172355920</v>
      </c>
      <c r="E476" s="15" t="s">
        <v>1656</v>
      </c>
      <c r="F476" t="s">
        <v>4149</v>
      </c>
      <c r="G476" t="s">
        <v>83</v>
      </c>
      <c r="H476">
        <v>58602179</v>
      </c>
      <c r="I476">
        <v>58602574</v>
      </c>
      <c r="J476" s="15" t="s">
        <v>1656</v>
      </c>
      <c r="K476" t="s">
        <v>4150</v>
      </c>
      <c r="L476">
        <v>43</v>
      </c>
    </row>
    <row r="477" spans="1:12">
      <c r="A477" s="12" t="s">
        <v>1554</v>
      </c>
      <c r="B477" t="s">
        <v>172</v>
      </c>
      <c r="C477">
        <v>211369842</v>
      </c>
      <c r="D477">
        <v>211370150</v>
      </c>
      <c r="E477" s="15" t="s">
        <v>35</v>
      </c>
      <c r="F477" t="s">
        <v>1811</v>
      </c>
      <c r="G477" t="s">
        <v>172</v>
      </c>
      <c r="H477">
        <v>211456088</v>
      </c>
      <c r="I477">
        <v>211456512</v>
      </c>
      <c r="J477" s="15" t="s">
        <v>35</v>
      </c>
      <c r="K477" t="s">
        <v>1811</v>
      </c>
      <c r="L477">
        <v>41</v>
      </c>
    </row>
    <row r="478" spans="1:12">
      <c r="A478" s="12" t="s">
        <v>1554</v>
      </c>
      <c r="B478" t="s">
        <v>201</v>
      </c>
      <c r="C478">
        <v>172199954</v>
      </c>
      <c r="D478">
        <v>172200230</v>
      </c>
      <c r="E478" s="15" t="s">
        <v>35</v>
      </c>
      <c r="F478" t="s">
        <v>1697</v>
      </c>
      <c r="G478" t="s">
        <v>129</v>
      </c>
      <c r="H478">
        <v>30374179</v>
      </c>
      <c r="I478">
        <v>30374709</v>
      </c>
      <c r="J478" s="15" t="s">
        <v>1656</v>
      </c>
      <c r="K478" t="s">
        <v>4148</v>
      </c>
      <c r="L478">
        <v>40</v>
      </c>
    </row>
    <row r="479" spans="1:12">
      <c r="A479" s="12" t="s">
        <v>1554</v>
      </c>
      <c r="B479" t="s">
        <v>292</v>
      </c>
      <c r="C479">
        <v>34645136</v>
      </c>
      <c r="D479">
        <v>34645592</v>
      </c>
      <c r="E479" s="15" t="s">
        <v>35</v>
      </c>
      <c r="F479" t="s">
        <v>14185</v>
      </c>
      <c r="G479" t="s">
        <v>197</v>
      </c>
      <c r="H479">
        <v>35776458</v>
      </c>
      <c r="I479">
        <v>35776920</v>
      </c>
      <c r="J479" s="15" t="s">
        <v>35</v>
      </c>
      <c r="K479" t="s">
        <v>14170</v>
      </c>
      <c r="L479">
        <v>40</v>
      </c>
    </row>
    <row r="480" spans="1:12">
      <c r="A480" s="12" t="s">
        <v>1554</v>
      </c>
      <c r="B480" t="s">
        <v>172</v>
      </c>
      <c r="C480">
        <v>43965096</v>
      </c>
      <c r="D480">
        <v>43965541</v>
      </c>
      <c r="E480" s="15" t="s">
        <v>35</v>
      </c>
      <c r="F480" t="s">
        <v>3107</v>
      </c>
      <c r="G480" t="s">
        <v>172</v>
      </c>
      <c r="H480">
        <v>44088519</v>
      </c>
      <c r="I480">
        <v>44089199</v>
      </c>
      <c r="J480" s="15" t="s">
        <v>35</v>
      </c>
      <c r="K480" t="s">
        <v>4129</v>
      </c>
      <c r="L480">
        <v>39</v>
      </c>
    </row>
    <row r="481" spans="1:12">
      <c r="A481" s="12" t="s">
        <v>1554</v>
      </c>
      <c r="B481" t="s">
        <v>188</v>
      </c>
      <c r="C481">
        <v>48991586</v>
      </c>
      <c r="D481">
        <v>48992058</v>
      </c>
      <c r="E481" s="15" t="s">
        <v>1656</v>
      </c>
      <c r="F481" t="s">
        <v>1697</v>
      </c>
      <c r="G481" t="s">
        <v>197</v>
      </c>
      <c r="H481">
        <v>35775560</v>
      </c>
      <c r="I481">
        <v>35776100</v>
      </c>
      <c r="J481" s="15" t="s">
        <v>1656</v>
      </c>
      <c r="K481" t="s">
        <v>14170</v>
      </c>
      <c r="L481">
        <v>39</v>
      </c>
    </row>
    <row r="482" spans="1:12">
      <c r="A482" s="12" t="s">
        <v>1554</v>
      </c>
      <c r="B482" t="s">
        <v>237</v>
      </c>
      <c r="C482">
        <v>168935275</v>
      </c>
      <c r="D482">
        <v>168935644</v>
      </c>
      <c r="E482" s="15" t="s">
        <v>1656</v>
      </c>
      <c r="F482" t="s">
        <v>14179</v>
      </c>
      <c r="G482" t="s">
        <v>120</v>
      </c>
      <c r="H482">
        <v>45028287</v>
      </c>
      <c r="I482">
        <v>45028735</v>
      </c>
      <c r="J482" s="15" t="s">
        <v>1656</v>
      </c>
      <c r="K482" t="s">
        <v>14180</v>
      </c>
      <c r="L482">
        <v>39</v>
      </c>
    </row>
    <row r="483" spans="1:12">
      <c r="A483" s="12" t="s">
        <v>1554</v>
      </c>
      <c r="B483" t="s">
        <v>129</v>
      </c>
      <c r="C483">
        <v>79159756</v>
      </c>
      <c r="D483">
        <v>79160154</v>
      </c>
      <c r="E483" s="15" t="s">
        <v>1656</v>
      </c>
      <c r="F483" t="s">
        <v>14161</v>
      </c>
      <c r="G483" t="s">
        <v>129</v>
      </c>
      <c r="H483">
        <v>79187102</v>
      </c>
      <c r="I483">
        <v>79187566</v>
      </c>
      <c r="J483" s="15" t="s">
        <v>1656</v>
      </c>
      <c r="K483" t="s">
        <v>14161</v>
      </c>
      <c r="L483">
        <v>37</v>
      </c>
    </row>
    <row r="484" spans="1:12">
      <c r="A484" s="12" t="s">
        <v>1554</v>
      </c>
      <c r="B484" t="s">
        <v>172</v>
      </c>
      <c r="C484">
        <v>113985747</v>
      </c>
      <c r="D484">
        <v>113986065</v>
      </c>
      <c r="E484" s="15" t="s">
        <v>35</v>
      </c>
      <c r="F484" t="s">
        <v>4133</v>
      </c>
      <c r="G484" t="s">
        <v>292</v>
      </c>
      <c r="H484">
        <v>4511798</v>
      </c>
      <c r="I484">
        <v>4512166</v>
      </c>
      <c r="J484" s="15" t="s">
        <v>1656</v>
      </c>
      <c r="K484" t="s">
        <v>4134</v>
      </c>
      <c r="L484">
        <v>37</v>
      </c>
    </row>
    <row r="485" spans="1:12">
      <c r="A485" s="12" t="s">
        <v>1554</v>
      </c>
      <c r="B485" t="s">
        <v>292</v>
      </c>
      <c r="C485">
        <v>92259361</v>
      </c>
      <c r="D485">
        <v>92259860</v>
      </c>
      <c r="E485" s="15" t="s">
        <v>35</v>
      </c>
      <c r="F485" t="s">
        <v>14186</v>
      </c>
      <c r="G485" t="s">
        <v>292</v>
      </c>
      <c r="H485">
        <v>92286971</v>
      </c>
      <c r="I485">
        <v>92287544</v>
      </c>
      <c r="J485" s="15" t="s">
        <v>35</v>
      </c>
      <c r="K485" t="s">
        <v>14186</v>
      </c>
      <c r="L485">
        <v>37</v>
      </c>
    </row>
    <row r="486" spans="1:12">
      <c r="A486" s="12" t="s">
        <v>1554</v>
      </c>
      <c r="B486" t="s">
        <v>83</v>
      </c>
      <c r="C486">
        <v>75390866</v>
      </c>
      <c r="D486">
        <v>75391366</v>
      </c>
      <c r="E486" s="15" t="s">
        <v>35</v>
      </c>
      <c r="F486" t="s">
        <v>1697</v>
      </c>
      <c r="G486" t="s">
        <v>83</v>
      </c>
      <c r="H486">
        <v>75479612</v>
      </c>
      <c r="I486">
        <v>75480054</v>
      </c>
      <c r="J486" s="15" t="s">
        <v>35</v>
      </c>
      <c r="K486" t="s">
        <v>4193</v>
      </c>
      <c r="L486">
        <v>35</v>
      </c>
    </row>
    <row r="487" spans="1:12">
      <c r="A487" s="12" t="s">
        <v>1554</v>
      </c>
      <c r="B487" t="s">
        <v>139</v>
      </c>
      <c r="C487">
        <v>35608952</v>
      </c>
      <c r="D487">
        <v>35609475</v>
      </c>
      <c r="E487" s="15" t="s">
        <v>35</v>
      </c>
      <c r="F487" t="s">
        <v>4233</v>
      </c>
      <c r="G487" t="s">
        <v>139</v>
      </c>
      <c r="H487">
        <v>35630131</v>
      </c>
      <c r="I487">
        <v>35630594</v>
      </c>
      <c r="J487" s="15" t="s">
        <v>35</v>
      </c>
      <c r="K487" t="s">
        <v>4234</v>
      </c>
      <c r="L487">
        <v>35</v>
      </c>
    </row>
    <row r="488" spans="1:12">
      <c r="A488" s="12" t="s">
        <v>1554</v>
      </c>
      <c r="B488" t="s">
        <v>118</v>
      </c>
      <c r="C488">
        <v>44014752</v>
      </c>
      <c r="D488">
        <v>44015101</v>
      </c>
      <c r="E488" s="15" t="s">
        <v>1656</v>
      </c>
      <c r="F488" t="s">
        <v>1697</v>
      </c>
      <c r="G488" t="s">
        <v>118</v>
      </c>
      <c r="H488">
        <v>52964108</v>
      </c>
      <c r="I488">
        <v>52964571</v>
      </c>
      <c r="J488" s="15" t="s">
        <v>35</v>
      </c>
      <c r="K488" t="s">
        <v>4200</v>
      </c>
      <c r="L488">
        <v>34</v>
      </c>
    </row>
    <row r="489" spans="1:12">
      <c r="A489" s="12" t="s">
        <v>1554</v>
      </c>
      <c r="B489" t="s">
        <v>129</v>
      </c>
      <c r="C489">
        <v>70359175</v>
      </c>
      <c r="D489">
        <v>70359587</v>
      </c>
      <c r="E489" s="15" t="s">
        <v>1656</v>
      </c>
      <c r="F489" t="s">
        <v>4211</v>
      </c>
      <c r="G489" t="s">
        <v>139</v>
      </c>
      <c r="H489">
        <v>949704</v>
      </c>
      <c r="I489">
        <v>950049</v>
      </c>
      <c r="J489" s="15" t="s">
        <v>1656</v>
      </c>
      <c r="K489" t="s">
        <v>4212</v>
      </c>
      <c r="L489">
        <v>34</v>
      </c>
    </row>
    <row r="490" spans="1:12">
      <c r="A490" s="12" t="s">
        <v>1554</v>
      </c>
      <c r="B490" t="s">
        <v>201</v>
      </c>
      <c r="C490">
        <v>10174128</v>
      </c>
      <c r="D490">
        <v>10174653</v>
      </c>
      <c r="E490" s="15" t="s">
        <v>35</v>
      </c>
      <c r="F490" t="s">
        <v>1697</v>
      </c>
      <c r="G490" t="s">
        <v>201</v>
      </c>
      <c r="H490">
        <v>10186201</v>
      </c>
      <c r="I490">
        <v>10186818</v>
      </c>
      <c r="J490" s="15" t="s">
        <v>35</v>
      </c>
      <c r="K490" t="s">
        <v>4141</v>
      </c>
      <c r="L490">
        <v>34</v>
      </c>
    </row>
    <row r="491" spans="1:12">
      <c r="A491" s="12" t="s">
        <v>1554</v>
      </c>
      <c r="B491" t="s">
        <v>220</v>
      </c>
      <c r="C491">
        <v>140589696</v>
      </c>
      <c r="D491">
        <v>140589878</v>
      </c>
      <c r="E491" s="15" t="s">
        <v>1656</v>
      </c>
      <c r="F491" t="s">
        <v>4151</v>
      </c>
      <c r="G491" t="s">
        <v>104</v>
      </c>
      <c r="H491">
        <v>122923513</v>
      </c>
      <c r="I491">
        <v>122924044</v>
      </c>
      <c r="J491" s="15" t="s">
        <v>1656</v>
      </c>
      <c r="K491" t="s">
        <v>1697</v>
      </c>
      <c r="L491">
        <v>33</v>
      </c>
    </row>
    <row r="492" spans="1:12">
      <c r="A492" s="12" t="s">
        <v>1554</v>
      </c>
      <c r="B492" t="s">
        <v>257</v>
      </c>
      <c r="C492">
        <v>75990311</v>
      </c>
      <c r="D492">
        <v>75990608</v>
      </c>
      <c r="E492" s="15" t="s">
        <v>1656</v>
      </c>
      <c r="F492" t="s">
        <v>2770</v>
      </c>
      <c r="G492" t="s">
        <v>129</v>
      </c>
      <c r="H492">
        <v>46953673</v>
      </c>
      <c r="I492">
        <v>46954135</v>
      </c>
      <c r="J492" s="15" t="s">
        <v>1656</v>
      </c>
      <c r="K492" t="s">
        <v>1925</v>
      </c>
      <c r="L492">
        <v>32</v>
      </c>
    </row>
    <row r="493" spans="1:12">
      <c r="A493" s="12" t="s">
        <v>1554</v>
      </c>
      <c r="B493" t="s">
        <v>292</v>
      </c>
      <c r="C493">
        <v>4640403</v>
      </c>
      <c r="D493">
        <v>4640836</v>
      </c>
      <c r="E493" s="15" t="s">
        <v>35</v>
      </c>
      <c r="F493" t="s">
        <v>14183</v>
      </c>
      <c r="G493" t="s">
        <v>292</v>
      </c>
      <c r="H493">
        <v>4680883</v>
      </c>
      <c r="I493">
        <v>4681230</v>
      </c>
      <c r="J493" s="15" t="s">
        <v>35</v>
      </c>
      <c r="K493" t="s">
        <v>4176</v>
      </c>
      <c r="L493">
        <v>32</v>
      </c>
    </row>
    <row r="494" spans="1:12">
      <c r="A494" s="12" t="s">
        <v>1554</v>
      </c>
      <c r="B494" t="s">
        <v>201</v>
      </c>
      <c r="C494">
        <v>174682061</v>
      </c>
      <c r="D494">
        <v>174682456</v>
      </c>
      <c r="E494" s="15" t="s">
        <v>1656</v>
      </c>
      <c r="F494" t="s">
        <v>3982</v>
      </c>
      <c r="G494" t="s">
        <v>201</v>
      </c>
      <c r="H494">
        <v>174725681</v>
      </c>
      <c r="I494">
        <v>174726083</v>
      </c>
      <c r="J494" s="15" t="s">
        <v>1656</v>
      </c>
      <c r="K494" t="s">
        <v>3982</v>
      </c>
      <c r="L494">
        <v>29</v>
      </c>
    </row>
    <row r="495" spans="1:12">
      <c r="A495" s="12" t="s">
        <v>1554</v>
      </c>
      <c r="B495" t="s">
        <v>292</v>
      </c>
      <c r="C495">
        <v>137212088</v>
      </c>
      <c r="D495">
        <v>137212615</v>
      </c>
      <c r="E495" s="15" t="s">
        <v>35</v>
      </c>
      <c r="F495" t="s">
        <v>1697</v>
      </c>
      <c r="G495" t="s">
        <v>292</v>
      </c>
      <c r="H495">
        <v>137218409</v>
      </c>
      <c r="I495">
        <v>137218501</v>
      </c>
      <c r="J495" s="15" t="s">
        <v>35</v>
      </c>
      <c r="K495" t="s">
        <v>1978</v>
      </c>
      <c r="L495">
        <v>29</v>
      </c>
    </row>
    <row r="496" spans="1:12">
      <c r="A496" s="12" t="s">
        <v>1554</v>
      </c>
      <c r="B496" t="s">
        <v>22</v>
      </c>
      <c r="C496">
        <v>40344162</v>
      </c>
      <c r="D496">
        <v>40344626</v>
      </c>
      <c r="E496" s="15" t="s">
        <v>35</v>
      </c>
      <c r="F496" t="s">
        <v>4112</v>
      </c>
      <c r="G496" t="s">
        <v>22</v>
      </c>
      <c r="H496">
        <v>40390738</v>
      </c>
      <c r="I496">
        <v>40391184</v>
      </c>
      <c r="J496" s="15" t="s">
        <v>35</v>
      </c>
      <c r="K496" t="s">
        <v>1697</v>
      </c>
      <c r="L496">
        <v>28</v>
      </c>
    </row>
    <row r="497" spans="1:12">
      <c r="A497" s="12" t="s">
        <v>1554</v>
      </c>
      <c r="B497" t="s">
        <v>22</v>
      </c>
      <c r="C497">
        <v>53510025</v>
      </c>
      <c r="D497">
        <v>53510440</v>
      </c>
      <c r="E497" s="15" t="s">
        <v>35</v>
      </c>
      <c r="F497" t="s">
        <v>1945</v>
      </c>
      <c r="G497" t="s">
        <v>257</v>
      </c>
      <c r="H497">
        <v>99939141</v>
      </c>
      <c r="I497">
        <v>99939346</v>
      </c>
      <c r="J497" s="15" t="s">
        <v>1656</v>
      </c>
      <c r="K497" t="s">
        <v>14146</v>
      </c>
      <c r="L497">
        <v>28</v>
      </c>
    </row>
    <row r="498" spans="1:12">
      <c r="A498" s="12" t="s">
        <v>1554</v>
      </c>
      <c r="B498" t="s">
        <v>22</v>
      </c>
      <c r="C498">
        <v>151346162</v>
      </c>
      <c r="D498">
        <v>151346471</v>
      </c>
      <c r="E498" s="15" t="s">
        <v>35</v>
      </c>
      <c r="F498" t="s">
        <v>2392</v>
      </c>
      <c r="G498" t="s">
        <v>104</v>
      </c>
      <c r="H498">
        <v>56889256</v>
      </c>
      <c r="I498">
        <v>56889745</v>
      </c>
      <c r="J498" s="15" t="s">
        <v>35</v>
      </c>
      <c r="K498" t="s">
        <v>1697</v>
      </c>
      <c r="L498">
        <v>28</v>
      </c>
    </row>
    <row r="499" spans="1:12">
      <c r="A499" s="12" t="s">
        <v>1554</v>
      </c>
      <c r="B499" t="s">
        <v>22</v>
      </c>
      <c r="C499">
        <v>154997914</v>
      </c>
      <c r="D499">
        <v>154998359</v>
      </c>
      <c r="E499" s="15" t="s">
        <v>35</v>
      </c>
      <c r="F499" t="s">
        <v>4123</v>
      </c>
      <c r="G499" t="s">
        <v>22</v>
      </c>
      <c r="H499">
        <v>155000580</v>
      </c>
      <c r="I499">
        <v>155000772</v>
      </c>
      <c r="J499" s="15" t="s">
        <v>35</v>
      </c>
      <c r="K499" t="s">
        <v>4123</v>
      </c>
      <c r="L499">
        <v>28</v>
      </c>
    </row>
    <row r="500" spans="1:12">
      <c r="A500" s="12" t="s">
        <v>1554</v>
      </c>
      <c r="B500" t="s">
        <v>104</v>
      </c>
      <c r="C500">
        <v>57824810</v>
      </c>
      <c r="D500">
        <v>57825112</v>
      </c>
      <c r="E500" s="15" t="s">
        <v>35</v>
      </c>
      <c r="F500" t="s">
        <v>1697</v>
      </c>
      <c r="G500" t="s">
        <v>104</v>
      </c>
      <c r="H500">
        <v>57831453</v>
      </c>
      <c r="I500">
        <v>57831819</v>
      </c>
      <c r="J500" s="15" t="s">
        <v>35</v>
      </c>
      <c r="K500" t="s">
        <v>4197</v>
      </c>
      <c r="L500">
        <v>28</v>
      </c>
    </row>
    <row r="501" spans="1:12">
      <c r="A501" s="12" t="s">
        <v>1554</v>
      </c>
      <c r="B501" t="s">
        <v>139</v>
      </c>
      <c r="C501">
        <v>18696061</v>
      </c>
      <c r="D501">
        <v>18696837</v>
      </c>
      <c r="E501" s="15" t="s">
        <v>1656</v>
      </c>
      <c r="F501" t="s">
        <v>1697</v>
      </c>
      <c r="G501" t="s">
        <v>139</v>
      </c>
      <c r="H501">
        <v>58896537</v>
      </c>
      <c r="I501">
        <v>58897060</v>
      </c>
      <c r="J501" s="15" t="s">
        <v>1656</v>
      </c>
      <c r="K501" t="s">
        <v>14164</v>
      </c>
      <c r="L501">
        <v>28</v>
      </c>
    </row>
    <row r="502" spans="1:12">
      <c r="A502" s="12" t="s">
        <v>1554</v>
      </c>
      <c r="B502" t="s">
        <v>226</v>
      </c>
      <c r="C502">
        <v>95147897</v>
      </c>
      <c r="D502">
        <v>95148326</v>
      </c>
      <c r="E502" s="15" t="s">
        <v>35</v>
      </c>
      <c r="F502" t="s">
        <v>1697</v>
      </c>
      <c r="G502" t="s">
        <v>226</v>
      </c>
      <c r="H502">
        <v>95235762</v>
      </c>
      <c r="I502">
        <v>95236119</v>
      </c>
      <c r="J502" s="15" t="s">
        <v>35</v>
      </c>
      <c r="K502" t="s">
        <v>14175</v>
      </c>
      <c r="L502">
        <v>28</v>
      </c>
    </row>
    <row r="503" spans="1:12">
      <c r="A503" s="12" t="s">
        <v>1554</v>
      </c>
      <c r="B503" t="s">
        <v>257</v>
      </c>
      <c r="C503">
        <v>50638009</v>
      </c>
      <c r="D503">
        <v>50638373</v>
      </c>
      <c r="E503" s="15" t="s">
        <v>35</v>
      </c>
      <c r="F503" t="s">
        <v>1697</v>
      </c>
      <c r="G503" t="s">
        <v>257</v>
      </c>
      <c r="H503">
        <v>50821620</v>
      </c>
      <c r="I503">
        <v>50822071</v>
      </c>
      <c r="J503" s="15" t="s">
        <v>35</v>
      </c>
      <c r="K503" t="s">
        <v>2275</v>
      </c>
      <c r="L503">
        <v>28</v>
      </c>
    </row>
    <row r="504" spans="1:12">
      <c r="A504" s="12" t="s">
        <v>1554</v>
      </c>
      <c r="B504" t="s">
        <v>279</v>
      </c>
      <c r="C504">
        <v>67494033</v>
      </c>
      <c r="D504">
        <v>67494140</v>
      </c>
      <c r="E504" s="15" t="s">
        <v>35</v>
      </c>
      <c r="F504" t="s">
        <v>4173</v>
      </c>
      <c r="G504" t="s">
        <v>83</v>
      </c>
      <c r="H504">
        <v>57238029</v>
      </c>
      <c r="I504">
        <v>57238458</v>
      </c>
      <c r="J504" s="15" t="s">
        <v>35</v>
      </c>
      <c r="K504" t="s">
        <v>2203</v>
      </c>
      <c r="L504">
        <v>28</v>
      </c>
    </row>
    <row r="505" spans="1:12">
      <c r="A505" s="12" t="s">
        <v>1554</v>
      </c>
      <c r="B505" t="s">
        <v>118</v>
      </c>
      <c r="C505">
        <v>24545332</v>
      </c>
      <c r="D505">
        <v>24545778</v>
      </c>
      <c r="E505" s="15" t="s">
        <v>35</v>
      </c>
      <c r="F505" t="s">
        <v>4199</v>
      </c>
      <c r="G505" t="s">
        <v>118</v>
      </c>
      <c r="H505">
        <v>24578491</v>
      </c>
      <c r="I505">
        <v>24578960</v>
      </c>
      <c r="J505" s="15" t="s">
        <v>35</v>
      </c>
      <c r="K505" t="s">
        <v>1697</v>
      </c>
      <c r="L505">
        <v>27</v>
      </c>
    </row>
    <row r="506" spans="1:12">
      <c r="A506" s="12" t="s">
        <v>1554</v>
      </c>
      <c r="B506" t="s">
        <v>201</v>
      </c>
      <c r="C506">
        <v>129034889</v>
      </c>
      <c r="D506">
        <v>129035032</v>
      </c>
      <c r="E506" s="15" t="s">
        <v>1656</v>
      </c>
      <c r="F506" t="s">
        <v>14172</v>
      </c>
      <c r="G506" t="s">
        <v>133</v>
      </c>
      <c r="H506">
        <v>49183695</v>
      </c>
      <c r="I506">
        <v>49183884</v>
      </c>
      <c r="J506" s="15" t="s">
        <v>1656</v>
      </c>
      <c r="K506" t="s">
        <v>2554</v>
      </c>
      <c r="L506">
        <v>27</v>
      </c>
    </row>
    <row r="507" spans="1:12">
      <c r="A507" s="12" t="s">
        <v>1554</v>
      </c>
      <c r="B507" t="s">
        <v>292</v>
      </c>
      <c r="C507">
        <v>116931434</v>
      </c>
      <c r="D507">
        <v>116931822</v>
      </c>
      <c r="E507" s="15" t="s">
        <v>1656</v>
      </c>
      <c r="F507" t="s">
        <v>14187</v>
      </c>
      <c r="G507" t="s">
        <v>292</v>
      </c>
      <c r="H507">
        <v>137191944</v>
      </c>
      <c r="I507">
        <v>137192402</v>
      </c>
      <c r="J507" s="15" t="s">
        <v>35</v>
      </c>
      <c r="K507" t="s">
        <v>1697</v>
      </c>
      <c r="L507">
        <v>27</v>
      </c>
    </row>
    <row r="508" spans="1:12">
      <c r="A508" s="12" t="s">
        <v>16</v>
      </c>
      <c r="B508" t="s">
        <v>339</v>
      </c>
      <c r="C508">
        <v>105956294</v>
      </c>
      <c r="D508">
        <v>105956861</v>
      </c>
      <c r="E508" s="15" t="s">
        <v>35</v>
      </c>
      <c r="F508" t="s">
        <v>1697</v>
      </c>
      <c r="G508" t="s">
        <v>339</v>
      </c>
      <c r="H508">
        <v>115010539</v>
      </c>
      <c r="I508">
        <v>115011113</v>
      </c>
      <c r="J508" s="15" t="s">
        <v>35</v>
      </c>
      <c r="K508" t="s">
        <v>3959</v>
      </c>
      <c r="L508">
        <v>3769</v>
      </c>
    </row>
    <row r="509" spans="1:12">
      <c r="A509" s="12" t="s">
        <v>16</v>
      </c>
      <c r="B509" t="s">
        <v>83</v>
      </c>
      <c r="C509">
        <v>69455233</v>
      </c>
      <c r="D509">
        <v>69455748</v>
      </c>
      <c r="E509" s="15" t="s">
        <v>35</v>
      </c>
      <c r="F509" t="s">
        <v>14230</v>
      </c>
      <c r="G509" t="s">
        <v>83</v>
      </c>
      <c r="H509">
        <v>99220072</v>
      </c>
      <c r="I509">
        <v>99220610</v>
      </c>
      <c r="J509" s="15" t="s">
        <v>1656</v>
      </c>
      <c r="K509" t="s">
        <v>323</v>
      </c>
      <c r="L509">
        <v>1960</v>
      </c>
    </row>
    <row r="510" spans="1:12">
      <c r="A510" s="12" t="s">
        <v>16</v>
      </c>
      <c r="B510" t="s">
        <v>83</v>
      </c>
      <c r="C510">
        <v>69448200</v>
      </c>
      <c r="D510">
        <v>69448360</v>
      </c>
      <c r="E510" s="15" t="s">
        <v>35</v>
      </c>
      <c r="F510" t="s">
        <v>1697</v>
      </c>
      <c r="G510" t="s">
        <v>83</v>
      </c>
      <c r="H510">
        <v>69455234</v>
      </c>
      <c r="I510">
        <v>69455812</v>
      </c>
      <c r="J510" s="15" t="s">
        <v>1656</v>
      </c>
      <c r="K510" t="s">
        <v>14230</v>
      </c>
      <c r="L510">
        <v>1875</v>
      </c>
    </row>
    <row r="511" spans="1:12">
      <c r="A511" s="12" t="s">
        <v>16</v>
      </c>
      <c r="B511" t="s">
        <v>83</v>
      </c>
      <c r="C511">
        <v>69448197</v>
      </c>
      <c r="D511">
        <v>69448356</v>
      </c>
      <c r="E511" s="15" t="s">
        <v>1656</v>
      </c>
      <c r="F511" t="s">
        <v>1697</v>
      </c>
      <c r="G511" t="s">
        <v>83</v>
      </c>
      <c r="H511">
        <v>99220078</v>
      </c>
      <c r="I511">
        <v>99220643</v>
      </c>
      <c r="J511" s="15" t="s">
        <v>1656</v>
      </c>
      <c r="K511" t="s">
        <v>323</v>
      </c>
      <c r="L511">
        <v>712</v>
      </c>
    </row>
    <row r="512" spans="1:12">
      <c r="A512" s="12" t="s">
        <v>16</v>
      </c>
      <c r="B512" t="s">
        <v>83</v>
      </c>
      <c r="C512">
        <v>68947214</v>
      </c>
      <c r="D512">
        <v>68947756</v>
      </c>
      <c r="E512" s="15" t="s">
        <v>35</v>
      </c>
      <c r="F512" t="s">
        <v>1697</v>
      </c>
      <c r="G512" t="s">
        <v>83</v>
      </c>
      <c r="H512">
        <v>69519560</v>
      </c>
      <c r="I512">
        <v>69520089</v>
      </c>
      <c r="J512" s="15" t="s">
        <v>1656</v>
      </c>
      <c r="K512" t="s">
        <v>3957</v>
      </c>
      <c r="L512">
        <v>372</v>
      </c>
    </row>
    <row r="513" spans="1:12">
      <c r="A513" s="12" t="s">
        <v>16</v>
      </c>
      <c r="B513" t="s">
        <v>83</v>
      </c>
      <c r="C513">
        <v>99536377</v>
      </c>
      <c r="D513">
        <v>99536823</v>
      </c>
      <c r="E513" s="15" t="s">
        <v>1656</v>
      </c>
      <c r="F513" t="s">
        <v>323</v>
      </c>
      <c r="G513" t="s">
        <v>83</v>
      </c>
      <c r="H513">
        <v>100028568</v>
      </c>
      <c r="I513">
        <v>100029031</v>
      </c>
      <c r="J513" s="15" t="s">
        <v>1656</v>
      </c>
      <c r="K513" t="s">
        <v>323</v>
      </c>
      <c r="L513">
        <v>297</v>
      </c>
    </row>
    <row r="514" spans="1:12">
      <c r="A514" s="12" t="s">
        <v>16</v>
      </c>
      <c r="B514" t="s">
        <v>220</v>
      </c>
      <c r="C514">
        <v>7770810</v>
      </c>
      <c r="D514">
        <v>7771399</v>
      </c>
      <c r="E514" s="15" t="s">
        <v>35</v>
      </c>
      <c r="F514" t="s">
        <v>14235</v>
      </c>
      <c r="G514" t="s">
        <v>220</v>
      </c>
      <c r="H514">
        <v>8355262</v>
      </c>
      <c r="I514">
        <v>8355730</v>
      </c>
      <c r="J514" s="15" t="s">
        <v>1656</v>
      </c>
      <c r="K514" t="s">
        <v>1697</v>
      </c>
      <c r="L514">
        <v>217</v>
      </c>
    </row>
    <row r="515" spans="1:12">
      <c r="A515" s="12" t="s">
        <v>16</v>
      </c>
      <c r="B515" t="s">
        <v>83</v>
      </c>
      <c r="C515">
        <v>69520613</v>
      </c>
      <c r="D515">
        <v>69521324</v>
      </c>
      <c r="E515" s="15" t="s">
        <v>1656</v>
      </c>
      <c r="F515" t="s">
        <v>3957</v>
      </c>
      <c r="G515" t="s">
        <v>83</v>
      </c>
      <c r="H515">
        <v>69667270</v>
      </c>
      <c r="I515">
        <v>69667694</v>
      </c>
      <c r="J515" s="15" t="s">
        <v>1656</v>
      </c>
      <c r="K515" t="s">
        <v>1697</v>
      </c>
      <c r="L515">
        <v>216</v>
      </c>
    </row>
    <row r="516" spans="1:12">
      <c r="A516" s="12" t="s">
        <v>16</v>
      </c>
      <c r="B516" t="s">
        <v>104</v>
      </c>
      <c r="C516">
        <v>7177868</v>
      </c>
      <c r="D516">
        <v>7178352</v>
      </c>
      <c r="E516" s="15" t="s">
        <v>35</v>
      </c>
      <c r="F516" t="s">
        <v>1994</v>
      </c>
      <c r="G516" t="s">
        <v>104</v>
      </c>
      <c r="H516">
        <v>7299289</v>
      </c>
      <c r="I516">
        <v>7299797</v>
      </c>
      <c r="J516" s="15" t="s">
        <v>35</v>
      </c>
      <c r="K516" t="s">
        <v>3958</v>
      </c>
      <c r="L516">
        <v>156</v>
      </c>
    </row>
    <row r="517" spans="1:12">
      <c r="A517" s="12" t="s">
        <v>16</v>
      </c>
      <c r="B517" t="s">
        <v>83</v>
      </c>
      <c r="C517">
        <v>69537664</v>
      </c>
      <c r="D517">
        <v>69538212</v>
      </c>
      <c r="E517" s="15" t="s">
        <v>35</v>
      </c>
      <c r="F517" t="s">
        <v>1697</v>
      </c>
      <c r="G517" t="s">
        <v>83</v>
      </c>
      <c r="H517">
        <v>99290001</v>
      </c>
      <c r="I517">
        <v>99290414</v>
      </c>
      <c r="J517" s="15" t="s">
        <v>35</v>
      </c>
      <c r="K517" t="s">
        <v>323</v>
      </c>
      <c r="L517">
        <v>155</v>
      </c>
    </row>
    <row r="518" spans="1:12">
      <c r="A518" s="12" t="s">
        <v>16</v>
      </c>
      <c r="B518" t="s">
        <v>83</v>
      </c>
      <c r="C518">
        <v>68858850</v>
      </c>
      <c r="D518">
        <v>68859143</v>
      </c>
      <c r="E518" s="15" t="s">
        <v>1656</v>
      </c>
      <c r="F518" t="s">
        <v>1697</v>
      </c>
      <c r="G518" t="s">
        <v>83</v>
      </c>
      <c r="H518">
        <v>69519745</v>
      </c>
      <c r="I518">
        <v>69520242</v>
      </c>
      <c r="J518" s="15" t="s">
        <v>1656</v>
      </c>
      <c r="K518" t="s">
        <v>3957</v>
      </c>
      <c r="L518">
        <v>151</v>
      </c>
    </row>
    <row r="519" spans="1:12">
      <c r="A519" s="12" t="s">
        <v>16</v>
      </c>
      <c r="B519" t="s">
        <v>83</v>
      </c>
      <c r="C519">
        <v>68947220</v>
      </c>
      <c r="D519">
        <v>68947535</v>
      </c>
      <c r="E519" s="15" t="s">
        <v>35</v>
      </c>
      <c r="F519" t="s">
        <v>1697</v>
      </c>
      <c r="G519" t="s">
        <v>83</v>
      </c>
      <c r="H519">
        <v>69519554</v>
      </c>
      <c r="I519">
        <v>69519882</v>
      </c>
      <c r="J519" s="15" t="s">
        <v>1656</v>
      </c>
      <c r="K519" t="s">
        <v>3957</v>
      </c>
      <c r="L519">
        <v>133</v>
      </c>
    </row>
    <row r="520" spans="1:12">
      <c r="A520" s="12" t="s">
        <v>16</v>
      </c>
      <c r="B520" t="s">
        <v>83</v>
      </c>
      <c r="C520">
        <v>69571207</v>
      </c>
      <c r="D520">
        <v>69571609</v>
      </c>
      <c r="E520" s="15" t="s">
        <v>1656</v>
      </c>
      <c r="F520" t="s">
        <v>1697</v>
      </c>
      <c r="G520" t="s">
        <v>83</v>
      </c>
      <c r="H520">
        <v>99263754</v>
      </c>
      <c r="I520">
        <v>99264067</v>
      </c>
      <c r="J520" s="15" t="s">
        <v>35</v>
      </c>
      <c r="K520" t="s">
        <v>323</v>
      </c>
      <c r="L520">
        <v>131</v>
      </c>
    </row>
    <row r="521" spans="1:12">
      <c r="A521" s="12" t="s">
        <v>16</v>
      </c>
      <c r="B521" t="s">
        <v>83</v>
      </c>
      <c r="C521">
        <v>69781308</v>
      </c>
      <c r="D521">
        <v>69781765</v>
      </c>
      <c r="E521" s="15" t="s">
        <v>35</v>
      </c>
      <c r="F521" t="s">
        <v>1697</v>
      </c>
      <c r="G521" t="s">
        <v>83</v>
      </c>
      <c r="H521">
        <v>99316828</v>
      </c>
      <c r="I521">
        <v>99317115</v>
      </c>
      <c r="J521" s="15" t="s">
        <v>35</v>
      </c>
      <c r="K521" t="s">
        <v>323</v>
      </c>
      <c r="L521">
        <v>130</v>
      </c>
    </row>
    <row r="522" spans="1:12">
      <c r="A522" s="12" t="s">
        <v>16</v>
      </c>
      <c r="B522" t="s">
        <v>339</v>
      </c>
      <c r="C522">
        <v>109799313</v>
      </c>
      <c r="D522">
        <v>109799786</v>
      </c>
      <c r="E522" s="15" t="s">
        <v>1656</v>
      </c>
      <c r="F522" t="s">
        <v>3960</v>
      </c>
      <c r="G522" t="s">
        <v>339</v>
      </c>
      <c r="H522">
        <v>112108892</v>
      </c>
      <c r="I522">
        <v>112109330</v>
      </c>
      <c r="J522" s="15" t="s">
        <v>35</v>
      </c>
      <c r="K522" t="s">
        <v>1697</v>
      </c>
      <c r="L522">
        <v>120</v>
      </c>
    </row>
    <row r="523" spans="1:12">
      <c r="A523" s="12" t="s">
        <v>16</v>
      </c>
      <c r="B523" t="s">
        <v>220</v>
      </c>
      <c r="C523">
        <v>7771296</v>
      </c>
      <c r="D523">
        <v>7771730</v>
      </c>
      <c r="E523" s="15" t="s">
        <v>1656</v>
      </c>
      <c r="F523" t="s">
        <v>14235</v>
      </c>
      <c r="G523" t="s">
        <v>220</v>
      </c>
      <c r="H523">
        <v>8356215</v>
      </c>
      <c r="I523">
        <v>8356719</v>
      </c>
      <c r="J523" s="15" t="s">
        <v>35</v>
      </c>
      <c r="K523" t="s">
        <v>1697</v>
      </c>
      <c r="L523">
        <v>115</v>
      </c>
    </row>
    <row r="524" spans="1:12">
      <c r="A524" s="12" t="s">
        <v>16</v>
      </c>
      <c r="B524" t="s">
        <v>339</v>
      </c>
      <c r="C524">
        <v>106966234</v>
      </c>
      <c r="D524">
        <v>106966841</v>
      </c>
      <c r="E524" s="15" t="s">
        <v>1656</v>
      </c>
      <c r="F524" t="s">
        <v>1697</v>
      </c>
      <c r="G524" t="s">
        <v>339</v>
      </c>
      <c r="H524">
        <v>111040429</v>
      </c>
      <c r="I524">
        <v>111040862</v>
      </c>
      <c r="J524" s="15" t="s">
        <v>1656</v>
      </c>
      <c r="K524" t="s">
        <v>2498</v>
      </c>
      <c r="L524">
        <v>103</v>
      </c>
    </row>
    <row r="525" spans="1:12">
      <c r="A525" s="12" t="s">
        <v>16</v>
      </c>
      <c r="B525" t="s">
        <v>339</v>
      </c>
      <c r="C525">
        <v>110990347</v>
      </c>
      <c r="D525">
        <v>110990760</v>
      </c>
      <c r="E525" s="15" t="s">
        <v>1656</v>
      </c>
      <c r="F525" t="s">
        <v>2498</v>
      </c>
      <c r="G525" t="s">
        <v>339</v>
      </c>
      <c r="H525">
        <v>112353411</v>
      </c>
      <c r="I525">
        <v>112353979</v>
      </c>
      <c r="J525" s="15" t="s">
        <v>35</v>
      </c>
      <c r="K525" t="s">
        <v>1697</v>
      </c>
      <c r="L525">
        <v>99</v>
      </c>
    </row>
    <row r="526" spans="1:12">
      <c r="A526" s="12" t="s">
        <v>16</v>
      </c>
      <c r="B526" t="s">
        <v>83</v>
      </c>
      <c r="C526">
        <v>69297482</v>
      </c>
      <c r="D526">
        <v>69298114</v>
      </c>
      <c r="E526" s="15" t="s">
        <v>1656</v>
      </c>
      <c r="F526" t="s">
        <v>1697</v>
      </c>
      <c r="G526" t="s">
        <v>83</v>
      </c>
      <c r="H526">
        <v>99271548</v>
      </c>
      <c r="I526">
        <v>99271886</v>
      </c>
      <c r="J526" s="15" t="s">
        <v>35</v>
      </c>
      <c r="K526" t="s">
        <v>323</v>
      </c>
      <c r="L526">
        <v>97</v>
      </c>
    </row>
    <row r="527" spans="1:12">
      <c r="A527" s="12" t="s">
        <v>16</v>
      </c>
      <c r="B527" t="s">
        <v>339</v>
      </c>
      <c r="C527">
        <v>106385558</v>
      </c>
      <c r="D527">
        <v>106385974</v>
      </c>
      <c r="E527" s="15" t="s">
        <v>1656</v>
      </c>
      <c r="F527" t="s">
        <v>1697</v>
      </c>
      <c r="G527" t="s">
        <v>339</v>
      </c>
      <c r="H527">
        <v>107142633</v>
      </c>
      <c r="I527">
        <v>107143082</v>
      </c>
      <c r="J527" s="15" t="s">
        <v>1656</v>
      </c>
      <c r="K527" t="s">
        <v>2864</v>
      </c>
      <c r="L527">
        <v>89</v>
      </c>
    </row>
    <row r="528" spans="1:12">
      <c r="A528" s="12" t="s">
        <v>16</v>
      </c>
      <c r="B528" t="s">
        <v>83</v>
      </c>
      <c r="C528">
        <v>69056940</v>
      </c>
      <c r="D528">
        <v>69057030</v>
      </c>
      <c r="E528" s="15" t="s">
        <v>35</v>
      </c>
      <c r="F528" t="s">
        <v>1697</v>
      </c>
      <c r="G528" t="s">
        <v>83</v>
      </c>
      <c r="H528">
        <v>99263460</v>
      </c>
      <c r="I528">
        <v>99263882</v>
      </c>
      <c r="J528" s="15" t="s">
        <v>35</v>
      </c>
      <c r="K528" t="s">
        <v>323</v>
      </c>
      <c r="L528">
        <v>87</v>
      </c>
    </row>
    <row r="529" spans="1:12">
      <c r="A529" s="12" t="s">
        <v>16</v>
      </c>
      <c r="B529" t="s">
        <v>339</v>
      </c>
      <c r="C529">
        <v>109685465</v>
      </c>
      <c r="D529">
        <v>109685917</v>
      </c>
      <c r="E529" s="15" t="s">
        <v>1656</v>
      </c>
      <c r="F529" t="s">
        <v>3960</v>
      </c>
      <c r="G529" t="s">
        <v>339</v>
      </c>
      <c r="H529">
        <v>112842692</v>
      </c>
      <c r="I529">
        <v>112843144</v>
      </c>
      <c r="J529" s="15" t="s">
        <v>1656</v>
      </c>
      <c r="K529" t="s">
        <v>1697</v>
      </c>
      <c r="L529">
        <v>85</v>
      </c>
    </row>
    <row r="530" spans="1:12">
      <c r="A530" s="12" t="s">
        <v>16</v>
      </c>
      <c r="B530" t="s">
        <v>339</v>
      </c>
      <c r="C530">
        <v>109302750</v>
      </c>
      <c r="D530">
        <v>109303181</v>
      </c>
      <c r="E530" s="15" t="s">
        <v>1656</v>
      </c>
      <c r="F530" t="s">
        <v>3960</v>
      </c>
      <c r="G530" t="s">
        <v>339</v>
      </c>
      <c r="H530">
        <v>109337565</v>
      </c>
      <c r="I530">
        <v>109337938</v>
      </c>
      <c r="J530" s="15" t="s">
        <v>35</v>
      </c>
      <c r="K530" t="s">
        <v>3960</v>
      </c>
      <c r="L530">
        <v>82</v>
      </c>
    </row>
    <row r="531" spans="1:12">
      <c r="A531" s="12" t="s">
        <v>16</v>
      </c>
      <c r="B531" t="s">
        <v>339</v>
      </c>
      <c r="C531">
        <v>107111553</v>
      </c>
      <c r="D531">
        <v>107112003</v>
      </c>
      <c r="E531" s="15" t="s">
        <v>1656</v>
      </c>
      <c r="F531" t="s">
        <v>1697</v>
      </c>
      <c r="G531" t="s">
        <v>339</v>
      </c>
      <c r="H531">
        <v>110426474</v>
      </c>
      <c r="I531">
        <v>110426932</v>
      </c>
      <c r="J531" s="15" t="s">
        <v>1656</v>
      </c>
      <c r="K531" t="s">
        <v>14233</v>
      </c>
      <c r="L531">
        <v>79</v>
      </c>
    </row>
    <row r="532" spans="1:12">
      <c r="A532" s="12" t="s">
        <v>16</v>
      </c>
      <c r="B532" t="s">
        <v>339</v>
      </c>
      <c r="C532">
        <v>109357498</v>
      </c>
      <c r="D532">
        <v>109357923</v>
      </c>
      <c r="E532" s="15" t="s">
        <v>35</v>
      </c>
      <c r="F532" t="s">
        <v>3960</v>
      </c>
      <c r="G532" t="s">
        <v>339</v>
      </c>
      <c r="H532">
        <v>109824458</v>
      </c>
      <c r="I532">
        <v>109824975</v>
      </c>
      <c r="J532" s="15" t="s">
        <v>1656</v>
      </c>
      <c r="K532" t="s">
        <v>3960</v>
      </c>
      <c r="L532">
        <v>77</v>
      </c>
    </row>
    <row r="533" spans="1:12">
      <c r="A533" s="12" t="s">
        <v>16</v>
      </c>
      <c r="B533" t="s">
        <v>339</v>
      </c>
      <c r="C533">
        <v>110425794</v>
      </c>
      <c r="D533">
        <v>110426338</v>
      </c>
      <c r="E533" s="15" t="s">
        <v>35</v>
      </c>
      <c r="F533" t="s">
        <v>14233</v>
      </c>
      <c r="G533" t="s">
        <v>339</v>
      </c>
      <c r="H533">
        <v>111470189</v>
      </c>
      <c r="I533">
        <v>111470605</v>
      </c>
      <c r="J533" s="15" t="s">
        <v>1656</v>
      </c>
      <c r="K533" t="s">
        <v>1697</v>
      </c>
      <c r="L533">
        <v>77</v>
      </c>
    </row>
    <row r="534" spans="1:12">
      <c r="A534" s="12" t="s">
        <v>16</v>
      </c>
      <c r="B534" t="s">
        <v>22</v>
      </c>
      <c r="C534">
        <v>237459374</v>
      </c>
      <c r="D534">
        <v>237459731</v>
      </c>
      <c r="E534" s="15" t="s">
        <v>1656</v>
      </c>
      <c r="F534" t="s">
        <v>2044</v>
      </c>
      <c r="G534" t="s">
        <v>83</v>
      </c>
      <c r="H534">
        <v>69326266</v>
      </c>
      <c r="I534">
        <v>69326793</v>
      </c>
      <c r="J534" s="15" t="s">
        <v>35</v>
      </c>
      <c r="K534" t="s">
        <v>1697</v>
      </c>
      <c r="L534">
        <v>76</v>
      </c>
    </row>
    <row r="535" spans="1:12">
      <c r="A535" s="12" t="s">
        <v>16</v>
      </c>
      <c r="B535" t="s">
        <v>339</v>
      </c>
      <c r="C535">
        <v>108210858</v>
      </c>
      <c r="D535">
        <v>108211724</v>
      </c>
      <c r="E535" s="15" t="s">
        <v>1656</v>
      </c>
      <c r="F535" t="s">
        <v>3962</v>
      </c>
      <c r="G535" t="s">
        <v>339</v>
      </c>
      <c r="H535">
        <v>109282502</v>
      </c>
      <c r="I535">
        <v>109283336</v>
      </c>
      <c r="J535" s="15" t="s">
        <v>1656</v>
      </c>
      <c r="K535" t="s">
        <v>3960</v>
      </c>
      <c r="L535">
        <v>76</v>
      </c>
    </row>
    <row r="536" spans="1:12">
      <c r="A536" s="12" t="s">
        <v>16</v>
      </c>
      <c r="B536" t="s">
        <v>339</v>
      </c>
      <c r="C536">
        <v>108253182</v>
      </c>
      <c r="D536">
        <v>108253738</v>
      </c>
      <c r="E536" s="15" t="s">
        <v>1656</v>
      </c>
      <c r="F536" t="s">
        <v>3962</v>
      </c>
      <c r="G536" t="s">
        <v>339</v>
      </c>
      <c r="H536">
        <v>110374834</v>
      </c>
      <c r="I536">
        <v>110375252</v>
      </c>
      <c r="J536" s="15" t="s">
        <v>1656</v>
      </c>
      <c r="K536" t="s">
        <v>1697</v>
      </c>
      <c r="L536">
        <v>74</v>
      </c>
    </row>
    <row r="537" spans="1:12">
      <c r="A537" s="12" t="s">
        <v>16</v>
      </c>
      <c r="B537" t="s">
        <v>339</v>
      </c>
      <c r="C537">
        <v>111045297</v>
      </c>
      <c r="D537">
        <v>111045744</v>
      </c>
      <c r="E537" s="15" t="s">
        <v>35</v>
      </c>
      <c r="F537" t="s">
        <v>2498</v>
      </c>
      <c r="G537" t="s">
        <v>339</v>
      </c>
      <c r="H537">
        <v>111690096</v>
      </c>
      <c r="I537">
        <v>111690602</v>
      </c>
      <c r="J537" s="15" t="s">
        <v>35</v>
      </c>
      <c r="K537" t="s">
        <v>1697</v>
      </c>
      <c r="L537">
        <v>72</v>
      </c>
    </row>
    <row r="538" spans="1:12">
      <c r="A538" s="12" t="s">
        <v>16</v>
      </c>
      <c r="B538" t="s">
        <v>226</v>
      </c>
      <c r="C538">
        <v>102607621</v>
      </c>
      <c r="D538">
        <v>102608077</v>
      </c>
      <c r="E538" s="15" t="s">
        <v>1656</v>
      </c>
      <c r="F538" t="s">
        <v>3953</v>
      </c>
      <c r="G538" t="s">
        <v>226</v>
      </c>
      <c r="H538">
        <v>102613682</v>
      </c>
      <c r="I538">
        <v>102614140</v>
      </c>
      <c r="J538" s="15" t="s">
        <v>1656</v>
      </c>
      <c r="K538" t="s">
        <v>3953</v>
      </c>
      <c r="L538">
        <v>70</v>
      </c>
    </row>
    <row r="539" spans="1:12">
      <c r="A539" s="12" t="s">
        <v>16</v>
      </c>
      <c r="B539" t="s">
        <v>83</v>
      </c>
      <c r="C539">
        <v>68775588</v>
      </c>
      <c r="D539">
        <v>68775980</v>
      </c>
      <c r="E539" s="15" t="s">
        <v>1656</v>
      </c>
      <c r="F539" t="s">
        <v>14227</v>
      </c>
      <c r="G539" t="s">
        <v>83</v>
      </c>
      <c r="H539">
        <v>69210494</v>
      </c>
      <c r="I539">
        <v>69210910</v>
      </c>
      <c r="J539" s="15" t="s">
        <v>1656</v>
      </c>
      <c r="K539" t="s">
        <v>1697</v>
      </c>
      <c r="L539">
        <v>68</v>
      </c>
    </row>
    <row r="540" spans="1:12">
      <c r="A540" s="12" t="s">
        <v>16</v>
      </c>
      <c r="B540" t="s">
        <v>83</v>
      </c>
      <c r="C540">
        <v>68982705</v>
      </c>
      <c r="D540">
        <v>68983136</v>
      </c>
      <c r="E540" s="15" t="s">
        <v>1656</v>
      </c>
      <c r="F540" t="s">
        <v>1697</v>
      </c>
      <c r="G540" t="s">
        <v>104</v>
      </c>
      <c r="H540">
        <v>133095040</v>
      </c>
      <c r="I540">
        <v>133095119</v>
      </c>
      <c r="J540" s="15" t="s">
        <v>1656</v>
      </c>
      <c r="K540" t="s">
        <v>2213</v>
      </c>
      <c r="L540">
        <v>68</v>
      </c>
    </row>
    <row r="541" spans="1:12">
      <c r="A541" s="12" t="s">
        <v>16</v>
      </c>
      <c r="B541" t="s">
        <v>339</v>
      </c>
      <c r="C541">
        <v>108714800</v>
      </c>
      <c r="D541">
        <v>108715145</v>
      </c>
      <c r="E541" s="15" t="s">
        <v>35</v>
      </c>
      <c r="F541" t="s">
        <v>1697</v>
      </c>
      <c r="G541" t="s">
        <v>339</v>
      </c>
      <c r="H541">
        <v>110999304</v>
      </c>
      <c r="I541">
        <v>110999753</v>
      </c>
      <c r="J541" s="15" t="s">
        <v>1656</v>
      </c>
      <c r="K541" t="s">
        <v>2498</v>
      </c>
      <c r="L541">
        <v>68</v>
      </c>
    </row>
    <row r="542" spans="1:12">
      <c r="A542" s="12" t="s">
        <v>16</v>
      </c>
      <c r="B542" t="s">
        <v>339</v>
      </c>
      <c r="C542">
        <v>106591371</v>
      </c>
      <c r="D542">
        <v>106591688</v>
      </c>
      <c r="E542" s="15" t="s">
        <v>35</v>
      </c>
      <c r="F542" t="s">
        <v>1697</v>
      </c>
      <c r="G542" t="s">
        <v>339</v>
      </c>
      <c r="H542">
        <v>109312263</v>
      </c>
      <c r="I542">
        <v>109312656</v>
      </c>
      <c r="J542" s="15" t="s">
        <v>35</v>
      </c>
      <c r="K542" t="s">
        <v>3960</v>
      </c>
      <c r="L542">
        <v>67</v>
      </c>
    </row>
    <row r="543" spans="1:12">
      <c r="A543" s="12" t="s">
        <v>16</v>
      </c>
      <c r="B543" t="s">
        <v>339</v>
      </c>
      <c r="C543">
        <v>109256320</v>
      </c>
      <c r="D543">
        <v>109256771</v>
      </c>
      <c r="E543" s="15" t="s">
        <v>1656</v>
      </c>
      <c r="F543" t="s">
        <v>3960</v>
      </c>
      <c r="G543" t="s">
        <v>339</v>
      </c>
      <c r="H543">
        <v>110047881</v>
      </c>
      <c r="I543">
        <v>110048335</v>
      </c>
      <c r="J543" s="15" t="s">
        <v>35</v>
      </c>
      <c r="K543" t="s">
        <v>1697</v>
      </c>
      <c r="L543">
        <v>66</v>
      </c>
    </row>
    <row r="544" spans="1:12">
      <c r="A544" s="12" t="s">
        <v>16</v>
      </c>
      <c r="B544" t="s">
        <v>339</v>
      </c>
      <c r="C544">
        <v>106532063</v>
      </c>
      <c r="D544">
        <v>106532507</v>
      </c>
      <c r="E544" s="15" t="s">
        <v>35</v>
      </c>
      <c r="F544" t="s">
        <v>1697</v>
      </c>
      <c r="G544" t="s">
        <v>339</v>
      </c>
      <c r="H544">
        <v>109302695</v>
      </c>
      <c r="I544">
        <v>109303078</v>
      </c>
      <c r="J544" s="15" t="s">
        <v>35</v>
      </c>
      <c r="K544" t="s">
        <v>3960</v>
      </c>
      <c r="L544">
        <v>63</v>
      </c>
    </row>
    <row r="545" spans="1:12">
      <c r="A545" s="12" t="s">
        <v>16</v>
      </c>
      <c r="B545" t="s">
        <v>83</v>
      </c>
      <c r="C545">
        <v>69174079</v>
      </c>
      <c r="D545">
        <v>69174532</v>
      </c>
      <c r="E545" s="15" t="s">
        <v>1656</v>
      </c>
      <c r="F545" t="s">
        <v>1697</v>
      </c>
      <c r="G545" t="s">
        <v>83</v>
      </c>
      <c r="H545">
        <v>99250367</v>
      </c>
      <c r="I545">
        <v>99250765</v>
      </c>
      <c r="J545" s="15" t="s">
        <v>35</v>
      </c>
      <c r="K545" t="s">
        <v>323</v>
      </c>
      <c r="L545">
        <v>60</v>
      </c>
    </row>
    <row r="546" spans="1:12">
      <c r="A546" s="12" t="s">
        <v>16</v>
      </c>
      <c r="B546" t="s">
        <v>339</v>
      </c>
      <c r="C546">
        <v>107610613</v>
      </c>
      <c r="D546">
        <v>107610990</v>
      </c>
      <c r="E546" s="15" t="s">
        <v>35</v>
      </c>
      <c r="F546" t="s">
        <v>1697</v>
      </c>
      <c r="G546" t="s">
        <v>339</v>
      </c>
      <c r="H546">
        <v>109513814</v>
      </c>
      <c r="I546">
        <v>109514308</v>
      </c>
      <c r="J546" s="15" t="s">
        <v>1656</v>
      </c>
      <c r="K546" t="s">
        <v>3960</v>
      </c>
      <c r="L546">
        <v>60</v>
      </c>
    </row>
    <row r="547" spans="1:12">
      <c r="A547" s="12" t="s">
        <v>16</v>
      </c>
      <c r="B547" t="s">
        <v>339</v>
      </c>
      <c r="C547">
        <v>106636599</v>
      </c>
      <c r="D547">
        <v>106637006</v>
      </c>
      <c r="E547" s="15" t="s">
        <v>1656</v>
      </c>
      <c r="F547" t="s">
        <v>1697</v>
      </c>
      <c r="G547" t="s">
        <v>339</v>
      </c>
      <c r="H547">
        <v>108950724</v>
      </c>
      <c r="I547">
        <v>108951074</v>
      </c>
      <c r="J547" s="15" t="s">
        <v>35</v>
      </c>
      <c r="K547" t="s">
        <v>3961</v>
      </c>
      <c r="L547">
        <v>59</v>
      </c>
    </row>
    <row r="548" spans="1:12">
      <c r="A548" s="12" t="s">
        <v>16</v>
      </c>
      <c r="B548" t="s">
        <v>83</v>
      </c>
      <c r="C548">
        <v>69468979</v>
      </c>
      <c r="D548">
        <v>69469742</v>
      </c>
      <c r="E548" s="15" t="s">
        <v>1656</v>
      </c>
      <c r="F548" t="s">
        <v>14230</v>
      </c>
      <c r="G548" t="s">
        <v>83</v>
      </c>
      <c r="H548">
        <v>69555616</v>
      </c>
      <c r="I548">
        <v>69556392</v>
      </c>
      <c r="J548" s="15" t="s">
        <v>35</v>
      </c>
      <c r="K548" t="s">
        <v>1697</v>
      </c>
      <c r="L548">
        <v>58</v>
      </c>
    </row>
    <row r="549" spans="1:12">
      <c r="A549" s="12" t="s">
        <v>16</v>
      </c>
      <c r="B549" t="s">
        <v>83</v>
      </c>
      <c r="C549">
        <v>69517398</v>
      </c>
      <c r="D549">
        <v>69518057</v>
      </c>
      <c r="E549" s="15" t="s">
        <v>35</v>
      </c>
      <c r="F549" t="s">
        <v>3957</v>
      </c>
      <c r="G549" t="s">
        <v>83</v>
      </c>
      <c r="H549">
        <v>69560435</v>
      </c>
      <c r="I549">
        <v>69561083</v>
      </c>
      <c r="J549" s="15" t="s">
        <v>1656</v>
      </c>
      <c r="K549" t="s">
        <v>1697</v>
      </c>
      <c r="L549">
        <v>58</v>
      </c>
    </row>
    <row r="550" spans="1:12">
      <c r="A550" s="12" t="s">
        <v>16</v>
      </c>
      <c r="B550" t="s">
        <v>339</v>
      </c>
      <c r="C550">
        <v>106929721</v>
      </c>
      <c r="D550">
        <v>106930143</v>
      </c>
      <c r="E550" s="15" t="s">
        <v>1656</v>
      </c>
      <c r="F550" t="s">
        <v>1697</v>
      </c>
      <c r="G550" t="s">
        <v>339</v>
      </c>
      <c r="H550">
        <v>107157187</v>
      </c>
      <c r="I550">
        <v>107157559</v>
      </c>
      <c r="J550" s="15" t="s">
        <v>35</v>
      </c>
      <c r="K550" t="s">
        <v>2864</v>
      </c>
      <c r="L550">
        <v>57</v>
      </c>
    </row>
    <row r="551" spans="1:12">
      <c r="A551" s="12" t="s">
        <v>16</v>
      </c>
      <c r="B551" t="s">
        <v>339</v>
      </c>
      <c r="C551">
        <v>109747241</v>
      </c>
      <c r="D551">
        <v>109747786</v>
      </c>
      <c r="E551" s="15" t="s">
        <v>1656</v>
      </c>
      <c r="F551" t="s">
        <v>3960</v>
      </c>
      <c r="G551" t="s">
        <v>339</v>
      </c>
      <c r="H551">
        <v>112620915</v>
      </c>
      <c r="I551">
        <v>112621201</v>
      </c>
      <c r="J551" s="15" t="s">
        <v>1656</v>
      </c>
      <c r="K551" t="s">
        <v>1697</v>
      </c>
      <c r="L551">
        <v>56</v>
      </c>
    </row>
    <row r="552" spans="1:12">
      <c r="A552" s="12" t="s">
        <v>16</v>
      </c>
      <c r="B552" t="s">
        <v>339</v>
      </c>
      <c r="C552">
        <v>106968137</v>
      </c>
      <c r="D552">
        <v>106968587</v>
      </c>
      <c r="E552" s="15" t="s">
        <v>35</v>
      </c>
      <c r="F552" t="s">
        <v>1697</v>
      </c>
      <c r="G552" t="s">
        <v>339</v>
      </c>
      <c r="H552">
        <v>109686291</v>
      </c>
      <c r="I552">
        <v>109686685</v>
      </c>
      <c r="J552" s="15" t="s">
        <v>1656</v>
      </c>
      <c r="K552" t="s">
        <v>3960</v>
      </c>
      <c r="L552">
        <v>55</v>
      </c>
    </row>
    <row r="553" spans="1:12">
      <c r="A553" s="12" t="s">
        <v>16</v>
      </c>
      <c r="B553" t="s">
        <v>339</v>
      </c>
      <c r="C553">
        <v>108311491</v>
      </c>
      <c r="D553">
        <v>108311919</v>
      </c>
      <c r="E553" s="15" t="s">
        <v>35</v>
      </c>
      <c r="F553" t="s">
        <v>3962</v>
      </c>
      <c r="G553" t="s">
        <v>339</v>
      </c>
      <c r="H553">
        <v>108337920</v>
      </c>
      <c r="I553">
        <v>108338203</v>
      </c>
      <c r="J553" s="15" t="s">
        <v>35</v>
      </c>
      <c r="K553" t="s">
        <v>3962</v>
      </c>
      <c r="L553">
        <v>54</v>
      </c>
    </row>
    <row r="554" spans="1:12">
      <c r="A554" s="12" t="s">
        <v>16</v>
      </c>
      <c r="B554" t="s">
        <v>339</v>
      </c>
      <c r="C554">
        <v>109246923</v>
      </c>
      <c r="D554">
        <v>109247296</v>
      </c>
      <c r="E554" s="15" t="s">
        <v>1656</v>
      </c>
      <c r="F554" t="s">
        <v>3960</v>
      </c>
      <c r="G554" t="s">
        <v>339</v>
      </c>
      <c r="H554">
        <v>110760069</v>
      </c>
      <c r="I554">
        <v>110760491</v>
      </c>
      <c r="J554" s="15" t="s">
        <v>35</v>
      </c>
      <c r="K554" t="s">
        <v>1697</v>
      </c>
      <c r="L554">
        <v>54</v>
      </c>
    </row>
    <row r="555" spans="1:12">
      <c r="A555" s="12" t="s">
        <v>16</v>
      </c>
      <c r="B555" t="s">
        <v>339</v>
      </c>
      <c r="C555">
        <v>106414152</v>
      </c>
      <c r="D555">
        <v>106414590</v>
      </c>
      <c r="E555" s="15" t="s">
        <v>35</v>
      </c>
      <c r="F555" t="s">
        <v>1697</v>
      </c>
      <c r="G555" t="s">
        <v>339</v>
      </c>
      <c r="H555">
        <v>109298297</v>
      </c>
      <c r="I555">
        <v>109298650</v>
      </c>
      <c r="J555" s="15" t="s">
        <v>35</v>
      </c>
      <c r="K555" t="s">
        <v>3960</v>
      </c>
      <c r="L555">
        <v>52</v>
      </c>
    </row>
    <row r="556" spans="1:12">
      <c r="A556" s="12" t="s">
        <v>16</v>
      </c>
      <c r="B556" t="s">
        <v>279</v>
      </c>
      <c r="C556">
        <v>69645372</v>
      </c>
      <c r="D556">
        <v>69645917</v>
      </c>
      <c r="E556" s="15" t="s">
        <v>1656</v>
      </c>
      <c r="F556" t="s">
        <v>1756</v>
      </c>
      <c r="G556" t="s">
        <v>279</v>
      </c>
      <c r="H556">
        <v>70192351</v>
      </c>
      <c r="I556">
        <v>70192787</v>
      </c>
      <c r="J556" s="15" t="s">
        <v>1656</v>
      </c>
      <c r="K556" t="s">
        <v>1697</v>
      </c>
      <c r="L556">
        <v>52</v>
      </c>
    </row>
    <row r="557" spans="1:12">
      <c r="A557" s="12" t="s">
        <v>16</v>
      </c>
      <c r="B557" t="s">
        <v>339</v>
      </c>
      <c r="C557">
        <v>106658918</v>
      </c>
      <c r="D557">
        <v>106659285</v>
      </c>
      <c r="E557" s="15" t="s">
        <v>1656</v>
      </c>
      <c r="F557" t="s">
        <v>1697</v>
      </c>
      <c r="G557" t="s">
        <v>339</v>
      </c>
      <c r="H557">
        <v>108211353</v>
      </c>
      <c r="I557">
        <v>108211801</v>
      </c>
      <c r="J557" s="15" t="s">
        <v>1656</v>
      </c>
      <c r="K557" t="s">
        <v>3962</v>
      </c>
      <c r="L557">
        <v>51</v>
      </c>
    </row>
    <row r="558" spans="1:12">
      <c r="A558" s="12" t="s">
        <v>16</v>
      </c>
      <c r="B558" t="s">
        <v>220</v>
      </c>
      <c r="C558">
        <v>39447919</v>
      </c>
      <c r="D558">
        <v>39448427</v>
      </c>
      <c r="E558" s="15" t="s">
        <v>35</v>
      </c>
      <c r="F558" t="s">
        <v>3951</v>
      </c>
      <c r="G558" t="s">
        <v>220</v>
      </c>
      <c r="H558">
        <v>39883151</v>
      </c>
      <c r="I558">
        <v>39883726</v>
      </c>
      <c r="J558" s="15" t="s">
        <v>35</v>
      </c>
      <c r="K558" t="s">
        <v>3952</v>
      </c>
      <c r="L558">
        <v>51</v>
      </c>
    </row>
    <row r="559" spans="1:12">
      <c r="A559" s="12" t="s">
        <v>16</v>
      </c>
      <c r="B559" t="s">
        <v>339</v>
      </c>
      <c r="C559">
        <v>109806533</v>
      </c>
      <c r="D559">
        <v>109807026</v>
      </c>
      <c r="E559" s="15" t="s">
        <v>35</v>
      </c>
      <c r="F559" t="s">
        <v>3960</v>
      </c>
      <c r="G559" t="s">
        <v>339</v>
      </c>
      <c r="H559">
        <v>111059246</v>
      </c>
      <c r="I559">
        <v>111059707</v>
      </c>
      <c r="J559" s="15" t="s">
        <v>1656</v>
      </c>
      <c r="K559" t="s">
        <v>2498</v>
      </c>
      <c r="L559">
        <v>49</v>
      </c>
    </row>
    <row r="560" spans="1:12">
      <c r="A560" s="12" t="s">
        <v>16</v>
      </c>
      <c r="B560" t="s">
        <v>83</v>
      </c>
      <c r="C560">
        <v>69420589</v>
      </c>
      <c r="D560">
        <v>69421020</v>
      </c>
      <c r="E560" s="15" t="s">
        <v>1656</v>
      </c>
      <c r="F560" t="s">
        <v>1697</v>
      </c>
      <c r="G560" t="s">
        <v>83</v>
      </c>
      <c r="H560">
        <v>69590942</v>
      </c>
      <c r="I560">
        <v>69591267</v>
      </c>
      <c r="J560" s="15" t="s">
        <v>1656</v>
      </c>
      <c r="K560" t="s">
        <v>14228</v>
      </c>
      <c r="L560">
        <v>48</v>
      </c>
    </row>
    <row r="561" spans="1:12">
      <c r="A561" s="12" t="s">
        <v>16</v>
      </c>
      <c r="B561" t="s">
        <v>83</v>
      </c>
      <c r="C561">
        <v>99100504</v>
      </c>
      <c r="D561">
        <v>99100897</v>
      </c>
      <c r="E561" s="15" t="s">
        <v>35</v>
      </c>
      <c r="F561" t="s">
        <v>323</v>
      </c>
      <c r="G561" t="s">
        <v>418</v>
      </c>
      <c r="H561">
        <v>1907040</v>
      </c>
      <c r="I561">
        <v>1907643</v>
      </c>
      <c r="J561" s="15" t="s">
        <v>35</v>
      </c>
      <c r="K561" t="s">
        <v>1697</v>
      </c>
      <c r="L561">
        <v>48</v>
      </c>
    </row>
    <row r="562" spans="1:12">
      <c r="A562" s="12" t="s">
        <v>16</v>
      </c>
      <c r="B562" t="s">
        <v>339</v>
      </c>
      <c r="C562">
        <v>107052394</v>
      </c>
      <c r="D562">
        <v>107052778</v>
      </c>
      <c r="E562" s="15" t="s">
        <v>35</v>
      </c>
      <c r="F562" t="s">
        <v>1697</v>
      </c>
      <c r="G562" t="s">
        <v>339</v>
      </c>
      <c r="H562">
        <v>107142390</v>
      </c>
      <c r="I562">
        <v>107142773</v>
      </c>
      <c r="J562" s="15" t="s">
        <v>35</v>
      </c>
      <c r="K562" t="s">
        <v>2864</v>
      </c>
      <c r="L562">
        <v>48</v>
      </c>
    </row>
    <row r="563" spans="1:12">
      <c r="A563" s="12" t="s">
        <v>16</v>
      </c>
      <c r="B563" t="s">
        <v>339</v>
      </c>
      <c r="C563">
        <v>107063096</v>
      </c>
      <c r="D563">
        <v>107063659</v>
      </c>
      <c r="E563" s="15" t="s">
        <v>1656</v>
      </c>
      <c r="F563" t="s">
        <v>1697</v>
      </c>
      <c r="G563" t="s">
        <v>339</v>
      </c>
      <c r="H563">
        <v>109792282</v>
      </c>
      <c r="I563">
        <v>109792785</v>
      </c>
      <c r="J563" s="15" t="s">
        <v>35</v>
      </c>
      <c r="K563" t="s">
        <v>3960</v>
      </c>
      <c r="L563">
        <v>48</v>
      </c>
    </row>
    <row r="564" spans="1:12">
      <c r="A564" s="12" t="s">
        <v>16</v>
      </c>
      <c r="B564" t="s">
        <v>339</v>
      </c>
      <c r="C564">
        <v>109933977</v>
      </c>
      <c r="D564">
        <v>109934409</v>
      </c>
      <c r="E564" s="15" t="s">
        <v>35</v>
      </c>
      <c r="F564" t="s">
        <v>1697</v>
      </c>
      <c r="G564" t="s">
        <v>339</v>
      </c>
      <c r="H564">
        <v>111044520</v>
      </c>
      <c r="I564">
        <v>111045531</v>
      </c>
      <c r="J564" s="15" t="s">
        <v>1656</v>
      </c>
      <c r="K564" t="s">
        <v>2498</v>
      </c>
      <c r="L564">
        <v>48</v>
      </c>
    </row>
    <row r="565" spans="1:12">
      <c r="A565" s="12" t="s">
        <v>16</v>
      </c>
      <c r="B565" t="s">
        <v>418</v>
      </c>
      <c r="C565">
        <v>123938675</v>
      </c>
      <c r="D565">
        <v>123939217</v>
      </c>
      <c r="E565" s="15" t="s">
        <v>1656</v>
      </c>
      <c r="F565" t="s">
        <v>3964</v>
      </c>
      <c r="G565" t="s">
        <v>418</v>
      </c>
      <c r="H565">
        <v>124195623</v>
      </c>
      <c r="I565">
        <v>124196004</v>
      </c>
      <c r="J565" s="15" t="s">
        <v>1656</v>
      </c>
      <c r="K565" t="s">
        <v>1697</v>
      </c>
      <c r="L565">
        <v>48</v>
      </c>
    </row>
    <row r="566" spans="1:12">
      <c r="A566" s="12" t="s">
        <v>16</v>
      </c>
      <c r="B566" t="s">
        <v>339</v>
      </c>
      <c r="C566">
        <v>107169177</v>
      </c>
      <c r="D566">
        <v>107169695</v>
      </c>
      <c r="E566" s="15" t="s">
        <v>1656</v>
      </c>
      <c r="F566" t="s">
        <v>2864</v>
      </c>
      <c r="G566" t="s">
        <v>339</v>
      </c>
      <c r="H566">
        <v>112297479</v>
      </c>
      <c r="I566">
        <v>112297867</v>
      </c>
      <c r="J566" s="15" t="s">
        <v>35</v>
      </c>
      <c r="K566" t="s">
        <v>1697</v>
      </c>
      <c r="L566">
        <v>44</v>
      </c>
    </row>
    <row r="567" spans="1:12">
      <c r="A567" s="12" t="s">
        <v>16</v>
      </c>
      <c r="B567" t="s">
        <v>339</v>
      </c>
      <c r="C567">
        <v>110757806</v>
      </c>
      <c r="D567">
        <v>110758201</v>
      </c>
      <c r="E567" s="15" t="s">
        <v>35</v>
      </c>
      <c r="F567" t="s">
        <v>1697</v>
      </c>
      <c r="G567" t="s">
        <v>339</v>
      </c>
      <c r="H567">
        <v>111044573</v>
      </c>
      <c r="I567">
        <v>111045019</v>
      </c>
      <c r="J567" s="15" t="s">
        <v>35</v>
      </c>
      <c r="K567" t="s">
        <v>2498</v>
      </c>
      <c r="L567">
        <v>44</v>
      </c>
    </row>
    <row r="568" spans="1:12">
      <c r="A568" s="12" t="s">
        <v>16</v>
      </c>
      <c r="B568" t="s">
        <v>339</v>
      </c>
      <c r="C568">
        <v>106120014</v>
      </c>
      <c r="D568">
        <v>106120391</v>
      </c>
      <c r="E568" s="15" t="s">
        <v>1656</v>
      </c>
      <c r="F568" t="s">
        <v>14232</v>
      </c>
      <c r="G568" t="s">
        <v>339</v>
      </c>
      <c r="H568">
        <v>107135149</v>
      </c>
      <c r="I568">
        <v>107135668</v>
      </c>
      <c r="J568" s="15" t="s">
        <v>35</v>
      </c>
      <c r="K568" t="s">
        <v>1697</v>
      </c>
      <c r="L568">
        <v>43</v>
      </c>
    </row>
    <row r="569" spans="1:12">
      <c r="A569" s="12" t="s">
        <v>16</v>
      </c>
      <c r="B569" t="s">
        <v>339</v>
      </c>
      <c r="C569">
        <v>107183258</v>
      </c>
      <c r="D569">
        <v>107183591</v>
      </c>
      <c r="E569" s="15" t="s">
        <v>1656</v>
      </c>
      <c r="F569" t="s">
        <v>2864</v>
      </c>
      <c r="G569" t="s">
        <v>339</v>
      </c>
      <c r="H569">
        <v>107213136</v>
      </c>
      <c r="I569">
        <v>107213501</v>
      </c>
      <c r="J569" s="15" t="s">
        <v>1656</v>
      </c>
      <c r="K569" t="s">
        <v>14234</v>
      </c>
      <c r="L569">
        <v>41</v>
      </c>
    </row>
    <row r="570" spans="1:12">
      <c r="A570" s="12" t="s">
        <v>16</v>
      </c>
      <c r="B570" t="s">
        <v>22</v>
      </c>
      <c r="C570">
        <v>93893984</v>
      </c>
      <c r="D570">
        <v>93894473</v>
      </c>
      <c r="E570" s="15" t="s">
        <v>1656</v>
      </c>
      <c r="F570" t="s">
        <v>1697</v>
      </c>
      <c r="G570" t="s">
        <v>129</v>
      </c>
      <c r="H570">
        <v>121903</v>
      </c>
      <c r="I570">
        <v>122290</v>
      </c>
      <c r="J570" s="15" t="s">
        <v>1656</v>
      </c>
      <c r="K570" t="s">
        <v>3950</v>
      </c>
      <c r="L570">
        <v>40</v>
      </c>
    </row>
    <row r="571" spans="1:12">
      <c r="A571" s="12" t="s">
        <v>16</v>
      </c>
      <c r="B571" t="s">
        <v>83</v>
      </c>
      <c r="C571">
        <v>68924072</v>
      </c>
      <c r="D571">
        <v>68924453</v>
      </c>
      <c r="E571" s="15" t="s">
        <v>35</v>
      </c>
      <c r="F571" t="s">
        <v>1697</v>
      </c>
      <c r="G571" t="s">
        <v>83</v>
      </c>
      <c r="H571">
        <v>99298972</v>
      </c>
      <c r="I571">
        <v>99299028</v>
      </c>
      <c r="J571" s="15" t="s">
        <v>35</v>
      </c>
      <c r="K571" t="s">
        <v>323</v>
      </c>
      <c r="L571">
        <v>38</v>
      </c>
    </row>
    <row r="572" spans="1:12">
      <c r="A572" s="12" t="s">
        <v>16</v>
      </c>
      <c r="B572" t="s">
        <v>339</v>
      </c>
      <c r="C572">
        <v>106554430</v>
      </c>
      <c r="D572">
        <v>106554855</v>
      </c>
      <c r="E572" s="15" t="s">
        <v>35</v>
      </c>
      <c r="F572" t="s">
        <v>1697</v>
      </c>
      <c r="G572" t="s">
        <v>339</v>
      </c>
      <c r="H572">
        <v>111088756</v>
      </c>
      <c r="I572">
        <v>111089334</v>
      </c>
      <c r="J572" s="15" t="s">
        <v>1656</v>
      </c>
      <c r="K572" t="s">
        <v>2498</v>
      </c>
      <c r="L572">
        <v>38</v>
      </c>
    </row>
    <row r="573" spans="1:12">
      <c r="A573" s="12" t="s">
        <v>16</v>
      </c>
      <c r="B573" t="s">
        <v>339</v>
      </c>
      <c r="C573">
        <v>109500441</v>
      </c>
      <c r="D573">
        <v>109500813</v>
      </c>
      <c r="E573" s="15" t="s">
        <v>1656</v>
      </c>
      <c r="F573" t="s">
        <v>3960</v>
      </c>
      <c r="G573" t="s">
        <v>339</v>
      </c>
      <c r="H573">
        <v>111953591</v>
      </c>
      <c r="I573">
        <v>111953853</v>
      </c>
      <c r="J573" s="15" t="s">
        <v>35</v>
      </c>
      <c r="K573" t="s">
        <v>6732</v>
      </c>
      <c r="L573">
        <v>38</v>
      </c>
    </row>
    <row r="574" spans="1:12">
      <c r="A574" s="12" t="s">
        <v>16</v>
      </c>
      <c r="B574" t="s">
        <v>339</v>
      </c>
      <c r="C574">
        <v>109709560</v>
      </c>
      <c r="D574">
        <v>109710032</v>
      </c>
      <c r="E574" s="15" t="s">
        <v>35</v>
      </c>
      <c r="F574" t="s">
        <v>3960</v>
      </c>
      <c r="G574" t="s">
        <v>339</v>
      </c>
      <c r="H574">
        <v>112071956</v>
      </c>
      <c r="I574">
        <v>112072411</v>
      </c>
      <c r="J574" s="15" t="s">
        <v>1656</v>
      </c>
      <c r="K574" t="s">
        <v>1697</v>
      </c>
      <c r="L574">
        <v>38</v>
      </c>
    </row>
    <row r="575" spans="1:12">
      <c r="A575" s="12" t="s">
        <v>16</v>
      </c>
      <c r="B575" t="s">
        <v>83</v>
      </c>
      <c r="C575">
        <v>69463066</v>
      </c>
      <c r="D575">
        <v>69463415</v>
      </c>
      <c r="E575" s="15" t="s">
        <v>35</v>
      </c>
      <c r="F575" t="s">
        <v>14230</v>
      </c>
      <c r="G575" t="s">
        <v>83</v>
      </c>
      <c r="H575">
        <v>69520345</v>
      </c>
      <c r="I575">
        <v>69520543</v>
      </c>
      <c r="J575" s="15" t="s">
        <v>35</v>
      </c>
      <c r="K575" t="s">
        <v>3957</v>
      </c>
      <c r="L575">
        <v>37</v>
      </c>
    </row>
    <row r="576" spans="1:12">
      <c r="A576" s="12" t="s">
        <v>16</v>
      </c>
      <c r="B576" t="s">
        <v>135</v>
      </c>
      <c r="C576">
        <v>52260126</v>
      </c>
      <c r="D576">
        <v>52260500</v>
      </c>
      <c r="E576" s="15" t="s">
        <v>35</v>
      </c>
      <c r="F576" t="s">
        <v>3866</v>
      </c>
      <c r="G576" t="s">
        <v>135</v>
      </c>
      <c r="H576">
        <v>52265344</v>
      </c>
      <c r="I576">
        <v>52265759</v>
      </c>
      <c r="J576" s="15" t="s">
        <v>1656</v>
      </c>
      <c r="K576" t="s">
        <v>3866</v>
      </c>
      <c r="L576">
        <v>37</v>
      </c>
    </row>
    <row r="577" spans="1:12">
      <c r="A577" s="12" t="s">
        <v>16</v>
      </c>
      <c r="B577" t="s">
        <v>220</v>
      </c>
      <c r="C577">
        <v>56020836</v>
      </c>
      <c r="D577">
        <v>56021241</v>
      </c>
      <c r="E577" s="15" t="s">
        <v>1656</v>
      </c>
      <c r="F577" t="s">
        <v>1697</v>
      </c>
      <c r="G577" t="s">
        <v>220</v>
      </c>
      <c r="H577">
        <v>182013259</v>
      </c>
      <c r="I577">
        <v>182013606</v>
      </c>
      <c r="J577" s="15" t="s">
        <v>1656</v>
      </c>
      <c r="K577" t="s">
        <v>14236</v>
      </c>
      <c r="L577">
        <v>36</v>
      </c>
    </row>
    <row r="578" spans="1:12">
      <c r="A578" s="12" t="s">
        <v>16</v>
      </c>
      <c r="B578" t="s">
        <v>83</v>
      </c>
      <c r="C578">
        <v>69463942</v>
      </c>
      <c r="D578">
        <v>69464292</v>
      </c>
      <c r="E578" s="15" t="s">
        <v>35</v>
      </c>
      <c r="F578" t="s">
        <v>14230</v>
      </c>
      <c r="G578" t="s">
        <v>339</v>
      </c>
      <c r="H578">
        <v>111314565</v>
      </c>
      <c r="I578">
        <v>111314959</v>
      </c>
      <c r="J578" s="15" t="s">
        <v>35</v>
      </c>
      <c r="K578" t="s">
        <v>14231</v>
      </c>
      <c r="L578">
        <v>35</v>
      </c>
    </row>
    <row r="579" spans="1:12">
      <c r="A579" s="12" t="s">
        <v>16</v>
      </c>
      <c r="B579" t="s">
        <v>339</v>
      </c>
      <c r="C579">
        <v>109806494</v>
      </c>
      <c r="D579">
        <v>109806997</v>
      </c>
      <c r="E579" s="15" t="s">
        <v>35</v>
      </c>
      <c r="F579" t="s">
        <v>3960</v>
      </c>
      <c r="G579" t="s">
        <v>339</v>
      </c>
      <c r="H579">
        <v>112235597</v>
      </c>
      <c r="I579">
        <v>112235990</v>
      </c>
      <c r="J579" s="15" t="s">
        <v>35</v>
      </c>
      <c r="K579" t="s">
        <v>1697</v>
      </c>
      <c r="L579">
        <v>35</v>
      </c>
    </row>
    <row r="580" spans="1:12">
      <c r="A580" s="12" t="s">
        <v>16</v>
      </c>
      <c r="B580" t="s">
        <v>83</v>
      </c>
      <c r="C580">
        <v>69011880</v>
      </c>
      <c r="D580">
        <v>69012167</v>
      </c>
      <c r="E580" s="15" t="s">
        <v>35</v>
      </c>
      <c r="F580" t="s">
        <v>1697</v>
      </c>
      <c r="G580" t="s">
        <v>83</v>
      </c>
      <c r="H580">
        <v>69515834</v>
      </c>
      <c r="I580">
        <v>69516250</v>
      </c>
      <c r="J580" s="15" t="s">
        <v>35</v>
      </c>
      <c r="K580" t="s">
        <v>3957</v>
      </c>
      <c r="L580">
        <v>34</v>
      </c>
    </row>
    <row r="581" spans="1:12">
      <c r="A581" s="12" t="s">
        <v>16</v>
      </c>
      <c r="B581" t="s">
        <v>83</v>
      </c>
      <c r="C581">
        <v>69724140</v>
      </c>
      <c r="D581">
        <v>69724346</v>
      </c>
      <c r="E581" s="15" t="s">
        <v>1656</v>
      </c>
      <c r="F581" t="s">
        <v>1697</v>
      </c>
      <c r="G581" t="s">
        <v>83</v>
      </c>
      <c r="H581">
        <v>100118160</v>
      </c>
      <c r="I581">
        <v>100118522</v>
      </c>
      <c r="J581" s="15" t="s">
        <v>1656</v>
      </c>
      <c r="K581" t="s">
        <v>323</v>
      </c>
      <c r="L581">
        <v>34</v>
      </c>
    </row>
    <row r="582" spans="1:12">
      <c r="A582" s="12" t="s">
        <v>16</v>
      </c>
      <c r="B582" t="s">
        <v>339</v>
      </c>
      <c r="C582">
        <v>106172900</v>
      </c>
      <c r="D582">
        <v>106173198</v>
      </c>
      <c r="E582" s="15" t="s">
        <v>1656</v>
      </c>
      <c r="F582" t="s">
        <v>1697</v>
      </c>
      <c r="G582" t="s">
        <v>339</v>
      </c>
      <c r="H582">
        <v>109831123</v>
      </c>
      <c r="I582">
        <v>109831624</v>
      </c>
      <c r="J582" s="15" t="s">
        <v>35</v>
      </c>
      <c r="K582" t="s">
        <v>3960</v>
      </c>
      <c r="L582">
        <v>34</v>
      </c>
    </row>
    <row r="583" spans="1:12">
      <c r="A583" s="12" t="s">
        <v>16</v>
      </c>
      <c r="B583" t="s">
        <v>279</v>
      </c>
      <c r="C583">
        <v>94155671</v>
      </c>
      <c r="D583">
        <v>94155880</v>
      </c>
      <c r="E583" s="15" t="s">
        <v>35</v>
      </c>
      <c r="F583" t="s">
        <v>1697</v>
      </c>
      <c r="G583" t="s">
        <v>83</v>
      </c>
      <c r="H583">
        <v>99252296</v>
      </c>
      <c r="I583">
        <v>99252711</v>
      </c>
      <c r="J583" s="15" t="s">
        <v>1656</v>
      </c>
      <c r="K583" t="s">
        <v>323</v>
      </c>
      <c r="L583">
        <v>34</v>
      </c>
    </row>
    <row r="584" spans="1:12">
      <c r="A584" s="12" t="s">
        <v>16</v>
      </c>
      <c r="B584" t="s">
        <v>83</v>
      </c>
      <c r="C584">
        <v>68777954</v>
      </c>
      <c r="D584">
        <v>68778452</v>
      </c>
      <c r="E584" s="15" t="s">
        <v>1656</v>
      </c>
      <c r="F584" t="s">
        <v>14227</v>
      </c>
      <c r="G584" t="s">
        <v>83</v>
      </c>
      <c r="H584">
        <v>69177442</v>
      </c>
      <c r="I584">
        <v>69177662</v>
      </c>
      <c r="J584" s="15" t="s">
        <v>1656</v>
      </c>
      <c r="K584" t="s">
        <v>1697</v>
      </c>
      <c r="L584">
        <v>33</v>
      </c>
    </row>
    <row r="585" spans="1:12">
      <c r="A585" s="12" t="s">
        <v>16</v>
      </c>
      <c r="B585" t="s">
        <v>339</v>
      </c>
      <c r="C585">
        <v>106593313</v>
      </c>
      <c r="D585">
        <v>106593515</v>
      </c>
      <c r="E585" s="15" t="s">
        <v>1656</v>
      </c>
      <c r="F585" t="s">
        <v>1697</v>
      </c>
      <c r="G585" t="s">
        <v>339</v>
      </c>
      <c r="H585">
        <v>109257373</v>
      </c>
      <c r="I585">
        <v>109257724</v>
      </c>
      <c r="J585" s="15" t="s">
        <v>1656</v>
      </c>
      <c r="K585" t="s">
        <v>3960</v>
      </c>
      <c r="L585">
        <v>32</v>
      </c>
    </row>
    <row r="586" spans="1:12">
      <c r="A586" s="12" t="s">
        <v>16</v>
      </c>
      <c r="B586" t="s">
        <v>83</v>
      </c>
      <c r="C586">
        <v>69515427</v>
      </c>
      <c r="D586">
        <v>69515674</v>
      </c>
      <c r="E586" s="15" t="s">
        <v>1656</v>
      </c>
      <c r="F586" t="s">
        <v>3957</v>
      </c>
      <c r="G586" t="s">
        <v>83</v>
      </c>
      <c r="H586">
        <v>69572903</v>
      </c>
      <c r="I586">
        <v>69573161</v>
      </c>
      <c r="J586" s="15" t="s">
        <v>35</v>
      </c>
      <c r="K586" t="s">
        <v>1697</v>
      </c>
      <c r="L586">
        <v>31</v>
      </c>
    </row>
    <row r="587" spans="1:12">
      <c r="A587" s="12" t="s">
        <v>16</v>
      </c>
      <c r="B587" t="s">
        <v>83</v>
      </c>
      <c r="C587">
        <v>68780805</v>
      </c>
      <c r="D587">
        <v>68781246</v>
      </c>
      <c r="E587" s="15" t="s">
        <v>1656</v>
      </c>
      <c r="F587" t="s">
        <v>14227</v>
      </c>
      <c r="G587" t="s">
        <v>83</v>
      </c>
      <c r="H587">
        <v>68797028</v>
      </c>
      <c r="I587">
        <v>68797276</v>
      </c>
      <c r="J587" s="15" t="s">
        <v>35</v>
      </c>
      <c r="K587" t="s">
        <v>1697</v>
      </c>
      <c r="L587">
        <v>30</v>
      </c>
    </row>
    <row r="588" spans="1:12">
      <c r="A588" s="12" t="s">
        <v>16</v>
      </c>
      <c r="B588" t="s">
        <v>83</v>
      </c>
      <c r="C588">
        <v>68926556</v>
      </c>
      <c r="D588">
        <v>68926989</v>
      </c>
      <c r="E588" s="15" t="s">
        <v>1656</v>
      </c>
      <c r="F588" t="s">
        <v>1697</v>
      </c>
      <c r="G588" t="s">
        <v>83</v>
      </c>
      <c r="H588">
        <v>99283171</v>
      </c>
      <c r="I588">
        <v>99283534</v>
      </c>
      <c r="J588" s="15" t="s">
        <v>35</v>
      </c>
      <c r="K588" t="s">
        <v>323</v>
      </c>
      <c r="L588">
        <v>30</v>
      </c>
    </row>
    <row r="589" spans="1:12">
      <c r="A589" s="12" t="s">
        <v>16</v>
      </c>
      <c r="B589" t="s">
        <v>339</v>
      </c>
      <c r="C589">
        <v>106522074</v>
      </c>
      <c r="D589">
        <v>106522716</v>
      </c>
      <c r="E589" s="15" t="s">
        <v>1656</v>
      </c>
      <c r="F589" t="s">
        <v>1697</v>
      </c>
      <c r="G589" t="s">
        <v>339</v>
      </c>
      <c r="H589">
        <v>109414847</v>
      </c>
      <c r="I589">
        <v>109415391</v>
      </c>
      <c r="J589" s="15" t="s">
        <v>1656</v>
      </c>
      <c r="K589" t="s">
        <v>3960</v>
      </c>
      <c r="L589">
        <v>30</v>
      </c>
    </row>
    <row r="590" spans="1:12">
      <c r="A590" s="12" t="s">
        <v>16</v>
      </c>
      <c r="B590" t="s">
        <v>339</v>
      </c>
      <c r="C590">
        <v>106617998</v>
      </c>
      <c r="D590">
        <v>106618376</v>
      </c>
      <c r="E590" s="15" t="s">
        <v>35</v>
      </c>
      <c r="F590" t="s">
        <v>1697</v>
      </c>
      <c r="G590" t="s">
        <v>339</v>
      </c>
      <c r="H590">
        <v>111892060</v>
      </c>
      <c r="I590">
        <v>111892438</v>
      </c>
      <c r="J590" s="15" t="s">
        <v>35</v>
      </c>
      <c r="K590" t="s">
        <v>6732</v>
      </c>
      <c r="L590">
        <v>30</v>
      </c>
    </row>
    <row r="591" spans="1:12">
      <c r="A591" s="12" t="s">
        <v>16</v>
      </c>
      <c r="B591" t="s">
        <v>83</v>
      </c>
      <c r="C591">
        <v>69512159</v>
      </c>
      <c r="D591">
        <v>69512573</v>
      </c>
      <c r="E591" s="15" t="s">
        <v>35</v>
      </c>
      <c r="F591" t="s">
        <v>1697</v>
      </c>
      <c r="G591" t="s">
        <v>83</v>
      </c>
      <c r="H591">
        <v>99295959</v>
      </c>
      <c r="I591">
        <v>99296342</v>
      </c>
      <c r="J591" s="15" t="s">
        <v>35</v>
      </c>
      <c r="K591" t="s">
        <v>323</v>
      </c>
      <c r="L591">
        <v>29</v>
      </c>
    </row>
    <row r="592" spans="1:12">
      <c r="A592" s="12" t="s">
        <v>16</v>
      </c>
      <c r="B592" t="s">
        <v>339</v>
      </c>
      <c r="C592">
        <v>109058143</v>
      </c>
      <c r="D592">
        <v>109058547</v>
      </c>
      <c r="E592" s="15" t="s">
        <v>1656</v>
      </c>
      <c r="F592" t="s">
        <v>1697</v>
      </c>
      <c r="G592" t="s">
        <v>339</v>
      </c>
      <c r="H592">
        <v>109334950</v>
      </c>
      <c r="I592">
        <v>109335453</v>
      </c>
      <c r="J592" s="15" t="s">
        <v>1656</v>
      </c>
      <c r="K592" t="s">
        <v>3960</v>
      </c>
      <c r="L592">
        <v>29</v>
      </c>
    </row>
    <row r="593" spans="1:12">
      <c r="A593" s="12" t="s">
        <v>16</v>
      </c>
      <c r="B593" t="s">
        <v>188</v>
      </c>
      <c r="C593">
        <v>35765672</v>
      </c>
      <c r="D593">
        <v>35766539</v>
      </c>
      <c r="E593" s="15" t="s">
        <v>35</v>
      </c>
      <c r="F593" t="s">
        <v>3963</v>
      </c>
      <c r="G593" t="s">
        <v>188</v>
      </c>
      <c r="H593">
        <v>35767637</v>
      </c>
      <c r="I593">
        <v>35768206</v>
      </c>
      <c r="J593" s="15" t="s">
        <v>35</v>
      </c>
      <c r="K593" t="s">
        <v>3963</v>
      </c>
      <c r="L593">
        <v>29</v>
      </c>
    </row>
    <row r="594" spans="1:12">
      <c r="A594" s="12" t="s">
        <v>16</v>
      </c>
      <c r="B594" t="s">
        <v>292</v>
      </c>
      <c r="C594">
        <v>80935180</v>
      </c>
      <c r="D594">
        <v>80935618</v>
      </c>
      <c r="E594" s="15" t="s">
        <v>1656</v>
      </c>
      <c r="F594" t="s">
        <v>3954</v>
      </c>
      <c r="G594" t="s">
        <v>83</v>
      </c>
      <c r="H594">
        <v>68983099</v>
      </c>
      <c r="I594">
        <v>68983690</v>
      </c>
      <c r="J594" s="15" t="s">
        <v>1656</v>
      </c>
      <c r="K594" t="s">
        <v>1697</v>
      </c>
      <c r="L594">
        <v>29</v>
      </c>
    </row>
    <row r="595" spans="1:12">
      <c r="A595" s="12" t="s">
        <v>16</v>
      </c>
      <c r="B595" t="s">
        <v>22</v>
      </c>
      <c r="C595">
        <v>237803227</v>
      </c>
      <c r="D595">
        <v>237803554</v>
      </c>
      <c r="E595" s="15" t="s">
        <v>35</v>
      </c>
      <c r="F595" t="s">
        <v>2044</v>
      </c>
      <c r="G595" t="s">
        <v>83</v>
      </c>
      <c r="H595">
        <v>69030219</v>
      </c>
      <c r="I595">
        <v>69030519</v>
      </c>
      <c r="J595" s="15" t="s">
        <v>1656</v>
      </c>
      <c r="K595" t="s">
        <v>1697</v>
      </c>
      <c r="L595">
        <v>28</v>
      </c>
    </row>
    <row r="596" spans="1:12">
      <c r="A596" s="12" t="s">
        <v>16</v>
      </c>
      <c r="B596" t="s">
        <v>83</v>
      </c>
      <c r="C596">
        <v>68894172</v>
      </c>
      <c r="D596">
        <v>68894272</v>
      </c>
      <c r="E596" s="15" t="s">
        <v>1656</v>
      </c>
      <c r="F596" t="s">
        <v>1697</v>
      </c>
      <c r="G596" t="s">
        <v>83</v>
      </c>
      <c r="H596">
        <v>99298680</v>
      </c>
      <c r="I596">
        <v>99298822</v>
      </c>
      <c r="J596" s="15" t="s">
        <v>35</v>
      </c>
      <c r="K596" t="s">
        <v>323</v>
      </c>
      <c r="L596">
        <v>28</v>
      </c>
    </row>
    <row r="597" spans="1:12">
      <c r="A597" s="12" t="s">
        <v>16</v>
      </c>
      <c r="B597" t="s">
        <v>69</v>
      </c>
      <c r="C597">
        <v>82242061</v>
      </c>
      <c r="D597">
        <v>82242419</v>
      </c>
      <c r="E597" s="15" t="s">
        <v>1656</v>
      </c>
      <c r="F597" t="s">
        <v>2379</v>
      </c>
      <c r="G597" t="s">
        <v>69</v>
      </c>
      <c r="H597">
        <v>82246692</v>
      </c>
      <c r="I597">
        <v>82247295</v>
      </c>
      <c r="J597" s="15" t="s">
        <v>1656</v>
      </c>
      <c r="K597" t="s">
        <v>2379</v>
      </c>
      <c r="L597">
        <v>27</v>
      </c>
    </row>
    <row r="598" spans="1:12">
      <c r="A598" s="12" t="s">
        <v>16</v>
      </c>
      <c r="B598" t="s">
        <v>339</v>
      </c>
      <c r="C598">
        <v>108643994</v>
      </c>
      <c r="D598">
        <v>108644267</v>
      </c>
      <c r="E598" s="15" t="s">
        <v>35</v>
      </c>
      <c r="F598" t="s">
        <v>1697</v>
      </c>
      <c r="G598" t="s">
        <v>339</v>
      </c>
      <c r="H598">
        <v>109343991</v>
      </c>
      <c r="I598">
        <v>109344332</v>
      </c>
      <c r="J598" s="15" t="s">
        <v>1656</v>
      </c>
      <c r="K598" t="s">
        <v>3960</v>
      </c>
      <c r="L598">
        <v>27</v>
      </c>
    </row>
    <row r="599" spans="1:12">
      <c r="A599" s="12" t="s">
        <v>16</v>
      </c>
      <c r="B599" t="s">
        <v>83</v>
      </c>
      <c r="C599">
        <v>68921528</v>
      </c>
      <c r="D599">
        <v>68921876</v>
      </c>
      <c r="E599" s="15" t="s">
        <v>1656</v>
      </c>
      <c r="F599" t="s">
        <v>1697</v>
      </c>
      <c r="G599" t="s">
        <v>83</v>
      </c>
      <c r="H599">
        <v>69590929</v>
      </c>
      <c r="I599">
        <v>69591278</v>
      </c>
      <c r="J599" s="15" t="s">
        <v>35</v>
      </c>
      <c r="K599" t="s">
        <v>14228</v>
      </c>
      <c r="L599">
        <v>26</v>
      </c>
    </row>
    <row r="600" spans="1:12">
      <c r="A600" s="12" t="s">
        <v>16</v>
      </c>
      <c r="B600" t="s">
        <v>83</v>
      </c>
      <c r="C600">
        <v>68977165</v>
      </c>
      <c r="D600">
        <v>68977575</v>
      </c>
      <c r="E600" s="15" t="s">
        <v>35</v>
      </c>
      <c r="F600" t="s">
        <v>1697</v>
      </c>
      <c r="G600" t="s">
        <v>83</v>
      </c>
      <c r="H600">
        <v>69060277</v>
      </c>
      <c r="I600">
        <v>69060749</v>
      </c>
      <c r="J600" s="15" t="s">
        <v>1656</v>
      </c>
      <c r="K600" t="s">
        <v>14229</v>
      </c>
      <c r="L600">
        <v>26</v>
      </c>
    </row>
    <row r="601" spans="1:12">
      <c r="A601" s="12" t="s">
        <v>16</v>
      </c>
      <c r="B601" t="s">
        <v>83</v>
      </c>
      <c r="C601">
        <v>69462846</v>
      </c>
      <c r="D601">
        <v>69462929</v>
      </c>
      <c r="E601" s="15" t="s">
        <v>35</v>
      </c>
      <c r="F601" t="s">
        <v>14230</v>
      </c>
      <c r="G601" t="s">
        <v>83</v>
      </c>
      <c r="H601">
        <v>69463239</v>
      </c>
      <c r="I601">
        <v>69463450</v>
      </c>
      <c r="J601" s="15" t="s">
        <v>1656</v>
      </c>
      <c r="K601" t="s">
        <v>14230</v>
      </c>
      <c r="L601">
        <v>26</v>
      </c>
    </row>
    <row r="602" spans="1:12">
      <c r="A602" s="12" t="s">
        <v>16</v>
      </c>
      <c r="B602" t="s">
        <v>339</v>
      </c>
      <c r="C602">
        <v>108979844</v>
      </c>
      <c r="D602">
        <v>108980178</v>
      </c>
      <c r="E602" s="15" t="s">
        <v>1656</v>
      </c>
      <c r="F602" t="s">
        <v>1697</v>
      </c>
      <c r="G602" t="s">
        <v>339</v>
      </c>
      <c r="H602">
        <v>109362364</v>
      </c>
      <c r="I602">
        <v>109362695</v>
      </c>
      <c r="J602" s="15" t="s">
        <v>1656</v>
      </c>
      <c r="K602" t="s">
        <v>3960</v>
      </c>
      <c r="L602">
        <v>26</v>
      </c>
    </row>
    <row r="603" spans="1:12">
      <c r="A603" s="12" t="s">
        <v>16</v>
      </c>
      <c r="B603" t="s">
        <v>339</v>
      </c>
      <c r="C603">
        <v>109763424</v>
      </c>
      <c r="D603">
        <v>109763776</v>
      </c>
      <c r="E603" s="15" t="s">
        <v>35</v>
      </c>
      <c r="F603" t="s">
        <v>3960</v>
      </c>
      <c r="G603" t="s">
        <v>339</v>
      </c>
      <c r="H603">
        <v>112048913</v>
      </c>
      <c r="I603">
        <v>112049406</v>
      </c>
      <c r="J603" s="15" t="s">
        <v>35</v>
      </c>
      <c r="K603" t="s">
        <v>1697</v>
      </c>
      <c r="L603">
        <v>26</v>
      </c>
    </row>
    <row r="604" spans="1:12">
      <c r="A604" s="12" t="s">
        <v>16</v>
      </c>
      <c r="B604" t="s">
        <v>339</v>
      </c>
      <c r="C604">
        <v>110869414</v>
      </c>
      <c r="D604">
        <v>110869793</v>
      </c>
      <c r="E604" s="15" t="s">
        <v>35</v>
      </c>
      <c r="F604" t="s">
        <v>4867</v>
      </c>
      <c r="G604" t="s">
        <v>339</v>
      </c>
      <c r="H604">
        <v>112300369</v>
      </c>
      <c r="I604">
        <v>112300782</v>
      </c>
      <c r="J604" s="15" t="s">
        <v>35</v>
      </c>
      <c r="K604" t="s">
        <v>1697</v>
      </c>
      <c r="L604">
        <v>26</v>
      </c>
    </row>
    <row r="605" spans="1:12">
      <c r="A605" s="12" t="s">
        <v>424</v>
      </c>
      <c r="B605" t="s">
        <v>279</v>
      </c>
      <c r="C605">
        <v>73985430</v>
      </c>
      <c r="D605">
        <v>73985984</v>
      </c>
      <c r="E605" s="15" t="s">
        <v>1656</v>
      </c>
      <c r="F605" t="s">
        <v>14242</v>
      </c>
      <c r="G605" t="s">
        <v>279</v>
      </c>
      <c r="H605">
        <v>73987384</v>
      </c>
      <c r="I605">
        <v>73988013</v>
      </c>
      <c r="J605" s="15" t="s">
        <v>1656</v>
      </c>
      <c r="K605" t="s">
        <v>14242</v>
      </c>
      <c r="L605">
        <v>99</v>
      </c>
    </row>
    <row r="606" spans="1:12">
      <c r="A606" s="12" t="s">
        <v>424</v>
      </c>
      <c r="B606" t="s">
        <v>129</v>
      </c>
      <c r="C606">
        <v>279173</v>
      </c>
      <c r="D606">
        <v>279740</v>
      </c>
      <c r="E606" s="15" t="s">
        <v>1656</v>
      </c>
      <c r="F606" t="s">
        <v>14239</v>
      </c>
      <c r="G606" t="s">
        <v>129</v>
      </c>
      <c r="H606">
        <v>339946</v>
      </c>
      <c r="I606">
        <v>340534</v>
      </c>
      <c r="J606" s="15" t="s">
        <v>1656</v>
      </c>
      <c r="K606" t="s">
        <v>566</v>
      </c>
      <c r="L606">
        <v>92</v>
      </c>
    </row>
    <row r="607" spans="1:12">
      <c r="A607" s="12" t="s">
        <v>424</v>
      </c>
      <c r="B607" t="s">
        <v>129</v>
      </c>
      <c r="C607">
        <v>7180828</v>
      </c>
      <c r="D607">
        <v>7181352</v>
      </c>
      <c r="E607" s="15" t="s">
        <v>1656</v>
      </c>
      <c r="F607" t="s">
        <v>14237</v>
      </c>
      <c r="G607" t="s">
        <v>129</v>
      </c>
      <c r="H607">
        <v>7188359</v>
      </c>
      <c r="I607">
        <v>7188827</v>
      </c>
      <c r="J607" s="15" t="s">
        <v>35</v>
      </c>
      <c r="K607" t="s">
        <v>14237</v>
      </c>
      <c r="L607">
        <v>82</v>
      </c>
    </row>
    <row r="608" spans="1:12">
      <c r="A608" s="12" t="s">
        <v>424</v>
      </c>
      <c r="B608" t="s">
        <v>104</v>
      </c>
      <c r="C608">
        <v>64303129</v>
      </c>
      <c r="D608">
        <v>64303278</v>
      </c>
      <c r="E608" s="15" t="s">
        <v>1656</v>
      </c>
      <c r="F608" t="s">
        <v>1897</v>
      </c>
      <c r="G608" t="s">
        <v>129</v>
      </c>
      <c r="H608">
        <v>7098654</v>
      </c>
      <c r="I608">
        <v>7099219</v>
      </c>
      <c r="J608" s="15" t="s">
        <v>1656</v>
      </c>
      <c r="K608" t="s">
        <v>14237</v>
      </c>
      <c r="L608">
        <v>73</v>
      </c>
    </row>
    <row r="609" spans="1:12">
      <c r="A609" s="12" t="s">
        <v>424</v>
      </c>
      <c r="B609" t="s">
        <v>104</v>
      </c>
      <c r="C609">
        <v>64303135</v>
      </c>
      <c r="D609">
        <v>64303284</v>
      </c>
      <c r="E609" s="15" t="s">
        <v>35</v>
      </c>
      <c r="F609" t="s">
        <v>1897</v>
      </c>
      <c r="G609" t="s">
        <v>129</v>
      </c>
      <c r="H609">
        <v>7100856</v>
      </c>
      <c r="I609">
        <v>7101339</v>
      </c>
      <c r="J609" s="15" t="s">
        <v>1656</v>
      </c>
      <c r="K609" t="s">
        <v>14237</v>
      </c>
      <c r="L609">
        <v>69</v>
      </c>
    </row>
    <row r="610" spans="1:12">
      <c r="A610" s="12" t="s">
        <v>424</v>
      </c>
      <c r="B610" t="s">
        <v>129</v>
      </c>
      <c r="C610">
        <v>7098654</v>
      </c>
      <c r="D610">
        <v>7098902</v>
      </c>
      <c r="E610" s="15" t="s">
        <v>35</v>
      </c>
      <c r="F610" t="s">
        <v>14237</v>
      </c>
      <c r="G610" t="s">
        <v>129</v>
      </c>
      <c r="H610">
        <v>7100856</v>
      </c>
      <c r="I610">
        <v>7101187</v>
      </c>
      <c r="J610" s="15" t="s">
        <v>1656</v>
      </c>
      <c r="K610" t="s">
        <v>14237</v>
      </c>
      <c r="L610">
        <v>52</v>
      </c>
    </row>
    <row r="611" spans="1:12">
      <c r="A611" s="12" t="s">
        <v>424</v>
      </c>
      <c r="B611" t="s">
        <v>118</v>
      </c>
      <c r="C611">
        <v>20842808</v>
      </c>
      <c r="D611">
        <v>20842976</v>
      </c>
      <c r="E611" s="15" t="s">
        <v>35</v>
      </c>
      <c r="F611" t="s">
        <v>3845</v>
      </c>
      <c r="G611" t="s">
        <v>118</v>
      </c>
      <c r="H611">
        <v>20843899</v>
      </c>
      <c r="I611">
        <v>20844552</v>
      </c>
      <c r="J611" s="15" t="s">
        <v>1656</v>
      </c>
      <c r="K611" t="s">
        <v>3845</v>
      </c>
      <c r="L611">
        <v>48</v>
      </c>
    </row>
    <row r="612" spans="1:12">
      <c r="A612" s="12" t="s">
        <v>424</v>
      </c>
      <c r="B612" t="s">
        <v>220</v>
      </c>
      <c r="C612">
        <v>87861514</v>
      </c>
      <c r="D612">
        <v>87861991</v>
      </c>
      <c r="E612" s="15" t="s">
        <v>35</v>
      </c>
      <c r="F612" t="s">
        <v>1523</v>
      </c>
      <c r="G612" t="s">
        <v>220</v>
      </c>
      <c r="H612">
        <v>87865861</v>
      </c>
      <c r="I612">
        <v>87866372</v>
      </c>
      <c r="J612" s="15" t="s">
        <v>35</v>
      </c>
      <c r="K612" t="s">
        <v>1523</v>
      </c>
      <c r="L612">
        <v>42</v>
      </c>
    </row>
    <row r="613" spans="1:12">
      <c r="A613" s="12" t="s">
        <v>424</v>
      </c>
      <c r="B613" t="s">
        <v>279</v>
      </c>
      <c r="C613">
        <v>86415522</v>
      </c>
      <c r="D613">
        <v>86415611</v>
      </c>
      <c r="E613" s="15" t="s">
        <v>35</v>
      </c>
      <c r="F613" t="s">
        <v>1697</v>
      </c>
      <c r="G613" t="s">
        <v>129</v>
      </c>
      <c r="H613">
        <v>7100856</v>
      </c>
      <c r="I613">
        <v>7101249</v>
      </c>
      <c r="J613" s="15" t="s">
        <v>1656</v>
      </c>
      <c r="K613" t="s">
        <v>14237</v>
      </c>
      <c r="L613">
        <v>40</v>
      </c>
    </row>
    <row r="614" spans="1:12">
      <c r="A614" s="12" t="s">
        <v>424</v>
      </c>
      <c r="B614" t="s">
        <v>135</v>
      </c>
      <c r="C614">
        <v>56228593</v>
      </c>
      <c r="D614">
        <v>56229040</v>
      </c>
      <c r="E614" s="15" t="s">
        <v>1656</v>
      </c>
      <c r="F614" t="s">
        <v>14240</v>
      </c>
      <c r="G614" t="s">
        <v>135</v>
      </c>
      <c r="H614">
        <v>56230283</v>
      </c>
      <c r="I614">
        <v>56230625</v>
      </c>
      <c r="J614" s="15" t="s">
        <v>1656</v>
      </c>
      <c r="K614" t="s">
        <v>14240</v>
      </c>
      <c r="L614">
        <v>39</v>
      </c>
    </row>
    <row r="615" spans="1:12">
      <c r="A615" s="12" t="s">
        <v>424</v>
      </c>
      <c r="B615" t="s">
        <v>418</v>
      </c>
      <c r="C615">
        <v>153690430</v>
      </c>
      <c r="D615">
        <v>153690930</v>
      </c>
      <c r="E615" s="15" t="s">
        <v>35</v>
      </c>
      <c r="F615" t="s">
        <v>3972</v>
      </c>
      <c r="G615" t="s">
        <v>418</v>
      </c>
      <c r="H615">
        <v>153762784</v>
      </c>
      <c r="I615">
        <v>153763272</v>
      </c>
      <c r="J615" s="15" t="s">
        <v>35</v>
      </c>
      <c r="K615" t="s">
        <v>3973</v>
      </c>
      <c r="L615">
        <v>39</v>
      </c>
    </row>
    <row r="616" spans="1:12">
      <c r="A616" s="12" t="s">
        <v>424</v>
      </c>
      <c r="B616" t="s">
        <v>172</v>
      </c>
      <c r="C616">
        <v>43112956</v>
      </c>
      <c r="D616">
        <v>43113442</v>
      </c>
      <c r="E616" s="15" t="s">
        <v>35</v>
      </c>
      <c r="F616" t="s">
        <v>1697</v>
      </c>
      <c r="G616" t="s">
        <v>172</v>
      </c>
      <c r="H616">
        <v>43465984</v>
      </c>
      <c r="I616">
        <v>43466362</v>
      </c>
      <c r="J616" s="15" t="s">
        <v>35</v>
      </c>
      <c r="K616" t="s">
        <v>3969</v>
      </c>
      <c r="L616">
        <v>38</v>
      </c>
    </row>
    <row r="617" spans="1:12">
      <c r="A617" s="12" t="s">
        <v>424</v>
      </c>
      <c r="B617" t="s">
        <v>201</v>
      </c>
      <c r="C617">
        <v>60055163</v>
      </c>
      <c r="D617">
        <v>60055698</v>
      </c>
      <c r="E617" s="15" t="s">
        <v>1656</v>
      </c>
      <c r="F617" t="s">
        <v>2067</v>
      </c>
      <c r="G617" t="s">
        <v>201</v>
      </c>
      <c r="H617">
        <v>60117397</v>
      </c>
      <c r="I617">
        <v>60117923</v>
      </c>
      <c r="J617" s="15" t="s">
        <v>1656</v>
      </c>
      <c r="K617" t="s">
        <v>2067</v>
      </c>
      <c r="L617">
        <v>35</v>
      </c>
    </row>
    <row r="618" spans="1:12">
      <c r="A618" s="12" t="s">
        <v>424</v>
      </c>
      <c r="B618" t="s">
        <v>22</v>
      </c>
      <c r="C618">
        <v>40710832</v>
      </c>
      <c r="D618">
        <v>40711321</v>
      </c>
      <c r="E618" s="15" t="s">
        <v>35</v>
      </c>
      <c r="F618" t="s">
        <v>1697</v>
      </c>
      <c r="G618" t="s">
        <v>188</v>
      </c>
      <c r="H618">
        <v>30570581</v>
      </c>
      <c r="I618">
        <v>30571091</v>
      </c>
      <c r="J618" s="15" t="s">
        <v>1656</v>
      </c>
      <c r="K618" t="s">
        <v>3968</v>
      </c>
      <c r="L618">
        <v>33</v>
      </c>
    </row>
    <row r="619" spans="1:12">
      <c r="A619" s="12" t="s">
        <v>424</v>
      </c>
      <c r="B619" t="s">
        <v>279</v>
      </c>
      <c r="C619">
        <v>100126655</v>
      </c>
      <c r="D619">
        <v>100127098</v>
      </c>
      <c r="E619" s="15" t="s">
        <v>1656</v>
      </c>
      <c r="F619" t="s">
        <v>954</v>
      </c>
      <c r="G619" t="s">
        <v>279</v>
      </c>
      <c r="H619">
        <v>100683648</v>
      </c>
      <c r="I619">
        <v>100684108</v>
      </c>
      <c r="J619" s="15" t="s">
        <v>1656</v>
      </c>
      <c r="K619" t="s">
        <v>954</v>
      </c>
      <c r="L619">
        <v>31</v>
      </c>
    </row>
    <row r="620" spans="1:12">
      <c r="A620" s="12" t="s">
        <v>424</v>
      </c>
      <c r="B620" t="s">
        <v>104</v>
      </c>
      <c r="C620">
        <v>96189675</v>
      </c>
      <c r="D620">
        <v>96190086</v>
      </c>
      <c r="E620" s="15" t="s">
        <v>1656</v>
      </c>
      <c r="F620" t="s">
        <v>1697</v>
      </c>
      <c r="G620" t="s">
        <v>418</v>
      </c>
      <c r="H620">
        <v>29065340</v>
      </c>
      <c r="I620">
        <v>29065699</v>
      </c>
      <c r="J620" s="15" t="s">
        <v>1656</v>
      </c>
      <c r="K620" t="s">
        <v>14238</v>
      </c>
      <c r="L620">
        <v>28</v>
      </c>
    </row>
    <row r="621" spans="1:12">
      <c r="A621" s="12" t="s">
        <v>424</v>
      </c>
      <c r="B621" t="s">
        <v>237</v>
      </c>
      <c r="C621">
        <v>51622141</v>
      </c>
      <c r="D621">
        <v>51622567</v>
      </c>
      <c r="E621" s="15" t="s">
        <v>1656</v>
      </c>
      <c r="F621" t="s">
        <v>3970</v>
      </c>
      <c r="G621" t="s">
        <v>237</v>
      </c>
      <c r="H621">
        <v>51722481</v>
      </c>
      <c r="I621">
        <v>51723018</v>
      </c>
      <c r="J621" s="15" t="s">
        <v>1656</v>
      </c>
      <c r="K621" t="s">
        <v>3970</v>
      </c>
      <c r="L621">
        <v>28</v>
      </c>
    </row>
    <row r="622" spans="1:12">
      <c r="A622" s="12" t="s">
        <v>424</v>
      </c>
      <c r="B622" t="s">
        <v>257</v>
      </c>
      <c r="C622">
        <v>134930623</v>
      </c>
      <c r="D622">
        <v>134931059</v>
      </c>
      <c r="E622" s="15" t="s">
        <v>35</v>
      </c>
      <c r="F622" t="s">
        <v>14241</v>
      </c>
      <c r="G622" t="s">
        <v>257</v>
      </c>
      <c r="H622">
        <v>135468671</v>
      </c>
      <c r="I622">
        <v>135469019</v>
      </c>
      <c r="J622" s="15" t="s">
        <v>35</v>
      </c>
      <c r="K622" t="s">
        <v>1697</v>
      </c>
      <c r="L622">
        <v>28</v>
      </c>
    </row>
  </sheetData>
  <sortState ref="A4:L622">
    <sortCondition ref="A4:A622"/>
    <sortCondition descending="1" ref="L4:L622"/>
  </sortState>
  <mergeCells count="1">
    <mergeCell ref="A1:L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topLeftCell="A3" zoomScale="120" zoomScaleNormal="120" zoomScalePageLayoutView="120" workbookViewId="0">
      <selection activeCell="A25" sqref="A25"/>
    </sheetView>
  </sheetViews>
  <sheetFormatPr baseColWidth="10" defaultRowHeight="15" x14ac:dyDescent="0"/>
  <cols>
    <col min="1" max="1" width="7.1640625" bestFit="1" customWidth="1"/>
    <col min="2" max="2" width="7.6640625" bestFit="1" customWidth="1"/>
    <col min="3" max="4" width="10.1640625" bestFit="1" customWidth="1"/>
    <col min="5" max="6" width="10.33203125" bestFit="1" customWidth="1"/>
    <col min="7" max="7" width="8.6640625" bestFit="1" customWidth="1"/>
    <col min="8" max="8" width="10.6640625" bestFit="1" customWidth="1"/>
    <col min="9" max="9" width="10.1640625" bestFit="1" customWidth="1"/>
    <col min="10" max="10" width="11.6640625" customWidth="1"/>
    <col min="11" max="11" width="10.1640625" bestFit="1" customWidth="1"/>
  </cols>
  <sheetData>
    <row r="1" spans="1:12" ht="61" customHeight="1">
      <c r="A1" s="21" t="s">
        <v>14274</v>
      </c>
      <c r="B1" s="21"/>
      <c r="C1" s="21"/>
      <c r="D1" s="21"/>
      <c r="E1" s="21"/>
      <c r="F1" s="21"/>
      <c r="G1" s="21"/>
      <c r="H1" s="21"/>
      <c r="I1" s="21"/>
      <c r="J1" s="21"/>
      <c r="K1" s="21"/>
      <c r="L1" s="21"/>
    </row>
    <row r="3" spans="1:12" ht="30">
      <c r="A3" s="17" t="s">
        <v>0</v>
      </c>
      <c r="B3" s="17" t="s">
        <v>14245</v>
      </c>
      <c r="C3" s="17" t="s">
        <v>14246</v>
      </c>
      <c r="D3" s="17" t="s">
        <v>14247</v>
      </c>
      <c r="E3" s="17" t="s">
        <v>14243</v>
      </c>
      <c r="F3" s="17" t="s">
        <v>14248</v>
      </c>
      <c r="G3" s="17" t="s">
        <v>14244</v>
      </c>
      <c r="H3" s="17" t="s">
        <v>14249</v>
      </c>
      <c r="I3" s="17" t="s">
        <v>14250</v>
      </c>
      <c r="J3" s="17" t="s">
        <v>14251</v>
      </c>
      <c r="K3" s="17" t="s">
        <v>14252</v>
      </c>
      <c r="L3" s="17" t="s">
        <v>14253</v>
      </c>
    </row>
    <row r="4" spans="1:12">
      <c r="A4">
        <v>3885</v>
      </c>
      <c r="B4" t="s">
        <v>201</v>
      </c>
      <c r="C4">
        <v>120347788</v>
      </c>
      <c r="D4">
        <v>120348231</v>
      </c>
      <c r="E4" t="s">
        <v>1656</v>
      </c>
      <c r="F4" t="s">
        <v>14195</v>
      </c>
      <c r="G4" t="s">
        <v>201</v>
      </c>
      <c r="H4">
        <v>120445912</v>
      </c>
      <c r="I4">
        <v>120446315</v>
      </c>
      <c r="J4" t="s">
        <v>35</v>
      </c>
      <c r="K4" t="s">
        <v>10975</v>
      </c>
      <c r="L4">
        <v>56</v>
      </c>
    </row>
    <row r="5" spans="1:12">
      <c r="A5">
        <v>3885</v>
      </c>
      <c r="B5" t="s">
        <v>339</v>
      </c>
      <c r="C5">
        <v>93381500</v>
      </c>
      <c r="D5">
        <v>93381892</v>
      </c>
      <c r="E5" t="s">
        <v>35</v>
      </c>
      <c r="F5" t="s">
        <v>3998</v>
      </c>
      <c r="G5" t="s">
        <v>339</v>
      </c>
      <c r="H5">
        <v>94040309</v>
      </c>
      <c r="I5">
        <v>94040726</v>
      </c>
      <c r="J5" t="s">
        <v>35</v>
      </c>
      <c r="K5" t="s">
        <v>6971</v>
      </c>
      <c r="L5">
        <v>35</v>
      </c>
    </row>
    <row r="6" spans="1:12">
      <c r="A6">
        <v>3885</v>
      </c>
      <c r="B6" t="s">
        <v>279</v>
      </c>
      <c r="C6">
        <v>79677762</v>
      </c>
      <c r="D6">
        <v>79678190</v>
      </c>
      <c r="E6" t="s">
        <v>35</v>
      </c>
      <c r="F6" t="s">
        <v>3992</v>
      </c>
      <c r="G6" t="s">
        <v>279</v>
      </c>
      <c r="H6">
        <v>80870463</v>
      </c>
      <c r="I6">
        <v>80870889</v>
      </c>
      <c r="J6" t="s">
        <v>1656</v>
      </c>
      <c r="K6" t="s">
        <v>3993</v>
      </c>
      <c r="L6">
        <v>27</v>
      </c>
    </row>
    <row r="7" spans="1:12">
      <c r="A7">
        <v>3885</v>
      </c>
      <c r="B7" t="s">
        <v>133</v>
      </c>
      <c r="C7">
        <v>57712963</v>
      </c>
      <c r="D7">
        <v>57713123</v>
      </c>
      <c r="E7" t="s">
        <v>35</v>
      </c>
      <c r="F7" t="s">
        <v>2901</v>
      </c>
      <c r="G7" t="s">
        <v>133</v>
      </c>
      <c r="H7">
        <v>57909186</v>
      </c>
      <c r="I7">
        <v>57909350</v>
      </c>
      <c r="J7" t="s">
        <v>1656</v>
      </c>
      <c r="K7" t="s">
        <v>14264</v>
      </c>
      <c r="L7">
        <v>5</v>
      </c>
    </row>
    <row r="8" spans="1:12">
      <c r="A8">
        <v>30996</v>
      </c>
      <c r="B8" t="s">
        <v>120</v>
      </c>
      <c r="C8">
        <v>99723803</v>
      </c>
      <c r="D8">
        <v>99724318</v>
      </c>
      <c r="E8" t="s">
        <v>35</v>
      </c>
      <c r="F8" t="s">
        <v>4027</v>
      </c>
      <c r="G8" t="s">
        <v>120</v>
      </c>
      <c r="H8">
        <v>99822914</v>
      </c>
      <c r="I8">
        <v>99823109</v>
      </c>
      <c r="J8" t="s">
        <v>1656</v>
      </c>
      <c r="K8" t="s">
        <v>2315</v>
      </c>
      <c r="L8">
        <v>18</v>
      </c>
    </row>
    <row r="9" spans="1:12">
      <c r="A9">
        <v>30996</v>
      </c>
      <c r="B9" t="s">
        <v>120</v>
      </c>
      <c r="C9">
        <v>99744343</v>
      </c>
      <c r="D9">
        <v>99744596</v>
      </c>
      <c r="E9" t="s">
        <v>1656</v>
      </c>
      <c r="F9" t="s">
        <v>4027</v>
      </c>
      <c r="G9" t="s">
        <v>120</v>
      </c>
      <c r="H9">
        <v>99822189</v>
      </c>
      <c r="I9">
        <v>99822436</v>
      </c>
      <c r="J9" t="s">
        <v>35</v>
      </c>
      <c r="K9" t="s">
        <v>2315</v>
      </c>
      <c r="L9">
        <v>17</v>
      </c>
    </row>
    <row r="10" spans="1:12">
      <c r="A10">
        <v>30996</v>
      </c>
      <c r="B10" t="s">
        <v>83</v>
      </c>
      <c r="C10">
        <v>37504784</v>
      </c>
      <c r="D10">
        <v>37504841</v>
      </c>
      <c r="E10" t="s">
        <v>1656</v>
      </c>
      <c r="F10" t="s">
        <v>1697</v>
      </c>
      <c r="G10" t="s">
        <v>83</v>
      </c>
      <c r="H10">
        <v>47664933</v>
      </c>
      <c r="I10">
        <v>47665061</v>
      </c>
      <c r="J10" t="s">
        <v>35</v>
      </c>
      <c r="K10" t="s">
        <v>8475</v>
      </c>
      <c r="L10">
        <v>8</v>
      </c>
    </row>
    <row r="11" spans="1:12">
      <c r="A11">
        <v>30996</v>
      </c>
      <c r="B11" t="s">
        <v>83</v>
      </c>
      <c r="C11">
        <v>65973727</v>
      </c>
      <c r="D11">
        <v>65973768</v>
      </c>
      <c r="E11" t="s">
        <v>1656</v>
      </c>
      <c r="F11" t="s">
        <v>4051</v>
      </c>
      <c r="G11" t="s">
        <v>83</v>
      </c>
      <c r="H11">
        <v>68280947</v>
      </c>
      <c r="I11">
        <v>68281373</v>
      </c>
      <c r="J11" t="s">
        <v>35</v>
      </c>
      <c r="K11" t="s">
        <v>3423</v>
      </c>
      <c r="L11">
        <v>3</v>
      </c>
    </row>
    <row r="12" spans="1:12">
      <c r="A12">
        <v>30996</v>
      </c>
      <c r="B12" t="s">
        <v>83</v>
      </c>
      <c r="C12">
        <v>65973999</v>
      </c>
      <c r="D12">
        <v>65974036</v>
      </c>
      <c r="E12" t="s">
        <v>35</v>
      </c>
      <c r="F12" t="s">
        <v>4051</v>
      </c>
      <c r="G12" t="s">
        <v>83</v>
      </c>
      <c r="H12">
        <v>68281212</v>
      </c>
      <c r="I12">
        <v>68281283</v>
      </c>
      <c r="J12" t="s">
        <v>35</v>
      </c>
      <c r="K12" t="s">
        <v>3423</v>
      </c>
      <c r="L12">
        <v>3</v>
      </c>
    </row>
    <row r="13" spans="1:12">
      <c r="A13">
        <v>30997</v>
      </c>
      <c r="B13" t="s">
        <v>237</v>
      </c>
      <c r="C13">
        <v>65881649</v>
      </c>
      <c r="D13">
        <v>65882154</v>
      </c>
      <c r="E13" t="s">
        <v>1656</v>
      </c>
      <c r="F13" t="s">
        <v>799</v>
      </c>
      <c r="G13" t="s">
        <v>237</v>
      </c>
      <c r="H13">
        <v>88297210</v>
      </c>
      <c r="I13">
        <v>88297663</v>
      </c>
      <c r="J13" t="s">
        <v>1656</v>
      </c>
      <c r="K13" t="s">
        <v>4085</v>
      </c>
      <c r="L13">
        <v>223</v>
      </c>
    </row>
    <row r="14" spans="1:12">
      <c r="A14">
        <v>31119</v>
      </c>
      <c r="B14" t="s">
        <v>22</v>
      </c>
      <c r="C14">
        <v>161723091</v>
      </c>
      <c r="D14">
        <v>161723384</v>
      </c>
      <c r="E14" t="s">
        <v>1656</v>
      </c>
      <c r="F14" t="s">
        <v>14265</v>
      </c>
      <c r="G14" t="s">
        <v>22</v>
      </c>
      <c r="H14">
        <v>161864191</v>
      </c>
      <c r="I14">
        <v>161864320</v>
      </c>
      <c r="J14" t="s">
        <v>1656</v>
      </c>
      <c r="K14" t="s">
        <v>14266</v>
      </c>
      <c r="L14">
        <v>11</v>
      </c>
    </row>
    <row r="15" spans="1:12">
      <c r="A15" t="s">
        <v>1427</v>
      </c>
      <c r="B15" t="s">
        <v>237</v>
      </c>
      <c r="C15">
        <v>142468909</v>
      </c>
      <c r="D15">
        <v>142469211</v>
      </c>
      <c r="E15" t="s">
        <v>35</v>
      </c>
      <c r="F15" t="s">
        <v>14263</v>
      </c>
      <c r="G15" t="s">
        <v>237</v>
      </c>
      <c r="H15">
        <v>142660381</v>
      </c>
      <c r="I15">
        <v>142660819</v>
      </c>
      <c r="J15" t="s">
        <v>35</v>
      </c>
      <c r="K15" t="s">
        <v>2242</v>
      </c>
      <c r="L15">
        <v>7</v>
      </c>
    </row>
    <row r="16" spans="1:12">
      <c r="A16" t="s">
        <v>1427</v>
      </c>
      <c r="B16" t="s">
        <v>172</v>
      </c>
      <c r="C16">
        <v>220356650</v>
      </c>
      <c r="D16">
        <v>220356754</v>
      </c>
      <c r="E16" t="s">
        <v>35</v>
      </c>
      <c r="F16" t="s">
        <v>742</v>
      </c>
      <c r="G16" t="s">
        <v>172</v>
      </c>
      <c r="H16">
        <v>241981446</v>
      </c>
      <c r="I16">
        <v>241981668</v>
      </c>
      <c r="J16" t="s">
        <v>35</v>
      </c>
      <c r="K16" t="s">
        <v>4113</v>
      </c>
      <c r="L16">
        <v>6</v>
      </c>
    </row>
    <row r="17" spans="1:12">
      <c r="A17" t="s">
        <v>1554</v>
      </c>
      <c r="B17" t="s">
        <v>188</v>
      </c>
      <c r="C17">
        <v>39812601</v>
      </c>
      <c r="D17">
        <v>39813085</v>
      </c>
      <c r="E17" t="s">
        <v>35</v>
      </c>
      <c r="F17" t="s">
        <v>501</v>
      </c>
      <c r="G17" t="s">
        <v>188</v>
      </c>
      <c r="H17">
        <v>40092218</v>
      </c>
      <c r="I17">
        <v>40092751</v>
      </c>
      <c r="J17" t="s">
        <v>35</v>
      </c>
      <c r="K17" t="s">
        <v>2650</v>
      </c>
      <c r="L17">
        <v>228</v>
      </c>
    </row>
    <row r="18" spans="1:12">
      <c r="A18" t="s">
        <v>1554</v>
      </c>
      <c r="B18" t="s">
        <v>120</v>
      </c>
      <c r="C18">
        <v>101718953</v>
      </c>
      <c r="D18">
        <v>101719432</v>
      </c>
      <c r="E18" t="s">
        <v>35</v>
      </c>
      <c r="F18" t="s">
        <v>4205</v>
      </c>
      <c r="G18" t="s">
        <v>139</v>
      </c>
      <c r="H18">
        <v>30034461</v>
      </c>
      <c r="I18">
        <v>30034934</v>
      </c>
      <c r="J18" t="s">
        <v>1656</v>
      </c>
      <c r="K18" t="s">
        <v>4108</v>
      </c>
      <c r="L18">
        <v>189</v>
      </c>
    </row>
    <row r="19" spans="1:12">
      <c r="A19" t="s">
        <v>1554</v>
      </c>
      <c r="B19" t="s">
        <v>237</v>
      </c>
      <c r="C19">
        <v>36075760</v>
      </c>
      <c r="D19">
        <v>36076279</v>
      </c>
      <c r="E19" t="s">
        <v>35</v>
      </c>
      <c r="F19" t="s">
        <v>2117</v>
      </c>
      <c r="G19" t="s">
        <v>237</v>
      </c>
      <c r="H19">
        <v>36197713</v>
      </c>
      <c r="I19">
        <v>36198219</v>
      </c>
      <c r="J19" t="s">
        <v>35</v>
      </c>
      <c r="K19" t="s">
        <v>4162</v>
      </c>
      <c r="L19">
        <v>177</v>
      </c>
    </row>
    <row r="20" spans="1:12">
      <c r="A20" t="s">
        <v>1554</v>
      </c>
      <c r="B20" t="s">
        <v>129</v>
      </c>
      <c r="C20">
        <v>716870</v>
      </c>
      <c r="D20">
        <v>717396</v>
      </c>
      <c r="E20" t="s">
        <v>35</v>
      </c>
      <c r="F20" t="s">
        <v>4207</v>
      </c>
      <c r="G20" t="s">
        <v>129</v>
      </c>
      <c r="H20">
        <v>731104</v>
      </c>
      <c r="I20">
        <v>731590</v>
      </c>
      <c r="J20" t="s">
        <v>35</v>
      </c>
      <c r="K20" t="s">
        <v>4208</v>
      </c>
      <c r="L20">
        <v>157</v>
      </c>
    </row>
    <row r="21" spans="1:12">
      <c r="A21" t="s">
        <v>1554</v>
      </c>
      <c r="B21" t="s">
        <v>104</v>
      </c>
      <c r="C21">
        <v>113808505</v>
      </c>
      <c r="D21">
        <v>113809036</v>
      </c>
      <c r="E21" t="s">
        <v>35</v>
      </c>
      <c r="F21" t="s">
        <v>2207</v>
      </c>
      <c r="G21" t="s">
        <v>104</v>
      </c>
      <c r="H21">
        <v>113865195</v>
      </c>
      <c r="I21">
        <v>113865573</v>
      </c>
      <c r="J21" t="s">
        <v>35</v>
      </c>
      <c r="K21" t="s">
        <v>4198</v>
      </c>
      <c r="L21">
        <v>148</v>
      </c>
    </row>
    <row r="22" spans="1:12">
      <c r="A22" t="s">
        <v>1554</v>
      </c>
      <c r="B22" t="s">
        <v>226</v>
      </c>
      <c r="C22">
        <v>78232241</v>
      </c>
      <c r="D22">
        <v>78232709</v>
      </c>
      <c r="E22" t="s">
        <v>35</v>
      </c>
      <c r="F22" t="s">
        <v>4154</v>
      </c>
      <c r="G22" t="s">
        <v>226</v>
      </c>
      <c r="H22">
        <v>78344189</v>
      </c>
      <c r="I22">
        <v>78344720</v>
      </c>
      <c r="J22" t="s">
        <v>35</v>
      </c>
      <c r="K22" t="s">
        <v>2098</v>
      </c>
      <c r="L22">
        <v>126</v>
      </c>
    </row>
    <row r="23" spans="1:12">
      <c r="A23" t="s">
        <v>1554</v>
      </c>
      <c r="B23" t="s">
        <v>83</v>
      </c>
      <c r="C23">
        <v>62376141</v>
      </c>
      <c r="D23">
        <v>62376680</v>
      </c>
      <c r="E23" t="s">
        <v>1656</v>
      </c>
      <c r="F23" t="s">
        <v>4188</v>
      </c>
      <c r="G23" t="s">
        <v>104</v>
      </c>
      <c r="H23">
        <v>112012918</v>
      </c>
      <c r="I23">
        <v>112013450</v>
      </c>
      <c r="J23" t="s">
        <v>1656</v>
      </c>
      <c r="K23" t="s">
        <v>4189</v>
      </c>
      <c r="L23">
        <v>111</v>
      </c>
    </row>
    <row r="24" spans="1:12">
      <c r="A24" t="s">
        <v>1554</v>
      </c>
      <c r="B24" t="s">
        <v>237</v>
      </c>
      <c r="C24">
        <v>31759741</v>
      </c>
      <c r="D24">
        <v>31760159</v>
      </c>
      <c r="E24" t="s">
        <v>35</v>
      </c>
      <c r="F24" t="s">
        <v>1966</v>
      </c>
      <c r="G24" t="s">
        <v>237</v>
      </c>
      <c r="H24">
        <v>32040147</v>
      </c>
      <c r="I24">
        <v>32040559</v>
      </c>
      <c r="J24" t="s">
        <v>35</v>
      </c>
      <c r="K24" t="s">
        <v>2749</v>
      </c>
      <c r="L24">
        <v>100</v>
      </c>
    </row>
    <row r="25" spans="1:12">
      <c r="A25" t="s">
        <v>1554</v>
      </c>
      <c r="B25" t="s">
        <v>257</v>
      </c>
      <c r="C25">
        <v>73132922</v>
      </c>
      <c r="D25">
        <v>73133429</v>
      </c>
      <c r="E25" t="s">
        <v>35</v>
      </c>
      <c r="F25" t="s">
        <v>4167</v>
      </c>
      <c r="G25" t="s">
        <v>197</v>
      </c>
      <c r="H25">
        <v>30184748</v>
      </c>
      <c r="I25">
        <v>30185314</v>
      </c>
      <c r="J25" t="s">
        <v>35</v>
      </c>
      <c r="K25" t="s">
        <v>1943</v>
      </c>
      <c r="L25">
        <v>98</v>
      </c>
    </row>
    <row r="26" spans="1:12">
      <c r="A26" t="s">
        <v>1554</v>
      </c>
      <c r="B26" t="s">
        <v>139</v>
      </c>
      <c r="C26">
        <v>39337904</v>
      </c>
      <c r="D26">
        <v>39338409</v>
      </c>
      <c r="E26" t="s">
        <v>35</v>
      </c>
      <c r="F26" t="s">
        <v>4236</v>
      </c>
      <c r="G26" t="s">
        <v>139</v>
      </c>
      <c r="H26">
        <v>39405959</v>
      </c>
      <c r="I26">
        <v>39406527</v>
      </c>
      <c r="J26" t="s">
        <v>35</v>
      </c>
      <c r="K26" t="s">
        <v>4237</v>
      </c>
      <c r="L26">
        <v>96</v>
      </c>
    </row>
    <row r="27" spans="1:12">
      <c r="A27" t="s">
        <v>1554</v>
      </c>
      <c r="B27" t="s">
        <v>237</v>
      </c>
      <c r="C27">
        <v>35354407</v>
      </c>
      <c r="D27">
        <v>35354881</v>
      </c>
      <c r="E27" t="s">
        <v>1656</v>
      </c>
      <c r="F27" t="s">
        <v>4160</v>
      </c>
      <c r="G27" t="s">
        <v>135</v>
      </c>
      <c r="H27">
        <v>55866306</v>
      </c>
      <c r="I27">
        <v>55866720</v>
      </c>
      <c r="J27" t="s">
        <v>1656</v>
      </c>
      <c r="K27" t="s">
        <v>2319</v>
      </c>
      <c r="L27">
        <v>95</v>
      </c>
    </row>
    <row r="28" spans="1:12">
      <c r="A28" t="s">
        <v>1554</v>
      </c>
      <c r="B28" t="s">
        <v>197</v>
      </c>
      <c r="C28">
        <v>41763857</v>
      </c>
      <c r="D28">
        <v>41764296</v>
      </c>
      <c r="E28" t="s">
        <v>35</v>
      </c>
      <c r="F28" t="s">
        <v>506</v>
      </c>
      <c r="G28" t="s">
        <v>197</v>
      </c>
      <c r="H28">
        <v>41963713</v>
      </c>
      <c r="I28">
        <v>41964223</v>
      </c>
      <c r="J28" t="s">
        <v>35</v>
      </c>
      <c r="K28" t="s">
        <v>4245</v>
      </c>
      <c r="L28">
        <v>68</v>
      </c>
    </row>
    <row r="29" spans="1:12">
      <c r="A29" t="s">
        <v>1554</v>
      </c>
      <c r="B29" t="s">
        <v>139</v>
      </c>
      <c r="C29">
        <v>11528337</v>
      </c>
      <c r="D29">
        <v>11528818</v>
      </c>
      <c r="E29" t="s">
        <v>35</v>
      </c>
      <c r="F29" t="s">
        <v>3183</v>
      </c>
      <c r="G29" t="s">
        <v>139</v>
      </c>
      <c r="H29">
        <v>11532470</v>
      </c>
      <c r="I29">
        <v>11532828</v>
      </c>
      <c r="J29" t="s">
        <v>35</v>
      </c>
      <c r="K29" t="s">
        <v>2572</v>
      </c>
      <c r="L29">
        <v>59</v>
      </c>
    </row>
    <row r="30" spans="1:12">
      <c r="A30" t="s">
        <v>1554</v>
      </c>
      <c r="B30" t="s">
        <v>172</v>
      </c>
      <c r="C30">
        <v>113010191</v>
      </c>
      <c r="D30">
        <v>113010463</v>
      </c>
      <c r="E30" t="s">
        <v>35</v>
      </c>
      <c r="F30" t="s">
        <v>4131</v>
      </c>
      <c r="G30" t="s">
        <v>172</v>
      </c>
      <c r="H30">
        <v>219551508</v>
      </c>
      <c r="I30">
        <v>219551970</v>
      </c>
      <c r="J30" t="s">
        <v>1656</v>
      </c>
      <c r="K30" t="s">
        <v>4132</v>
      </c>
      <c r="L30">
        <v>54</v>
      </c>
    </row>
    <row r="31" spans="1:12">
      <c r="A31" t="s">
        <v>1554</v>
      </c>
      <c r="B31" t="s">
        <v>237</v>
      </c>
      <c r="C31">
        <v>43252643</v>
      </c>
      <c r="D31">
        <v>43252920</v>
      </c>
      <c r="E31" t="s">
        <v>35</v>
      </c>
      <c r="F31" t="s">
        <v>4164</v>
      </c>
      <c r="G31" t="s">
        <v>237</v>
      </c>
      <c r="H31">
        <v>43272026</v>
      </c>
      <c r="I31">
        <v>43272501</v>
      </c>
      <c r="J31" t="s">
        <v>35</v>
      </c>
      <c r="K31" t="s">
        <v>1862</v>
      </c>
      <c r="L31">
        <v>54</v>
      </c>
    </row>
    <row r="32" spans="1:12">
      <c r="A32" t="s">
        <v>1554</v>
      </c>
      <c r="B32" t="s">
        <v>201</v>
      </c>
      <c r="C32">
        <v>45562677</v>
      </c>
      <c r="D32">
        <v>45563095</v>
      </c>
      <c r="E32" t="s">
        <v>35</v>
      </c>
      <c r="F32" t="s">
        <v>4094</v>
      </c>
      <c r="G32" t="s">
        <v>201</v>
      </c>
      <c r="H32">
        <v>45648720</v>
      </c>
      <c r="I32">
        <v>45649049</v>
      </c>
      <c r="J32" t="s">
        <v>35</v>
      </c>
      <c r="K32" t="s">
        <v>4143</v>
      </c>
      <c r="L32">
        <v>48</v>
      </c>
    </row>
    <row r="33" spans="1:12">
      <c r="A33" t="s">
        <v>1554</v>
      </c>
      <c r="B33" t="s">
        <v>172</v>
      </c>
      <c r="C33">
        <v>43965096</v>
      </c>
      <c r="D33">
        <v>43965541</v>
      </c>
      <c r="E33" t="s">
        <v>35</v>
      </c>
      <c r="F33" t="s">
        <v>3107</v>
      </c>
      <c r="G33" t="s">
        <v>172</v>
      </c>
      <c r="H33">
        <v>44088519</v>
      </c>
      <c r="I33">
        <v>44089199</v>
      </c>
      <c r="J33" t="s">
        <v>35</v>
      </c>
      <c r="K33" t="s">
        <v>4129</v>
      </c>
      <c r="L33">
        <v>39</v>
      </c>
    </row>
    <row r="34" spans="1:12">
      <c r="A34" t="s">
        <v>1554</v>
      </c>
      <c r="B34" t="s">
        <v>237</v>
      </c>
      <c r="C34">
        <v>168935275</v>
      </c>
      <c r="D34">
        <v>168935644</v>
      </c>
      <c r="E34" t="s">
        <v>1656</v>
      </c>
      <c r="F34" t="s">
        <v>14179</v>
      </c>
      <c r="G34" t="s">
        <v>120</v>
      </c>
      <c r="H34">
        <v>45028287</v>
      </c>
      <c r="I34">
        <v>45028735</v>
      </c>
      <c r="J34" t="s">
        <v>1656</v>
      </c>
      <c r="K34" t="s">
        <v>14180</v>
      </c>
      <c r="L34">
        <v>39</v>
      </c>
    </row>
    <row r="35" spans="1:12">
      <c r="A35" t="s">
        <v>1554</v>
      </c>
      <c r="B35" t="s">
        <v>172</v>
      </c>
      <c r="C35">
        <v>113985747</v>
      </c>
      <c r="D35">
        <v>113986065</v>
      </c>
      <c r="E35" t="s">
        <v>35</v>
      </c>
      <c r="F35" t="s">
        <v>4133</v>
      </c>
      <c r="G35" t="s">
        <v>292</v>
      </c>
      <c r="H35">
        <v>4511798</v>
      </c>
      <c r="I35">
        <v>4512166</v>
      </c>
      <c r="J35" t="s">
        <v>1656</v>
      </c>
      <c r="K35" t="s">
        <v>4134</v>
      </c>
      <c r="L35">
        <v>37</v>
      </c>
    </row>
    <row r="36" spans="1:12">
      <c r="A36" t="s">
        <v>1554</v>
      </c>
      <c r="B36" t="s">
        <v>139</v>
      </c>
      <c r="C36">
        <v>35608952</v>
      </c>
      <c r="D36">
        <v>35609475</v>
      </c>
      <c r="E36" t="s">
        <v>35</v>
      </c>
      <c r="F36" t="s">
        <v>4233</v>
      </c>
      <c r="G36" t="s">
        <v>139</v>
      </c>
      <c r="H36">
        <v>35630131</v>
      </c>
      <c r="I36">
        <v>35630594</v>
      </c>
      <c r="J36" t="s">
        <v>35</v>
      </c>
      <c r="K36" t="s">
        <v>4234</v>
      </c>
      <c r="L36">
        <v>35</v>
      </c>
    </row>
    <row r="37" spans="1:12">
      <c r="A37" t="s">
        <v>1554</v>
      </c>
      <c r="B37" t="s">
        <v>129</v>
      </c>
      <c r="C37">
        <v>70359175</v>
      </c>
      <c r="D37">
        <v>70359587</v>
      </c>
      <c r="E37" t="s">
        <v>1656</v>
      </c>
      <c r="F37" t="s">
        <v>4211</v>
      </c>
      <c r="G37" t="s">
        <v>139</v>
      </c>
      <c r="H37">
        <v>949704</v>
      </c>
      <c r="I37">
        <v>950049</v>
      </c>
      <c r="J37" t="s">
        <v>1656</v>
      </c>
      <c r="K37" t="s">
        <v>4212</v>
      </c>
      <c r="L37">
        <v>34</v>
      </c>
    </row>
    <row r="38" spans="1:12">
      <c r="A38" t="s">
        <v>1554</v>
      </c>
      <c r="B38" t="s">
        <v>139</v>
      </c>
      <c r="C38">
        <v>33911123</v>
      </c>
      <c r="D38">
        <v>33911597</v>
      </c>
      <c r="E38" t="s">
        <v>1656</v>
      </c>
      <c r="F38" t="s">
        <v>4232</v>
      </c>
      <c r="G38" t="s">
        <v>188</v>
      </c>
      <c r="H38">
        <v>49198005</v>
      </c>
      <c r="I38">
        <v>49198271</v>
      </c>
      <c r="J38" t="s">
        <v>35</v>
      </c>
      <c r="K38" t="s">
        <v>4170</v>
      </c>
      <c r="L38">
        <v>24</v>
      </c>
    </row>
    <row r="39" spans="1:12">
      <c r="A39" t="s">
        <v>1554</v>
      </c>
      <c r="B39" t="s">
        <v>139</v>
      </c>
      <c r="C39">
        <v>45202971</v>
      </c>
      <c r="D39">
        <v>45203295</v>
      </c>
      <c r="E39" t="s">
        <v>35</v>
      </c>
      <c r="F39" t="s">
        <v>4239</v>
      </c>
      <c r="G39" t="s">
        <v>188</v>
      </c>
      <c r="H39">
        <v>361848</v>
      </c>
      <c r="I39">
        <v>362015</v>
      </c>
      <c r="J39" t="s">
        <v>35</v>
      </c>
      <c r="K39" t="s">
        <v>4240</v>
      </c>
      <c r="L39">
        <v>21</v>
      </c>
    </row>
    <row r="40" spans="1:12">
      <c r="A40" t="s">
        <v>1554</v>
      </c>
      <c r="B40" t="s">
        <v>188</v>
      </c>
      <c r="C40">
        <v>33124243</v>
      </c>
      <c r="D40">
        <v>33124774</v>
      </c>
      <c r="E40" t="s">
        <v>35</v>
      </c>
      <c r="F40" t="s">
        <v>14257</v>
      </c>
      <c r="G40" t="s">
        <v>188</v>
      </c>
      <c r="H40">
        <v>33147114</v>
      </c>
      <c r="I40">
        <v>33147469</v>
      </c>
      <c r="J40" t="s">
        <v>35</v>
      </c>
      <c r="K40" t="s">
        <v>14258</v>
      </c>
      <c r="L40">
        <v>18</v>
      </c>
    </row>
    <row r="41" spans="1:12">
      <c r="A41" t="s">
        <v>1554</v>
      </c>
      <c r="B41" t="s">
        <v>129</v>
      </c>
      <c r="C41">
        <v>20576915</v>
      </c>
      <c r="D41">
        <v>20577305</v>
      </c>
      <c r="E41" t="s">
        <v>35</v>
      </c>
      <c r="F41" t="s">
        <v>4209</v>
      </c>
      <c r="G41" t="s">
        <v>129</v>
      </c>
      <c r="H41">
        <v>20641211</v>
      </c>
      <c r="I41">
        <v>20641380</v>
      </c>
      <c r="J41" t="s">
        <v>35</v>
      </c>
      <c r="K41" t="s">
        <v>4210</v>
      </c>
      <c r="L41">
        <v>11</v>
      </c>
    </row>
    <row r="42" spans="1:12">
      <c r="A42" t="s">
        <v>1554</v>
      </c>
      <c r="B42" t="s">
        <v>201</v>
      </c>
      <c r="C42">
        <v>50214269</v>
      </c>
      <c r="D42">
        <v>50214529</v>
      </c>
      <c r="E42" t="s">
        <v>35</v>
      </c>
      <c r="F42" t="s">
        <v>14259</v>
      </c>
      <c r="G42" t="s">
        <v>201</v>
      </c>
      <c r="H42">
        <v>50227496</v>
      </c>
      <c r="I42">
        <v>50227753</v>
      </c>
      <c r="J42" t="s">
        <v>35</v>
      </c>
      <c r="K42" t="s">
        <v>14260</v>
      </c>
      <c r="L42">
        <v>11</v>
      </c>
    </row>
    <row r="43" spans="1:12">
      <c r="A43" t="s">
        <v>1554</v>
      </c>
      <c r="B43" t="s">
        <v>257</v>
      </c>
      <c r="C43">
        <v>75884466</v>
      </c>
      <c r="D43">
        <v>75884936</v>
      </c>
      <c r="E43" t="s">
        <v>35</v>
      </c>
      <c r="F43" t="s">
        <v>14262</v>
      </c>
      <c r="G43" t="s">
        <v>139</v>
      </c>
      <c r="H43">
        <v>1055388</v>
      </c>
      <c r="I43">
        <v>1055500</v>
      </c>
      <c r="J43" t="s">
        <v>35</v>
      </c>
      <c r="K43" t="s">
        <v>13225</v>
      </c>
      <c r="L43">
        <v>9</v>
      </c>
    </row>
    <row r="44" spans="1:12">
      <c r="A44" t="s">
        <v>1554</v>
      </c>
      <c r="B44" t="s">
        <v>69</v>
      </c>
      <c r="C44">
        <v>113939912</v>
      </c>
      <c r="D44">
        <v>113940129</v>
      </c>
      <c r="E44" t="s">
        <v>35</v>
      </c>
      <c r="F44" t="s">
        <v>9084</v>
      </c>
      <c r="G44" t="s">
        <v>69</v>
      </c>
      <c r="H44">
        <v>114084501</v>
      </c>
      <c r="I44">
        <v>114084645</v>
      </c>
      <c r="J44" t="s">
        <v>35</v>
      </c>
      <c r="K44" t="s">
        <v>14254</v>
      </c>
      <c r="L44">
        <v>8</v>
      </c>
    </row>
    <row r="45" spans="1:12">
      <c r="A45" t="s">
        <v>1554</v>
      </c>
      <c r="B45" t="s">
        <v>118</v>
      </c>
      <c r="C45">
        <v>73825801</v>
      </c>
      <c r="D45">
        <v>73826037</v>
      </c>
      <c r="E45" t="s">
        <v>1656</v>
      </c>
      <c r="F45" t="s">
        <v>1921</v>
      </c>
      <c r="G45" t="s">
        <v>118</v>
      </c>
      <c r="H45">
        <v>74200444</v>
      </c>
      <c r="I45">
        <v>74200718</v>
      </c>
      <c r="J45" t="s">
        <v>1656</v>
      </c>
      <c r="K45" t="s">
        <v>14256</v>
      </c>
      <c r="L45">
        <v>8</v>
      </c>
    </row>
    <row r="46" spans="1:12">
      <c r="A46" t="s">
        <v>1554</v>
      </c>
      <c r="B46" t="s">
        <v>257</v>
      </c>
      <c r="C46">
        <v>44273102</v>
      </c>
      <c r="D46">
        <v>44273325</v>
      </c>
      <c r="E46" t="s">
        <v>1656</v>
      </c>
      <c r="F46" t="s">
        <v>14261</v>
      </c>
      <c r="G46" t="s">
        <v>292</v>
      </c>
      <c r="H46">
        <v>130831938</v>
      </c>
      <c r="I46">
        <v>130832216</v>
      </c>
      <c r="J46" t="s">
        <v>35</v>
      </c>
      <c r="K46" t="s">
        <v>4181</v>
      </c>
      <c r="L46">
        <v>5</v>
      </c>
    </row>
    <row r="47" spans="1:12">
      <c r="A47" t="s">
        <v>1554</v>
      </c>
      <c r="B47" t="s">
        <v>83</v>
      </c>
      <c r="C47">
        <v>62331738</v>
      </c>
      <c r="D47">
        <v>62332167</v>
      </c>
      <c r="E47" t="s">
        <v>35</v>
      </c>
      <c r="F47" t="s">
        <v>14255</v>
      </c>
      <c r="G47" t="s">
        <v>104</v>
      </c>
      <c r="H47">
        <v>112103328</v>
      </c>
      <c r="I47">
        <v>112103612</v>
      </c>
      <c r="J47" t="s">
        <v>35</v>
      </c>
      <c r="K47" t="s">
        <v>2261</v>
      </c>
      <c r="L47">
        <v>3</v>
      </c>
    </row>
    <row r="48" spans="1:12">
      <c r="A48" t="s">
        <v>16</v>
      </c>
      <c r="B48" t="s">
        <v>339</v>
      </c>
      <c r="C48">
        <v>107183258</v>
      </c>
      <c r="D48">
        <v>107183591</v>
      </c>
      <c r="E48" t="s">
        <v>1656</v>
      </c>
      <c r="F48" t="s">
        <v>2864</v>
      </c>
      <c r="G48" t="s">
        <v>339</v>
      </c>
      <c r="H48">
        <v>107213136</v>
      </c>
      <c r="I48">
        <v>107213501</v>
      </c>
      <c r="J48" t="s">
        <v>1656</v>
      </c>
      <c r="K48" t="s">
        <v>14234</v>
      </c>
      <c r="L48">
        <v>41</v>
      </c>
    </row>
    <row r="49" spans="1:12">
      <c r="A49" t="s">
        <v>16</v>
      </c>
      <c r="B49" t="s">
        <v>83</v>
      </c>
      <c r="C49">
        <v>69489575</v>
      </c>
      <c r="D49">
        <v>69489655</v>
      </c>
      <c r="E49" t="s">
        <v>35</v>
      </c>
      <c r="F49" t="s">
        <v>14267</v>
      </c>
      <c r="G49" t="s">
        <v>83</v>
      </c>
      <c r="H49">
        <v>69515633</v>
      </c>
      <c r="I49">
        <v>69515698</v>
      </c>
      <c r="J49" t="s">
        <v>1656</v>
      </c>
      <c r="K49" t="s">
        <v>3957</v>
      </c>
      <c r="L49">
        <v>3</v>
      </c>
    </row>
    <row r="50" spans="1:12">
      <c r="A50" t="s">
        <v>424</v>
      </c>
      <c r="B50" t="s">
        <v>129</v>
      </c>
      <c r="C50">
        <v>279173</v>
      </c>
      <c r="D50">
        <v>279740</v>
      </c>
      <c r="E50" t="s">
        <v>1656</v>
      </c>
      <c r="F50" t="s">
        <v>14239</v>
      </c>
      <c r="G50" t="s">
        <v>129</v>
      </c>
      <c r="H50">
        <v>339946</v>
      </c>
      <c r="I50">
        <v>340534</v>
      </c>
      <c r="J50" t="s">
        <v>1656</v>
      </c>
      <c r="K50" t="s">
        <v>566</v>
      </c>
      <c r="L50">
        <v>92</v>
      </c>
    </row>
    <row r="51" spans="1:12">
      <c r="A51" t="s">
        <v>424</v>
      </c>
      <c r="B51" t="s">
        <v>201</v>
      </c>
      <c r="C51">
        <v>135905376</v>
      </c>
      <c r="D51">
        <v>135905685</v>
      </c>
      <c r="E51" t="s">
        <v>35</v>
      </c>
      <c r="F51" t="s">
        <v>4580</v>
      </c>
      <c r="G51" t="s">
        <v>201</v>
      </c>
      <c r="H51">
        <v>136069971</v>
      </c>
      <c r="I51">
        <v>136070163</v>
      </c>
      <c r="J51" t="s">
        <v>35</v>
      </c>
      <c r="K51" t="s">
        <v>2190</v>
      </c>
      <c r="L51">
        <v>5</v>
      </c>
    </row>
  </sheetData>
  <sortState ref="A4:L51">
    <sortCondition ref="A4:A51"/>
    <sortCondition descending="1" ref="L4:L51"/>
  </sortState>
  <mergeCells count="1">
    <mergeCell ref="A1:L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Suchit</dc:creator>
  <cp:lastModifiedBy>Suchit</cp:lastModifiedBy>
  <dcterms:created xsi:type="dcterms:W3CDTF">2012-10-03T22:08:47Z</dcterms:created>
  <dcterms:modified xsi:type="dcterms:W3CDTF">2013-11-06T00:01:00Z</dcterms:modified>
</cp:coreProperties>
</file>