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743"/>
  </bookViews>
  <sheets>
    <sheet name="v3.1 RT25_Column3 (Default)" sheetId="10" r:id="rId1"/>
    <sheet name="v3.1 RT6.25_Column1 (Cheapest)" sheetId="14" r:id="rId2"/>
    <sheet name="v3.1 RT6.25_Column3 (option)" sheetId="13" r:id="rId3"/>
    <sheet name="v3.1 RT100_Column3discon" sheetId="12" r:id="rId4"/>
    <sheet name="v3.2 RT25_Column8 (Default)" sheetId="15" r:id="rId5"/>
    <sheet name="v3.2 RT6.25_Column8" sheetId="17" r:id="rId6"/>
    <sheet name="v3.2 RT6.25_Column3 (Cheapest)" sheetId="16" r:id="rId7"/>
  </sheets>
  <definedNames>
    <definedName name="_xlnm._FilterDatabase" localSheetId="3" hidden="1">'v3.1 RT100_Column3discon'!$A$2:$P$2</definedName>
    <definedName name="_xlnm._FilterDatabase" localSheetId="0" hidden="1">'v3.1 RT25_Column3 (Default)'!$A$2:$P$2</definedName>
    <definedName name="_xlnm._FilterDatabase" localSheetId="1" hidden="1">'v3.1 RT6.25_Column1 (Cheapest)'!$A$2:$P$2</definedName>
    <definedName name="_xlnm._FilterDatabase" localSheetId="2" hidden="1">'v3.1 RT6.25_Column3 (option)'!$A$2:$P$2</definedName>
    <definedName name="_xlnm._FilterDatabase" localSheetId="4" hidden="1">'v3.2 RT25_Column8 (Default)'!$A$2:$P$2</definedName>
    <definedName name="_xlnm._FilterDatabase" localSheetId="6" hidden="1">'v3.2 RT6.25_Column3 (Cheapest)'!$A$2:$P$2</definedName>
    <definedName name="_xlnm._FilterDatabase" localSheetId="5" hidden="1">'v3.2 RT6.25_Column8'!$A$2:$P$2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" i="17" l="1"/>
  <c r="J11" i="17"/>
  <c r="L11" i="17"/>
  <c r="L3" i="17"/>
  <c r="N3" i="17"/>
  <c r="P3" i="17"/>
  <c r="J4" i="17"/>
  <c r="L4" i="17"/>
  <c r="N4" i="17"/>
  <c r="P4" i="17"/>
  <c r="G5" i="17"/>
  <c r="J5" i="17"/>
  <c r="L5" i="17"/>
  <c r="N5" i="17"/>
  <c r="P5" i="17"/>
  <c r="H6" i="17"/>
  <c r="J6" i="17"/>
  <c r="L6" i="17"/>
  <c r="N6" i="17"/>
  <c r="P6" i="17"/>
  <c r="J7" i="17"/>
  <c r="L7" i="17"/>
  <c r="N7" i="17"/>
  <c r="P7" i="17"/>
  <c r="J8" i="17"/>
  <c r="L8" i="17"/>
  <c r="N8" i="17"/>
  <c r="P8" i="17"/>
  <c r="H9" i="17"/>
  <c r="J9" i="17"/>
  <c r="L9" i="17"/>
  <c r="N9" i="17"/>
  <c r="P9" i="17"/>
  <c r="H10" i="17"/>
  <c r="J10" i="17"/>
  <c r="L10" i="17"/>
  <c r="N10" i="17"/>
  <c r="P10" i="17"/>
  <c r="N11" i="17"/>
  <c r="P11" i="17"/>
  <c r="L12" i="17"/>
  <c r="N12" i="17"/>
  <c r="P12" i="17"/>
  <c r="H13" i="17"/>
  <c r="J13" i="17"/>
  <c r="L13" i="17"/>
  <c r="N13" i="17"/>
  <c r="P13" i="17"/>
  <c r="J14" i="17"/>
  <c r="L14" i="17"/>
  <c r="N14" i="17"/>
  <c r="P14" i="17"/>
  <c r="H15" i="17"/>
  <c r="J15" i="17"/>
  <c r="L15" i="17"/>
  <c r="N15" i="17"/>
  <c r="P15" i="17"/>
  <c r="J16" i="17"/>
  <c r="L16" i="17"/>
  <c r="N16" i="17"/>
  <c r="P16" i="17"/>
  <c r="H17" i="17"/>
  <c r="J17" i="17"/>
  <c r="L17" i="17"/>
  <c r="N17" i="17"/>
  <c r="P17" i="17"/>
  <c r="H18" i="17"/>
  <c r="J18" i="17"/>
  <c r="L18" i="17"/>
  <c r="N18" i="17"/>
  <c r="P18" i="17"/>
  <c r="J19" i="17"/>
  <c r="L19" i="17"/>
  <c r="N19" i="17"/>
  <c r="P19" i="17"/>
  <c r="J20" i="17"/>
  <c r="L20" i="17"/>
  <c r="N20" i="17"/>
  <c r="P20" i="17"/>
  <c r="J21" i="17"/>
  <c r="L21" i="17"/>
  <c r="N21" i="17"/>
  <c r="P21" i="17"/>
  <c r="H22" i="17"/>
  <c r="J22" i="17"/>
  <c r="L22" i="17"/>
  <c r="N22" i="17"/>
  <c r="P22" i="17"/>
  <c r="J24" i="17"/>
  <c r="L24" i="17"/>
  <c r="N24" i="17"/>
  <c r="P24" i="17"/>
  <c r="G25" i="17"/>
  <c r="J25" i="17"/>
  <c r="L25" i="17"/>
  <c r="N25" i="17"/>
  <c r="P25" i="17"/>
  <c r="H26" i="17"/>
  <c r="J26" i="17"/>
  <c r="L26" i="17"/>
  <c r="N26" i="17"/>
  <c r="P26" i="17"/>
  <c r="G28" i="17"/>
  <c r="J28" i="17"/>
  <c r="L28" i="17"/>
  <c r="N28" i="17"/>
  <c r="P28" i="17"/>
  <c r="H29" i="17"/>
  <c r="J29" i="17"/>
  <c r="L29" i="17"/>
  <c r="N29" i="17"/>
  <c r="P29" i="17"/>
  <c r="L30" i="17"/>
  <c r="N30" i="17"/>
  <c r="P30" i="17"/>
  <c r="H31" i="17"/>
  <c r="J31" i="17"/>
  <c r="L31" i="17"/>
  <c r="N31" i="17"/>
  <c r="P31" i="17"/>
  <c r="H32" i="17"/>
  <c r="L32" i="17"/>
  <c r="N32" i="17"/>
  <c r="P32" i="17"/>
  <c r="L33" i="17"/>
  <c r="N33" i="17"/>
  <c r="P33" i="17"/>
  <c r="G34" i="17"/>
  <c r="L34" i="17"/>
  <c r="N34" i="17"/>
  <c r="P34" i="17"/>
  <c r="L35" i="17"/>
  <c r="N35" i="17"/>
  <c r="P35" i="17"/>
  <c r="L36" i="17"/>
  <c r="N36" i="17"/>
  <c r="P36" i="17"/>
  <c r="H37" i="17"/>
  <c r="L37" i="17"/>
  <c r="N37" i="17"/>
  <c r="P37" i="17"/>
  <c r="J38" i="17"/>
  <c r="L38" i="17"/>
  <c r="N38" i="17"/>
  <c r="P38" i="17"/>
  <c r="E39" i="17"/>
  <c r="H39" i="17"/>
  <c r="L39" i="17"/>
  <c r="N39" i="17"/>
  <c r="P39" i="17"/>
  <c r="J40" i="17"/>
  <c r="L40" i="17"/>
  <c r="N40" i="17"/>
  <c r="P40" i="17"/>
  <c r="J41" i="17"/>
  <c r="L41" i="17"/>
  <c r="N41" i="17"/>
  <c r="P41" i="17"/>
  <c r="L42" i="17"/>
  <c r="N42" i="17"/>
  <c r="P42" i="17"/>
  <c r="L43" i="17"/>
  <c r="N43" i="17"/>
  <c r="P43" i="17"/>
  <c r="H44" i="17"/>
  <c r="L44" i="17"/>
  <c r="N44" i="17"/>
  <c r="P44" i="17"/>
  <c r="H45" i="17"/>
  <c r="L45" i="17"/>
  <c r="N45" i="17"/>
  <c r="P45" i="17"/>
  <c r="L46" i="17"/>
  <c r="N46" i="17"/>
  <c r="P46" i="17"/>
  <c r="G47" i="17"/>
  <c r="L47" i="17"/>
  <c r="N47" i="17"/>
  <c r="P47" i="17"/>
  <c r="E48" i="17"/>
  <c r="H48" i="17"/>
  <c r="L48" i="17"/>
  <c r="N48" i="17"/>
  <c r="P48" i="17"/>
  <c r="E49" i="17"/>
  <c r="H49" i="17"/>
  <c r="L49" i="17"/>
  <c r="N49" i="17"/>
  <c r="P49" i="17"/>
  <c r="E50" i="17"/>
  <c r="H50" i="17"/>
  <c r="L50" i="17"/>
  <c r="N50" i="17"/>
  <c r="P50" i="17"/>
  <c r="E51" i="17"/>
  <c r="H51" i="17"/>
  <c r="L51" i="17"/>
  <c r="N51" i="17"/>
  <c r="P51" i="17"/>
  <c r="E52" i="17"/>
  <c r="H52" i="17"/>
  <c r="L52" i="17"/>
  <c r="N52" i="17"/>
  <c r="P52" i="17"/>
  <c r="P53" i="17"/>
  <c r="E54" i="17"/>
  <c r="H54" i="17"/>
  <c r="L54" i="17"/>
  <c r="N54" i="17"/>
  <c r="P54" i="17"/>
  <c r="L55" i="17"/>
  <c r="N55" i="17"/>
  <c r="P55" i="17"/>
  <c r="E56" i="17"/>
  <c r="H56" i="17"/>
  <c r="L56" i="17"/>
  <c r="N56" i="17"/>
  <c r="P56" i="17"/>
  <c r="E57" i="17"/>
  <c r="H57" i="17"/>
  <c r="L57" i="17"/>
  <c r="N57" i="17"/>
  <c r="P57" i="17"/>
  <c r="E58" i="17"/>
  <c r="H58" i="17"/>
  <c r="L58" i="17"/>
  <c r="N58" i="17"/>
  <c r="P58" i="17"/>
  <c r="E59" i="17"/>
  <c r="H59" i="17"/>
  <c r="L59" i="17"/>
  <c r="N59" i="17"/>
  <c r="P59" i="17"/>
  <c r="H60" i="17"/>
  <c r="L60" i="17"/>
  <c r="N60" i="17"/>
  <c r="P60" i="17"/>
  <c r="J61" i="17"/>
  <c r="L61" i="17"/>
  <c r="N61" i="17"/>
  <c r="P61" i="17"/>
  <c r="P63" i="17"/>
  <c r="P65" i="17"/>
  <c r="O3" i="17"/>
  <c r="O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4" i="17"/>
  <c r="O25" i="17"/>
  <c r="O26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3" i="17"/>
  <c r="O65" i="17"/>
  <c r="N63" i="17"/>
  <c r="N65" i="17"/>
  <c r="P64" i="17"/>
  <c r="O64" i="17"/>
  <c r="N64" i="17"/>
  <c r="M61" i="17"/>
  <c r="M60" i="17"/>
  <c r="M59" i="17"/>
  <c r="M58" i="17"/>
  <c r="M57" i="17"/>
  <c r="M56" i="17"/>
  <c r="M55" i="17"/>
  <c r="M54" i="17"/>
  <c r="L53" i="17"/>
  <c r="H53" i="17"/>
  <c r="M52" i="17"/>
  <c r="M51" i="17"/>
  <c r="M50" i="17"/>
  <c r="M49" i="17"/>
  <c r="M48" i="17"/>
  <c r="M47" i="17"/>
  <c r="M46" i="17"/>
  <c r="E46" i="17"/>
  <c r="M45" i="17"/>
  <c r="E45" i="17"/>
  <c r="M44" i="17"/>
  <c r="E44" i="17"/>
  <c r="M43" i="17"/>
  <c r="M42" i="17"/>
  <c r="M41" i="17"/>
  <c r="M40" i="17"/>
  <c r="M39" i="17"/>
  <c r="M38" i="17"/>
  <c r="M37" i="17"/>
  <c r="E37" i="17"/>
  <c r="M36" i="17"/>
  <c r="M35" i="17"/>
  <c r="M34" i="17"/>
  <c r="M33" i="17"/>
  <c r="E33" i="17"/>
  <c r="M32" i="17"/>
  <c r="E32" i="17"/>
  <c r="M31" i="17"/>
  <c r="E31" i="17"/>
  <c r="M30" i="17"/>
  <c r="M29" i="17"/>
  <c r="E29" i="17"/>
  <c r="M28" i="17"/>
  <c r="M27" i="17"/>
  <c r="J27" i="17"/>
  <c r="L27" i="17"/>
  <c r="M26" i="17"/>
  <c r="E26" i="17"/>
  <c r="M25" i="17"/>
  <c r="M24" i="17"/>
  <c r="M23" i="17"/>
  <c r="J23" i="17"/>
  <c r="L23" i="17"/>
  <c r="M22" i="17"/>
  <c r="E22" i="17"/>
  <c r="M21" i="17"/>
  <c r="M20" i="17"/>
  <c r="M19" i="17"/>
  <c r="M18" i="17"/>
  <c r="M17" i="17"/>
  <c r="E17" i="17"/>
  <c r="M16" i="17"/>
  <c r="M15" i="17"/>
  <c r="E15" i="17"/>
  <c r="M14" i="17"/>
  <c r="M13" i="17"/>
  <c r="E13" i="17"/>
  <c r="M12" i="17"/>
  <c r="M11" i="17"/>
  <c r="M10" i="17"/>
  <c r="M9" i="17"/>
  <c r="E9" i="17"/>
  <c r="M8" i="17"/>
  <c r="M7" i="17"/>
  <c r="M6" i="17"/>
  <c r="M5" i="17"/>
  <c r="M4" i="17"/>
  <c r="M3" i="17"/>
  <c r="E15" i="14"/>
  <c r="E15" i="13"/>
  <c r="E15" i="12"/>
  <c r="E15" i="15"/>
  <c r="E15" i="16"/>
  <c r="E15" i="10"/>
  <c r="H15" i="14"/>
  <c r="H15" i="13"/>
  <c r="H15" i="12"/>
  <c r="H15" i="15"/>
  <c r="H15" i="16"/>
  <c r="H15" i="10"/>
  <c r="J12" i="12"/>
  <c r="J11" i="12"/>
  <c r="N64" i="15"/>
  <c r="J4" i="15"/>
  <c r="L4" i="16"/>
  <c r="N4" i="16"/>
  <c r="J4" i="16"/>
  <c r="L4" i="15"/>
  <c r="J61" i="16"/>
  <c r="J61" i="15"/>
  <c r="L55" i="10"/>
  <c r="L55" i="14"/>
  <c r="L55" i="13"/>
  <c r="L55" i="12"/>
  <c r="L55" i="15"/>
  <c r="L55" i="16"/>
  <c r="L53" i="10"/>
  <c r="L53" i="14"/>
  <c r="L53" i="13"/>
  <c r="L53" i="12"/>
  <c r="L53" i="15"/>
  <c r="L53" i="16"/>
  <c r="H53" i="10"/>
  <c r="H53" i="14"/>
  <c r="H53" i="13"/>
  <c r="H53" i="12"/>
  <c r="H53" i="15"/>
  <c r="H53" i="16"/>
  <c r="G5" i="15"/>
  <c r="G5" i="16"/>
  <c r="L30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2" i="16"/>
  <c r="J11" i="16"/>
  <c r="L3" i="16"/>
  <c r="N3" i="16"/>
  <c r="P3" i="16"/>
  <c r="P4" i="16"/>
  <c r="J5" i="16"/>
  <c r="L5" i="16"/>
  <c r="N5" i="16"/>
  <c r="P5" i="16"/>
  <c r="H6" i="16"/>
  <c r="J6" i="16"/>
  <c r="L6" i="16"/>
  <c r="N6" i="16"/>
  <c r="P6" i="16"/>
  <c r="J7" i="16"/>
  <c r="L7" i="16"/>
  <c r="N7" i="16"/>
  <c r="P7" i="16"/>
  <c r="J8" i="16"/>
  <c r="L8" i="16"/>
  <c r="N8" i="16"/>
  <c r="P8" i="16"/>
  <c r="H9" i="16"/>
  <c r="J9" i="16"/>
  <c r="L9" i="16"/>
  <c r="N9" i="16"/>
  <c r="P9" i="16"/>
  <c r="H10" i="16"/>
  <c r="J10" i="16"/>
  <c r="L10" i="16"/>
  <c r="N10" i="16"/>
  <c r="P10" i="16"/>
  <c r="L11" i="16"/>
  <c r="N11" i="16"/>
  <c r="P11" i="16"/>
  <c r="L12" i="16"/>
  <c r="N12" i="16"/>
  <c r="P12" i="16"/>
  <c r="H13" i="16"/>
  <c r="J13" i="16"/>
  <c r="L13" i="16"/>
  <c r="N13" i="16"/>
  <c r="P13" i="16"/>
  <c r="J14" i="16"/>
  <c r="L14" i="16"/>
  <c r="N14" i="16"/>
  <c r="P14" i="16"/>
  <c r="J15" i="16"/>
  <c r="L15" i="16"/>
  <c r="N15" i="16"/>
  <c r="P15" i="16"/>
  <c r="L16" i="16"/>
  <c r="N16" i="16"/>
  <c r="P16" i="16"/>
  <c r="H17" i="16"/>
  <c r="L17" i="16"/>
  <c r="N17" i="16"/>
  <c r="P17" i="16"/>
  <c r="H18" i="16"/>
  <c r="L18" i="16"/>
  <c r="N18" i="16"/>
  <c r="P18" i="16"/>
  <c r="L19" i="16"/>
  <c r="N19" i="16"/>
  <c r="P19" i="16"/>
  <c r="L20" i="16"/>
  <c r="N20" i="16"/>
  <c r="P20" i="16"/>
  <c r="L21" i="16"/>
  <c r="N21" i="16"/>
  <c r="P21" i="16"/>
  <c r="H22" i="16"/>
  <c r="L22" i="16"/>
  <c r="N22" i="16"/>
  <c r="P22" i="16"/>
  <c r="L24" i="16"/>
  <c r="N24" i="16"/>
  <c r="P24" i="16"/>
  <c r="G25" i="16"/>
  <c r="L25" i="16"/>
  <c r="N25" i="16"/>
  <c r="P25" i="16"/>
  <c r="H26" i="16"/>
  <c r="L26" i="16"/>
  <c r="N26" i="16"/>
  <c r="P26" i="16"/>
  <c r="G28" i="16"/>
  <c r="L28" i="16"/>
  <c r="N28" i="16"/>
  <c r="P28" i="16"/>
  <c r="H29" i="16"/>
  <c r="L29" i="16"/>
  <c r="N29" i="16"/>
  <c r="P29" i="16"/>
  <c r="N30" i="16"/>
  <c r="P30" i="16"/>
  <c r="H31" i="16"/>
  <c r="L31" i="16"/>
  <c r="N31" i="16"/>
  <c r="P31" i="16"/>
  <c r="H32" i="16"/>
  <c r="L32" i="16"/>
  <c r="N32" i="16"/>
  <c r="P32" i="16"/>
  <c r="L33" i="16"/>
  <c r="N33" i="16"/>
  <c r="P33" i="16"/>
  <c r="G34" i="16"/>
  <c r="L34" i="16"/>
  <c r="N34" i="16"/>
  <c r="P34" i="16"/>
  <c r="L35" i="16"/>
  <c r="N35" i="16"/>
  <c r="P35" i="16"/>
  <c r="L36" i="16"/>
  <c r="N36" i="16"/>
  <c r="P36" i="16"/>
  <c r="H37" i="16"/>
  <c r="L37" i="16"/>
  <c r="N37" i="16"/>
  <c r="P37" i="16"/>
  <c r="J38" i="16"/>
  <c r="L38" i="16"/>
  <c r="N38" i="16"/>
  <c r="P38" i="16"/>
  <c r="E39" i="16"/>
  <c r="H39" i="16"/>
  <c r="L39" i="16"/>
  <c r="N39" i="16"/>
  <c r="P39" i="16"/>
  <c r="J40" i="16"/>
  <c r="L40" i="16"/>
  <c r="N40" i="16"/>
  <c r="P40" i="16"/>
  <c r="J41" i="16"/>
  <c r="L41" i="16"/>
  <c r="N41" i="16"/>
  <c r="P41" i="16"/>
  <c r="L42" i="16"/>
  <c r="N42" i="16"/>
  <c r="P42" i="16"/>
  <c r="L43" i="16"/>
  <c r="N43" i="16"/>
  <c r="P43" i="16"/>
  <c r="H44" i="16"/>
  <c r="L44" i="16"/>
  <c r="N44" i="16"/>
  <c r="P44" i="16"/>
  <c r="H45" i="16"/>
  <c r="L45" i="16"/>
  <c r="N45" i="16"/>
  <c r="P45" i="16"/>
  <c r="L46" i="16"/>
  <c r="N46" i="16"/>
  <c r="P46" i="16"/>
  <c r="G47" i="16"/>
  <c r="L47" i="16"/>
  <c r="N47" i="16"/>
  <c r="P47" i="16"/>
  <c r="E48" i="16"/>
  <c r="H48" i="16"/>
  <c r="L48" i="16"/>
  <c r="N48" i="16"/>
  <c r="P48" i="16"/>
  <c r="E49" i="16"/>
  <c r="H49" i="16"/>
  <c r="L49" i="16"/>
  <c r="N49" i="16"/>
  <c r="P49" i="16"/>
  <c r="E50" i="16"/>
  <c r="H50" i="16"/>
  <c r="L50" i="16"/>
  <c r="N50" i="16"/>
  <c r="P50" i="16"/>
  <c r="E51" i="16"/>
  <c r="H51" i="16"/>
  <c r="L51" i="16"/>
  <c r="N51" i="16"/>
  <c r="P51" i="16"/>
  <c r="E52" i="16"/>
  <c r="H52" i="16"/>
  <c r="L52" i="16"/>
  <c r="N52" i="16"/>
  <c r="P52" i="16"/>
  <c r="P53" i="16"/>
  <c r="E54" i="16"/>
  <c r="H54" i="16"/>
  <c r="L54" i="16"/>
  <c r="N54" i="16"/>
  <c r="P54" i="16"/>
  <c r="N55" i="16"/>
  <c r="P55" i="16"/>
  <c r="E56" i="16"/>
  <c r="H56" i="16"/>
  <c r="L56" i="16"/>
  <c r="N56" i="16"/>
  <c r="P56" i="16"/>
  <c r="E57" i="16"/>
  <c r="H57" i="16"/>
  <c r="L57" i="16"/>
  <c r="N57" i="16"/>
  <c r="P57" i="16"/>
  <c r="E58" i="16"/>
  <c r="H58" i="16"/>
  <c r="L58" i="16"/>
  <c r="N58" i="16"/>
  <c r="P58" i="16"/>
  <c r="E59" i="16"/>
  <c r="H59" i="16"/>
  <c r="L59" i="16"/>
  <c r="N59" i="16"/>
  <c r="P59" i="16"/>
  <c r="H60" i="16"/>
  <c r="L60" i="16"/>
  <c r="N60" i="16"/>
  <c r="P60" i="16"/>
  <c r="L61" i="16"/>
  <c r="N61" i="16"/>
  <c r="P61" i="16"/>
  <c r="P63" i="16"/>
  <c r="P65" i="16"/>
  <c r="O3" i="16"/>
  <c r="O4" i="16"/>
  <c r="O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4" i="16"/>
  <c r="O25" i="16"/>
  <c r="O26" i="16"/>
  <c r="O28" i="16"/>
  <c r="O29" i="16"/>
  <c r="O30" i="16"/>
  <c r="O31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O57" i="16"/>
  <c r="O58" i="16"/>
  <c r="O59" i="16"/>
  <c r="O60" i="16"/>
  <c r="O61" i="16"/>
  <c r="O63" i="16"/>
  <c r="O65" i="16"/>
  <c r="N63" i="16"/>
  <c r="N65" i="16"/>
  <c r="P64" i="16"/>
  <c r="O64" i="16"/>
  <c r="N64" i="16"/>
  <c r="M61" i="16"/>
  <c r="M60" i="16"/>
  <c r="M59" i="16"/>
  <c r="M58" i="16"/>
  <c r="M57" i="16"/>
  <c r="M56" i="16"/>
  <c r="M55" i="16"/>
  <c r="M54" i="16"/>
  <c r="M52" i="16"/>
  <c r="M51" i="16"/>
  <c r="M50" i="16"/>
  <c r="M49" i="16"/>
  <c r="M48" i="16"/>
  <c r="M47" i="16"/>
  <c r="M46" i="16"/>
  <c r="E46" i="16"/>
  <c r="M45" i="16"/>
  <c r="E45" i="16"/>
  <c r="M44" i="16"/>
  <c r="E44" i="16"/>
  <c r="M43" i="16"/>
  <c r="M42" i="16"/>
  <c r="M41" i="16"/>
  <c r="M40" i="16"/>
  <c r="M39" i="16"/>
  <c r="M38" i="16"/>
  <c r="M37" i="16"/>
  <c r="E37" i="16"/>
  <c r="M36" i="16"/>
  <c r="M35" i="16"/>
  <c r="M34" i="16"/>
  <c r="M33" i="16"/>
  <c r="E33" i="16"/>
  <c r="M32" i="16"/>
  <c r="E32" i="16"/>
  <c r="M31" i="16"/>
  <c r="E31" i="16"/>
  <c r="M30" i="16"/>
  <c r="M29" i="16"/>
  <c r="E29" i="16"/>
  <c r="M28" i="16"/>
  <c r="M27" i="16"/>
  <c r="L27" i="16"/>
  <c r="M26" i="16"/>
  <c r="E26" i="16"/>
  <c r="M25" i="16"/>
  <c r="M24" i="16"/>
  <c r="M23" i="16"/>
  <c r="L23" i="16"/>
  <c r="M22" i="16"/>
  <c r="E22" i="16"/>
  <c r="M21" i="16"/>
  <c r="M20" i="16"/>
  <c r="M19" i="16"/>
  <c r="M18" i="16"/>
  <c r="M17" i="16"/>
  <c r="E17" i="16"/>
  <c r="M16" i="16"/>
  <c r="M15" i="16"/>
  <c r="M14" i="16"/>
  <c r="M13" i="16"/>
  <c r="E13" i="16"/>
  <c r="M12" i="16"/>
  <c r="M11" i="16"/>
  <c r="M10" i="16"/>
  <c r="M9" i="16"/>
  <c r="E9" i="16"/>
  <c r="M8" i="16"/>
  <c r="M7" i="16"/>
  <c r="M6" i="16"/>
  <c r="M5" i="16"/>
  <c r="M4" i="16"/>
  <c r="M3" i="16"/>
  <c r="J31" i="15"/>
  <c r="J29" i="15"/>
  <c r="J28" i="15"/>
  <c r="J26" i="15"/>
  <c r="J27" i="15"/>
  <c r="J24" i="15"/>
  <c r="J25" i="15"/>
  <c r="J23" i="15"/>
  <c r="J22" i="15"/>
  <c r="J21" i="15"/>
  <c r="J20" i="15"/>
  <c r="J19" i="15"/>
  <c r="J18" i="15"/>
  <c r="J17" i="15"/>
  <c r="J16" i="15"/>
  <c r="J15" i="15"/>
  <c r="J14" i="15"/>
  <c r="J10" i="15"/>
  <c r="J11" i="15"/>
  <c r="J12" i="15"/>
  <c r="J13" i="15"/>
  <c r="J5" i="15"/>
  <c r="J6" i="15"/>
  <c r="J7" i="15"/>
  <c r="J8" i="15"/>
  <c r="J9" i="15"/>
  <c r="L3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4" i="15"/>
  <c r="L56" i="15"/>
  <c r="L57" i="15"/>
  <c r="L58" i="15"/>
  <c r="L59" i="15"/>
  <c r="L60" i="15"/>
  <c r="L61" i="15"/>
  <c r="N3" i="15"/>
  <c r="P3" i="15"/>
  <c r="N4" i="15"/>
  <c r="P4" i="15"/>
  <c r="N5" i="15"/>
  <c r="P5" i="15"/>
  <c r="H6" i="15"/>
  <c r="N6" i="15"/>
  <c r="P6" i="15"/>
  <c r="N7" i="15"/>
  <c r="P7" i="15"/>
  <c r="N8" i="15"/>
  <c r="P8" i="15"/>
  <c r="H9" i="15"/>
  <c r="N9" i="15"/>
  <c r="P9" i="15"/>
  <c r="H10" i="15"/>
  <c r="N10" i="15"/>
  <c r="P10" i="15"/>
  <c r="N11" i="15"/>
  <c r="P11" i="15"/>
  <c r="N12" i="15"/>
  <c r="P12" i="15"/>
  <c r="H13" i="15"/>
  <c r="N13" i="15"/>
  <c r="P13" i="15"/>
  <c r="N14" i="15"/>
  <c r="P14" i="15"/>
  <c r="N15" i="15"/>
  <c r="P15" i="15"/>
  <c r="N16" i="15"/>
  <c r="P16" i="15"/>
  <c r="H17" i="15"/>
  <c r="N17" i="15"/>
  <c r="P17" i="15"/>
  <c r="H18" i="15"/>
  <c r="N18" i="15"/>
  <c r="P18" i="15"/>
  <c r="N19" i="15"/>
  <c r="P19" i="15"/>
  <c r="N20" i="15"/>
  <c r="P20" i="15"/>
  <c r="N21" i="15"/>
  <c r="P21" i="15"/>
  <c r="H22" i="15"/>
  <c r="N22" i="15"/>
  <c r="P22" i="15"/>
  <c r="N24" i="15"/>
  <c r="P24" i="15"/>
  <c r="G25" i="15"/>
  <c r="N25" i="15"/>
  <c r="P25" i="15"/>
  <c r="H26" i="15"/>
  <c r="N26" i="15"/>
  <c r="P26" i="15"/>
  <c r="G28" i="15"/>
  <c r="N28" i="15"/>
  <c r="P28" i="15"/>
  <c r="H29" i="15"/>
  <c r="N29" i="15"/>
  <c r="P29" i="15"/>
  <c r="N30" i="15"/>
  <c r="P30" i="15"/>
  <c r="H31" i="15"/>
  <c r="N31" i="15"/>
  <c r="P31" i="15"/>
  <c r="H32" i="15"/>
  <c r="N32" i="15"/>
  <c r="P32" i="15"/>
  <c r="N33" i="15"/>
  <c r="P33" i="15"/>
  <c r="G34" i="15"/>
  <c r="N34" i="15"/>
  <c r="P34" i="15"/>
  <c r="N35" i="15"/>
  <c r="P35" i="15"/>
  <c r="N36" i="15"/>
  <c r="P36" i="15"/>
  <c r="H37" i="15"/>
  <c r="N37" i="15"/>
  <c r="P37" i="15"/>
  <c r="J38" i="15"/>
  <c r="N38" i="15"/>
  <c r="P38" i="15"/>
  <c r="E39" i="15"/>
  <c r="H39" i="15"/>
  <c r="N39" i="15"/>
  <c r="P39" i="15"/>
  <c r="J40" i="15"/>
  <c r="N40" i="15"/>
  <c r="P40" i="15"/>
  <c r="J41" i="15"/>
  <c r="N41" i="15"/>
  <c r="P41" i="15"/>
  <c r="N42" i="15"/>
  <c r="P42" i="15"/>
  <c r="N43" i="15"/>
  <c r="P43" i="15"/>
  <c r="H44" i="15"/>
  <c r="N44" i="15"/>
  <c r="P44" i="15"/>
  <c r="H45" i="15"/>
  <c r="N45" i="15"/>
  <c r="P45" i="15"/>
  <c r="N46" i="15"/>
  <c r="P46" i="15"/>
  <c r="G47" i="15"/>
  <c r="N47" i="15"/>
  <c r="P47" i="15"/>
  <c r="E48" i="15"/>
  <c r="H48" i="15"/>
  <c r="N48" i="15"/>
  <c r="P48" i="15"/>
  <c r="E49" i="15"/>
  <c r="H49" i="15"/>
  <c r="N49" i="15"/>
  <c r="P49" i="15"/>
  <c r="E50" i="15"/>
  <c r="H50" i="15"/>
  <c r="N50" i="15"/>
  <c r="P50" i="15"/>
  <c r="E51" i="15"/>
  <c r="H51" i="15"/>
  <c r="N51" i="15"/>
  <c r="P51" i="15"/>
  <c r="E52" i="15"/>
  <c r="H52" i="15"/>
  <c r="N52" i="15"/>
  <c r="P52" i="15"/>
  <c r="P53" i="15"/>
  <c r="E54" i="15"/>
  <c r="H54" i="15"/>
  <c r="N54" i="15"/>
  <c r="P54" i="15"/>
  <c r="N55" i="15"/>
  <c r="P55" i="15"/>
  <c r="E56" i="15"/>
  <c r="H56" i="15"/>
  <c r="N56" i="15"/>
  <c r="P56" i="15"/>
  <c r="E57" i="15"/>
  <c r="H57" i="15"/>
  <c r="N57" i="15"/>
  <c r="P57" i="15"/>
  <c r="E58" i="15"/>
  <c r="H58" i="15"/>
  <c r="N58" i="15"/>
  <c r="P58" i="15"/>
  <c r="E59" i="15"/>
  <c r="H59" i="15"/>
  <c r="N59" i="15"/>
  <c r="P59" i="15"/>
  <c r="H60" i="15"/>
  <c r="N60" i="15"/>
  <c r="P60" i="15"/>
  <c r="N61" i="15"/>
  <c r="P61" i="15"/>
  <c r="P63" i="15"/>
  <c r="P65" i="15"/>
  <c r="O3" i="15"/>
  <c r="O4" i="15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4" i="15"/>
  <c r="O25" i="15"/>
  <c r="O26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49" i="15"/>
  <c r="O50" i="15"/>
  <c r="O51" i="15"/>
  <c r="O52" i="15"/>
  <c r="O53" i="15"/>
  <c r="O54" i="15"/>
  <c r="O55" i="15"/>
  <c r="O56" i="15"/>
  <c r="O57" i="15"/>
  <c r="O58" i="15"/>
  <c r="O59" i="15"/>
  <c r="O60" i="15"/>
  <c r="O61" i="15"/>
  <c r="O63" i="15"/>
  <c r="O65" i="15"/>
  <c r="N63" i="15"/>
  <c r="N65" i="15"/>
  <c r="P64" i="15"/>
  <c r="O64" i="15"/>
  <c r="M61" i="15"/>
  <c r="M60" i="15"/>
  <c r="M59" i="15"/>
  <c r="M58" i="15"/>
  <c r="M57" i="15"/>
  <c r="M56" i="15"/>
  <c r="M55" i="15"/>
  <c r="M54" i="15"/>
  <c r="M52" i="15"/>
  <c r="M51" i="15"/>
  <c r="M50" i="15"/>
  <c r="M49" i="15"/>
  <c r="M48" i="15"/>
  <c r="M47" i="15"/>
  <c r="M46" i="15"/>
  <c r="E46" i="15"/>
  <c r="M45" i="15"/>
  <c r="E45" i="15"/>
  <c r="M44" i="15"/>
  <c r="E44" i="15"/>
  <c r="M43" i="15"/>
  <c r="M42" i="15"/>
  <c r="M41" i="15"/>
  <c r="M40" i="15"/>
  <c r="M39" i="15"/>
  <c r="M38" i="15"/>
  <c r="M37" i="15"/>
  <c r="E37" i="15"/>
  <c r="M36" i="15"/>
  <c r="M35" i="15"/>
  <c r="M34" i="15"/>
  <c r="M33" i="15"/>
  <c r="E33" i="15"/>
  <c r="M32" i="15"/>
  <c r="E32" i="15"/>
  <c r="M31" i="15"/>
  <c r="E31" i="15"/>
  <c r="M30" i="15"/>
  <c r="M29" i="15"/>
  <c r="E29" i="15"/>
  <c r="M28" i="15"/>
  <c r="M27" i="15"/>
  <c r="M26" i="15"/>
  <c r="E26" i="15"/>
  <c r="M25" i="15"/>
  <c r="M24" i="15"/>
  <c r="M23" i="15"/>
  <c r="M22" i="15"/>
  <c r="E22" i="15"/>
  <c r="M21" i="15"/>
  <c r="M20" i="15"/>
  <c r="M19" i="15"/>
  <c r="M18" i="15"/>
  <c r="M17" i="15"/>
  <c r="E17" i="15"/>
  <c r="M16" i="15"/>
  <c r="M15" i="15"/>
  <c r="M14" i="15"/>
  <c r="M13" i="15"/>
  <c r="E13" i="15"/>
  <c r="M12" i="15"/>
  <c r="M11" i="15"/>
  <c r="M10" i="15"/>
  <c r="M9" i="15"/>
  <c r="E9" i="15"/>
  <c r="M8" i="15"/>
  <c r="M7" i="15"/>
  <c r="M6" i="15"/>
  <c r="M5" i="15"/>
  <c r="M4" i="15"/>
  <c r="M3" i="15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L3" i="14"/>
  <c r="N3" i="14"/>
  <c r="P3" i="14"/>
  <c r="J4" i="14"/>
  <c r="L4" i="14"/>
  <c r="N4" i="14"/>
  <c r="P4" i="14"/>
  <c r="G5" i="14"/>
  <c r="J5" i="14"/>
  <c r="L5" i="14"/>
  <c r="N5" i="14"/>
  <c r="P5" i="14"/>
  <c r="H6" i="14"/>
  <c r="J6" i="14"/>
  <c r="L6" i="14"/>
  <c r="N6" i="14"/>
  <c r="P6" i="14"/>
  <c r="J7" i="14"/>
  <c r="L7" i="14"/>
  <c r="N7" i="14"/>
  <c r="P7" i="14"/>
  <c r="J8" i="14"/>
  <c r="L8" i="14"/>
  <c r="N8" i="14"/>
  <c r="P8" i="14"/>
  <c r="H9" i="14"/>
  <c r="J9" i="14"/>
  <c r="L9" i="14"/>
  <c r="N9" i="14"/>
  <c r="P9" i="14"/>
  <c r="H10" i="14"/>
  <c r="J10" i="14"/>
  <c r="L10" i="14"/>
  <c r="N10" i="14"/>
  <c r="P10" i="14"/>
  <c r="J11" i="14"/>
  <c r="L11" i="14"/>
  <c r="N11" i="14"/>
  <c r="P11" i="14"/>
  <c r="J12" i="14"/>
  <c r="L12" i="14"/>
  <c r="N12" i="14"/>
  <c r="P12" i="14"/>
  <c r="H13" i="14"/>
  <c r="J13" i="14"/>
  <c r="L13" i="14"/>
  <c r="N13" i="14"/>
  <c r="P13" i="14"/>
  <c r="J14" i="14"/>
  <c r="L14" i="14"/>
  <c r="N14" i="14"/>
  <c r="P14" i="14"/>
  <c r="L15" i="14"/>
  <c r="N15" i="14"/>
  <c r="P15" i="14"/>
  <c r="L16" i="14"/>
  <c r="N16" i="14"/>
  <c r="P16" i="14"/>
  <c r="H17" i="14"/>
  <c r="L17" i="14"/>
  <c r="N17" i="14"/>
  <c r="P17" i="14"/>
  <c r="H18" i="14"/>
  <c r="L18" i="14"/>
  <c r="N18" i="14"/>
  <c r="P18" i="14"/>
  <c r="L19" i="14"/>
  <c r="N19" i="14"/>
  <c r="P19" i="14"/>
  <c r="L20" i="14"/>
  <c r="N20" i="14"/>
  <c r="P20" i="14"/>
  <c r="L21" i="14"/>
  <c r="N21" i="14"/>
  <c r="P21" i="14"/>
  <c r="H22" i="14"/>
  <c r="L22" i="14"/>
  <c r="N22" i="14"/>
  <c r="P22" i="14"/>
  <c r="L24" i="14"/>
  <c r="N24" i="14"/>
  <c r="P24" i="14"/>
  <c r="G25" i="14"/>
  <c r="L25" i="14"/>
  <c r="N25" i="14"/>
  <c r="P25" i="14"/>
  <c r="H26" i="14"/>
  <c r="L26" i="14"/>
  <c r="N26" i="14"/>
  <c r="P26" i="14"/>
  <c r="G28" i="14"/>
  <c r="L28" i="14"/>
  <c r="N28" i="14"/>
  <c r="P28" i="14"/>
  <c r="H29" i="14"/>
  <c r="L29" i="14"/>
  <c r="N29" i="14"/>
  <c r="P29" i="14"/>
  <c r="L30" i="14"/>
  <c r="N30" i="14"/>
  <c r="P30" i="14"/>
  <c r="H31" i="14"/>
  <c r="L31" i="14"/>
  <c r="N31" i="14"/>
  <c r="P31" i="14"/>
  <c r="H32" i="14"/>
  <c r="L32" i="14"/>
  <c r="N32" i="14"/>
  <c r="P32" i="14"/>
  <c r="L33" i="14"/>
  <c r="N33" i="14"/>
  <c r="P33" i="14"/>
  <c r="G34" i="14"/>
  <c r="L34" i="14"/>
  <c r="N34" i="14"/>
  <c r="P34" i="14"/>
  <c r="L35" i="14"/>
  <c r="N35" i="14"/>
  <c r="P35" i="14"/>
  <c r="L36" i="14"/>
  <c r="N36" i="14"/>
  <c r="P36" i="14"/>
  <c r="H37" i="14"/>
  <c r="L37" i="14"/>
  <c r="N37" i="14"/>
  <c r="P37" i="14"/>
  <c r="J38" i="14"/>
  <c r="L38" i="14"/>
  <c r="N38" i="14"/>
  <c r="P38" i="14"/>
  <c r="E39" i="14"/>
  <c r="H39" i="14"/>
  <c r="L39" i="14"/>
  <c r="N39" i="14"/>
  <c r="P39" i="14"/>
  <c r="J40" i="14"/>
  <c r="L40" i="14"/>
  <c r="N40" i="14"/>
  <c r="P40" i="14"/>
  <c r="J41" i="14"/>
  <c r="L41" i="14"/>
  <c r="N41" i="14"/>
  <c r="P41" i="14"/>
  <c r="L42" i="14"/>
  <c r="N42" i="14"/>
  <c r="P42" i="14"/>
  <c r="L43" i="14"/>
  <c r="N43" i="14"/>
  <c r="P43" i="14"/>
  <c r="H44" i="14"/>
  <c r="L44" i="14"/>
  <c r="N44" i="14"/>
  <c r="P44" i="14"/>
  <c r="H45" i="14"/>
  <c r="L45" i="14"/>
  <c r="N45" i="14"/>
  <c r="P45" i="14"/>
  <c r="L46" i="14"/>
  <c r="N46" i="14"/>
  <c r="P46" i="14"/>
  <c r="G47" i="14"/>
  <c r="L47" i="14"/>
  <c r="N47" i="14"/>
  <c r="P47" i="14"/>
  <c r="E48" i="14"/>
  <c r="H48" i="14"/>
  <c r="L48" i="14"/>
  <c r="N48" i="14"/>
  <c r="P48" i="14"/>
  <c r="E49" i="14"/>
  <c r="H49" i="14"/>
  <c r="L49" i="14"/>
  <c r="N49" i="14"/>
  <c r="P49" i="14"/>
  <c r="E50" i="14"/>
  <c r="H50" i="14"/>
  <c r="L50" i="14"/>
  <c r="N50" i="14"/>
  <c r="P50" i="14"/>
  <c r="E51" i="14"/>
  <c r="H51" i="14"/>
  <c r="L51" i="14"/>
  <c r="N51" i="14"/>
  <c r="P51" i="14"/>
  <c r="E52" i="14"/>
  <c r="H52" i="14"/>
  <c r="L52" i="14"/>
  <c r="N52" i="14"/>
  <c r="P52" i="14"/>
  <c r="P53" i="14"/>
  <c r="E54" i="14"/>
  <c r="H54" i="14"/>
  <c r="L54" i="14"/>
  <c r="N54" i="14"/>
  <c r="P54" i="14"/>
  <c r="N55" i="14"/>
  <c r="P55" i="14"/>
  <c r="E56" i="14"/>
  <c r="H56" i="14"/>
  <c r="L56" i="14"/>
  <c r="N56" i="14"/>
  <c r="P56" i="14"/>
  <c r="E57" i="14"/>
  <c r="H57" i="14"/>
  <c r="L57" i="14"/>
  <c r="N57" i="14"/>
  <c r="P57" i="14"/>
  <c r="E58" i="14"/>
  <c r="H58" i="14"/>
  <c r="L58" i="14"/>
  <c r="N58" i="14"/>
  <c r="P58" i="14"/>
  <c r="E59" i="14"/>
  <c r="H59" i="14"/>
  <c r="L59" i="14"/>
  <c r="N59" i="14"/>
  <c r="P59" i="14"/>
  <c r="H60" i="14"/>
  <c r="L60" i="14"/>
  <c r="N60" i="14"/>
  <c r="P60" i="14"/>
  <c r="J61" i="14"/>
  <c r="L61" i="14"/>
  <c r="N61" i="14"/>
  <c r="P61" i="14"/>
  <c r="P63" i="14"/>
  <c r="P65" i="14"/>
  <c r="O3" i="14"/>
  <c r="O4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4" i="14"/>
  <c r="O25" i="14"/>
  <c r="O26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3" i="14"/>
  <c r="O65" i="14"/>
  <c r="N63" i="14"/>
  <c r="N65" i="14"/>
  <c r="P64" i="14"/>
  <c r="O64" i="14"/>
  <c r="N64" i="14"/>
  <c r="M61" i="14"/>
  <c r="M60" i="14"/>
  <c r="M59" i="14"/>
  <c r="M58" i="14"/>
  <c r="M57" i="14"/>
  <c r="M56" i="14"/>
  <c r="M55" i="14"/>
  <c r="M54" i="14"/>
  <c r="M52" i="14"/>
  <c r="M51" i="14"/>
  <c r="M50" i="14"/>
  <c r="M49" i="14"/>
  <c r="M48" i="14"/>
  <c r="M47" i="14"/>
  <c r="M46" i="14"/>
  <c r="E46" i="14"/>
  <c r="M45" i="14"/>
  <c r="E45" i="14"/>
  <c r="M44" i="14"/>
  <c r="E44" i="14"/>
  <c r="M43" i="14"/>
  <c r="M42" i="14"/>
  <c r="M41" i="14"/>
  <c r="M40" i="14"/>
  <c r="M39" i="14"/>
  <c r="M38" i="14"/>
  <c r="M37" i="14"/>
  <c r="E37" i="14"/>
  <c r="M36" i="14"/>
  <c r="M35" i="14"/>
  <c r="M34" i="14"/>
  <c r="M33" i="14"/>
  <c r="E33" i="14"/>
  <c r="M32" i="14"/>
  <c r="E32" i="14"/>
  <c r="M31" i="14"/>
  <c r="E31" i="14"/>
  <c r="M30" i="14"/>
  <c r="M29" i="14"/>
  <c r="E29" i="14"/>
  <c r="M28" i="14"/>
  <c r="M27" i="14"/>
  <c r="L27" i="14"/>
  <c r="M26" i="14"/>
  <c r="E26" i="14"/>
  <c r="M25" i="14"/>
  <c r="M24" i="14"/>
  <c r="M23" i="14"/>
  <c r="L23" i="14"/>
  <c r="M22" i="14"/>
  <c r="E22" i="14"/>
  <c r="M21" i="14"/>
  <c r="M20" i="14"/>
  <c r="M19" i="14"/>
  <c r="M18" i="14"/>
  <c r="M17" i="14"/>
  <c r="E17" i="14"/>
  <c r="M16" i="14"/>
  <c r="M15" i="14"/>
  <c r="M14" i="14"/>
  <c r="M13" i="14"/>
  <c r="E13" i="14"/>
  <c r="M12" i="14"/>
  <c r="M11" i="14"/>
  <c r="M10" i="14"/>
  <c r="M9" i="14"/>
  <c r="E9" i="14"/>
  <c r="M8" i="14"/>
  <c r="M7" i="14"/>
  <c r="M6" i="14"/>
  <c r="M5" i="14"/>
  <c r="M4" i="14"/>
  <c r="M3" i="14"/>
  <c r="J12" i="13"/>
  <c r="J11" i="13"/>
  <c r="L3" i="13"/>
  <c r="N3" i="13"/>
  <c r="P3" i="13"/>
  <c r="J4" i="13"/>
  <c r="L4" i="13"/>
  <c r="N4" i="13"/>
  <c r="P4" i="13"/>
  <c r="G5" i="13"/>
  <c r="J5" i="13"/>
  <c r="L5" i="13"/>
  <c r="N5" i="13"/>
  <c r="P5" i="13"/>
  <c r="H6" i="13"/>
  <c r="J6" i="13"/>
  <c r="L6" i="13"/>
  <c r="N6" i="13"/>
  <c r="P6" i="13"/>
  <c r="J7" i="13"/>
  <c r="L7" i="13"/>
  <c r="N7" i="13"/>
  <c r="P7" i="13"/>
  <c r="J8" i="13"/>
  <c r="L8" i="13"/>
  <c r="N8" i="13"/>
  <c r="P8" i="13"/>
  <c r="H9" i="13"/>
  <c r="J9" i="13"/>
  <c r="L9" i="13"/>
  <c r="N9" i="13"/>
  <c r="P9" i="13"/>
  <c r="H10" i="13"/>
  <c r="J10" i="13"/>
  <c r="L10" i="13"/>
  <c r="N10" i="13"/>
  <c r="P10" i="13"/>
  <c r="L11" i="13"/>
  <c r="N11" i="13"/>
  <c r="P11" i="13"/>
  <c r="L12" i="13"/>
  <c r="N12" i="13"/>
  <c r="P12" i="13"/>
  <c r="H13" i="13"/>
  <c r="J13" i="13"/>
  <c r="L13" i="13"/>
  <c r="N13" i="13"/>
  <c r="P13" i="13"/>
  <c r="J14" i="13"/>
  <c r="L14" i="13"/>
  <c r="N14" i="13"/>
  <c r="P14" i="13"/>
  <c r="L15" i="13"/>
  <c r="N15" i="13"/>
  <c r="P15" i="13"/>
  <c r="L16" i="13"/>
  <c r="N16" i="13"/>
  <c r="P16" i="13"/>
  <c r="H17" i="13"/>
  <c r="L17" i="13"/>
  <c r="N17" i="13"/>
  <c r="P17" i="13"/>
  <c r="H18" i="13"/>
  <c r="L18" i="13"/>
  <c r="N18" i="13"/>
  <c r="P18" i="13"/>
  <c r="L19" i="13"/>
  <c r="N19" i="13"/>
  <c r="P19" i="13"/>
  <c r="L20" i="13"/>
  <c r="N20" i="13"/>
  <c r="P20" i="13"/>
  <c r="L21" i="13"/>
  <c r="N21" i="13"/>
  <c r="P21" i="13"/>
  <c r="H22" i="13"/>
  <c r="J22" i="13"/>
  <c r="L22" i="13"/>
  <c r="N22" i="13"/>
  <c r="P22" i="13"/>
  <c r="L24" i="13"/>
  <c r="N24" i="13"/>
  <c r="P24" i="13"/>
  <c r="G25" i="13"/>
  <c r="L25" i="13"/>
  <c r="N25" i="13"/>
  <c r="P25" i="13"/>
  <c r="H26" i="13"/>
  <c r="L26" i="13"/>
  <c r="N26" i="13"/>
  <c r="P26" i="13"/>
  <c r="G28" i="13"/>
  <c r="L28" i="13"/>
  <c r="N28" i="13"/>
  <c r="P28" i="13"/>
  <c r="H29" i="13"/>
  <c r="L29" i="13"/>
  <c r="N29" i="13"/>
  <c r="P29" i="13"/>
  <c r="L30" i="13"/>
  <c r="N30" i="13"/>
  <c r="P30" i="13"/>
  <c r="H31" i="13"/>
  <c r="L31" i="13"/>
  <c r="N31" i="13"/>
  <c r="P31" i="13"/>
  <c r="H32" i="13"/>
  <c r="L32" i="13"/>
  <c r="N32" i="13"/>
  <c r="P32" i="13"/>
  <c r="L33" i="13"/>
  <c r="N33" i="13"/>
  <c r="P33" i="13"/>
  <c r="G34" i="13"/>
  <c r="L34" i="13"/>
  <c r="N34" i="13"/>
  <c r="P34" i="13"/>
  <c r="L35" i="13"/>
  <c r="N35" i="13"/>
  <c r="P35" i="13"/>
  <c r="L36" i="13"/>
  <c r="N36" i="13"/>
  <c r="P36" i="13"/>
  <c r="H37" i="13"/>
  <c r="L37" i="13"/>
  <c r="N37" i="13"/>
  <c r="P37" i="13"/>
  <c r="J38" i="13"/>
  <c r="L38" i="13"/>
  <c r="N38" i="13"/>
  <c r="P38" i="13"/>
  <c r="E39" i="13"/>
  <c r="H39" i="13"/>
  <c r="L39" i="13"/>
  <c r="N39" i="13"/>
  <c r="P39" i="13"/>
  <c r="J40" i="13"/>
  <c r="L40" i="13"/>
  <c r="N40" i="13"/>
  <c r="P40" i="13"/>
  <c r="J41" i="13"/>
  <c r="L41" i="13"/>
  <c r="N41" i="13"/>
  <c r="P41" i="13"/>
  <c r="L42" i="13"/>
  <c r="N42" i="13"/>
  <c r="P42" i="13"/>
  <c r="L43" i="13"/>
  <c r="N43" i="13"/>
  <c r="P43" i="13"/>
  <c r="H44" i="13"/>
  <c r="L44" i="13"/>
  <c r="N44" i="13"/>
  <c r="P44" i="13"/>
  <c r="H45" i="13"/>
  <c r="L45" i="13"/>
  <c r="N45" i="13"/>
  <c r="P45" i="13"/>
  <c r="L46" i="13"/>
  <c r="N46" i="13"/>
  <c r="P46" i="13"/>
  <c r="G47" i="13"/>
  <c r="L47" i="13"/>
  <c r="N47" i="13"/>
  <c r="P47" i="13"/>
  <c r="E48" i="13"/>
  <c r="H48" i="13"/>
  <c r="L48" i="13"/>
  <c r="N48" i="13"/>
  <c r="P48" i="13"/>
  <c r="E49" i="13"/>
  <c r="H49" i="13"/>
  <c r="L49" i="13"/>
  <c r="N49" i="13"/>
  <c r="P49" i="13"/>
  <c r="E50" i="13"/>
  <c r="H50" i="13"/>
  <c r="L50" i="13"/>
  <c r="N50" i="13"/>
  <c r="P50" i="13"/>
  <c r="E51" i="13"/>
  <c r="H51" i="13"/>
  <c r="L51" i="13"/>
  <c r="N51" i="13"/>
  <c r="P51" i="13"/>
  <c r="E52" i="13"/>
  <c r="H52" i="13"/>
  <c r="L52" i="13"/>
  <c r="N52" i="13"/>
  <c r="P52" i="13"/>
  <c r="P53" i="13"/>
  <c r="E54" i="13"/>
  <c r="H54" i="13"/>
  <c r="L54" i="13"/>
  <c r="N54" i="13"/>
  <c r="P54" i="13"/>
  <c r="N55" i="13"/>
  <c r="P55" i="13"/>
  <c r="E56" i="13"/>
  <c r="H56" i="13"/>
  <c r="L56" i="13"/>
  <c r="N56" i="13"/>
  <c r="P56" i="13"/>
  <c r="E57" i="13"/>
  <c r="H57" i="13"/>
  <c r="L57" i="13"/>
  <c r="N57" i="13"/>
  <c r="P57" i="13"/>
  <c r="E58" i="13"/>
  <c r="H58" i="13"/>
  <c r="L58" i="13"/>
  <c r="N58" i="13"/>
  <c r="P58" i="13"/>
  <c r="E59" i="13"/>
  <c r="H59" i="13"/>
  <c r="L59" i="13"/>
  <c r="N59" i="13"/>
  <c r="P59" i="13"/>
  <c r="H60" i="13"/>
  <c r="L60" i="13"/>
  <c r="N60" i="13"/>
  <c r="P60" i="13"/>
  <c r="J61" i="13"/>
  <c r="L61" i="13"/>
  <c r="N61" i="13"/>
  <c r="P61" i="13"/>
  <c r="P63" i="13"/>
  <c r="P65" i="13"/>
  <c r="O3" i="13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4" i="13"/>
  <c r="O25" i="13"/>
  <c r="O26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3" i="13"/>
  <c r="O65" i="13"/>
  <c r="N63" i="13"/>
  <c r="N65" i="13"/>
  <c r="P64" i="13"/>
  <c r="O64" i="13"/>
  <c r="N64" i="13"/>
  <c r="M61" i="13"/>
  <c r="M60" i="13"/>
  <c r="M59" i="13"/>
  <c r="M58" i="13"/>
  <c r="M57" i="13"/>
  <c r="M56" i="13"/>
  <c r="M55" i="13"/>
  <c r="M54" i="13"/>
  <c r="M52" i="13"/>
  <c r="M51" i="13"/>
  <c r="M50" i="13"/>
  <c r="M49" i="13"/>
  <c r="M48" i="13"/>
  <c r="M47" i="13"/>
  <c r="M46" i="13"/>
  <c r="E46" i="13"/>
  <c r="M45" i="13"/>
  <c r="E45" i="13"/>
  <c r="M44" i="13"/>
  <c r="E44" i="13"/>
  <c r="M43" i="13"/>
  <c r="M42" i="13"/>
  <c r="M41" i="13"/>
  <c r="M40" i="13"/>
  <c r="M39" i="13"/>
  <c r="M38" i="13"/>
  <c r="M37" i="13"/>
  <c r="E37" i="13"/>
  <c r="M36" i="13"/>
  <c r="M35" i="13"/>
  <c r="M34" i="13"/>
  <c r="M33" i="13"/>
  <c r="E33" i="13"/>
  <c r="M32" i="13"/>
  <c r="E32" i="13"/>
  <c r="M31" i="13"/>
  <c r="E31" i="13"/>
  <c r="M30" i="13"/>
  <c r="M29" i="13"/>
  <c r="E29" i="13"/>
  <c r="M28" i="13"/>
  <c r="M27" i="13"/>
  <c r="L27" i="13"/>
  <c r="M26" i="13"/>
  <c r="E26" i="13"/>
  <c r="M25" i="13"/>
  <c r="M24" i="13"/>
  <c r="M23" i="13"/>
  <c r="L23" i="13"/>
  <c r="M22" i="13"/>
  <c r="E22" i="13"/>
  <c r="M21" i="13"/>
  <c r="M20" i="13"/>
  <c r="M19" i="13"/>
  <c r="M18" i="13"/>
  <c r="M17" i="13"/>
  <c r="E17" i="13"/>
  <c r="M16" i="13"/>
  <c r="M15" i="13"/>
  <c r="M14" i="13"/>
  <c r="M13" i="13"/>
  <c r="E13" i="13"/>
  <c r="M12" i="13"/>
  <c r="M11" i="13"/>
  <c r="M10" i="13"/>
  <c r="M9" i="13"/>
  <c r="E9" i="13"/>
  <c r="M8" i="13"/>
  <c r="M7" i="13"/>
  <c r="M6" i="13"/>
  <c r="M5" i="13"/>
  <c r="M4" i="13"/>
  <c r="M3" i="13"/>
  <c r="L3" i="12"/>
  <c r="N3" i="12"/>
  <c r="P3" i="12"/>
  <c r="J4" i="12"/>
  <c r="L4" i="12"/>
  <c r="N4" i="12"/>
  <c r="P4" i="12"/>
  <c r="G5" i="12"/>
  <c r="J5" i="12"/>
  <c r="L5" i="12"/>
  <c r="N5" i="12"/>
  <c r="P5" i="12"/>
  <c r="H6" i="12"/>
  <c r="J6" i="12"/>
  <c r="L6" i="12"/>
  <c r="N6" i="12"/>
  <c r="P6" i="12"/>
  <c r="J7" i="12"/>
  <c r="L7" i="12"/>
  <c r="N7" i="12"/>
  <c r="P7" i="12"/>
  <c r="J8" i="12"/>
  <c r="L8" i="12"/>
  <c r="N8" i="12"/>
  <c r="P8" i="12"/>
  <c r="H9" i="12"/>
  <c r="J9" i="12"/>
  <c r="L9" i="12"/>
  <c r="N9" i="12"/>
  <c r="P9" i="12"/>
  <c r="H10" i="12"/>
  <c r="J10" i="12"/>
  <c r="L10" i="12"/>
  <c r="N10" i="12"/>
  <c r="P10" i="12"/>
  <c r="L11" i="12"/>
  <c r="N11" i="12"/>
  <c r="P11" i="12"/>
  <c r="L12" i="12"/>
  <c r="N12" i="12"/>
  <c r="P12" i="12"/>
  <c r="H13" i="12"/>
  <c r="J13" i="12"/>
  <c r="L13" i="12"/>
  <c r="N13" i="12"/>
  <c r="P13" i="12"/>
  <c r="J14" i="12"/>
  <c r="L14" i="12"/>
  <c r="N14" i="12"/>
  <c r="P14" i="12"/>
  <c r="L15" i="12"/>
  <c r="N15" i="12"/>
  <c r="P15" i="12"/>
  <c r="L16" i="12"/>
  <c r="N16" i="12"/>
  <c r="P16" i="12"/>
  <c r="H17" i="12"/>
  <c r="L17" i="12"/>
  <c r="N17" i="12"/>
  <c r="P17" i="12"/>
  <c r="H18" i="12"/>
  <c r="L18" i="12"/>
  <c r="N18" i="12"/>
  <c r="P18" i="12"/>
  <c r="L19" i="12"/>
  <c r="N19" i="12"/>
  <c r="P19" i="12"/>
  <c r="L20" i="12"/>
  <c r="N20" i="12"/>
  <c r="P20" i="12"/>
  <c r="L21" i="12"/>
  <c r="N21" i="12"/>
  <c r="P21" i="12"/>
  <c r="H22" i="12"/>
  <c r="J22" i="12"/>
  <c r="L22" i="12"/>
  <c r="N22" i="12"/>
  <c r="P22" i="12"/>
  <c r="L24" i="12"/>
  <c r="N24" i="12"/>
  <c r="P24" i="12"/>
  <c r="G25" i="12"/>
  <c r="L25" i="12"/>
  <c r="N25" i="12"/>
  <c r="P25" i="12"/>
  <c r="H26" i="12"/>
  <c r="L26" i="12"/>
  <c r="N26" i="12"/>
  <c r="P26" i="12"/>
  <c r="G28" i="12"/>
  <c r="L28" i="12"/>
  <c r="N28" i="12"/>
  <c r="P28" i="12"/>
  <c r="H29" i="12"/>
  <c r="L29" i="12"/>
  <c r="N29" i="12"/>
  <c r="P29" i="12"/>
  <c r="L30" i="12"/>
  <c r="N30" i="12"/>
  <c r="P30" i="12"/>
  <c r="H31" i="12"/>
  <c r="L31" i="12"/>
  <c r="N31" i="12"/>
  <c r="P31" i="12"/>
  <c r="H32" i="12"/>
  <c r="L32" i="12"/>
  <c r="N32" i="12"/>
  <c r="P32" i="12"/>
  <c r="L33" i="12"/>
  <c r="N33" i="12"/>
  <c r="P33" i="12"/>
  <c r="G34" i="12"/>
  <c r="L34" i="12"/>
  <c r="N34" i="12"/>
  <c r="P34" i="12"/>
  <c r="L35" i="12"/>
  <c r="N35" i="12"/>
  <c r="P35" i="12"/>
  <c r="L36" i="12"/>
  <c r="N36" i="12"/>
  <c r="P36" i="12"/>
  <c r="H37" i="12"/>
  <c r="L37" i="12"/>
  <c r="N37" i="12"/>
  <c r="P37" i="12"/>
  <c r="J38" i="12"/>
  <c r="L38" i="12"/>
  <c r="N38" i="12"/>
  <c r="P38" i="12"/>
  <c r="E39" i="12"/>
  <c r="H39" i="12"/>
  <c r="L39" i="12"/>
  <c r="N39" i="12"/>
  <c r="P39" i="12"/>
  <c r="J40" i="12"/>
  <c r="L40" i="12"/>
  <c r="N40" i="12"/>
  <c r="P40" i="12"/>
  <c r="J41" i="12"/>
  <c r="L41" i="12"/>
  <c r="N41" i="12"/>
  <c r="P41" i="12"/>
  <c r="L42" i="12"/>
  <c r="N42" i="12"/>
  <c r="P42" i="12"/>
  <c r="L43" i="12"/>
  <c r="N43" i="12"/>
  <c r="P43" i="12"/>
  <c r="H44" i="12"/>
  <c r="L44" i="12"/>
  <c r="N44" i="12"/>
  <c r="P44" i="12"/>
  <c r="H45" i="12"/>
  <c r="L45" i="12"/>
  <c r="N45" i="12"/>
  <c r="P45" i="12"/>
  <c r="L46" i="12"/>
  <c r="N46" i="12"/>
  <c r="P46" i="12"/>
  <c r="G47" i="12"/>
  <c r="L47" i="12"/>
  <c r="N47" i="12"/>
  <c r="P47" i="12"/>
  <c r="E48" i="12"/>
  <c r="H48" i="12"/>
  <c r="L48" i="12"/>
  <c r="N48" i="12"/>
  <c r="P48" i="12"/>
  <c r="E49" i="12"/>
  <c r="H49" i="12"/>
  <c r="L49" i="12"/>
  <c r="N49" i="12"/>
  <c r="P49" i="12"/>
  <c r="E50" i="12"/>
  <c r="H50" i="12"/>
  <c r="L50" i="12"/>
  <c r="N50" i="12"/>
  <c r="P50" i="12"/>
  <c r="E51" i="12"/>
  <c r="H51" i="12"/>
  <c r="L51" i="12"/>
  <c r="N51" i="12"/>
  <c r="P51" i="12"/>
  <c r="E52" i="12"/>
  <c r="H52" i="12"/>
  <c r="L52" i="12"/>
  <c r="N52" i="12"/>
  <c r="P52" i="12"/>
  <c r="P53" i="12"/>
  <c r="E54" i="12"/>
  <c r="H54" i="12"/>
  <c r="L54" i="12"/>
  <c r="N54" i="12"/>
  <c r="P54" i="12"/>
  <c r="N55" i="12"/>
  <c r="P55" i="12"/>
  <c r="E56" i="12"/>
  <c r="H56" i="12"/>
  <c r="L56" i="12"/>
  <c r="N56" i="12"/>
  <c r="P56" i="12"/>
  <c r="E57" i="12"/>
  <c r="H57" i="12"/>
  <c r="L57" i="12"/>
  <c r="N57" i="12"/>
  <c r="P57" i="12"/>
  <c r="E58" i="12"/>
  <c r="H58" i="12"/>
  <c r="L58" i="12"/>
  <c r="N58" i="12"/>
  <c r="P58" i="12"/>
  <c r="E59" i="12"/>
  <c r="H59" i="12"/>
  <c r="L59" i="12"/>
  <c r="N59" i="12"/>
  <c r="P59" i="12"/>
  <c r="H60" i="12"/>
  <c r="L60" i="12"/>
  <c r="N60" i="12"/>
  <c r="P60" i="12"/>
  <c r="J61" i="12"/>
  <c r="L61" i="12"/>
  <c r="N61" i="12"/>
  <c r="P61" i="12"/>
  <c r="P63" i="12"/>
  <c r="P65" i="12"/>
  <c r="O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4" i="12"/>
  <c r="O25" i="12"/>
  <c r="O26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3" i="12"/>
  <c r="O65" i="12"/>
  <c r="N63" i="12"/>
  <c r="N65" i="12"/>
  <c r="P64" i="12"/>
  <c r="O64" i="12"/>
  <c r="N64" i="12"/>
  <c r="M61" i="12"/>
  <c r="M60" i="12"/>
  <c r="M59" i="12"/>
  <c r="M58" i="12"/>
  <c r="M57" i="12"/>
  <c r="M56" i="12"/>
  <c r="M55" i="12"/>
  <c r="M54" i="12"/>
  <c r="M52" i="12"/>
  <c r="M51" i="12"/>
  <c r="M50" i="12"/>
  <c r="M49" i="12"/>
  <c r="M48" i="12"/>
  <c r="M47" i="12"/>
  <c r="M46" i="12"/>
  <c r="E46" i="12"/>
  <c r="M45" i="12"/>
  <c r="E45" i="12"/>
  <c r="M44" i="12"/>
  <c r="E44" i="12"/>
  <c r="M43" i="12"/>
  <c r="M42" i="12"/>
  <c r="M41" i="12"/>
  <c r="M40" i="12"/>
  <c r="M39" i="12"/>
  <c r="M38" i="12"/>
  <c r="M37" i="12"/>
  <c r="E37" i="12"/>
  <c r="M36" i="12"/>
  <c r="M35" i="12"/>
  <c r="M34" i="12"/>
  <c r="M33" i="12"/>
  <c r="E33" i="12"/>
  <c r="M32" i="12"/>
  <c r="E32" i="12"/>
  <c r="M31" i="12"/>
  <c r="E31" i="12"/>
  <c r="M30" i="12"/>
  <c r="M29" i="12"/>
  <c r="E29" i="12"/>
  <c r="M28" i="12"/>
  <c r="M27" i="12"/>
  <c r="L27" i="12"/>
  <c r="M26" i="12"/>
  <c r="E26" i="12"/>
  <c r="M25" i="12"/>
  <c r="M24" i="12"/>
  <c r="M23" i="12"/>
  <c r="L23" i="12"/>
  <c r="M22" i="12"/>
  <c r="E22" i="12"/>
  <c r="M21" i="12"/>
  <c r="M20" i="12"/>
  <c r="M19" i="12"/>
  <c r="M18" i="12"/>
  <c r="M17" i="12"/>
  <c r="E17" i="12"/>
  <c r="M16" i="12"/>
  <c r="M15" i="12"/>
  <c r="M14" i="12"/>
  <c r="M13" i="12"/>
  <c r="E13" i="12"/>
  <c r="M12" i="12"/>
  <c r="M11" i="12"/>
  <c r="M10" i="12"/>
  <c r="M9" i="12"/>
  <c r="E9" i="12"/>
  <c r="M8" i="12"/>
  <c r="M7" i="12"/>
  <c r="M6" i="12"/>
  <c r="M5" i="12"/>
  <c r="M4" i="12"/>
  <c r="M3" i="12"/>
  <c r="N49" i="10"/>
  <c r="J4" i="10"/>
  <c r="L4" i="10"/>
  <c r="N4" i="10"/>
  <c r="P4" i="10"/>
  <c r="G5" i="10"/>
  <c r="J5" i="10"/>
  <c r="L5" i="10"/>
  <c r="N5" i="10"/>
  <c r="P5" i="10"/>
  <c r="H6" i="10"/>
  <c r="J6" i="10"/>
  <c r="L6" i="10"/>
  <c r="N6" i="10"/>
  <c r="P6" i="10"/>
  <c r="J7" i="10"/>
  <c r="L7" i="10"/>
  <c r="N7" i="10"/>
  <c r="P7" i="10"/>
  <c r="J8" i="10"/>
  <c r="L8" i="10"/>
  <c r="N8" i="10"/>
  <c r="P8" i="10"/>
  <c r="H9" i="10"/>
  <c r="J9" i="10"/>
  <c r="L9" i="10"/>
  <c r="N9" i="10"/>
  <c r="P9" i="10"/>
  <c r="H10" i="10"/>
  <c r="J10" i="10"/>
  <c r="L10" i="10"/>
  <c r="N10" i="10"/>
  <c r="P10" i="10"/>
  <c r="J11" i="10"/>
  <c r="L11" i="10"/>
  <c r="N11" i="10"/>
  <c r="P11" i="10"/>
  <c r="J12" i="10"/>
  <c r="L12" i="10"/>
  <c r="N12" i="10"/>
  <c r="P12" i="10"/>
  <c r="H13" i="10"/>
  <c r="J13" i="10"/>
  <c r="L13" i="10"/>
  <c r="N13" i="10"/>
  <c r="P13" i="10"/>
  <c r="J14" i="10"/>
  <c r="L14" i="10"/>
  <c r="N14" i="10"/>
  <c r="P14" i="10"/>
  <c r="L15" i="10"/>
  <c r="N15" i="10"/>
  <c r="P15" i="10"/>
  <c r="L16" i="10"/>
  <c r="N16" i="10"/>
  <c r="P16" i="10"/>
  <c r="H17" i="10"/>
  <c r="L17" i="10"/>
  <c r="N17" i="10"/>
  <c r="P17" i="10"/>
  <c r="H18" i="10"/>
  <c r="L18" i="10"/>
  <c r="N18" i="10"/>
  <c r="P18" i="10"/>
  <c r="L19" i="10"/>
  <c r="N19" i="10"/>
  <c r="P19" i="10"/>
  <c r="L20" i="10"/>
  <c r="N20" i="10"/>
  <c r="P20" i="10"/>
  <c r="L21" i="10"/>
  <c r="N21" i="10"/>
  <c r="P21" i="10"/>
  <c r="H22" i="10"/>
  <c r="J22" i="10"/>
  <c r="L22" i="10"/>
  <c r="N22" i="10"/>
  <c r="P22" i="10"/>
  <c r="L24" i="10"/>
  <c r="N24" i="10"/>
  <c r="P24" i="10"/>
  <c r="G25" i="10"/>
  <c r="L25" i="10"/>
  <c r="N25" i="10"/>
  <c r="P25" i="10"/>
  <c r="H26" i="10"/>
  <c r="L26" i="10"/>
  <c r="N26" i="10"/>
  <c r="P26" i="10"/>
  <c r="G28" i="10"/>
  <c r="L28" i="10"/>
  <c r="N28" i="10"/>
  <c r="P28" i="10"/>
  <c r="H29" i="10"/>
  <c r="L29" i="10"/>
  <c r="N29" i="10"/>
  <c r="P29" i="10"/>
  <c r="L30" i="10"/>
  <c r="N30" i="10"/>
  <c r="P30" i="10"/>
  <c r="H31" i="10"/>
  <c r="L31" i="10"/>
  <c r="N31" i="10"/>
  <c r="P31" i="10"/>
  <c r="H32" i="10"/>
  <c r="L32" i="10"/>
  <c r="N32" i="10"/>
  <c r="P32" i="10"/>
  <c r="L33" i="10"/>
  <c r="N33" i="10"/>
  <c r="P33" i="10"/>
  <c r="G34" i="10"/>
  <c r="L34" i="10"/>
  <c r="N34" i="10"/>
  <c r="P34" i="10"/>
  <c r="L35" i="10"/>
  <c r="N35" i="10"/>
  <c r="P35" i="10"/>
  <c r="L36" i="10"/>
  <c r="N36" i="10"/>
  <c r="P36" i="10"/>
  <c r="H37" i="10"/>
  <c r="L37" i="10"/>
  <c r="N37" i="10"/>
  <c r="P37" i="10"/>
  <c r="J38" i="10"/>
  <c r="L38" i="10"/>
  <c r="N38" i="10"/>
  <c r="P38" i="10"/>
  <c r="E39" i="10"/>
  <c r="H39" i="10"/>
  <c r="L39" i="10"/>
  <c r="N39" i="10"/>
  <c r="P39" i="10"/>
  <c r="J40" i="10"/>
  <c r="L40" i="10"/>
  <c r="N40" i="10"/>
  <c r="P40" i="10"/>
  <c r="J41" i="10"/>
  <c r="L41" i="10"/>
  <c r="N41" i="10"/>
  <c r="P41" i="10"/>
  <c r="L42" i="10"/>
  <c r="N42" i="10"/>
  <c r="P42" i="10"/>
  <c r="L43" i="10"/>
  <c r="N43" i="10"/>
  <c r="P43" i="10"/>
  <c r="H44" i="10"/>
  <c r="L44" i="10"/>
  <c r="N44" i="10"/>
  <c r="P44" i="10"/>
  <c r="H45" i="10"/>
  <c r="L45" i="10"/>
  <c r="N45" i="10"/>
  <c r="P45" i="10"/>
  <c r="L46" i="10"/>
  <c r="N46" i="10"/>
  <c r="P46" i="10"/>
  <c r="G47" i="10"/>
  <c r="L47" i="10"/>
  <c r="N47" i="10"/>
  <c r="P47" i="10"/>
  <c r="E48" i="10"/>
  <c r="H48" i="10"/>
  <c r="L48" i="10"/>
  <c r="N48" i="10"/>
  <c r="P48" i="10"/>
  <c r="E49" i="10"/>
  <c r="H49" i="10"/>
  <c r="L49" i="10"/>
  <c r="P49" i="10"/>
  <c r="E50" i="10"/>
  <c r="H50" i="10"/>
  <c r="L50" i="10"/>
  <c r="N50" i="10"/>
  <c r="P50" i="10"/>
  <c r="E51" i="10"/>
  <c r="H51" i="10"/>
  <c r="L51" i="10"/>
  <c r="N51" i="10"/>
  <c r="P51" i="10"/>
  <c r="E52" i="10"/>
  <c r="H52" i="10"/>
  <c r="L52" i="10"/>
  <c r="N52" i="10"/>
  <c r="P52" i="10"/>
  <c r="P53" i="10"/>
  <c r="E54" i="10"/>
  <c r="H54" i="10"/>
  <c r="L54" i="10"/>
  <c r="N54" i="10"/>
  <c r="P54" i="10"/>
  <c r="N55" i="10"/>
  <c r="P55" i="10"/>
  <c r="E56" i="10"/>
  <c r="H56" i="10"/>
  <c r="L56" i="10"/>
  <c r="N56" i="10"/>
  <c r="P56" i="10"/>
  <c r="E57" i="10"/>
  <c r="H57" i="10"/>
  <c r="L57" i="10"/>
  <c r="N57" i="10"/>
  <c r="P57" i="10"/>
  <c r="E58" i="10"/>
  <c r="H58" i="10"/>
  <c r="L58" i="10"/>
  <c r="N58" i="10"/>
  <c r="P58" i="10"/>
  <c r="E59" i="10"/>
  <c r="H59" i="10"/>
  <c r="L59" i="10"/>
  <c r="N59" i="10"/>
  <c r="P59" i="10"/>
  <c r="H60" i="10"/>
  <c r="L60" i="10"/>
  <c r="N60" i="10"/>
  <c r="P60" i="10"/>
  <c r="J61" i="10"/>
  <c r="L61" i="10"/>
  <c r="N61" i="10"/>
  <c r="P61" i="10"/>
  <c r="L3" i="10"/>
  <c r="N3" i="10"/>
  <c r="P3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28" i="10"/>
  <c r="O26" i="10"/>
  <c r="O25" i="10"/>
  <c r="O24" i="10"/>
  <c r="O14" i="10"/>
  <c r="O12" i="10"/>
  <c r="O9" i="10"/>
  <c r="O4" i="10"/>
  <c r="O5" i="10"/>
  <c r="O6" i="10"/>
  <c r="O7" i="10"/>
  <c r="O8" i="10"/>
  <c r="O10" i="10"/>
  <c r="O11" i="10"/>
  <c r="O13" i="10"/>
  <c r="O15" i="10"/>
  <c r="O16" i="10"/>
  <c r="O17" i="10"/>
  <c r="O18" i="10"/>
  <c r="O19" i="10"/>
  <c r="O20" i="10"/>
  <c r="O21" i="10"/>
  <c r="O22" i="10"/>
  <c r="O3" i="10"/>
  <c r="O63" i="10"/>
  <c r="P63" i="10"/>
  <c r="O64" i="10"/>
  <c r="P64" i="10"/>
  <c r="O65" i="10"/>
  <c r="P65" i="10"/>
  <c r="N63" i="10"/>
  <c r="N65" i="10"/>
  <c r="N64" i="10"/>
  <c r="M61" i="10"/>
  <c r="M47" i="10"/>
  <c r="M34" i="10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8" i="10"/>
  <c r="M49" i="10"/>
  <c r="M50" i="10"/>
  <c r="M51" i="10"/>
  <c r="M52" i="10"/>
  <c r="M54" i="10"/>
  <c r="M55" i="10"/>
  <c r="M56" i="10"/>
  <c r="M57" i="10"/>
  <c r="M58" i="10"/>
  <c r="M59" i="10"/>
  <c r="M60" i="10"/>
  <c r="M3" i="10"/>
  <c r="L23" i="10"/>
  <c r="L27" i="10"/>
  <c r="E46" i="10"/>
  <c r="E45" i="10"/>
  <c r="E44" i="10"/>
  <c r="E37" i="10"/>
  <c r="E33" i="10"/>
  <c r="E32" i="10"/>
  <c r="E31" i="10"/>
  <c r="E29" i="10"/>
  <c r="E26" i="10"/>
  <c r="E22" i="10"/>
  <c r="E17" i="10"/>
  <c r="E13" i="10"/>
  <c r="E9" i="10"/>
</calcChain>
</file>

<file path=xl/sharedStrings.xml><?xml version="1.0" encoding="utf-8"?>
<sst xmlns="http://schemas.openxmlformats.org/spreadsheetml/2006/main" count="2856" uniqueCount="198">
  <si>
    <t>step</t>
    <phoneticPr fontId="1"/>
  </si>
  <si>
    <t>component</t>
    <phoneticPr fontId="1"/>
  </si>
  <si>
    <t>maker</t>
    <phoneticPr fontId="1"/>
  </si>
  <si>
    <t>mM</t>
    <phoneticPr fontId="1"/>
  </si>
  <si>
    <t>dNTPs mix</t>
    <phoneticPr fontId="1"/>
  </si>
  <si>
    <t>Lysis buffer</t>
    <phoneticPr fontId="1"/>
  </si>
  <si>
    <t>%</t>
    <phoneticPr fontId="1"/>
  </si>
  <si>
    <t>unit/uL</t>
    <phoneticPr fontId="1"/>
  </si>
  <si>
    <t>uM</t>
    <phoneticPr fontId="1"/>
  </si>
  <si>
    <t>RNasin plus</t>
  </si>
  <si>
    <t>RNasin plus</t>
    <phoneticPr fontId="1"/>
  </si>
  <si>
    <t>RNase free water</t>
    <phoneticPr fontId="1"/>
  </si>
  <si>
    <t>10x Thermopol buffer</t>
  </si>
  <si>
    <t>SuperScript III</t>
  </si>
  <si>
    <t>RT buffer</t>
    <phoneticPr fontId="1"/>
  </si>
  <si>
    <t>x</t>
    <phoneticPr fontId="1"/>
  </si>
  <si>
    <t>unit/uL</t>
    <phoneticPr fontId="1"/>
  </si>
  <si>
    <t>Thermo Fisher Scientific</t>
    <phoneticPr fontId="1"/>
  </si>
  <si>
    <t>Lysis buffer</t>
    <phoneticPr fontId="1"/>
  </si>
  <si>
    <t>cDNA concentration</t>
    <phoneticPr fontId="1"/>
  </si>
  <si>
    <t>DNA Clean &amp; Concentrator™-5</t>
    <phoneticPr fontId="1"/>
  </si>
  <si>
    <t>Zymo Research</t>
    <phoneticPr fontId="1"/>
  </si>
  <si>
    <t>D4014</t>
  </si>
  <si>
    <t>column/time</t>
    <phoneticPr fontId="1"/>
  </si>
  <si>
    <t>poly-A tailling</t>
    <phoneticPr fontId="1"/>
  </si>
  <si>
    <t>dATP</t>
    <phoneticPr fontId="1"/>
  </si>
  <si>
    <t>x</t>
    <phoneticPr fontId="1"/>
  </si>
  <si>
    <t>unit/uL</t>
    <phoneticPr fontId="1"/>
  </si>
  <si>
    <t>Invitrogen</t>
    <phoneticPr fontId="1"/>
  </si>
  <si>
    <t>PCR 1</t>
    <phoneticPr fontId="1"/>
  </si>
  <si>
    <t>RT primers (OPC)</t>
    <phoneticPr fontId="1"/>
  </si>
  <si>
    <t>uM</t>
    <phoneticPr fontId="1"/>
  </si>
  <si>
    <t>10uM Tagging primer</t>
  </si>
  <si>
    <t>PCR 1</t>
    <phoneticPr fontId="1"/>
  </si>
  <si>
    <t>100uM gM primer</t>
  </si>
  <si>
    <t>PCR 2</t>
    <phoneticPr fontId="1"/>
  </si>
  <si>
    <t>PCR 2</t>
    <phoneticPr fontId="1"/>
  </si>
  <si>
    <t>NP-40</t>
    <phoneticPr fontId="1"/>
  </si>
  <si>
    <t>Purification 1</t>
    <phoneticPr fontId="1"/>
  </si>
  <si>
    <t>Qiagen</t>
    <phoneticPr fontId="1"/>
  </si>
  <si>
    <t>column</t>
    <phoneticPr fontId="1"/>
  </si>
  <si>
    <t>Purification 1</t>
    <phoneticPr fontId="1"/>
  </si>
  <si>
    <t>Purification 1</t>
    <phoneticPr fontId="1"/>
  </si>
  <si>
    <t>BioAnalyzer High sensitivity kit</t>
    <phoneticPr fontId="1"/>
  </si>
  <si>
    <t>Quality Check 1</t>
    <phoneticPr fontId="1"/>
  </si>
  <si>
    <t>well</t>
    <phoneticPr fontId="1"/>
  </si>
  <si>
    <t>cDNA Fragmentation</t>
    <phoneticPr fontId="1"/>
  </si>
  <si>
    <t>tube</t>
    <phoneticPr fontId="1"/>
  </si>
  <si>
    <t>Covaris</t>
    <phoneticPr fontId="1"/>
  </si>
  <si>
    <t>cDNA pooling</t>
    <phoneticPr fontId="1"/>
  </si>
  <si>
    <t>Agencourt AMPure XP</t>
    <phoneticPr fontId="1"/>
  </si>
  <si>
    <t>Beckman Coulter</t>
    <phoneticPr fontId="1"/>
  </si>
  <si>
    <t>uL</t>
    <phoneticPr fontId="1"/>
  </si>
  <si>
    <t>A63881</t>
    <phoneticPr fontId="1"/>
  </si>
  <si>
    <t>MinElute PCR Purification Kit (250)</t>
    <phoneticPr fontId="1"/>
  </si>
  <si>
    <t>TaKaRa/Clontech</t>
    <phoneticPr fontId="1"/>
  </si>
  <si>
    <t>2 × MightyAmp Buffer Ver.2 (*Including in MightyAmp™ DNA Polymerase Ver.2, which known as Terra™ PCR Direct Polymerase Mix. )</t>
    <phoneticPr fontId="1"/>
  </si>
  <si>
    <t>U/uL</t>
    <phoneticPr fontId="1"/>
  </si>
  <si>
    <t>R071B(A×4)/639271</t>
    <phoneticPr fontId="1"/>
  </si>
  <si>
    <t>MightyAmp DNA Polymerase (*Including in MightyAmp™ DNA Polymerase Ver.2, which known as Terra™ PCR Direct Polymerase Mix. )</t>
    <phoneticPr fontId="1"/>
  </si>
  <si>
    <t>Parafilm</t>
    <phoneticPr fontId="1"/>
  </si>
  <si>
    <t>PARAFILM® M roll size 2 in. × 250 ft</t>
    <phoneticPr fontId="1"/>
  </si>
  <si>
    <t>6-711-02</t>
    <phoneticPr fontId="1"/>
  </si>
  <si>
    <t>m</t>
    <phoneticPr fontId="1"/>
  </si>
  <si>
    <t>Robotic Reservoirs Flat Bottom, Sterile</t>
    <phoneticPr fontId="1"/>
  </si>
  <si>
    <t>1200-1301</t>
    <phoneticPr fontId="1"/>
  </si>
  <si>
    <t>Nalgene</t>
    <phoneticPr fontId="1"/>
  </si>
  <si>
    <t>reservoir</t>
    <phoneticPr fontId="1"/>
  </si>
  <si>
    <t>plate</t>
    <phoneticPr fontId="1"/>
  </si>
  <si>
    <t>twin.tec PCR Plate 384 clear</t>
    <phoneticPr fontId="1"/>
  </si>
  <si>
    <t>0030 128.508</t>
    <phoneticPr fontId="1"/>
  </si>
  <si>
    <t>Eppendorf</t>
    <phoneticPr fontId="1"/>
  </si>
  <si>
    <t>Library prep</t>
    <phoneticPr fontId="1"/>
  </si>
  <si>
    <t>KAPA hyper prep kit</t>
    <phoneticPr fontId="1"/>
  </si>
  <si>
    <t>KAPA Biosystems</t>
    <phoneticPr fontId="1"/>
  </si>
  <si>
    <t>times</t>
    <phoneticPr fontId="1"/>
  </si>
  <si>
    <t>Purification 2</t>
    <phoneticPr fontId="1"/>
  </si>
  <si>
    <t>Quality Check 2</t>
    <phoneticPr fontId="1"/>
  </si>
  <si>
    <t>Promega</t>
    <phoneticPr fontId="1"/>
  </si>
  <si>
    <t>Lysis plate</t>
    <phoneticPr fontId="1"/>
  </si>
  <si>
    <t>KAPA HiFi HS ReadyMix</t>
    <phoneticPr fontId="1"/>
  </si>
  <si>
    <t>KK2602</t>
    <phoneticPr fontId="1"/>
  </si>
  <si>
    <t>Tips, 30 µL, sterile, filtered, conductive, 384 in rack, case of 50</t>
    <phoneticPr fontId="1"/>
  </si>
  <si>
    <t>Agilent</t>
    <phoneticPr fontId="1"/>
  </si>
  <si>
    <t>11484-322</t>
    <phoneticPr fontId="1"/>
  </si>
  <si>
    <t>rack</t>
    <phoneticPr fontId="1"/>
  </si>
  <si>
    <t>Terminal Transferase(Tdt), recombinant</t>
    <phoneticPr fontId="1"/>
  </si>
  <si>
    <t>Roche</t>
    <phoneticPr fontId="1"/>
  </si>
  <si>
    <t>10x Thermopol buffer</t>
    <phoneticPr fontId="1"/>
  </si>
  <si>
    <t>B9004S</t>
  </si>
  <si>
    <t>New England Biolabs</t>
    <phoneticPr fontId="1"/>
  </si>
  <si>
    <t>Agilent</t>
    <phoneticPr fontId="1"/>
  </si>
  <si>
    <t>5067-4626</t>
    <phoneticPr fontId="1"/>
  </si>
  <si>
    <t>N2615</t>
  </si>
  <si>
    <t>IDT</t>
    <phoneticPr fontId="1"/>
  </si>
  <si>
    <t>IDT</t>
    <phoneticPr fontId="1"/>
  </si>
  <si>
    <t>microTUBE AFA Fiber Crimp-Cap 6x16mm (250)</t>
    <phoneticPr fontId="1"/>
  </si>
  <si>
    <t>TPC2 (HPLC)</t>
    <phoneticPr fontId="1"/>
  </si>
  <si>
    <t>uM</t>
    <phoneticPr fontId="1"/>
  </si>
  <si>
    <t>P5-gMac_hybrid (HPLC)</t>
    <phoneticPr fontId="1"/>
  </si>
  <si>
    <t>uM</t>
    <phoneticPr fontId="1"/>
  </si>
  <si>
    <t>rYshapeP5 (HPLC)</t>
    <phoneticPr fontId="1"/>
  </si>
  <si>
    <t>rYshapeP7LTxx (HPLC)</t>
    <phoneticPr fontId="1"/>
  </si>
  <si>
    <t>ART10 Tip</t>
    <phoneticPr fontId="1"/>
  </si>
  <si>
    <t>MBP</t>
  </si>
  <si>
    <t>2140-05-HR</t>
    <phoneticPr fontId="1"/>
  </si>
  <si>
    <t>Tip</t>
    <phoneticPr fontId="1"/>
  </si>
  <si>
    <t>ART100E low retention</t>
    <phoneticPr fontId="1"/>
  </si>
  <si>
    <t>2065E-05-HR</t>
    <phoneticPr fontId="1"/>
  </si>
  <si>
    <t>ART20 low retention</t>
    <phoneticPr fontId="1"/>
  </si>
  <si>
    <t>2149P-05-HR</t>
    <phoneticPr fontId="1"/>
  </si>
  <si>
    <t>Neptune BT200 Tip</t>
    <phoneticPr fontId="1"/>
  </si>
  <si>
    <t>TOHO</t>
    <phoneticPr fontId="1"/>
  </si>
  <si>
    <t>Neptune BT1250 Tip</t>
    <phoneticPr fontId="1"/>
  </si>
  <si>
    <t>DNA LoBind Tubes, DNA LoBind, 1.5 mL</t>
    <phoneticPr fontId="1"/>
  </si>
  <si>
    <t>DNA LoBind Tubes, DNA LoBind, 5.0 mL</t>
    <phoneticPr fontId="1"/>
  </si>
  <si>
    <t>tube</t>
    <phoneticPr fontId="1"/>
  </si>
  <si>
    <t>0.2 ml Hi-8-Tube</t>
    <phoneticPr fontId="1"/>
  </si>
  <si>
    <t>NJ300</t>
    <phoneticPr fontId="1"/>
  </si>
  <si>
    <t>well</t>
    <phoneticPr fontId="1"/>
  </si>
  <si>
    <t>0.2 ml Hi-8-Dome Cap</t>
    <phoneticPr fontId="1"/>
  </si>
  <si>
    <t>0.2 ml Hi-Tube Dome Cap</t>
    <phoneticPr fontId="1"/>
  </si>
  <si>
    <t>NJ301</t>
    <phoneticPr fontId="1"/>
  </si>
  <si>
    <t>NJ200</t>
    <phoneticPr fontId="1"/>
  </si>
  <si>
    <t>Other Tips and tubes for preparing premix solution</t>
    <phoneticPr fontId="1"/>
  </si>
  <si>
    <t>FASMAC</t>
    <phoneticPr fontId="1"/>
  </si>
  <si>
    <t>Clear Peelable Seal</t>
    <phoneticPr fontId="1"/>
  </si>
  <si>
    <t>16985-001</t>
    <phoneticPr fontId="1"/>
  </si>
  <si>
    <t>Sheel</t>
    <phoneticPr fontId="1"/>
  </si>
  <si>
    <t>sheel</t>
    <phoneticPr fontId="1"/>
  </si>
  <si>
    <t>usage for 384 well</t>
    <phoneticPr fontId="1"/>
  </si>
  <si>
    <t>uL</t>
    <phoneticPr fontId="1"/>
  </si>
  <si>
    <t>uL</t>
    <phoneticPr fontId="1"/>
  </si>
  <si>
    <t>uL</t>
    <phoneticPr fontId="1"/>
  </si>
  <si>
    <t>uL</t>
    <phoneticPr fontId="1"/>
  </si>
  <si>
    <t>uL</t>
    <phoneticPr fontId="1"/>
  </si>
  <si>
    <t>meter</t>
    <phoneticPr fontId="1"/>
  </si>
  <si>
    <t>uL</t>
    <phoneticPr fontId="1"/>
  </si>
  <si>
    <t>usage for 384 well</t>
    <phoneticPr fontId="1"/>
  </si>
  <si>
    <t>uL</t>
    <phoneticPr fontId="1"/>
  </si>
  <si>
    <t>usage for 1 well</t>
    <phoneticPr fontId="1"/>
  </si>
  <si>
    <t>Quality Check 1 (alternative)</t>
    <phoneticPr fontId="1"/>
  </si>
  <si>
    <t>Quality Check 2 (alternative)</t>
    <phoneticPr fontId="1"/>
  </si>
  <si>
    <t>S292-36600-91</t>
    <phoneticPr fontId="1"/>
  </si>
  <si>
    <t>Shimazu</t>
    <phoneticPr fontId="1"/>
  </si>
  <si>
    <t>Multina DNA-12000 systems</t>
    <phoneticPr fontId="1"/>
  </si>
  <si>
    <t>Other Tips and tubes for preparing premix solution</t>
    <phoneticPr fontId="1"/>
  </si>
  <si>
    <t>Custom sequence primer for NextSeq500</t>
  </si>
  <si>
    <t>uL</t>
    <phoneticPr fontId="1"/>
  </si>
  <si>
    <t>Sequencing</t>
    <phoneticPr fontId="1"/>
  </si>
  <si>
    <t>component</t>
    <phoneticPr fontId="1"/>
  </si>
  <si>
    <t>component</t>
    <phoneticPr fontId="1"/>
  </si>
  <si>
    <t>component (total)</t>
    <phoneticPr fontId="1"/>
  </si>
  <si>
    <t>component (total)</t>
    <phoneticPr fontId="1"/>
  </si>
  <si>
    <t>component price (yen)</t>
    <phoneticPr fontId="1"/>
  </si>
  <si>
    <t>cost per cell (€ euro)</t>
    <phoneticPr fontId="1"/>
  </si>
  <si>
    <t>cost per cell ($ dollor)</t>
    <phoneticPr fontId="1"/>
  </si>
  <si>
    <t>cost per cell (¥ yen)</t>
    <phoneticPr fontId="1"/>
  </si>
  <si>
    <t>Total cost (without Quality Check)</t>
    <phoneticPr fontId="1"/>
  </si>
  <si>
    <t>Total cost (with Bioanalyzer Quality check)</t>
    <phoneticPr fontId="1"/>
  </si>
  <si>
    <t>Total cost (with Multina Quality check)</t>
    <phoneticPr fontId="1"/>
  </si>
  <si>
    <t>maker</t>
    <phoneticPr fontId="1"/>
  </si>
  <si>
    <t>RNase H</t>
    <phoneticPr fontId="1"/>
  </si>
  <si>
    <t>18021-071</t>
    <phoneticPr fontId="1"/>
  </si>
  <si>
    <t>Quartz-Seq2 (v3.1: 384 indexes, RT25 condition, 3 Column for cDNA), Default</t>
    <phoneticPr fontId="1"/>
  </si>
  <si>
    <t>Quartz-Seq2 (v3.1: 384 indexes, RT100 condition, 3 Column for cDNA), discontinue</t>
    <phoneticPr fontId="1"/>
  </si>
  <si>
    <t>Quartz-Seq2 (v3.1: 384 indexes, RT6.25 condition, 3 Column for cDNA), option</t>
    <phoneticPr fontId="1"/>
  </si>
  <si>
    <t>Quartz-Seq2 (v3.1: 384 indexes, RT6.25 condition, 1 Column for cDNA), cheapest condition</t>
    <phoneticPr fontId="1"/>
  </si>
  <si>
    <t>2 × MightyAmp Buffer Ver.2 (*Including in MightyAmp™ DNA Polymerase Ver.2, which known as Terra™ PCR Direct Polymerase Mix. )</t>
    <phoneticPr fontId="1"/>
  </si>
  <si>
    <t>PCR 1</t>
    <phoneticPr fontId="1"/>
  </si>
  <si>
    <t>Quartz-Seq2 (v3.2: 1,536 indexes, RT25 condition, 8 Column for cDNA), Default</t>
    <phoneticPr fontId="1"/>
  </si>
  <si>
    <t>Quartz-Seq2 (v3.2: 1,536 indexes, RT6.25 condition, 3 Column for cDNA), Cheapest condition</t>
    <phoneticPr fontId="1"/>
  </si>
  <si>
    <t>*variable*</t>
    <phoneticPr fontId="1"/>
  </si>
  <si>
    <t>*variable*</t>
    <phoneticPr fontId="1"/>
  </si>
  <si>
    <t>SafetySpace Filter Tips 5-300uL</t>
    <phoneticPr fontId="1"/>
  </si>
  <si>
    <t>Tip</t>
    <phoneticPr fontId="1"/>
  </si>
  <si>
    <t>Sartorius</t>
    <phoneticPr fontId="1"/>
  </si>
  <si>
    <t>LH-LF790301</t>
    <phoneticPr fontId="1"/>
  </si>
  <si>
    <t>Tip</t>
    <phoneticPr fontId="1"/>
  </si>
  <si>
    <t>rack (for 30 plates)</t>
    <phoneticPr fontId="1"/>
  </si>
  <si>
    <t>Watson</t>
    <phoneticPr fontId="1"/>
  </si>
  <si>
    <t>Watson</t>
    <phoneticPr fontId="1"/>
  </si>
  <si>
    <t>1342-050S</t>
    <phoneticPr fontId="1"/>
  </si>
  <si>
    <t>uL (for 1set of 1,536 indexes)</t>
    <phoneticPr fontId="1"/>
  </si>
  <si>
    <t>uL (for 1set of 1,536 indexes)</t>
    <phoneticPr fontId="1"/>
  </si>
  <si>
    <t>usage for 1536 well</t>
    <phoneticPr fontId="1"/>
  </si>
  <si>
    <t>usage for 1536 well</t>
    <phoneticPr fontId="1"/>
  </si>
  <si>
    <t>usage for 1536 well</t>
    <phoneticPr fontId="1"/>
  </si>
  <si>
    <t>usage for 1 well</t>
    <phoneticPr fontId="1"/>
  </si>
  <si>
    <t>rack (for 30 plates x 4sets)</t>
  </si>
  <si>
    <t>rack (for 30 plates x 4sets)</t>
    <phoneticPr fontId="1"/>
  </si>
  <si>
    <t>50mL Centrifuge tube</t>
    <phoneticPr fontId="1"/>
  </si>
  <si>
    <t>uL (for 4 plates)</t>
    <phoneticPr fontId="1"/>
  </si>
  <si>
    <t>uL (for 4 plates)</t>
    <phoneticPr fontId="1"/>
  </si>
  <si>
    <t>yen/dollar, November 2017</t>
    <phoneticPr fontId="1"/>
  </si>
  <si>
    <t>yen/dollar, November 2017</t>
    <phoneticPr fontId="1"/>
  </si>
  <si>
    <t>yen/euro, November 2017</t>
    <phoneticPr fontId="1"/>
  </si>
  <si>
    <t>yen/euro, November 2017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</si>
</sst>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Arial"/>
    </font>
    <font>
      <sz val="12"/>
      <color rgb="FF000000"/>
      <name val="Arial"/>
    </font>
    <font>
      <sz val="13"/>
      <color rgb="FF000000"/>
      <name val="Arial"/>
    </font>
    <font>
      <b/>
      <sz val="12"/>
      <color theme="1"/>
      <name val="Arial"/>
    </font>
    <font>
      <b/>
      <sz val="14"/>
      <color theme="1"/>
      <name val="Arial"/>
    </font>
    <font>
      <b/>
      <sz val="14"/>
      <color rgb="FFFF0000"/>
      <name val="Arial"/>
    </font>
    <font>
      <b/>
      <sz val="14"/>
      <color theme="8"/>
      <name val="Arial"/>
    </font>
    <font>
      <b/>
      <sz val="14"/>
      <color theme="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5" fillId="0" borderId="0" xfId="0" applyFont="1" applyFill="1"/>
    <xf numFmtId="0" fontId="4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left" vertical="center"/>
    </xf>
  </cellXfs>
  <cellStyles count="19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5" builtinId="9" hidden="1"/>
    <cellStyle name="表示済みのハイパーリンク" xfId="16" builtinId="9" hidden="1"/>
    <cellStyle name="表示済みのハイパーリンク" xfId="17" builtinId="9" hidden="1"/>
    <cellStyle name="表示済みのハイパーリンク" xfId="18" builtinId="9" hidden="1"/>
    <cellStyle name="表示済みのハイパーリンク" xfId="19" builtinId="9" hidden="1"/>
    <cellStyle name="表示済みのハイパーリンク" xfId="20" builtinId="9" hidden="1"/>
    <cellStyle name="表示済みのハイパーリンク" xfId="21" builtinId="9" hidden="1"/>
    <cellStyle name="表示済みのハイパーリンク" xfId="22" builtinId="9" hidden="1"/>
    <cellStyle name="表示済みのハイパーリンク" xfId="23" builtinId="9" hidden="1"/>
    <cellStyle name="表示済みのハイパーリンク" xfId="24" builtinId="9" hidden="1"/>
    <cellStyle name="表示済みのハイパーリンク" xfId="25" builtinId="9" hidden="1"/>
    <cellStyle name="表示済みのハイパーリンク" xfId="26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S65"/>
  <sheetViews>
    <sheetView tabSelected="1" workbookViewId="0"/>
  </sheetViews>
  <sheetFormatPr baseColWidth="12" defaultRowHeight="15" x14ac:dyDescent="0"/>
  <cols>
    <col min="1" max="1" width="27.33203125" style="1" customWidth="1"/>
    <col min="2" max="2" width="40.6640625" style="1" bestFit="1" customWidth="1"/>
    <col min="3" max="3" width="23.1640625" style="1" bestFit="1" customWidth="1"/>
    <col min="4" max="4" width="19.83203125" style="7" bestFit="1" customWidth="1"/>
    <col min="5" max="6" width="15" style="1" bestFit="1" customWidth="1"/>
    <col min="7" max="7" width="25.6640625" style="1" bestFit="1" customWidth="1"/>
    <col min="8" max="9" width="21.1640625" style="1" bestFit="1" customWidth="1"/>
    <col min="10" max="11" width="21.5" style="1" bestFit="1" customWidth="1"/>
    <col min="12" max="12" width="19.1640625" style="1" bestFit="1" customWidth="1"/>
    <col min="13" max="13" width="42.1640625" style="1" bestFit="1" customWidth="1"/>
    <col min="14" max="14" width="23" style="1" bestFit="1" customWidth="1"/>
    <col min="15" max="15" width="25" style="1" bestFit="1" customWidth="1"/>
    <col min="16" max="16" width="23.83203125" style="1" bestFit="1" customWidth="1"/>
    <col min="17" max="17" width="12.83203125" style="1"/>
    <col min="18" max="18" width="26.33203125" style="1" bestFit="1" customWidth="1"/>
    <col min="19" max="19" width="10.1640625" style="1" bestFit="1" customWidth="1"/>
    <col min="20" max="16384" width="12.83203125" style="1"/>
  </cols>
  <sheetData>
    <row r="1" spans="1:19" ht="32" customHeight="1">
      <c r="A1" s="11" t="s">
        <v>164</v>
      </c>
      <c r="S1" s="1" t="s">
        <v>173</v>
      </c>
    </row>
    <row r="2" spans="1:19">
      <c r="A2" s="26" t="s">
        <v>0</v>
      </c>
      <c r="B2" s="26" t="s">
        <v>1</v>
      </c>
      <c r="C2" s="26" t="s">
        <v>2</v>
      </c>
      <c r="D2" s="27" t="s">
        <v>161</v>
      </c>
      <c r="E2" s="26" t="s">
        <v>150</v>
      </c>
      <c r="F2" s="26" t="s">
        <v>151</v>
      </c>
      <c r="G2" s="26" t="s">
        <v>154</v>
      </c>
      <c r="H2" s="26" t="s">
        <v>152</v>
      </c>
      <c r="I2" s="26" t="s">
        <v>153</v>
      </c>
      <c r="J2" s="26" t="s">
        <v>130</v>
      </c>
      <c r="K2" s="26" t="s">
        <v>138</v>
      </c>
      <c r="L2" s="26" t="s">
        <v>140</v>
      </c>
      <c r="M2" s="26" t="s">
        <v>140</v>
      </c>
      <c r="N2" s="26" t="s">
        <v>157</v>
      </c>
      <c r="O2" s="26" t="s">
        <v>156</v>
      </c>
      <c r="P2" s="26" t="s">
        <v>155</v>
      </c>
      <c r="R2" s="28" t="s">
        <v>194</v>
      </c>
      <c r="S2" s="28">
        <v>113</v>
      </c>
    </row>
    <row r="3" spans="1:19">
      <c r="A3" s="13" t="s">
        <v>79</v>
      </c>
      <c r="B3" s="16" t="s">
        <v>69</v>
      </c>
      <c r="C3" s="8" t="s">
        <v>71</v>
      </c>
      <c r="D3" s="9" t="s">
        <v>70</v>
      </c>
      <c r="E3" s="8">
        <v>25</v>
      </c>
      <c r="F3" s="8" t="s">
        <v>68</v>
      </c>
      <c r="G3" s="8">
        <v>23225</v>
      </c>
      <c r="H3" s="8">
        <v>25</v>
      </c>
      <c r="I3" s="8" t="s">
        <v>68</v>
      </c>
      <c r="J3" s="8">
        <v>1</v>
      </c>
      <c r="K3" s="8" t="s">
        <v>68</v>
      </c>
      <c r="L3" s="8">
        <f>J3/384</f>
        <v>2.6041666666666665E-3</v>
      </c>
      <c r="M3" s="8" t="str">
        <f>K3</f>
        <v>plate</v>
      </c>
      <c r="N3" s="2">
        <f t="shared" ref="N3:N22" si="0">G3/H3*L3</f>
        <v>2.419270833333333</v>
      </c>
      <c r="O3" s="1">
        <f>N3/$S$2</f>
        <v>2.1409476401179937E-2</v>
      </c>
      <c r="P3" s="1">
        <f>N3/$S$3</f>
        <v>1.8467716284987275E-2</v>
      </c>
      <c r="R3" s="28" t="s">
        <v>196</v>
      </c>
      <c r="S3" s="28">
        <v>131</v>
      </c>
    </row>
    <row r="4" spans="1:19" ht="30">
      <c r="A4" s="13" t="s">
        <v>79</v>
      </c>
      <c r="B4" s="16" t="s">
        <v>82</v>
      </c>
      <c r="C4" s="8" t="s">
        <v>83</v>
      </c>
      <c r="D4" s="9" t="s">
        <v>84</v>
      </c>
      <c r="E4" s="8">
        <v>50</v>
      </c>
      <c r="F4" s="8" t="s">
        <v>85</v>
      </c>
      <c r="G4" s="8">
        <v>493506</v>
      </c>
      <c r="H4" s="8">
        <v>50</v>
      </c>
      <c r="I4" s="8" t="s">
        <v>85</v>
      </c>
      <c r="J4" s="8">
        <f>1/30</f>
        <v>3.3333333333333333E-2</v>
      </c>
      <c r="K4" s="8" t="s">
        <v>179</v>
      </c>
      <c r="L4" s="8">
        <f t="shared" ref="L4:L61" si="1">J4/384</f>
        <v>8.6805555555555559E-5</v>
      </c>
      <c r="M4" s="8" t="str">
        <f t="shared" ref="M4:M61" si="2">K4</f>
        <v>rack (for 30 plates)</v>
      </c>
      <c r="N4" s="3">
        <f t="shared" si="0"/>
        <v>0.85678125000000005</v>
      </c>
      <c r="O4" s="1">
        <f t="shared" ref="O4:O22" si="3">N4/$S$2</f>
        <v>7.5821349557522125E-3</v>
      </c>
      <c r="P4" s="1">
        <f t="shared" ref="P4:P61" si="4">N4/$S$3</f>
        <v>6.5403148854961835E-3</v>
      </c>
    </row>
    <row r="5" spans="1:19">
      <c r="A5" s="8" t="s">
        <v>18</v>
      </c>
      <c r="B5" s="17" t="s">
        <v>30</v>
      </c>
      <c r="C5" s="8" t="s">
        <v>125</v>
      </c>
      <c r="D5" s="9"/>
      <c r="E5" s="8">
        <v>100</v>
      </c>
      <c r="F5" s="8" t="s">
        <v>8</v>
      </c>
      <c r="G5" s="8">
        <f>73*13</f>
        <v>949</v>
      </c>
      <c r="H5" s="8">
        <v>100</v>
      </c>
      <c r="I5" s="8" t="s">
        <v>131</v>
      </c>
      <c r="J5" s="8">
        <f>384*0.000625</f>
        <v>0.24</v>
      </c>
      <c r="K5" s="8" t="s">
        <v>131</v>
      </c>
      <c r="L5" s="8">
        <f t="shared" si="1"/>
        <v>6.2500000000000001E-4</v>
      </c>
      <c r="M5" s="8" t="str">
        <f t="shared" si="2"/>
        <v>uL</v>
      </c>
      <c r="N5" s="3">
        <f t="shared" si="0"/>
        <v>5.9312499999999999E-3</v>
      </c>
      <c r="O5" s="1">
        <f t="shared" si="3"/>
        <v>5.2488938053097347E-5</v>
      </c>
      <c r="P5" s="1">
        <f t="shared" si="4"/>
        <v>4.527671755725191E-5</v>
      </c>
    </row>
    <row r="6" spans="1:19">
      <c r="A6" s="8" t="s">
        <v>5</v>
      </c>
      <c r="B6" s="17" t="s">
        <v>37</v>
      </c>
      <c r="C6" s="8" t="s">
        <v>17</v>
      </c>
      <c r="D6" s="9">
        <v>28324</v>
      </c>
      <c r="E6" s="8">
        <v>10</v>
      </c>
      <c r="F6" s="8" t="s">
        <v>6</v>
      </c>
      <c r="G6" s="8">
        <v>16050</v>
      </c>
      <c r="H6" s="8">
        <f>6*10*1000</f>
        <v>60000</v>
      </c>
      <c r="I6" s="8" t="s">
        <v>132</v>
      </c>
      <c r="J6" s="8">
        <f>0.03*384</f>
        <v>11.52</v>
      </c>
      <c r="K6" s="8" t="s">
        <v>132</v>
      </c>
      <c r="L6" s="8">
        <f t="shared" si="1"/>
        <v>0.03</v>
      </c>
      <c r="M6" s="8" t="str">
        <f t="shared" si="2"/>
        <v>uL</v>
      </c>
      <c r="N6" s="3">
        <f t="shared" si="0"/>
        <v>8.0250000000000009E-3</v>
      </c>
      <c r="O6" s="1">
        <f t="shared" si="3"/>
        <v>7.1017699115044259E-5</v>
      </c>
      <c r="P6" s="1">
        <f t="shared" si="4"/>
        <v>6.1259541984732828E-5</v>
      </c>
    </row>
    <row r="7" spans="1:19">
      <c r="A7" s="8" t="s">
        <v>5</v>
      </c>
      <c r="B7" s="17" t="s">
        <v>4</v>
      </c>
      <c r="C7" s="8" t="s">
        <v>17</v>
      </c>
      <c r="D7" s="9">
        <v>18427088</v>
      </c>
      <c r="E7" s="8">
        <v>10</v>
      </c>
      <c r="F7" s="8" t="s">
        <v>3</v>
      </c>
      <c r="G7" s="8">
        <v>83721</v>
      </c>
      <c r="H7" s="8">
        <v>1000</v>
      </c>
      <c r="I7" s="8" t="s">
        <v>133</v>
      </c>
      <c r="J7" s="8">
        <f>0.04/3.3*384</f>
        <v>4.6545454545454552</v>
      </c>
      <c r="K7" s="8" t="s">
        <v>133</v>
      </c>
      <c r="L7" s="8">
        <f t="shared" si="1"/>
        <v>1.2121212121212123E-2</v>
      </c>
      <c r="M7" s="8" t="str">
        <f t="shared" si="2"/>
        <v>uL</v>
      </c>
      <c r="N7" s="3">
        <f t="shared" si="0"/>
        <v>1.0148000000000001</v>
      </c>
      <c r="O7" s="1">
        <f t="shared" si="3"/>
        <v>8.9805309734513287E-3</v>
      </c>
      <c r="P7" s="1">
        <f t="shared" si="4"/>
        <v>7.7465648854961842E-3</v>
      </c>
    </row>
    <row r="8" spans="1:19">
      <c r="A8" s="8" t="s">
        <v>5</v>
      </c>
      <c r="B8" s="17" t="s">
        <v>10</v>
      </c>
      <c r="C8" s="8" t="s">
        <v>78</v>
      </c>
      <c r="D8" s="9" t="s">
        <v>93</v>
      </c>
      <c r="E8" s="8">
        <v>40</v>
      </c>
      <c r="F8" s="8" t="s">
        <v>7</v>
      </c>
      <c r="G8" s="8">
        <v>41040</v>
      </c>
      <c r="H8" s="8">
        <v>250</v>
      </c>
      <c r="I8" s="8" t="s">
        <v>134</v>
      </c>
      <c r="J8" s="8">
        <f>0.025*384</f>
        <v>9.6000000000000014</v>
      </c>
      <c r="K8" s="8" t="s">
        <v>134</v>
      </c>
      <c r="L8" s="8">
        <f t="shared" si="1"/>
        <v>2.5000000000000005E-2</v>
      </c>
      <c r="M8" s="8" t="str">
        <f t="shared" si="2"/>
        <v>uL</v>
      </c>
      <c r="N8" s="3">
        <f t="shared" si="0"/>
        <v>4.104000000000001</v>
      </c>
      <c r="O8" s="1">
        <f t="shared" si="3"/>
        <v>3.6318584070796467E-2</v>
      </c>
      <c r="P8" s="1">
        <f t="shared" si="4"/>
        <v>3.1328244274809167E-2</v>
      </c>
    </row>
    <row r="9" spans="1:19">
      <c r="A9" s="8" t="s">
        <v>5</v>
      </c>
      <c r="B9" s="17" t="s">
        <v>11</v>
      </c>
      <c r="C9" s="8" t="s">
        <v>55</v>
      </c>
      <c r="D9" s="9">
        <v>9012</v>
      </c>
      <c r="E9" s="8">
        <f>10*1000</f>
        <v>10000</v>
      </c>
      <c r="F9" s="8" t="s">
        <v>52</v>
      </c>
      <c r="G9" s="8">
        <v>3672</v>
      </c>
      <c r="H9" s="8">
        <f>10*1000</f>
        <v>10000</v>
      </c>
      <c r="I9" s="8" t="s">
        <v>52</v>
      </c>
      <c r="J9" s="8">
        <f>(0.5*384)-SUM(J5:J8)</f>
        <v>165.98545454545456</v>
      </c>
      <c r="K9" s="8" t="s">
        <v>52</v>
      </c>
      <c r="L9" s="8">
        <f t="shared" si="1"/>
        <v>0.43225378787878793</v>
      </c>
      <c r="M9" s="8" t="str">
        <f t="shared" si="2"/>
        <v>uL</v>
      </c>
      <c r="N9" s="3">
        <f t="shared" si="0"/>
        <v>0.15872359090909094</v>
      </c>
      <c r="O9" s="1">
        <f>N9/$S$2</f>
        <v>1.4046335478680614E-3</v>
      </c>
      <c r="P9" s="1">
        <f t="shared" si="4"/>
        <v>1.2116304649548927E-3</v>
      </c>
    </row>
    <row r="10" spans="1:19">
      <c r="A10" s="8" t="s">
        <v>14</v>
      </c>
      <c r="B10" s="17" t="s">
        <v>88</v>
      </c>
      <c r="C10" s="8" t="s">
        <v>90</v>
      </c>
      <c r="D10" s="9" t="s">
        <v>89</v>
      </c>
      <c r="E10" s="8">
        <v>10</v>
      </c>
      <c r="F10" s="8" t="s">
        <v>15</v>
      </c>
      <c r="G10" s="8">
        <v>3110</v>
      </c>
      <c r="H10" s="8">
        <f>6*1000</f>
        <v>6000</v>
      </c>
      <c r="I10" s="8" t="s">
        <v>135</v>
      </c>
      <c r="J10" s="8">
        <f>0.2*384</f>
        <v>76.800000000000011</v>
      </c>
      <c r="K10" s="8" t="s">
        <v>135</v>
      </c>
      <c r="L10" s="8">
        <f t="shared" si="1"/>
        <v>0.20000000000000004</v>
      </c>
      <c r="M10" s="8" t="str">
        <f t="shared" si="2"/>
        <v>uL</v>
      </c>
      <c r="N10" s="3">
        <f t="shared" si="0"/>
        <v>0.10366666666666668</v>
      </c>
      <c r="O10" s="1">
        <f t="shared" si="3"/>
        <v>9.1740412979351049E-4</v>
      </c>
      <c r="P10" s="1">
        <f t="shared" si="4"/>
        <v>7.9134860050890604E-4</v>
      </c>
    </row>
    <row r="11" spans="1:19" s="6" customFormat="1">
      <c r="A11" s="14" t="s">
        <v>14</v>
      </c>
      <c r="B11" s="18" t="s">
        <v>13</v>
      </c>
      <c r="C11" s="14" t="s">
        <v>17</v>
      </c>
      <c r="D11" s="19">
        <v>18080085</v>
      </c>
      <c r="E11" s="14">
        <v>200</v>
      </c>
      <c r="F11" s="14" t="s">
        <v>16</v>
      </c>
      <c r="G11" s="14">
        <v>139200</v>
      </c>
      <c r="H11" s="14">
        <v>200</v>
      </c>
      <c r="I11" s="14" t="s">
        <v>139</v>
      </c>
      <c r="J11" s="14">
        <f>0.025*384</f>
        <v>9.6000000000000014</v>
      </c>
      <c r="K11" s="14" t="s">
        <v>139</v>
      </c>
      <c r="L11" s="14">
        <f t="shared" si="1"/>
        <v>2.5000000000000005E-2</v>
      </c>
      <c r="M11" s="14" t="str">
        <f t="shared" si="2"/>
        <v>uL</v>
      </c>
      <c r="N11" s="6">
        <f t="shared" si="0"/>
        <v>17.400000000000002</v>
      </c>
      <c r="O11" s="6">
        <f t="shared" si="3"/>
        <v>0.15398230088495576</v>
      </c>
      <c r="P11" s="6">
        <f t="shared" si="4"/>
        <v>0.13282442748091605</v>
      </c>
    </row>
    <row r="12" spans="1:19" s="6" customFormat="1">
      <c r="A12" s="14" t="s">
        <v>14</v>
      </c>
      <c r="B12" s="18" t="s">
        <v>9</v>
      </c>
      <c r="C12" s="14" t="s">
        <v>78</v>
      </c>
      <c r="D12" s="19" t="s">
        <v>93</v>
      </c>
      <c r="E12" s="14">
        <v>40</v>
      </c>
      <c r="F12" s="14" t="s">
        <v>16</v>
      </c>
      <c r="G12" s="14">
        <v>41040</v>
      </c>
      <c r="H12" s="14">
        <v>250</v>
      </c>
      <c r="I12" s="14" t="s">
        <v>134</v>
      </c>
      <c r="J12" s="14">
        <f>0.01375*384</f>
        <v>5.28</v>
      </c>
      <c r="K12" s="14" t="s">
        <v>134</v>
      </c>
      <c r="L12" s="14">
        <f t="shared" si="1"/>
        <v>1.375E-2</v>
      </c>
      <c r="M12" s="14" t="str">
        <f t="shared" si="2"/>
        <v>uL</v>
      </c>
      <c r="N12" s="6">
        <f t="shared" si="0"/>
        <v>2.2572000000000001</v>
      </c>
      <c r="O12" s="6">
        <f>N12/$S$2</f>
        <v>1.9975221238938055E-2</v>
      </c>
      <c r="P12" s="6">
        <f t="shared" si="4"/>
        <v>1.7230534351145039E-2</v>
      </c>
    </row>
    <row r="13" spans="1:19">
      <c r="A13" s="8" t="s">
        <v>14</v>
      </c>
      <c r="B13" s="17" t="s">
        <v>11</v>
      </c>
      <c r="C13" s="8" t="s">
        <v>55</v>
      </c>
      <c r="D13" s="9">
        <v>9012</v>
      </c>
      <c r="E13" s="8">
        <f>10*1000</f>
        <v>10000</v>
      </c>
      <c r="F13" s="8" t="s">
        <v>52</v>
      </c>
      <c r="G13" s="8">
        <v>3672</v>
      </c>
      <c r="H13" s="8">
        <f>10*1000</f>
        <v>10000</v>
      </c>
      <c r="I13" s="8" t="s">
        <v>52</v>
      </c>
      <c r="J13" s="8">
        <f>(1*384)-SUM(J10:J12)</f>
        <v>292.32</v>
      </c>
      <c r="K13" s="8" t="s">
        <v>52</v>
      </c>
      <c r="L13" s="8">
        <f t="shared" si="1"/>
        <v>0.76124999999999998</v>
      </c>
      <c r="M13" s="8" t="str">
        <f t="shared" si="2"/>
        <v>uL</v>
      </c>
      <c r="N13" s="3">
        <f t="shared" si="0"/>
        <v>0.27953100000000003</v>
      </c>
      <c r="O13" s="1">
        <f t="shared" si="3"/>
        <v>2.4737256637168146E-3</v>
      </c>
      <c r="P13" s="1">
        <f t="shared" si="4"/>
        <v>2.1338244274809164E-3</v>
      </c>
    </row>
    <row r="14" spans="1:19">
      <c r="A14" s="8" t="s">
        <v>49</v>
      </c>
      <c r="B14" s="17" t="s">
        <v>64</v>
      </c>
      <c r="C14" s="8" t="s">
        <v>66</v>
      </c>
      <c r="D14" s="9" t="s">
        <v>65</v>
      </c>
      <c r="E14" s="8">
        <v>40</v>
      </c>
      <c r="F14" s="8" t="s">
        <v>67</v>
      </c>
      <c r="G14" s="8">
        <v>32319</v>
      </c>
      <c r="H14" s="8">
        <v>40</v>
      </c>
      <c r="I14" s="8" t="s">
        <v>67</v>
      </c>
      <c r="J14" s="8">
        <f>1</f>
        <v>1</v>
      </c>
      <c r="K14" s="8" t="s">
        <v>67</v>
      </c>
      <c r="L14" s="8">
        <f t="shared" si="1"/>
        <v>2.6041666666666665E-3</v>
      </c>
      <c r="M14" s="8" t="str">
        <f t="shared" si="2"/>
        <v>reservoir</v>
      </c>
      <c r="N14" s="3">
        <f t="shared" si="0"/>
        <v>2.1041015624999999</v>
      </c>
      <c r="O14" s="1">
        <f>N14/$S$2</f>
        <v>1.8620367809734511E-2</v>
      </c>
      <c r="P14" s="1">
        <f t="shared" si="4"/>
        <v>1.6061843988549616E-2</v>
      </c>
    </row>
    <row r="15" spans="1:19">
      <c r="A15" s="8" t="s">
        <v>49</v>
      </c>
      <c r="B15" s="17" t="s">
        <v>61</v>
      </c>
      <c r="C15" s="8" t="s">
        <v>60</v>
      </c>
      <c r="D15" s="9" t="s">
        <v>62</v>
      </c>
      <c r="E15" s="8">
        <f>250*0.3048</f>
        <v>76.2</v>
      </c>
      <c r="F15" s="8" t="s">
        <v>63</v>
      </c>
      <c r="G15" s="8">
        <v>3600</v>
      </c>
      <c r="H15" s="8">
        <f>250*0.3048</f>
        <v>76.2</v>
      </c>
      <c r="I15" s="8" t="s">
        <v>136</v>
      </c>
      <c r="J15" s="8">
        <v>0.43</v>
      </c>
      <c r="K15" s="8" t="s">
        <v>136</v>
      </c>
      <c r="L15" s="8">
        <f t="shared" si="1"/>
        <v>1.1197916666666667E-3</v>
      </c>
      <c r="M15" s="8" t="str">
        <f t="shared" si="2"/>
        <v>meter</v>
      </c>
      <c r="N15" s="3">
        <f t="shared" si="0"/>
        <v>5.2903543307086617E-2</v>
      </c>
      <c r="O15" s="1">
        <f t="shared" si="3"/>
        <v>4.6817294962023557E-4</v>
      </c>
      <c r="P15" s="1">
        <f t="shared" si="4"/>
        <v>4.0384384203882915E-4</v>
      </c>
    </row>
    <row r="16" spans="1:19">
      <c r="A16" s="15" t="s">
        <v>19</v>
      </c>
      <c r="B16" s="20" t="s">
        <v>20</v>
      </c>
      <c r="C16" s="15" t="s">
        <v>21</v>
      </c>
      <c r="D16" s="21" t="s">
        <v>22</v>
      </c>
      <c r="E16" s="15">
        <v>200</v>
      </c>
      <c r="F16" s="15" t="s">
        <v>23</v>
      </c>
      <c r="G16" s="15">
        <v>46820</v>
      </c>
      <c r="H16" s="15">
        <v>200</v>
      </c>
      <c r="I16" s="15" t="s">
        <v>23</v>
      </c>
      <c r="J16" s="15">
        <v>3</v>
      </c>
      <c r="K16" s="15" t="s">
        <v>23</v>
      </c>
      <c r="L16" s="15">
        <f t="shared" si="1"/>
        <v>7.8125E-3</v>
      </c>
      <c r="M16" s="15" t="str">
        <f t="shared" si="2"/>
        <v>column/time</v>
      </c>
      <c r="N16" s="3">
        <f t="shared" si="0"/>
        <v>1.82890625</v>
      </c>
      <c r="O16" s="1">
        <f t="shared" si="3"/>
        <v>1.6185011061946902E-2</v>
      </c>
      <c r="P16" s="1">
        <f t="shared" si="4"/>
        <v>1.396111641221374E-2</v>
      </c>
    </row>
    <row r="17" spans="1:16">
      <c r="A17" s="15" t="s">
        <v>19</v>
      </c>
      <c r="B17" s="20" t="s">
        <v>11</v>
      </c>
      <c r="C17" s="15" t="s">
        <v>55</v>
      </c>
      <c r="D17" s="21">
        <v>9012</v>
      </c>
      <c r="E17" s="15">
        <f>10*1000</f>
        <v>10000</v>
      </c>
      <c r="F17" s="15" t="s">
        <v>52</v>
      </c>
      <c r="G17" s="15">
        <v>3672</v>
      </c>
      <c r="H17" s="15">
        <f>10*1000</f>
        <v>10000</v>
      </c>
      <c r="I17" s="15" t="s">
        <v>52</v>
      </c>
      <c r="J17" s="15">
        <v>63</v>
      </c>
      <c r="K17" s="15" t="s">
        <v>52</v>
      </c>
      <c r="L17" s="15">
        <f t="shared" si="1"/>
        <v>0.1640625</v>
      </c>
      <c r="M17" s="15" t="str">
        <f t="shared" si="2"/>
        <v>uL</v>
      </c>
      <c r="N17" s="3">
        <f t="shared" si="0"/>
        <v>6.0243750000000006E-2</v>
      </c>
      <c r="O17" s="1">
        <f t="shared" si="3"/>
        <v>5.3313053097345134E-4</v>
      </c>
      <c r="P17" s="1">
        <f t="shared" si="4"/>
        <v>4.5987595419847332E-4</v>
      </c>
    </row>
    <row r="18" spans="1:16">
      <c r="A18" s="15" t="s">
        <v>24</v>
      </c>
      <c r="B18" s="20" t="s">
        <v>12</v>
      </c>
      <c r="C18" s="15" t="s">
        <v>90</v>
      </c>
      <c r="D18" s="21" t="s">
        <v>89</v>
      </c>
      <c r="E18" s="15">
        <v>10</v>
      </c>
      <c r="F18" s="15" t="s">
        <v>26</v>
      </c>
      <c r="G18" s="15">
        <v>3110</v>
      </c>
      <c r="H18" s="15">
        <f>6*1000</f>
        <v>6000</v>
      </c>
      <c r="I18" s="15" t="s">
        <v>135</v>
      </c>
      <c r="J18" s="15">
        <v>7.5</v>
      </c>
      <c r="K18" s="15" t="s">
        <v>135</v>
      </c>
      <c r="L18" s="15">
        <f t="shared" si="1"/>
        <v>1.953125E-2</v>
      </c>
      <c r="M18" s="15" t="str">
        <f t="shared" si="2"/>
        <v>uL</v>
      </c>
      <c r="N18" s="3">
        <f t="shared" si="0"/>
        <v>1.0123697916666667E-2</v>
      </c>
      <c r="O18" s="1">
        <f t="shared" si="3"/>
        <v>8.9590247050147498E-5</v>
      </c>
      <c r="P18" s="1">
        <f t="shared" si="4"/>
        <v>7.7280136768447837E-5</v>
      </c>
    </row>
    <row r="19" spans="1:16">
      <c r="A19" s="15" t="s">
        <v>24</v>
      </c>
      <c r="B19" s="20" t="s">
        <v>25</v>
      </c>
      <c r="C19" s="15" t="s">
        <v>17</v>
      </c>
      <c r="D19" s="21">
        <v>10216018</v>
      </c>
      <c r="E19" s="15">
        <v>100</v>
      </c>
      <c r="F19" s="15" t="s">
        <v>3</v>
      </c>
      <c r="G19" s="15">
        <v>8920</v>
      </c>
      <c r="H19" s="15">
        <v>250</v>
      </c>
      <c r="I19" s="15" t="s">
        <v>133</v>
      </c>
      <c r="J19" s="15">
        <v>1.8</v>
      </c>
      <c r="K19" s="15" t="s">
        <v>133</v>
      </c>
      <c r="L19" s="15">
        <f t="shared" si="1"/>
        <v>4.6874999999999998E-3</v>
      </c>
      <c r="M19" s="15" t="str">
        <f t="shared" si="2"/>
        <v>uL</v>
      </c>
      <c r="N19" s="3">
        <f t="shared" si="0"/>
        <v>0.16724999999999998</v>
      </c>
      <c r="O19" s="1">
        <f t="shared" si="3"/>
        <v>1.4800884955752211E-3</v>
      </c>
      <c r="P19" s="1">
        <f t="shared" si="4"/>
        <v>1.2767175572519082E-3</v>
      </c>
    </row>
    <row r="20" spans="1:16">
      <c r="A20" s="15" t="s">
        <v>24</v>
      </c>
      <c r="B20" s="20" t="s">
        <v>162</v>
      </c>
      <c r="C20" s="15" t="s">
        <v>28</v>
      </c>
      <c r="D20" s="21" t="s">
        <v>163</v>
      </c>
      <c r="E20" s="15">
        <v>2</v>
      </c>
      <c r="F20" s="15" t="s">
        <v>27</v>
      </c>
      <c r="G20" s="15">
        <v>33320</v>
      </c>
      <c r="H20" s="15">
        <v>60</v>
      </c>
      <c r="I20" s="15" t="s">
        <v>134</v>
      </c>
      <c r="J20" s="15">
        <v>1.44</v>
      </c>
      <c r="K20" s="15" t="s">
        <v>134</v>
      </c>
      <c r="L20" s="15">
        <f t="shared" si="1"/>
        <v>3.7499999999999999E-3</v>
      </c>
      <c r="M20" s="15" t="str">
        <f t="shared" si="2"/>
        <v>uL</v>
      </c>
      <c r="N20" s="3">
        <f t="shared" si="0"/>
        <v>2.0825</v>
      </c>
      <c r="O20" s="1">
        <f t="shared" si="3"/>
        <v>1.8429203539823007E-2</v>
      </c>
      <c r="P20" s="1">
        <f t="shared" si="4"/>
        <v>1.5896946564885495E-2</v>
      </c>
    </row>
    <row r="21" spans="1:16">
      <c r="A21" s="15" t="s">
        <v>24</v>
      </c>
      <c r="B21" s="20" t="s">
        <v>86</v>
      </c>
      <c r="C21" s="15" t="s">
        <v>87</v>
      </c>
      <c r="D21" s="21">
        <v>3333574001</v>
      </c>
      <c r="E21" s="15">
        <v>400</v>
      </c>
      <c r="F21" s="15" t="s">
        <v>7</v>
      </c>
      <c r="G21" s="15">
        <v>28300</v>
      </c>
      <c r="H21" s="15">
        <v>60</v>
      </c>
      <c r="I21" s="15" t="s">
        <v>134</v>
      </c>
      <c r="J21" s="15">
        <v>5.04</v>
      </c>
      <c r="K21" s="15" t="s">
        <v>134</v>
      </c>
      <c r="L21" s="15">
        <f t="shared" si="1"/>
        <v>1.3125E-2</v>
      </c>
      <c r="M21" s="15" t="str">
        <f t="shared" si="2"/>
        <v>uL</v>
      </c>
      <c r="N21" s="3">
        <f t="shared" si="0"/>
        <v>6.1906249999999998</v>
      </c>
      <c r="O21" s="1">
        <f t="shared" si="3"/>
        <v>5.4784292035398231E-2</v>
      </c>
      <c r="P21" s="1">
        <f t="shared" si="4"/>
        <v>4.7256679389312974E-2</v>
      </c>
    </row>
    <row r="22" spans="1:16">
      <c r="A22" s="15" t="s">
        <v>24</v>
      </c>
      <c r="B22" s="20" t="s">
        <v>11</v>
      </c>
      <c r="C22" s="15" t="s">
        <v>55</v>
      </c>
      <c r="D22" s="21">
        <v>9012</v>
      </c>
      <c r="E22" s="15">
        <f>10*1000</f>
        <v>10000</v>
      </c>
      <c r="F22" s="15" t="s">
        <v>52</v>
      </c>
      <c r="G22" s="15">
        <v>3672</v>
      </c>
      <c r="H22" s="15">
        <f>10*1000</f>
        <v>10000</v>
      </c>
      <c r="I22" s="15" t="s">
        <v>52</v>
      </c>
      <c r="J22" s="15">
        <f>59.22</f>
        <v>59.22</v>
      </c>
      <c r="K22" s="15" t="s">
        <v>52</v>
      </c>
      <c r="L22" s="15">
        <f t="shared" si="1"/>
        <v>0.15421874999999999</v>
      </c>
      <c r="M22" s="15" t="str">
        <f t="shared" si="2"/>
        <v>uL</v>
      </c>
      <c r="N22" s="3">
        <f t="shared" si="0"/>
        <v>5.6629125000000002E-2</v>
      </c>
      <c r="O22" s="1">
        <f t="shared" si="3"/>
        <v>5.0114269911504428E-4</v>
      </c>
      <c r="P22" s="1">
        <f t="shared" si="4"/>
        <v>4.3228339694656491E-4</v>
      </c>
    </row>
    <row r="23" spans="1:16" ht="60">
      <c r="A23" s="15" t="s">
        <v>29</v>
      </c>
      <c r="B23" s="20" t="s">
        <v>56</v>
      </c>
      <c r="C23" s="15" t="s">
        <v>55</v>
      </c>
      <c r="D23" s="21" t="s">
        <v>58</v>
      </c>
      <c r="E23" s="15">
        <v>2</v>
      </c>
      <c r="F23" s="15" t="s">
        <v>15</v>
      </c>
      <c r="G23" s="15"/>
      <c r="H23" s="15"/>
      <c r="I23" s="15" t="s">
        <v>135</v>
      </c>
      <c r="J23" s="15">
        <v>300.48</v>
      </c>
      <c r="K23" s="15" t="s">
        <v>135</v>
      </c>
      <c r="L23" s="15">
        <f t="shared" si="1"/>
        <v>0.78250000000000008</v>
      </c>
      <c r="M23" s="15" t="str">
        <f t="shared" si="2"/>
        <v>uL</v>
      </c>
      <c r="N23" s="3"/>
    </row>
    <row r="24" spans="1:16" ht="60">
      <c r="A24" s="15" t="s">
        <v>29</v>
      </c>
      <c r="B24" s="20" t="s">
        <v>59</v>
      </c>
      <c r="C24" s="15" t="s">
        <v>55</v>
      </c>
      <c r="D24" s="21" t="s">
        <v>58</v>
      </c>
      <c r="E24" s="15">
        <v>1.25</v>
      </c>
      <c r="F24" s="15" t="s">
        <v>57</v>
      </c>
      <c r="G24" s="15">
        <v>92718</v>
      </c>
      <c r="H24" s="15">
        <v>1000</v>
      </c>
      <c r="I24" s="15" t="s">
        <v>137</v>
      </c>
      <c r="J24" s="15">
        <v>24</v>
      </c>
      <c r="K24" s="15" t="s">
        <v>137</v>
      </c>
      <c r="L24" s="15">
        <f t="shared" si="1"/>
        <v>6.25E-2</v>
      </c>
      <c r="M24" s="15" t="str">
        <f t="shared" si="2"/>
        <v>uL</v>
      </c>
      <c r="N24" s="3">
        <f>G24/H24*L24</f>
        <v>5.7948750000000002</v>
      </c>
      <c r="O24" s="1">
        <f>N24/$S$2</f>
        <v>5.1282079646017699E-2</v>
      </c>
      <c r="P24" s="1">
        <f t="shared" si="4"/>
        <v>4.4235687022900767E-2</v>
      </c>
    </row>
    <row r="25" spans="1:16">
      <c r="A25" s="15" t="s">
        <v>29</v>
      </c>
      <c r="B25" s="20" t="s">
        <v>32</v>
      </c>
      <c r="C25" s="15" t="s">
        <v>94</v>
      </c>
      <c r="D25" s="21"/>
      <c r="E25" s="15">
        <v>10</v>
      </c>
      <c r="F25" s="15" t="s">
        <v>31</v>
      </c>
      <c r="G25" s="15">
        <f>25747</f>
        <v>25747</v>
      </c>
      <c r="H25" s="15">
        <v>4750</v>
      </c>
      <c r="I25" s="15" t="s">
        <v>131</v>
      </c>
      <c r="J25" s="15">
        <v>3.84</v>
      </c>
      <c r="K25" s="15" t="s">
        <v>131</v>
      </c>
      <c r="L25" s="15">
        <f t="shared" si="1"/>
        <v>0.01</v>
      </c>
      <c r="M25" s="15" t="str">
        <f t="shared" si="2"/>
        <v>uL</v>
      </c>
      <c r="N25" s="3">
        <f>G25/H25*L25</f>
        <v>5.4204210526315792E-2</v>
      </c>
      <c r="O25" s="1">
        <f>N25/$S$2</f>
        <v>4.7968327899394509E-4</v>
      </c>
      <c r="P25" s="1">
        <f t="shared" si="4"/>
        <v>4.1377259943752514E-4</v>
      </c>
    </row>
    <row r="26" spans="1:16">
      <c r="A26" s="15" t="s">
        <v>33</v>
      </c>
      <c r="B26" s="20" t="s">
        <v>11</v>
      </c>
      <c r="C26" s="15" t="s">
        <v>55</v>
      </c>
      <c r="D26" s="21">
        <v>9012</v>
      </c>
      <c r="E26" s="15">
        <f>10*1000</f>
        <v>10000</v>
      </c>
      <c r="F26" s="15" t="s">
        <v>52</v>
      </c>
      <c r="G26" s="15">
        <v>3672</v>
      </c>
      <c r="H26" s="15">
        <f>10*1000</f>
        <v>10000</v>
      </c>
      <c r="I26" s="15" t="s">
        <v>52</v>
      </c>
      <c r="J26" s="15">
        <v>225.6</v>
      </c>
      <c r="K26" s="15" t="s">
        <v>52</v>
      </c>
      <c r="L26" s="15">
        <f t="shared" si="1"/>
        <v>0.58750000000000002</v>
      </c>
      <c r="M26" s="15" t="str">
        <f t="shared" si="2"/>
        <v>uL</v>
      </c>
      <c r="N26" s="3">
        <f>G26/H26*L26</f>
        <v>0.21573000000000003</v>
      </c>
      <c r="O26" s="1">
        <f>N26/$S$2</f>
        <v>1.9091150442477878E-3</v>
      </c>
      <c r="P26" s="1">
        <f t="shared" si="4"/>
        <v>1.6467938931297712E-3</v>
      </c>
    </row>
    <row r="27" spans="1:16" ht="60">
      <c r="A27" s="15" t="s">
        <v>35</v>
      </c>
      <c r="B27" s="20" t="s">
        <v>56</v>
      </c>
      <c r="C27" s="15" t="s">
        <v>55</v>
      </c>
      <c r="D27" s="21" t="s">
        <v>58</v>
      </c>
      <c r="E27" s="15">
        <v>2</v>
      </c>
      <c r="F27" s="15" t="s">
        <v>15</v>
      </c>
      <c r="G27" s="15"/>
      <c r="H27" s="15"/>
      <c r="I27" s="15" t="s">
        <v>135</v>
      </c>
      <c r="J27" s="15">
        <v>300.48</v>
      </c>
      <c r="K27" s="15" t="s">
        <v>135</v>
      </c>
      <c r="L27" s="15">
        <f t="shared" si="1"/>
        <v>0.78250000000000008</v>
      </c>
      <c r="M27" s="15" t="str">
        <f t="shared" si="2"/>
        <v>uL</v>
      </c>
      <c r="N27" s="3"/>
    </row>
    <row r="28" spans="1:16">
      <c r="A28" s="15" t="s">
        <v>35</v>
      </c>
      <c r="B28" s="20" t="s">
        <v>34</v>
      </c>
      <c r="C28" s="15" t="s">
        <v>95</v>
      </c>
      <c r="D28" s="21"/>
      <c r="E28" s="15">
        <v>100</v>
      </c>
      <c r="F28" s="15" t="s">
        <v>31</v>
      </c>
      <c r="G28" s="15">
        <f>21470</f>
        <v>21470</v>
      </c>
      <c r="H28" s="15">
        <v>820</v>
      </c>
      <c r="I28" s="15" t="s">
        <v>131</v>
      </c>
      <c r="J28" s="15">
        <v>11.423999999999999</v>
      </c>
      <c r="K28" s="15" t="s">
        <v>131</v>
      </c>
      <c r="L28" s="15">
        <f t="shared" si="1"/>
        <v>2.9749999999999999E-2</v>
      </c>
      <c r="M28" s="15" t="str">
        <f t="shared" si="2"/>
        <v>uL</v>
      </c>
      <c r="N28" s="3">
        <f t="shared" ref="N28:N52" si="5">G28/H28*L28</f>
        <v>0.77894207317073172</v>
      </c>
      <c r="O28" s="5">
        <f>N28/$S$2</f>
        <v>6.8932926829268293E-3</v>
      </c>
      <c r="P28" s="1">
        <f t="shared" si="4"/>
        <v>5.9461226959597845E-3</v>
      </c>
    </row>
    <row r="29" spans="1:16">
      <c r="A29" s="15" t="s">
        <v>36</v>
      </c>
      <c r="B29" s="20" t="s">
        <v>11</v>
      </c>
      <c r="C29" s="15" t="s">
        <v>55</v>
      </c>
      <c r="D29" s="21">
        <v>9012</v>
      </c>
      <c r="E29" s="15">
        <f>10*1000</f>
        <v>10000</v>
      </c>
      <c r="F29" s="15" t="s">
        <v>52</v>
      </c>
      <c r="G29" s="15">
        <v>3672</v>
      </c>
      <c r="H29" s="15">
        <f>10*1000</f>
        <v>10000</v>
      </c>
      <c r="I29" s="15" t="s">
        <v>52</v>
      </c>
      <c r="J29" s="15">
        <v>290.88</v>
      </c>
      <c r="K29" s="15" t="s">
        <v>52</v>
      </c>
      <c r="L29" s="15">
        <f t="shared" si="1"/>
        <v>0.75749999999999995</v>
      </c>
      <c r="M29" s="15" t="str">
        <f t="shared" si="2"/>
        <v>uL</v>
      </c>
      <c r="N29" s="3">
        <f t="shared" si="5"/>
        <v>0.27815400000000001</v>
      </c>
      <c r="O29" s="5">
        <f t="shared" ref="O29:O61" si="6">N29/$S$2</f>
        <v>2.4615398230088499E-3</v>
      </c>
      <c r="P29" s="1">
        <f t="shared" si="4"/>
        <v>2.1233129770992366E-3</v>
      </c>
    </row>
    <row r="30" spans="1:16">
      <c r="A30" s="8" t="s">
        <v>38</v>
      </c>
      <c r="B30" s="17" t="s">
        <v>54</v>
      </c>
      <c r="C30" s="8" t="s">
        <v>39</v>
      </c>
      <c r="D30" s="9">
        <v>28006</v>
      </c>
      <c r="E30" s="8">
        <v>250</v>
      </c>
      <c r="F30" s="8" t="s">
        <v>40</v>
      </c>
      <c r="G30" s="8">
        <v>64000</v>
      </c>
      <c r="H30" s="8">
        <v>250</v>
      </c>
      <c r="I30" s="8" t="s">
        <v>40</v>
      </c>
      <c r="J30" s="8">
        <v>1</v>
      </c>
      <c r="K30" s="8" t="s">
        <v>40</v>
      </c>
      <c r="L30" s="8">
        <f t="shared" si="1"/>
        <v>2.6041666666666665E-3</v>
      </c>
      <c r="M30" s="8" t="str">
        <f t="shared" si="2"/>
        <v>column</v>
      </c>
      <c r="N30" s="3">
        <f t="shared" si="5"/>
        <v>0.66666666666666663</v>
      </c>
      <c r="O30" s="5">
        <f t="shared" si="6"/>
        <v>5.8997050147492625E-3</v>
      </c>
      <c r="P30" s="1">
        <f t="shared" si="4"/>
        <v>5.0890585241730275E-3</v>
      </c>
    </row>
    <row r="31" spans="1:16">
      <c r="A31" s="8" t="s">
        <v>41</v>
      </c>
      <c r="B31" s="17" t="s">
        <v>11</v>
      </c>
      <c r="C31" s="8" t="s">
        <v>55</v>
      </c>
      <c r="D31" s="9">
        <v>9012</v>
      </c>
      <c r="E31" s="8">
        <f>10*1000</f>
        <v>10000</v>
      </c>
      <c r="F31" s="8" t="s">
        <v>52</v>
      </c>
      <c r="G31" s="8">
        <v>3672</v>
      </c>
      <c r="H31" s="8">
        <f>10*1000</f>
        <v>10000</v>
      </c>
      <c r="I31" s="8" t="s">
        <v>52</v>
      </c>
      <c r="J31" s="8">
        <v>42</v>
      </c>
      <c r="K31" s="8" t="s">
        <v>52</v>
      </c>
      <c r="L31" s="8">
        <f t="shared" si="1"/>
        <v>0.109375</v>
      </c>
      <c r="M31" s="8" t="str">
        <f t="shared" si="2"/>
        <v>uL</v>
      </c>
      <c r="N31" s="3">
        <f t="shared" si="5"/>
        <v>4.0162500000000004E-2</v>
      </c>
      <c r="O31" s="5">
        <f t="shared" si="6"/>
        <v>3.5542035398230089E-4</v>
      </c>
      <c r="P31" s="1">
        <f t="shared" si="4"/>
        <v>3.065839694656489E-4</v>
      </c>
    </row>
    <row r="32" spans="1:16">
      <c r="A32" s="8" t="s">
        <v>42</v>
      </c>
      <c r="B32" s="17" t="s">
        <v>50</v>
      </c>
      <c r="C32" s="8" t="s">
        <v>51</v>
      </c>
      <c r="D32" s="9" t="s">
        <v>53</v>
      </c>
      <c r="E32" s="8">
        <f>60*1000</f>
        <v>60000</v>
      </c>
      <c r="F32" s="8" t="s">
        <v>52</v>
      </c>
      <c r="G32" s="22">
        <v>100980</v>
      </c>
      <c r="H32" s="8">
        <f>60*1000</f>
        <v>60000</v>
      </c>
      <c r="I32" s="8" t="s">
        <v>52</v>
      </c>
      <c r="J32" s="8">
        <v>32</v>
      </c>
      <c r="K32" s="8" t="s">
        <v>52</v>
      </c>
      <c r="L32" s="8">
        <f t="shared" si="1"/>
        <v>8.3333333333333329E-2</v>
      </c>
      <c r="M32" s="8" t="str">
        <f t="shared" si="2"/>
        <v>uL</v>
      </c>
      <c r="N32" s="3">
        <f t="shared" si="5"/>
        <v>0.14024999999999999</v>
      </c>
      <c r="O32" s="5">
        <f t="shared" si="6"/>
        <v>1.2411504424778761E-3</v>
      </c>
      <c r="P32" s="1">
        <f t="shared" si="4"/>
        <v>1.0706106870229006E-3</v>
      </c>
    </row>
    <row r="33" spans="1:16">
      <c r="A33" s="8" t="s">
        <v>44</v>
      </c>
      <c r="B33" s="17" t="s">
        <v>43</v>
      </c>
      <c r="C33" s="8" t="s">
        <v>91</v>
      </c>
      <c r="D33" s="9" t="s">
        <v>92</v>
      </c>
      <c r="E33" s="8">
        <f>10*11</f>
        <v>110</v>
      </c>
      <c r="F33" s="8" t="s">
        <v>45</v>
      </c>
      <c r="G33" s="8">
        <v>61560</v>
      </c>
      <c r="H33" s="8">
        <v>110</v>
      </c>
      <c r="I33" s="8" t="s">
        <v>45</v>
      </c>
      <c r="J33" s="8">
        <v>1</v>
      </c>
      <c r="K33" s="8" t="s">
        <v>45</v>
      </c>
      <c r="L33" s="8">
        <f t="shared" si="1"/>
        <v>2.6041666666666665E-3</v>
      </c>
      <c r="M33" s="8" t="str">
        <f t="shared" si="2"/>
        <v>well</v>
      </c>
      <c r="N33" s="3">
        <f t="shared" si="5"/>
        <v>1.4573863636363635</v>
      </c>
      <c r="O33" s="5">
        <f t="shared" si="6"/>
        <v>1.2897224456958969E-2</v>
      </c>
      <c r="P33" s="1">
        <f t="shared" si="4"/>
        <v>1.1125086745315753E-2</v>
      </c>
    </row>
    <row r="34" spans="1:16">
      <c r="A34" s="8" t="s">
        <v>141</v>
      </c>
      <c r="B34" s="17" t="s">
        <v>145</v>
      </c>
      <c r="C34" s="8" t="s">
        <v>144</v>
      </c>
      <c r="D34" s="9" t="s">
        <v>143</v>
      </c>
      <c r="E34" s="8">
        <v>1000</v>
      </c>
      <c r="F34" s="8" t="s">
        <v>75</v>
      </c>
      <c r="G34" s="8">
        <f>1000*175</f>
        <v>175000</v>
      </c>
      <c r="H34" s="8">
        <v>1000</v>
      </c>
      <c r="I34" s="8" t="s">
        <v>119</v>
      </c>
      <c r="J34" s="8">
        <v>1</v>
      </c>
      <c r="K34" s="8" t="s">
        <v>119</v>
      </c>
      <c r="L34" s="8">
        <f t="shared" si="1"/>
        <v>2.6041666666666665E-3</v>
      </c>
      <c r="M34" s="8" t="str">
        <f t="shared" si="2"/>
        <v>well</v>
      </c>
      <c r="N34" s="3">
        <f t="shared" si="5"/>
        <v>0.45572916666666663</v>
      </c>
      <c r="O34" s="5">
        <f t="shared" si="6"/>
        <v>4.0330014749262533E-3</v>
      </c>
      <c r="P34" s="1">
        <f t="shared" si="4"/>
        <v>3.4788486005089057E-3</v>
      </c>
    </row>
    <row r="35" spans="1:16" ht="30">
      <c r="A35" s="8" t="s">
        <v>46</v>
      </c>
      <c r="B35" s="17" t="s">
        <v>96</v>
      </c>
      <c r="C35" s="8" t="s">
        <v>48</v>
      </c>
      <c r="D35" s="9">
        <v>520091</v>
      </c>
      <c r="E35" s="8">
        <v>250</v>
      </c>
      <c r="F35" s="8" t="s">
        <v>47</v>
      </c>
      <c r="G35" s="8">
        <v>213840</v>
      </c>
      <c r="H35" s="8">
        <v>250</v>
      </c>
      <c r="I35" s="8" t="s">
        <v>47</v>
      </c>
      <c r="J35" s="8">
        <v>1</v>
      </c>
      <c r="K35" s="8" t="s">
        <v>47</v>
      </c>
      <c r="L35" s="8">
        <f t="shared" si="1"/>
        <v>2.6041666666666665E-3</v>
      </c>
      <c r="M35" s="8" t="str">
        <f t="shared" si="2"/>
        <v>tube</v>
      </c>
      <c r="N35" s="3">
        <f t="shared" si="5"/>
        <v>2.2275</v>
      </c>
      <c r="O35" s="5">
        <f t="shared" si="6"/>
        <v>1.9712389380530975E-2</v>
      </c>
      <c r="P35" s="1">
        <f t="shared" si="4"/>
        <v>1.700381679389313E-2</v>
      </c>
    </row>
    <row r="36" spans="1:16">
      <c r="A36" s="8" t="s">
        <v>46</v>
      </c>
      <c r="B36" s="17" t="s">
        <v>20</v>
      </c>
      <c r="C36" s="8" t="s">
        <v>21</v>
      </c>
      <c r="D36" s="9" t="s">
        <v>22</v>
      </c>
      <c r="E36" s="8">
        <v>200</v>
      </c>
      <c r="F36" s="8" t="s">
        <v>23</v>
      </c>
      <c r="G36" s="8">
        <v>46820</v>
      </c>
      <c r="H36" s="8">
        <v>200</v>
      </c>
      <c r="I36" s="8" t="s">
        <v>23</v>
      </c>
      <c r="J36" s="8">
        <v>1</v>
      </c>
      <c r="K36" s="8" t="s">
        <v>23</v>
      </c>
      <c r="L36" s="8">
        <f t="shared" si="1"/>
        <v>2.6041666666666665E-3</v>
      </c>
      <c r="M36" s="8" t="str">
        <f t="shared" si="2"/>
        <v>column/time</v>
      </c>
      <c r="N36" s="3">
        <f t="shared" si="5"/>
        <v>0.60963541666666665</v>
      </c>
      <c r="O36" s="5">
        <f t="shared" si="6"/>
        <v>5.3950036873156339E-3</v>
      </c>
      <c r="P36" s="1">
        <f t="shared" si="4"/>
        <v>4.6537054707379132E-3</v>
      </c>
    </row>
    <row r="37" spans="1:16">
      <c r="A37" s="8" t="s">
        <v>46</v>
      </c>
      <c r="B37" s="17" t="s">
        <v>11</v>
      </c>
      <c r="C37" s="8" t="s">
        <v>55</v>
      </c>
      <c r="D37" s="9">
        <v>9012</v>
      </c>
      <c r="E37" s="8">
        <f>10*1000</f>
        <v>10000</v>
      </c>
      <c r="F37" s="8" t="s">
        <v>52</v>
      </c>
      <c r="G37" s="8">
        <v>3672</v>
      </c>
      <c r="H37" s="8">
        <f>10*1000</f>
        <v>10000</v>
      </c>
      <c r="I37" s="8" t="s">
        <v>52</v>
      </c>
      <c r="J37" s="8">
        <v>11</v>
      </c>
      <c r="K37" s="8" t="s">
        <v>52</v>
      </c>
      <c r="L37" s="8">
        <f t="shared" si="1"/>
        <v>2.8645833333333332E-2</v>
      </c>
      <c r="M37" s="8" t="str">
        <f t="shared" si="2"/>
        <v>uL</v>
      </c>
      <c r="N37" s="3">
        <f t="shared" si="5"/>
        <v>1.051875E-2</v>
      </c>
      <c r="O37" s="5">
        <f t="shared" si="6"/>
        <v>9.3086283185840713E-5</v>
      </c>
      <c r="P37" s="1">
        <f t="shared" si="4"/>
        <v>8.0295801526717559E-5</v>
      </c>
    </row>
    <row r="38" spans="1:16">
      <c r="A38" s="8" t="s">
        <v>72</v>
      </c>
      <c r="B38" s="17" t="s">
        <v>73</v>
      </c>
      <c r="C38" s="8" t="s">
        <v>74</v>
      </c>
      <c r="D38" s="9"/>
      <c r="E38" s="8">
        <v>24</v>
      </c>
      <c r="F38" s="8" t="s">
        <v>75</v>
      </c>
      <c r="G38" s="23">
        <v>160799</v>
      </c>
      <c r="H38" s="8">
        <v>24</v>
      </c>
      <c r="I38" s="8" t="s">
        <v>75</v>
      </c>
      <c r="J38" s="8">
        <f>1/5</f>
        <v>0.2</v>
      </c>
      <c r="K38" s="8" t="s">
        <v>75</v>
      </c>
      <c r="L38" s="8">
        <f t="shared" si="1"/>
        <v>5.2083333333333333E-4</v>
      </c>
      <c r="M38" s="8" t="str">
        <f t="shared" si="2"/>
        <v>times</v>
      </c>
      <c r="N38" s="3">
        <f t="shared" si="5"/>
        <v>3.489561631944444</v>
      </c>
      <c r="O38" s="5">
        <f t="shared" si="6"/>
        <v>3.0881076388888887E-2</v>
      </c>
      <c r="P38" s="1">
        <f t="shared" si="4"/>
        <v>2.6637875053011024E-2</v>
      </c>
    </row>
    <row r="39" spans="1:16">
      <c r="A39" s="13" t="s">
        <v>72</v>
      </c>
      <c r="B39" s="16" t="s">
        <v>80</v>
      </c>
      <c r="C39" s="13" t="s">
        <v>74</v>
      </c>
      <c r="D39" s="9" t="s">
        <v>81</v>
      </c>
      <c r="E39" s="8">
        <f>500*25/2</f>
        <v>6250</v>
      </c>
      <c r="F39" s="8" t="s">
        <v>52</v>
      </c>
      <c r="G39" s="8">
        <v>37800</v>
      </c>
      <c r="H39" s="8">
        <f>E39</f>
        <v>6250</v>
      </c>
      <c r="I39" s="8" t="s">
        <v>52</v>
      </c>
      <c r="J39" s="8">
        <v>25</v>
      </c>
      <c r="K39" s="8" t="s">
        <v>52</v>
      </c>
      <c r="L39" s="8">
        <f t="shared" si="1"/>
        <v>6.5104166666666671E-2</v>
      </c>
      <c r="M39" s="8" t="str">
        <f t="shared" si="2"/>
        <v>uL</v>
      </c>
      <c r="N39" s="3">
        <f t="shared" si="5"/>
        <v>0.39375000000000004</v>
      </c>
      <c r="O39" s="5">
        <f t="shared" si="6"/>
        <v>3.4845132743362836E-3</v>
      </c>
      <c r="P39" s="1">
        <f t="shared" si="4"/>
        <v>3.0057251908396951E-3</v>
      </c>
    </row>
    <row r="40" spans="1:16">
      <c r="A40" s="13" t="s">
        <v>72</v>
      </c>
      <c r="B40" s="16" t="s">
        <v>101</v>
      </c>
      <c r="C40" s="13" t="s">
        <v>95</v>
      </c>
      <c r="D40" s="9"/>
      <c r="E40" s="8">
        <v>100</v>
      </c>
      <c r="F40" s="8" t="s">
        <v>100</v>
      </c>
      <c r="G40" s="8">
        <v>20304</v>
      </c>
      <c r="H40" s="8">
        <v>900</v>
      </c>
      <c r="I40" s="8" t="s">
        <v>131</v>
      </c>
      <c r="J40" s="8">
        <f>2*1.5/100</f>
        <v>0.03</v>
      </c>
      <c r="K40" s="8" t="s">
        <v>131</v>
      </c>
      <c r="L40" s="8">
        <f t="shared" si="1"/>
        <v>7.8125000000000002E-5</v>
      </c>
      <c r="M40" s="8" t="str">
        <f t="shared" si="2"/>
        <v>uL</v>
      </c>
      <c r="N40" s="3">
        <f t="shared" si="5"/>
        <v>1.7625E-3</v>
      </c>
      <c r="O40" s="5">
        <f t="shared" si="6"/>
        <v>1.5597345132743362E-5</v>
      </c>
      <c r="P40" s="1">
        <f t="shared" si="4"/>
        <v>1.3454198473282443E-5</v>
      </c>
    </row>
    <row r="41" spans="1:16">
      <c r="A41" s="13" t="s">
        <v>72</v>
      </c>
      <c r="B41" s="16" t="s">
        <v>102</v>
      </c>
      <c r="C41" s="13" t="s">
        <v>95</v>
      </c>
      <c r="D41" s="9"/>
      <c r="E41" s="8">
        <v>100</v>
      </c>
      <c r="F41" s="8" t="s">
        <v>98</v>
      </c>
      <c r="G41" s="8">
        <v>29419</v>
      </c>
      <c r="H41" s="8">
        <v>310</v>
      </c>
      <c r="I41" s="8" t="s">
        <v>131</v>
      </c>
      <c r="J41" s="8">
        <f>2*1.5/100</f>
        <v>0.03</v>
      </c>
      <c r="K41" s="8" t="s">
        <v>131</v>
      </c>
      <c r="L41" s="8">
        <f t="shared" si="1"/>
        <v>7.8125000000000002E-5</v>
      </c>
      <c r="M41" s="8" t="str">
        <f t="shared" si="2"/>
        <v>uL</v>
      </c>
      <c r="N41" s="3">
        <f t="shared" si="5"/>
        <v>7.4140625000000005E-3</v>
      </c>
      <c r="O41" s="5">
        <f t="shared" si="6"/>
        <v>6.561117256637168E-5</v>
      </c>
      <c r="P41" s="1">
        <f t="shared" si="4"/>
        <v>5.6595896946564889E-5</v>
      </c>
    </row>
    <row r="42" spans="1:16">
      <c r="A42" s="13" t="s">
        <v>72</v>
      </c>
      <c r="B42" s="16" t="s">
        <v>99</v>
      </c>
      <c r="C42" s="13" t="s">
        <v>95</v>
      </c>
      <c r="D42" s="9"/>
      <c r="E42" s="8">
        <v>100</v>
      </c>
      <c r="F42" s="8" t="s">
        <v>98</v>
      </c>
      <c r="G42" s="8">
        <v>29419</v>
      </c>
      <c r="H42" s="8">
        <v>310</v>
      </c>
      <c r="I42" s="8" t="s">
        <v>131</v>
      </c>
      <c r="J42" s="8">
        <v>0.35</v>
      </c>
      <c r="K42" s="8" t="s">
        <v>131</v>
      </c>
      <c r="L42" s="8">
        <f t="shared" si="1"/>
        <v>9.1145833333333324E-4</v>
      </c>
      <c r="M42" s="8" t="str">
        <f t="shared" si="2"/>
        <v>uL</v>
      </c>
      <c r="N42" s="3">
        <f t="shared" si="5"/>
        <v>8.6497395833333324E-2</v>
      </c>
      <c r="O42" s="5">
        <f t="shared" si="6"/>
        <v>7.6546367994100289E-4</v>
      </c>
      <c r="P42" s="1">
        <f t="shared" si="4"/>
        <v>6.6028546437659028E-4</v>
      </c>
    </row>
    <row r="43" spans="1:16">
      <c r="A43" s="13" t="s">
        <v>72</v>
      </c>
      <c r="B43" s="16" t="s">
        <v>97</v>
      </c>
      <c r="C43" s="13" t="s">
        <v>95</v>
      </c>
      <c r="D43" s="9"/>
      <c r="E43" s="8">
        <v>100</v>
      </c>
      <c r="F43" s="8" t="s">
        <v>8</v>
      </c>
      <c r="G43" s="8">
        <v>21556</v>
      </c>
      <c r="H43" s="8">
        <v>818</v>
      </c>
      <c r="I43" s="8" t="s">
        <v>131</v>
      </c>
      <c r="J43" s="8">
        <v>0.35</v>
      </c>
      <c r="K43" s="8" t="s">
        <v>131</v>
      </c>
      <c r="L43" s="8">
        <f t="shared" si="1"/>
        <v>9.1145833333333324E-4</v>
      </c>
      <c r="M43" s="8" t="str">
        <f t="shared" si="2"/>
        <v>uL</v>
      </c>
      <c r="N43" s="3">
        <f t="shared" si="5"/>
        <v>2.4018821312143435E-2</v>
      </c>
      <c r="O43" s="5">
        <f t="shared" si="6"/>
        <v>2.1255594081542864E-4</v>
      </c>
      <c r="P43" s="1">
        <f t="shared" si="4"/>
        <v>1.8334978100872852E-4</v>
      </c>
    </row>
    <row r="44" spans="1:16">
      <c r="A44" s="8" t="s">
        <v>76</v>
      </c>
      <c r="B44" s="17" t="s">
        <v>50</v>
      </c>
      <c r="C44" s="8" t="s">
        <v>51</v>
      </c>
      <c r="D44" s="9" t="s">
        <v>53</v>
      </c>
      <c r="E44" s="8">
        <f>60*1000</f>
        <v>60000</v>
      </c>
      <c r="F44" s="8" t="s">
        <v>52</v>
      </c>
      <c r="G44" s="22">
        <v>100980</v>
      </c>
      <c r="H44" s="8">
        <f>60*1000</f>
        <v>60000</v>
      </c>
      <c r="I44" s="8" t="s">
        <v>52</v>
      </c>
      <c r="J44" s="8">
        <v>40</v>
      </c>
      <c r="K44" s="8" t="s">
        <v>52</v>
      </c>
      <c r="L44" s="8">
        <f t="shared" si="1"/>
        <v>0.10416666666666667</v>
      </c>
      <c r="M44" s="8" t="str">
        <f t="shared" si="2"/>
        <v>uL</v>
      </c>
      <c r="N44" s="3">
        <f t="shared" si="5"/>
        <v>0.17531250000000001</v>
      </c>
      <c r="O44" s="5">
        <f t="shared" si="6"/>
        <v>1.5514380530973451E-3</v>
      </c>
      <c r="P44" s="1">
        <f t="shared" si="4"/>
        <v>1.3382633587786261E-3</v>
      </c>
    </row>
    <row r="45" spans="1:16">
      <c r="A45" s="8" t="s">
        <v>76</v>
      </c>
      <c r="B45" s="17" t="s">
        <v>11</v>
      </c>
      <c r="C45" s="8" t="s">
        <v>55</v>
      </c>
      <c r="D45" s="9">
        <v>9012</v>
      </c>
      <c r="E45" s="8">
        <f>10*1000</f>
        <v>10000</v>
      </c>
      <c r="F45" s="8" t="s">
        <v>52</v>
      </c>
      <c r="G45" s="8">
        <v>3672</v>
      </c>
      <c r="H45" s="8">
        <f>10*1000</f>
        <v>10000</v>
      </c>
      <c r="I45" s="8" t="s">
        <v>52</v>
      </c>
      <c r="J45" s="8">
        <v>25</v>
      </c>
      <c r="K45" s="8" t="s">
        <v>52</v>
      </c>
      <c r="L45" s="8">
        <f t="shared" si="1"/>
        <v>6.5104166666666671E-2</v>
      </c>
      <c r="M45" s="8" t="str">
        <f t="shared" si="2"/>
        <v>uL</v>
      </c>
      <c r="N45" s="3">
        <f t="shared" si="5"/>
        <v>2.3906250000000004E-2</v>
      </c>
      <c r="O45" s="5">
        <f t="shared" si="6"/>
        <v>2.1155973451327437E-4</v>
      </c>
      <c r="P45" s="1">
        <f t="shared" si="4"/>
        <v>1.824904580152672E-4</v>
      </c>
    </row>
    <row r="46" spans="1:16">
      <c r="A46" s="13" t="s">
        <v>77</v>
      </c>
      <c r="B46" s="16" t="s">
        <v>43</v>
      </c>
      <c r="C46" s="8" t="s">
        <v>91</v>
      </c>
      <c r="D46" s="9" t="s">
        <v>92</v>
      </c>
      <c r="E46" s="8">
        <f>10*11</f>
        <v>110</v>
      </c>
      <c r="F46" s="8" t="s">
        <v>45</v>
      </c>
      <c r="G46" s="8">
        <v>61560</v>
      </c>
      <c r="H46" s="8">
        <v>110</v>
      </c>
      <c r="I46" s="8" t="s">
        <v>45</v>
      </c>
      <c r="J46" s="8">
        <v>1</v>
      </c>
      <c r="K46" s="8" t="s">
        <v>45</v>
      </c>
      <c r="L46" s="8">
        <f t="shared" si="1"/>
        <v>2.6041666666666665E-3</v>
      </c>
      <c r="M46" s="8" t="str">
        <f t="shared" si="2"/>
        <v>well</v>
      </c>
      <c r="N46" s="3">
        <f t="shared" si="5"/>
        <v>1.4573863636363635</v>
      </c>
      <c r="O46" s="5">
        <f t="shared" si="6"/>
        <v>1.2897224456958969E-2</v>
      </c>
      <c r="P46" s="1">
        <f t="shared" si="4"/>
        <v>1.1125086745315753E-2</v>
      </c>
    </row>
    <row r="47" spans="1:16">
      <c r="A47" s="13" t="s">
        <v>142</v>
      </c>
      <c r="B47" s="17" t="s">
        <v>145</v>
      </c>
      <c r="C47" s="8" t="s">
        <v>144</v>
      </c>
      <c r="D47" s="9" t="s">
        <v>143</v>
      </c>
      <c r="E47" s="8">
        <v>1000</v>
      </c>
      <c r="F47" s="8" t="s">
        <v>75</v>
      </c>
      <c r="G47" s="8">
        <f>1000*175</f>
        <v>175000</v>
      </c>
      <c r="H47" s="8">
        <v>1000</v>
      </c>
      <c r="I47" s="8" t="s">
        <v>119</v>
      </c>
      <c r="J47" s="8">
        <v>1</v>
      </c>
      <c r="K47" s="8" t="s">
        <v>119</v>
      </c>
      <c r="L47" s="8">
        <f t="shared" ref="L47" si="7">J47/384</f>
        <v>2.6041666666666665E-3</v>
      </c>
      <c r="M47" s="8" t="str">
        <f t="shared" ref="M47" si="8">K47</f>
        <v>well</v>
      </c>
      <c r="N47" s="3">
        <f t="shared" si="5"/>
        <v>0.45572916666666663</v>
      </c>
      <c r="O47" s="5">
        <f t="shared" si="6"/>
        <v>4.0330014749262533E-3</v>
      </c>
      <c r="P47" s="1">
        <f t="shared" si="4"/>
        <v>3.4788486005089057E-3</v>
      </c>
    </row>
    <row r="48" spans="1:16">
      <c r="A48" s="13" t="s">
        <v>124</v>
      </c>
      <c r="B48" s="16" t="s">
        <v>103</v>
      </c>
      <c r="C48" s="8" t="s">
        <v>104</v>
      </c>
      <c r="D48" s="9" t="s">
        <v>105</v>
      </c>
      <c r="E48" s="8">
        <f>96*10*5</f>
        <v>4800</v>
      </c>
      <c r="F48" s="8" t="s">
        <v>106</v>
      </c>
      <c r="G48" s="8">
        <v>57210</v>
      </c>
      <c r="H48" s="8">
        <f>E48</f>
        <v>4800</v>
      </c>
      <c r="I48" s="8" t="s">
        <v>106</v>
      </c>
      <c r="J48" s="8">
        <v>19</v>
      </c>
      <c r="K48" s="8" t="s">
        <v>106</v>
      </c>
      <c r="L48" s="8">
        <f t="shared" si="1"/>
        <v>4.9479166666666664E-2</v>
      </c>
      <c r="M48" s="8" t="str">
        <f t="shared" si="2"/>
        <v>Tip</v>
      </c>
      <c r="N48" s="3">
        <f t="shared" si="5"/>
        <v>0.58972981770833333</v>
      </c>
      <c r="O48" s="5">
        <f t="shared" si="6"/>
        <v>5.2188479443215337E-3</v>
      </c>
      <c r="P48" s="1">
        <f t="shared" si="4"/>
        <v>4.5017543336513992E-3</v>
      </c>
    </row>
    <row r="49" spans="1:16">
      <c r="A49" s="13" t="s">
        <v>124</v>
      </c>
      <c r="B49" s="16" t="s">
        <v>107</v>
      </c>
      <c r="C49" s="8" t="s">
        <v>104</v>
      </c>
      <c r="D49" s="9" t="s">
        <v>108</v>
      </c>
      <c r="E49" s="8">
        <f>96*10*5</f>
        <v>4800</v>
      </c>
      <c r="F49" s="8" t="s">
        <v>106</v>
      </c>
      <c r="G49" s="8">
        <v>60480</v>
      </c>
      <c r="H49" s="8">
        <f t="shared" ref="H49:H56" si="9">E49</f>
        <v>4800</v>
      </c>
      <c r="I49" s="8" t="s">
        <v>106</v>
      </c>
      <c r="J49" s="8">
        <v>28</v>
      </c>
      <c r="K49" s="8" t="s">
        <v>106</v>
      </c>
      <c r="L49" s="8">
        <f t="shared" si="1"/>
        <v>7.2916666666666671E-2</v>
      </c>
      <c r="M49" s="8" t="str">
        <f t="shared" si="2"/>
        <v>Tip</v>
      </c>
      <c r="N49" s="3">
        <f t="shared" si="5"/>
        <v>0.91875000000000007</v>
      </c>
      <c r="O49" s="5">
        <f t="shared" si="6"/>
        <v>8.1305309734513286E-3</v>
      </c>
      <c r="P49" s="1">
        <f t="shared" si="4"/>
        <v>7.0133587786259544E-3</v>
      </c>
    </row>
    <row r="50" spans="1:16">
      <c r="A50" s="8" t="s">
        <v>124</v>
      </c>
      <c r="B50" s="17" t="s">
        <v>109</v>
      </c>
      <c r="C50" s="8" t="s">
        <v>104</v>
      </c>
      <c r="D50" s="9" t="s">
        <v>110</v>
      </c>
      <c r="E50" s="8">
        <f>96*10*5</f>
        <v>4800</v>
      </c>
      <c r="F50" s="8" t="s">
        <v>106</v>
      </c>
      <c r="G50" s="8">
        <v>60480</v>
      </c>
      <c r="H50" s="8">
        <f t="shared" si="9"/>
        <v>4800</v>
      </c>
      <c r="I50" s="8" t="s">
        <v>106</v>
      </c>
      <c r="J50" s="8">
        <v>13</v>
      </c>
      <c r="K50" s="8" t="s">
        <v>106</v>
      </c>
      <c r="L50" s="8">
        <f t="shared" si="1"/>
        <v>3.3854166666666664E-2</v>
      </c>
      <c r="M50" s="8" t="str">
        <f t="shared" si="2"/>
        <v>Tip</v>
      </c>
      <c r="N50" s="3">
        <f t="shared" si="5"/>
        <v>0.42656249999999996</v>
      </c>
      <c r="O50" s="5">
        <f t="shared" si="6"/>
        <v>3.7748893805309731E-3</v>
      </c>
      <c r="P50" s="1">
        <f t="shared" si="4"/>
        <v>3.2562022900763355E-3</v>
      </c>
    </row>
    <row r="51" spans="1:16">
      <c r="A51" s="8" t="s">
        <v>124</v>
      </c>
      <c r="B51" s="17" t="s">
        <v>111</v>
      </c>
      <c r="C51" s="8" t="s">
        <v>112</v>
      </c>
      <c r="D51" s="9">
        <v>1013070</v>
      </c>
      <c r="E51" s="8">
        <f>96*10*5</f>
        <v>4800</v>
      </c>
      <c r="F51" s="8" t="s">
        <v>106</v>
      </c>
      <c r="G51" s="8">
        <v>34560</v>
      </c>
      <c r="H51" s="8">
        <f t="shared" si="9"/>
        <v>4800</v>
      </c>
      <c r="I51" s="8" t="s">
        <v>106</v>
      </c>
      <c r="J51" s="8">
        <v>6</v>
      </c>
      <c r="K51" s="8" t="s">
        <v>106</v>
      </c>
      <c r="L51" s="8">
        <f t="shared" si="1"/>
        <v>1.5625E-2</v>
      </c>
      <c r="M51" s="8" t="str">
        <f t="shared" si="2"/>
        <v>Tip</v>
      </c>
      <c r="N51" s="3">
        <f t="shared" si="5"/>
        <v>0.1125</v>
      </c>
      <c r="O51" s="5">
        <f t="shared" si="6"/>
        <v>9.9557522123893804E-4</v>
      </c>
      <c r="P51" s="1">
        <f t="shared" si="4"/>
        <v>8.5877862595419845E-4</v>
      </c>
    </row>
    <row r="52" spans="1:16">
      <c r="A52" s="8" t="s">
        <v>124</v>
      </c>
      <c r="B52" s="17" t="s">
        <v>113</v>
      </c>
      <c r="C52" s="8" t="s">
        <v>112</v>
      </c>
      <c r="D52" s="9">
        <v>1013090</v>
      </c>
      <c r="E52" s="8">
        <f>96*10*4</f>
        <v>3840</v>
      </c>
      <c r="F52" s="8" t="s">
        <v>106</v>
      </c>
      <c r="G52" s="8">
        <v>30240</v>
      </c>
      <c r="H52" s="8">
        <f t="shared" si="9"/>
        <v>3840</v>
      </c>
      <c r="I52" s="8" t="s">
        <v>106</v>
      </c>
      <c r="J52" s="8">
        <v>15</v>
      </c>
      <c r="K52" s="8" t="s">
        <v>106</v>
      </c>
      <c r="L52" s="8">
        <f t="shared" si="1"/>
        <v>3.90625E-2</v>
      </c>
      <c r="M52" s="8" t="str">
        <f t="shared" si="2"/>
        <v>Tip</v>
      </c>
      <c r="N52" s="3">
        <f t="shared" si="5"/>
        <v>0.3076171875</v>
      </c>
      <c r="O52" s="5">
        <f t="shared" si="6"/>
        <v>2.7222759955752214E-3</v>
      </c>
      <c r="P52" s="1">
        <f t="shared" si="4"/>
        <v>2.3482228053435116E-3</v>
      </c>
    </row>
    <row r="53" spans="1:16">
      <c r="A53" s="8" t="s">
        <v>146</v>
      </c>
      <c r="B53" s="17" t="s">
        <v>174</v>
      </c>
      <c r="C53" s="8" t="s">
        <v>176</v>
      </c>
      <c r="D53" s="9" t="s">
        <v>177</v>
      </c>
      <c r="E53" s="8">
        <v>960</v>
      </c>
      <c r="F53" s="8" t="s">
        <v>175</v>
      </c>
      <c r="G53" s="8">
        <v>13651</v>
      </c>
      <c r="H53" s="8">
        <f>E53</f>
        <v>960</v>
      </c>
      <c r="I53" s="8" t="s">
        <v>175</v>
      </c>
      <c r="J53" s="8">
        <v>2</v>
      </c>
      <c r="K53" s="8" t="s">
        <v>175</v>
      </c>
      <c r="L53" s="8">
        <f>J53/1536</f>
        <v>1.3020833333333333E-3</v>
      </c>
      <c r="M53" s="8" t="s">
        <v>175</v>
      </c>
      <c r="N53" s="3"/>
      <c r="O53" s="5">
        <f t="shared" si="6"/>
        <v>0</v>
      </c>
      <c r="P53" s="1">
        <f t="shared" si="4"/>
        <v>0</v>
      </c>
    </row>
    <row r="54" spans="1:16">
      <c r="A54" s="8" t="s">
        <v>124</v>
      </c>
      <c r="B54" s="17" t="s">
        <v>114</v>
      </c>
      <c r="C54" s="8" t="s">
        <v>71</v>
      </c>
      <c r="D54" s="9">
        <v>30108051</v>
      </c>
      <c r="E54" s="8">
        <f>5*50*3</f>
        <v>750</v>
      </c>
      <c r="F54" s="8" t="s">
        <v>116</v>
      </c>
      <c r="G54" s="8">
        <v>6480</v>
      </c>
      <c r="H54" s="8">
        <f t="shared" si="9"/>
        <v>750</v>
      </c>
      <c r="I54" s="8" t="s">
        <v>116</v>
      </c>
      <c r="J54" s="8">
        <v>4</v>
      </c>
      <c r="K54" s="8" t="s">
        <v>116</v>
      </c>
      <c r="L54" s="8">
        <f t="shared" si="1"/>
        <v>1.0416666666666666E-2</v>
      </c>
      <c r="M54" s="8" t="str">
        <f t="shared" si="2"/>
        <v>tube</v>
      </c>
      <c r="N54" s="3">
        <f t="shared" ref="N54:N61" si="10">G54/H54*L54</f>
        <v>0.09</v>
      </c>
      <c r="O54" s="5">
        <f t="shared" si="6"/>
        <v>7.9646017699115039E-4</v>
      </c>
      <c r="P54" s="1">
        <f t="shared" si="4"/>
        <v>6.8702290076335878E-4</v>
      </c>
    </row>
    <row r="55" spans="1:16">
      <c r="A55" s="8" t="s">
        <v>124</v>
      </c>
      <c r="B55" s="17" t="s">
        <v>191</v>
      </c>
      <c r="C55" s="8" t="s">
        <v>181</v>
      </c>
      <c r="D55" s="9" t="s">
        <v>182</v>
      </c>
      <c r="E55" s="8">
        <v>480</v>
      </c>
      <c r="F55" s="8" t="s">
        <v>47</v>
      </c>
      <c r="G55" s="8">
        <v>10220</v>
      </c>
      <c r="H55" s="8">
        <v>480</v>
      </c>
      <c r="I55" s="8" t="s">
        <v>47</v>
      </c>
      <c r="J55" s="8">
        <v>1</v>
      </c>
      <c r="K55" s="8" t="s">
        <v>47</v>
      </c>
      <c r="L55" s="8">
        <f>J55/1536</f>
        <v>6.5104166666666663E-4</v>
      </c>
      <c r="M55" s="8" t="str">
        <f t="shared" si="2"/>
        <v>tube</v>
      </c>
      <c r="N55" s="3">
        <f t="shared" si="10"/>
        <v>1.3861762152777778E-2</v>
      </c>
      <c r="O55" s="5">
        <f t="shared" si="6"/>
        <v>1.226704615290069E-4</v>
      </c>
      <c r="P55" s="1">
        <f t="shared" si="4"/>
        <v>1.0581497826547922E-4</v>
      </c>
    </row>
    <row r="56" spans="1:16">
      <c r="A56" s="8" t="s">
        <v>124</v>
      </c>
      <c r="B56" s="17" t="s">
        <v>115</v>
      </c>
      <c r="C56" s="8" t="s">
        <v>71</v>
      </c>
      <c r="D56" s="9">
        <v>30108310</v>
      </c>
      <c r="E56" s="8">
        <f>4*50*2</f>
        <v>400</v>
      </c>
      <c r="F56" s="8" t="s">
        <v>47</v>
      </c>
      <c r="G56" s="8">
        <v>11404</v>
      </c>
      <c r="H56" s="8">
        <f t="shared" si="9"/>
        <v>400</v>
      </c>
      <c r="I56" s="8" t="s">
        <v>47</v>
      </c>
      <c r="J56" s="8">
        <v>3</v>
      </c>
      <c r="K56" s="8" t="s">
        <v>47</v>
      </c>
      <c r="L56" s="8">
        <f t="shared" si="1"/>
        <v>7.8125E-3</v>
      </c>
      <c r="M56" s="8" t="str">
        <f t="shared" si="2"/>
        <v>tube</v>
      </c>
      <c r="N56" s="3">
        <f t="shared" si="10"/>
        <v>0.22273437500000001</v>
      </c>
      <c r="O56" s="5">
        <f t="shared" si="6"/>
        <v>1.9711006637168141E-3</v>
      </c>
      <c r="P56" s="1">
        <f t="shared" si="4"/>
        <v>1.7002624045801527E-3</v>
      </c>
    </row>
    <row r="57" spans="1:16">
      <c r="A57" s="8" t="s">
        <v>124</v>
      </c>
      <c r="B57" s="17" t="s">
        <v>117</v>
      </c>
      <c r="C57" s="8" t="s">
        <v>55</v>
      </c>
      <c r="D57" s="9" t="s">
        <v>118</v>
      </c>
      <c r="E57" s="8">
        <f>125*8*3</f>
        <v>3000</v>
      </c>
      <c r="F57" s="8" t="s">
        <v>119</v>
      </c>
      <c r="G57" s="8">
        <v>40095</v>
      </c>
      <c r="H57" s="8">
        <f>E57</f>
        <v>3000</v>
      </c>
      <c r="I57" s="8" t="s">
        <v>119</v>
      </c>
      <c r="J57" s="8">
        <v>13</v>
      </c>
      <c r="K57" s="8" t="s">
        <v>119</v>
      </c>
      <c r="L57" s="8">
        <f t="shared" si="1"/>
        <v>3.3854166666666664E-2</v>
      </c>
      <c r="M57" s="8" t="str">
        <f t="shared" si="2"/>
        <v>well</v>
      </c>
      <c r="N57" s="3">
        <f t="shared" si="10"/>
        <v>0.45246093749999999</v>
      </c>
      <c r="O57" s="5">
        <f t="shared" si="6"/>
        <v>4.0040790929203535E-3</v>
      </c>
      <c r="P57" s="1">
        <f t="shared" si="4"/>
        <v>3.4539002862595419E-3</v>
      </c>
    </row>
    <row r="58" spans="1:16" ht="16">
      <c r="A58" s="8" t="s">
        <v>124</v>
      </c>
      <c r="B58" s="17" t="s">
        <v>120</v>
      </c>
      <c r="C58" s="8" t="s">
        <v>55</v>
      </c>
      <c r="D58" s="9" t="s">
        <v>122</v>
      </c>
      <c r="E58" s="8">
        <f>125*8*3</f>
        <v>3000</v>
      </c>
      <c r="F58" s="8" t="s">
        <v>119</v>
      </c>
      <c r="G58" s="24">
        <v>10692</v>
      </c>
      <c r="H58" s="8">
        <f>E58</f>
        <v>3000</v>
      </c>
      <c r="I58" s="8" t="s">
        <v>119</v>
      </c>
      <c r="J58" s="8">
        <v>26</v>
      </c>
      <c r="K58" s="8" t="s">
        <v>119</v>
      </c>
      <c r="L58" s="8">
        <f t="shared" si="1"/>
        <v>6.7708333333333329E-2</v>
      </c>
      <c r="M58" s="8" t="str">
        <f t="shared" si="2"/>
        <v>well</v>
      </c>
      <c r="N58" s="3">
        <f t="shared" si="10"/>
        <v>0.24131249999999999</v>
      </c>
      <c r="O58" s="5">
        <f t="shared" si="6"/>
        <v>2.1355088495575219E-3</v>
      </c>
      <c r="P58" s="1">
        <f t="shared" si="4"/>
        <v>1.8420801526717555E-3</v>
      </c>
    </row>
    <row r="59" spans="1:16" ht="16">
      <c r="A59" s="8" t="s">
        <v>124</v>
      </c>
      <c r="B59" s="17" t="s">
        <v>121</v>
      </c>
      <c r="C59" s="8" t="s">
        <v>55</v>
      </c>
      <c r="D59" s="9" t="s">
        <v>123</v>
      </c>
      <c r="E59" s="8">
        <f>1000</f>
        <v>1000</v>
      </c>
      <c r="F59" s="8" t="s">
        <v>119</v>
      </c>
      <c r="G59" s="24">
        <v>7574</v>
      </c>
      <c r="H59" s="8">
        <f t="shared" ref="H59" si="11">E59</f>
        <v>1000</v>
      </c>
      <c r="I59" s="8" t="s">
        <v>119</v>
      </c>
      <c r="J59" s="8">
        <v>3</v>
      </c>
      <c r="K59" s="8" t="s">
        <v>119</v>
      </c>
      <c r="L59" s="8">
        <f t="shared" si="1"/>
        <v>7.8125E-3</v>
      </c>
      <c r="M59" s="8" t="str">
        <f t="shared" si="2"/>
        <v>well</v>
      </c>
      <c r="N59" s="3">
        <f t="shared" si="10"/>
        <v>5.9171874999999999E-2</v>
      </c>
      <c r="O59" s="5">
        <f t="shared" si="6"/>
        <v>5.2364491150442476E-4</v>
      </c>
      <c r="P59" s="1">
        <f t="shared" si="4"/>
        <v>4.5169370229007633E-4</v>
      </c>
    </row>
    <row r="60" spans="1:16">
      <c r="A60" s="8" t="s">
        <v>128</v>
      </c>
      <c r="B60" s="17" t="s">
        <v>126</v>
      </c>
      <c r="C60" s="8" t="s">
        <v>83</v>
      </c>
      <c r="D60" s="9" t="s">
        <v>127</v>
      </c>
      <c r="E60" s="8">
        <v>2000</v>
      </c>
      <c r="F60" s="8" t="s">
        <v>129</v>
      </c>
      <c r="G60" s="17">
        <v>118584</v>
      </c>
      <c r="H60" s="8">
        <f>E60</f>
        <v>2000</v>
      </c>
      <c r="I60" s="8" t="s">
        <v>129</v>
      </c>
      <c r="J60" s="8">
        <v>3</v>
      </c>
      <c r="K60" s="8" t="s">
        <v>129</v>
      </c>
      <c r="L60" s="8">
        <f t="shared" si="1"/>
        <v>7.8125E-3</v>
      </c>
      <c r="M60" s="8" t="str">
        <f t="shared" si="2"/>
        <v>sheel</v>
      </c>
      <c r="N60" s="3">
        <f t="shared" si="10"/>
        <v>0.46321875000000001</v>
      </c>
      <c r="O60" s="5">
        <f t="shared" si="6"/>
        <v>4.0992809734513276E-3</v>
      </c>
      <c r="P60" s="1">
        <f t="shared" si="4"/>
        <v>3.5360209923664121E-3</v>
      </c>
    </row>
    <row r="61" spans="1:16">
      <c r="A61" s="8" t="s">
        <v>149</v>
      </c>
      <c r="B61" s="17" t="s">
        <v>147</v>
      </c>
      <c r="C61" s="13" t="s">
        <v>95</v>
      </c>
      <c r="D61" s="9"/>
      <c r="E61" s="8">
        <v>100</v>
      </c>
      <c r="F61" s="8" t="s">
        <v>98</v>
      </c>
      <c r="G61" s="8">
        <v>29419</v>
      </c>
      <c r="H61" s="8">
        <v>310</v>
      </c>
      <c r="I61" s="8" t="s">
        <v>148</v>
      </c>
      <c r="J61" s="8">
        <f>6/4</f>
        <v>1.5</v>
      </c>
      <c r="K61" s="8" t="s">
        <v>193</v>
      </c>
      <c r="L61" s="8">
        <f t="shared" si="1"/>
        <v>3.90625E-3</v>
      </c>
      <c r="M61" s="8" t="str">
        <f t="shared" si="2"/>
        <v>uL (for 4 plates)</v>
      </c>
      <c r="N61" s="4">
        <f t="shared" si="10"/>
        <v>0.37070312500000002</v>
      </c>
      <c r="O61" s="5">
        <f t="shared" si="6"/>
        <v>3.2805586283185841E-3</v>
      </c>
      <c r="P61" s="1">
        <f t="shared" si="4"/>
        <v>2.8297948473282445E-3</v>
      </c>
    </row>
    <row r="63" spans="1:16">
      <c r="M63" s="26" t="s">
        <v>158</v>
      </c>
      <c r="N63" s="29">
        <f>SUM(N3:N61)-N33-N34-N46-N47</f>
        <v>60.448697128114262</v>
      </c>
      <c r="O63" s="1">
        <f>SUM(O3:O61)-O33-O34-O46-O47</f>
        <v>0.53494422237269268</v>
      </c>
      <c r="P63" s="1">
        <f>SUM(P3:P61)-P33-P34-P46-P47</f>
        <v>0.46144043609247531</v>
      </c>
    </row>
    <row r="64" spans="1:16">
      <c r="M64" s="26" t="s">
        <v>159</v>
      </c>
      <c r="N64" s="30">
        <f>N63+N33+N46</f>
        <v>63.363469855386995</v>
      </c>
      <c r="O64" s="1">
        <f>O63+O33+O46</f>
        <v>0.56073867128661059</v>
      </c>
      <c r="P64" s="1">
        <f>P63+P33+P46</f>
        <v>0.48369060958310683</v>
      </c>
    </row>
    <row r="65" spans="13:16">
      <c r="M65" s="26" t="s">
        <v>160</v>
      </c>
      <c r="N65" s="31">
        <f>N63+N34+N47</f>
        <v>61.36015546144759</v>
      </c>
      <c r="O65" s="1">
        <f>O63+O34+O47</f>
        <v>0.54301022532254517</v>
      </c>
      <c r="P65" s="1">
        <f>P63+P34+P47</f>
        <v>0.46839813329349311</v>
      </c>
    </row>
  </sheetData>
  <autoFilter ref="A2:P2"/>
  <phoneticPr fontId="1"/>
  <conditionalFormatting sqref="N3:N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/>
  </sheetPr>
  <dimension ref="A1:S65"/>
  <sheetViews>
    <sheetView workbookViewId="0"/>
  </sheetViews>
  <sheetFormatPr baseColWidth="12" defaultRowHeight="15" x14ac:dyDescent="0"/>
  <cols>
    <col min="1" max="1" width="27.33203125" style="1" customWidth="1"/>
    <col min="2" max="2" width="40.6640625" style="1" bestFit="1" customWidth="1"/>
    <col min="3" max="3" width="23.1640625" style="1" bestFit="1" customWidth="1"/>
    <col min="4" max="4" width="19.83203125" style="7" bestFit="1" customWidth="1"/>
    <col min="5" max="6" width="15" style="1" bestFit="1" customWidth="1"/>
    <col min="7" max="7" width="25.6640625" style="1" bestFit="1" customWidth="1"/>
    <col min="8" max="9" width="21.1640625" style="1" bestFit="1" customWidth="1"/>
    <col min="10" max="11" width="21.5" style="1" bestFit="1" customWidth="1"/>
    <col min="12" max="12" width="19.1640625" style="1" bestFit="1" customWidth="1"/>
    <col min="13" max="13" width="42.1640625" style="1" bestFit="1" customWidth="1"/>
    <col min="14" max="14" width="23" style="1" bestFit="1" customWidth="1"/>
    <col min="15" max="15" width="25" style="1" bestFit="1" customWidth="1"/>
    <col min="16" max="16" width="23.83203125" style="1" bestFit="1" customWidth="1"/>
    <col min="17" max="17" width="12.83203125" style="1"/>
    <col min="18" max="18" width="26.33203125" style="1" bestFit="1" customWidth="1"/>
    <col min="19" max="19" width="10.1640625" style="1" bestFit="1" customWidth="1"/>
    <col min="20" max="16384" width="12.83203125" style="1"/>
  </cols>
  <sheetData>
    <row r="1" spans="1:19" ht="32" customHeight="1">
      <c r="A1" s="32" t="s">
        <v>167</v>
      </c>
      <c r="S1" s="1" t="s">
        <v>173</v>
      </c>
    </row>
    <row r="2" spans="1:19">
      <c r="A2" s="26" t="s">
        <v>0</v>
      </c>
      <c r="B2" s="26" t="s">
        <v>1</v>
      </c>
      <c r="C2" s="26" t="s">
        <v>2</v>
      </c>
      <c r="D2" s="27" t="s">
        <v>161</v>
      </c>
      <c r="E2" s="26" t="s">
        <v>150</v>
      </c>
      <c r="F2" s="26" t="s">
        <v>151</v>
      </c>
      <c r="G2" s="26" t="s">
        <v>154</v>
      </c>
      <c r="H2" s="26" t="s">
        <v>152</v>
      </c>
      <c r="I2" s="26" t="s">
        <v>153</v>
      </c>
      <c r="J2" s="26" t="s">
        <v>130</v>
      </c>
      <c r="K2" s="26" t="s">
        <v>138</v>
      </c>
      <c r="L2" s="26" t="s">
        <v>140</v>
      </c>
      <c r="M2" s="26" t="s">
        <v>140</v>
      </c>
      <c r="N2" s="26" t="s">
        <v>157</v>
      </c>
      <c r="O2" s="26" t="s">
        <v>156</v>
      </c>
      <c r="P2" s="26" t="s">
        <v>155</v>
      </c>
      <c r="R2" s="28" t="s">
        <v>195</v>
      </c>
      <c r="S2" s="28">
        <v>113</v>
      </c>
    </row>
    <row r="3" spans="1:19">
      <c r="A3" s="13" t="s">
        <v>79</v>
      </c>
      <c r="B3" s="16" t="s">
        <v>69</v>
      </c>
      <c r="C3" s="8" t="s">
        <v>71</v>
      </c>
      <c r="D3" s="9" t="s">
        <v>70</v>
      </c>
      <c r="E3" s="8">
        <v>25</v>
      </c>
      <c r="F3" s="8" t="s">
        <v>68</v>
      </c>
      <c r="G3" s="8">
        <v>23225</v>
      </c>
      <c r="H3" s="8">
        <v>25</v>
      </c>
      <c r="I3" s="8" t="s">
        <v>68</v>
      </c>
      <c r="J3" s="8">
        <v>1</v>
      </c>
      <c r="K3" s="8" t="s">
        <v>68</v>
      </c>
      <c r="L3" s="8">
        <f>J3/384</f>
        <v>2.6041666666666665E-3</v>
      </c>
      <c r="M3" s="8" t="str">
        <f>K3</f>
        <v>plate</v>
      </c>
      <c r="N3" s="2">
        <f t="shared" ref="N3:N22" si="0">G3/H3*L3</f>
        <v>2.419270833333333</v>
      </c>
      <c r="O3" s="1">
        <f>N3/$S$2</f>
        <v>2.1409476401179937E-2</v>
      </c>
      <c r="P3" s="1">
        <f>N3/$S$3</f>
        <v>1.8467716284987275E-2</v>
      </c>
      <c r="R3" s="28" t="s">
        <v>197</v>
      </c>
      <c r="S3" s="28">
        <v>131</v>
      </c>
    </row>
    <row r="4" spans="1:19" ht="30">
      <c r="A4" s="13" t="s">
        <v>79</v>
      </c>
      <c r="B4" s="16" t="s">
        <v>82</v>
      </c>
      <c r="C4" s="8" t="s">
        <v>83</v>
      </c>
      <c r="D4" s="9" t="s">
        <v>84</v>
      </c>
      <c r="E4" s="8">
        <v>50</v>
      </c>
      <c r="F4" s="8" t="s">
        <v>85</v>
      </c>
      <c r="G4" s="8">
        <v>493506</v>
      </c>
      <c r="H4" s="8">
        <v>50</v>
      </c>
      <c r="I4" s="8" t="s">
        <v>85</v>
      </c>
      <c r="J4" s="8">
        <f>1/30</f>
        <v>3.3333333333333333E-2</v>
      </c>
      <c r="K4" s="8" t="s">
        <v>179</v>
      </c>
      <c r="L4" s="8">
        <f t="shared" ref="L4:L61" si="1">J4/384</f>
        <v>8.6805555555555559E-5</v>
      </c>
      <c r="M4" s="8" t="str">
        <f t="shared" ref="M4:M61" si="2">K4</f>
        <v>rack (for 30 plates)</v>
      </c>
      <c r="N4" s="3">
        <f t="shared" si="0"/>
        <v>0.85678125000000005</v>
      </c>
      <c r="O4" s="1">
        <f t="shared" ref="O4:O22" si="3">N4/$S$2</f>
        <v>7.5821349557522125E-3</v>
      </c>
      <c r="P4" s="1">
        <f t="shared" ref="P4:P61" si="4">N4/$S$3</f>
        <v>6.5403148854961835E-3</v>
      </c>
    </row>
    <row r="5" spans="1:19">
      <c r="A5" s="8" t="s">
        <v>18</v>
      </c>
      <c r="B5" s="17" t="s">
        <v>30</v>
      </c>
      <c r="C5" s="8" t="s">
        <v>125</v>
      </c>
      <c r="D5" s="9"/>
      <c r="E5" s="8">
        <v>100</v>
      </c>
      <c r="F5" s="8" t="s">
        <v>8</v>
      </c>
      <c r="G5" s="8">
        <f>73*13</f>
        <v>949</v>
      </c>
      <c r="H5" s="8">
        <v>100</v>
      </c>
      <c r="I5" s="8" t="s">
        <v>131</v>
      </c>
      <c r="J5" s="8">
        <f>384*0.000625</f>
        <v>0.24</v>
      </c>
      <c r="K5" s="8" t="s">
        <v>131</v>
      </c>
      <c r="L5" s="8">
        <f t="shared" si="1"/>
        <v>6.2500000000000001E-4</v>
      </c>
      <c r="M5" s="8" t="str">
        <f t="shared" si="2"/>
        <v>uL</v>
      </c>
      <c r="N5" s="3">
        <f t="shared" si="0"/>
        <v>5.9312499999999999E-3</v>
      </c>
      <c r="O5" s="1">
        <f t="shared" si="3"/>
        <v>5.2488938053097347E-5</v>
      </c>
      <c r="P5" s="1">
        <f t="shared" si="4"/>
        <v>4.527671755725191E-5</v>
      </c>
    </row>
    <row r="6" spans="1:19">
      <c r="A6" s="8" t="s">
        <v>5</v>
      </c>
      <c r="B6" s="17" t="s">
        <v>37</v>
      </c>
      <c r="C6" s="8" t="s">
        <v>17</v>
      </c>
      <c r="D6" s="9">
        <v>28324</v>
      </c>
      <c r="E6" s="8">
        <v>10</v>
      </c>
      <c r="F6" s="8" t="s">
        <v>6</v>
      </c>
      <c r="G6" s="8">
        <v>16050</v>
      </c>
      <c r="H6" s="8">
        <f>6*10*1000</f>
        <v>60000</v>
      </c>
      <c r="I6" s="8" t="s">
        <v>132</v>
      </c>
      <c r="J6" s="8">
        <f>0.03*384</f>
        <v>11.52</v>
      </c>
      <c r="K6" s="8" t="s">
        <v>132</v>
      </c>
      <c r="L6" s="8">
        <f t="shared" si="1"/>
        <v>0.03</v>
      </c>
      <c r="M6" s="8" t="str">
        <f t="shared" si="2"/>
        <v>uL</v>
      </c>
      <c r="N6" s="3">
        <f t="shared" si="0"/>
        <v>8.0250000000000009E-3</v>
      </c>
      <c r="O6" s="1">
        <f t="shared" si="3"/>
        <v>7.1017699115044259E-5</v>
      </c>
      <c r="P6" s="1">
        <f t="shared" si="4"/>
        <v>6.1259541984732828E-5</v>
      </c>
    </row>
    <row r="7" spans="1:19">
      <c r="A7" s="8" t="s">
        <v>5</v>
      </c>
      <c r="B7" s="17" t="s">
        <v>4</v>
      </c>
      <c r="C7" s="8" t="s">
        <v>17</v>
      </c>
      <c r="D7" s="9">
        <v>18427088</v>
      </c>
      <c r="E7" s="8">
        <v>10</v>
      </c>
      <c r="F7" s="8" t="s">
        <v>3</v>
      </c>
      <c r="G7" s="8">
        <v>83721</v>
      </c>
      <c r="H7" s="8">
        <v>1000</v>
      </c>
      <c r="I7" s="8" t="s">
        <v>133</v>
      </c>
      <c r="J7" s="8">
        <f>0.04/3.3*384</f>
        <v>4.6545454545454552</v>
      </c>
      <c r="K7" s="8" t="s">
        <v>133</v>
      </c>
      <c r="L7" s="8">
        <f t="shared" si="1"/>
        <v>1.2121212121212123E-2</v>
      </c>
      <c r="M7" s="8" t="str">
        <f t="shared" si="2"/>
        <v>uL</v>
      </c>
      <c r="N7" s="3">
        <f t="shared" si="0"/>
        <v>1.0148000000000001</v>
      </c>
      <c r="O7" s="1">
        <f t="shared" si="3"/>
        <v>8.9805309734513287E-3</v>
      </c>
      <c r="P7" s="1">
        <f t="shared" si="4"/>
        <v>7.7465648854961842E-3</v>
      </c>
    </row>
    <row r="8" spans="1:19">
      <c r="A8" s="8" t="s">
        <v>5</v>
      </c>
      <c r="B8" s="17" t="s">
        <v>10</v>
      </c>
      <c r="C8" s="8" t="s">
        <v>78</v>
      </c>
      <c r="D8" s="9" t="s">
        <v>93</v>
      </c>
      <c r="E8" s="8">
        <v>40</v>
      </c>
      <c r="F8" s="8" t="s">
        <v>7</v>
      </c>
      <c r="G8" s="8">
        <v>41040</v>
      </c>
      <c r="H8" s="8">
        <v>250</v>
      </c>
      <c r="I8" s="8" t="s">
        <v>134</v>
      </c>
      <c r="J8" s="8">
        <f>0.025*384</f>
        <v>9.6000000000000014</v>
      </c>
      <c r="K8" s="8" t="s">
        <v>134</v>
      </c>
      <c r="L8" s="8">
        <f t="shared" si="1"/>
        <v>2.5000000000000005E-2</v>
      </c>
      <c r="M8" s="8" t="str">
        <f t="shared" si="2"/>
        <v>uL</v>
      </c>
      <c r="N8" s="3">
        <f t="shared" si="0"/>
        <v>4.104000000000001</v>
      </c>
      <c r="O8" s="1">
        <f t="shared" si="3"/>
        <v>3.6318584070796467E-2</v>
      </c>
      <c r="P8" s="1">
        <f t="shared" si="4"/>
        <v>3.1328244274809167E-2</v>
      </c>
    </row>
    <row r="9" spans="1:19">
      <c r="A9" s="8" t="s">
        <v>5</v>
      </c>
      <c r="B9" s="17" t="s">
        <v>11</v>
      </c>
      <c r="C9" s="8" t="s">
        <v>55</v>
      </c>
      <c r="D9" s="9">
        <v>9012</v>
      </c>
      <c r="E9" s="8">
        <f>10*1000</f>
        <v>10000</v>
      </c>
      <c r="F9" s="8" t="s">
        <v>52</v>
      </c>
      <c r="G9" s="8">
        <v>3672</v>
      </c>
      <c r="H9" s="8">
        <f>10*1000</f>
        <v>10000</v>
      </c>
      <c r="I9" s="8" t="s">
        <v>52</v>
      </c>
      <c r="J9" s="8">
        <f>(0.5*384)-SUM(J5:J8)</f>
        <v>165.98545454545456</v>
      </c>
      <c r="K9" s="8" t="s">
        <v>52</v>
      </c>
      <c r="L9" s="8">
        <f t="shared" si="1"/>
        <v>0.43225378787878793</v>
      </c>
      <c r="M9" s="8" t="str">
        <f t="shared" si="2"/>
        <v>uL</v>
      </c>
      <c r="N9" s="3">
        <f t="shared" si="0"/>
        <v>0.15872359090909094</v>
      </c>
      <c r="O9" s="1">
        <f>N9/$S$2</f>
        <v>1.4046335478680614E-3</v>
      </c>
      <c r="P9" s="1">
        <f t="shared" si="4"/>
        <v>1.2116304649548927E-3</v>
      </c>
    </row>
    <row r="10" spans="1:19">
      <c r="A10" s="8" t="s">
        <v>14</v>
      </c>
      <c r="B10" s="17" t="s">
        <v>88</v>
      </c>
      <c r="C10" s="8" t="s">
        <v>90</v>
      </c>
      <c r="D10" s="9" t="s">
        <v>89</v>
      </c>
      <c r="E10" s="8">
        <v>10</v>
      </c>
      <c r="F10" s="8" t="s">
        <v>15</v>
      </c>
      <c r="G10" s="8">
        <v>3110</v>
      </c>
      <c r="H10" s="8">
        <f>6*1000</f>
        <v>6000</v>
      </c>
      <c r="I10" s="8" t="s">
        <v>135</v>
      </c>
      <c r="J10" s="8">
        <f>0.2*384</f>
        <v>76.800000000000011</v>
      </c>
      <c r="K10" s="8" t="s">
        <v>135</v>
      </c>
      <c r="L10" s="8">
        <f t="shared" si="1"/>
        <v>0.20000000000000004</v>
      </c>
      <c r="M10" s="8" t="str">
        <f t="shared" si="2"/>
        <v>uL</v>
      </c>
      <c r="N10" s="3">
        <f t="shared" si="0"/>
        <v>0.10366666666666668</v>
      </c>
      <c r="O10" s="1">
        <f t="shared" si="3"/>
        <v>9.1740412979351049E-4</v>
      </c>
      <c r="P10" s="1">
        <f t="shared" si="4"/>
        <v>7.9134860050890604E-4</v>
      </c>
    </row>
    <row r="11" spans="1:19" s="6" customFormat="1">
      <c r="A11" s="14" t="s">
        <v>14</v>
      </c>
      <c r="B11" s="18" t="s">
        <v>13</v>
      </c>
      <c r="C11" s="14" t="s">
        <v>17</v>
      </c>
      <c r="D11" s="19">
        <v>18080085</v>
      </c>
      <c r="E11" s="14">
        <v>200</v>
      </c>
      <c r="F11" s="14" t="s">
        <v>16</v>
      </c>
      <c r="G11" s="14">
        <v>139200</v>
      </c>
      <c r="H11" s="14">
        <v>200</v>
      </c>
      <c r="I11" s="14" t="s">
        <v>139</v>
      </c>
      <c r="J11" s="14">
        <f>0.025*384/4</f>
        <v>2.4000000000000004</v>
      </c>
      <c r="K11" s="14" t="s">
        <v>139</v>
      </c>
      <c r="L11" s="14">
        <f t="shared" si="1"/>
        <v>6.2500000000000012E-3</v>
      </c>
      <c r="M11" s="14" t="str">
        <f t="shared" si="2"/>
        <v>uL</v>
      </c>
      <c r="N11" s="6">
        <f t="shared" si="0"/>
        <v>4.3500000000000005</v>
      </c>
      <c r="O11" s="6">
        <f t="shared" si="3"/>
        <v>3.8495575221238941E-2</v>
      </c>
      <c r="P11" s="6">
        <f t="shared" si="4"/>
        <v>3.3206106870229013E-2</v>
      </c>
    </row>
    <row r="12" spans="1:19" s="6" customFormat="1">
      <c r="A12" s="14" t="s">
        <v>14</v>
      </c>
      <c r="B12" s="18" t="s">
        <v>9</v>
      </c>
      <c r="C12" s="14" t="s">
        <v>78</v>
      </c>
      <c r="D12" s="19" t="s">
        <v>93</v>
      </c>
      <c r="E12" s="14">
        <v>40</v>
      </c>
      <c r="F12" s="14" t="s">
        <v>16</v>
      </c>
      <c r="G12" s="14">
        <v>41040</v>
      </c>
      <c r="H12" s="14">
        <v>250</v>
      </c>
      <c r="I12" s="14" t="s">
        <v>134</v>
      </c>
      <c r="J12" s="14">
        <f>0.01375*384/4</f>
        <v>1.32</v>
      </c>
      <c r="K12" s="14" t="s">
        <v>134</v>
      </c>
      <c r="L12" s="14">
        <f t="shared" si="1"/>
        <v>3.4375E-3</v>
      </c>
      <c r="M12" s="14" t="str">
        <f t="shared" si="2"/>
        <v>uL</v>
      </c>
      <c r="N12" s="6">
        <f t="shared" si="0"/>
        <v>0.56430000000000002</v>
      </c>
      <c r="O12" s="6">
        <f>N12/$S$2</f>
        <v>4.9938053097345137E-3</v>
      </c>
      <c r="P12" s="6">
        <f t="shared" si="4"/>
        <v>4.3076335877862597E-3</v>
      </c>
    </row>
    <row r="13" spans="1:19">
      <c r="A13" s="8" t="s">
        <v>14</v>
      </c>
      <c r="B13" s="17" t="s">
        <v>11</v>
      </c>
      <c r="C13" s="8" t="s">
        <v>55</v>
      </c>
      <c r="D13" s="9">
        <v>9012</v>
      </c>
      <c r="E13" s="8">
        <f>10*1000</f>
        <v>10000</v>
      </c>
      <c r="F13" s="8" t="s">
        <v>52</v>
      </c>
      <c r="G13" s="8">
        <v>3672</v>
      </c>
      <c r="H13" s="8">
        <f>10*1000</f>
        <v>10000</v>
      </c>
      <c r="I13" s="8" t="s">
        <v>52</v>
      </c>
      <c r="J13" s="8">
        <f>(1*384)-SUM(J10:J12)</f>
        <v>303.48</v>
      </c>
      <c r="K13" s="8" t="s">
        <v>52</v>
      </c>
      <c r="L13" s="8">
        <f t="shared" si="1"/>
        <v>0.79031250000000008</v>
      </c>
      <c r="M13" s="8" t="str">
        <f t="shared" si="2"/>
        <v>uL</v>
      </c>
      <c r="N13" s="3">
        <f t="shared" si="0"/>
        <v>0.29020275000000006</v>
      </c>
      <c r="O13" s="1">
        <f t="shared" si="3"/>
        <v>2.5681659292035404E-3</v>
      </c>
      <c r="P13" s="1">
        <f t="shared" si="4"/>
        <v>2.2152881679389316E-3</v>
      </c>
    </row>
    <row r="14" spans="1:19">
      <c r="A14" s="8" t="s">
        <v>49</v>
      </c>
      <c r="B14" s="17" t="s">
        <v>64</v>
      </c>
      <c r="C14" s="8" t="s">
        <v>66</v>
      </c>
      <c r="D14" s="9" t="s">
        <v>65</v>
      </c>
      <c r="E14" s="8">
        <v>40</v>
      </c>
      <c r="F14" s="8" t="s">
        <v>67</v>
      </c>
      <c r="G14" s="8">
        <v>32319</v>
      </c>
      <c r="H14" s="8">
        <v>40</v>
      </c>
      <c r="I14" s="8" t="s">
        <v>67</v>
      </c>
      <c r="J14" s="8">
        <f>1</f>
        <v>1</v>
      </c>
      <c r="K14" s="8" t="s">
        <v>67</v>
      </c>
      <c r="L14" s="8">
        <f t="shared" si="1"/>
        <v>2.6041666666666665E-3</v>
      </c>
      <c r="M14" s="8" t="str">
        <f t="shared" si="2"/>
        <v>reservoir</v>
      </c>
      <c r="N14" s="3">
        <f t="shared" si="0"/>
        <v>2.1041015624999999</v>
      </c>
      <c r="O14" s="1">
        <f>N14/$S$2</f>
        <v>1.8620367809734511E-2</v>
      </c>
      <c r="P14" s="1">
        <f t="shared" si="4"/>
        <v>1.6061843988549616E-2</v>
      </c>
    </row>
    <row r="15" spans="1:19">
      <c r="A15" s="8" t="s">
        <v>49</v>
      </c>
      <c r="B15" s="17" t="s">
        <v>61</v>
      </c>
      <c r="C15" s="8" t="s">
        <v>60</v>
      </c>
      <c r="D15" s="9" t="s">
        <v>62</v>
      </c>
      <c r="E15" s="8">
        <f>250*0.3048</f>
        <v>76.2</v>
      </c>
      <c r="F15" s="8" t="s">
        <v>63</v>
      </c>
      <c r="G15" s="8">
        <v>3600</v>
      </c>
      <c r="H15" s="8">
        <f>250*0.3048</f>
        <v>76.2</v>
      </c>
      <c r="I15" s="8" t="s">
        <v>136</v>
      </c>
      <c r="J15" s="8">
        <v>0.43</v>
      </c>
      <c r="K15" s="8" t="s">
        <v>136</v>
      </c>
      <c r="L15" s="8">
        <f t="shared" si="1"/>
        <v>1.1197916666666667E-3</v>
      </c>
      <c r="M15" s="8" t="str">
        <f t="shared" si="2"/>
        <v>meter</v>
      </c>
      <c r="N15" s="3">
        <f t="shared" si="0"/>
        <v>5.2903543307086617E-2</v>
      </c>
      <c r="O15" s="1">
        <f t="shared" si="3"/>
        <v>4.6817294962023557E-4</v>
      </c>
      <c r="P15" s="1">
        <f t="shared" si="4"/>
        <v>4.0384384203882915E-4</v>
      </c>
    </row>
    <row r="16" spans="1:19">
      <c r="A16" s="15" t="s">
        <v>19</v>
      </c>
      <c r="B16" s="20" t="s">
        <v>20</v>
      </c>
      <c r="C16" s="15" t="s">
        <v>21</v>
      </c>
      <c r="D16" s="21" t="s">
        <v>22</v>
      </c>
      <c r="E16" s="15">
        <v>200</v>
      </c>
      <c r="F16" s="15" t="s">
        <v>23</v>
      </c>
      <c r="G16" s="15">
        <v>46820</v>
      </c>
      <c r="H16" s="15">
        <v>200</v>
      </c>
      <c r="I16" s="15" t="s">
        <v>23</v>
      </c>
      <c r="J16" s="15">
        <f>3/3</f>
        <v>1</v>
      </c>
      <c r="K16" s="15" t="s">
        <v>23</v>
      </c>
      <c r="L16" s="15">
        <f t="shared" si="1"/>
        <v>2.6041666666666665E-3</v>
      </c>
      <c r="M16" s="15" t="str">
        <f t="shared" si="2"/>
        <v>column/time</v>
      </c>
      <c r="N16" s="3">
        <f t="shared" si="0"/>
        <v>0.60963541666666665</v>
      </c>
      <c r="O16" s="1">
        <f t="shared" si="3"/>
        <v>5.3950036873156339E-3</v>
      </c>
      <c r="P16" s="1">
        <f t="shared" si="4"/>
        <v>4.6537054707379132E-3</v>
      </c>
    </row>
    <row r="17" spans="1:16">
      <c r="A17" s="15" t="s">
        <v>19</v>
      </c>
      <c r="B17" s="20" t="s">
        <v>11</v>
      </c>
      <c r="C17" s="15" t="s">
        <v>55</v>
      </c>
      <c r="D17" s="21">
        <v>9012</v>
      </c>
      <c r="E17" s="15">
        <f>10*1000</f>
        <v>10000</v>
      </c>
      <c r="F17" s="15" t="s">
        <v>52</v>
      </c>
      <c r="G17" s="15">
        <v>3672</v>
      </c>
      <c r="H17" s="15">
        <f>10*1000</f>
        <v>10000</v>
      </c>
      <c r="I17" s="15" t="s">
        <v>52</v>
      </c>
      <c r="J17" s="15">
        <f>63/3</f>
        <v>21</v>
      </c>
      <c r="K17" s="15" t="s">
        <v>52</v>
      </c>
      <c r="L17" s="15">
        <f t="shared" si="1"/>
        <v>5.46875E-2</v>
      </c>
      <c r="M17" s="15" t="str">
        <f t="shared" si="2"/>
        <v>uL</v>
      </c>
      <c r="N17" s="3">
        <f t="shared" si="0"/>
        <v>2.0081250000000002E-2</v>
      </c>
      <c r="O17" s="1">
        <f t="shared" si="3"/>
        <v>1.7771017699115045E-4</v>
      </c>
      <c r="P17" s="1">
        <f t="shared" si="4"/>
        <v>1.5329198473282445E-4</v>
      </c>
    </row>
    <row r="18" spans="1:16">
      <c r="A18" s="15" t="s">
        <v>24</v>
      </c>
      <c r="B18" s="20" t="s">
        <v>12</v>
      </c>
      <c r="C18" s="15" t="s">
        <v>90</v>
      </c>
      <c r="D18" s="21" t="s">
        <v>89</v>
      </c>
      <c r="E18" s="15">
        <v>10</v>
      </c>
      <c r="F18" s="15" t="s">
        <v>26</v>
      </c>
      <c r="G18" s="15">
        <v>3110</v>
      </c>
      <c r="H18" s="15">
        <f>6*1000</f>
        <v>6000</v>
      </c>
      <c r="I18" s="15" t="s">
        <v>135</v>
      </c>
      <c r="J18" s="15">
        <f>7.5/3</f>
        <v>2.5</v>
      </c>
      <c r="K18" s="15" t="s">
        <v>135</v>
      </c>
      <c r="L18" s="15">
        <f t="shared" si="1"/>
        <v>6.510416666666667E-3</v>
      </c>
      <c r="M18" s="15" t="str">
        <f t="shared" si="2"/>
        <v>uL</v>
      </c>
      <c r="N18" s="3">
        <f t="shared" si="0"/>
        <v>3.3745659722222224E-3</v>
      </c>
      <c r="O18" s="1">
        <f t="shared" si="3"/>
        <v>2.9863415683382499E-5</v>
      </c>
      <c r="P18" s="1">
        <f t="shared" si="4"/>
        <v>2.5760045589482612E-5</v>
      </c>
    </row>
    <row r="19" spans="1:16">
      <c r="A19" s="15" t="s">
        <v>24</v>
      </c>
      <c r="B19" s="20" t="s">
        <v>25</v>
      </c>
      <c r="C19" s="15" t="s">
        <v>17</v>
      </c>
      <c r="D19" s="21">
        <v>10216018</v>
      </c>
      <c r="E19" s="15">
        <v>100</v>
      </c>
      <c r="F19" s="15" t="s">
        <v>3</v>
      </c>
      <c r="G19" s="15">
        <v>8920</v>
      </c>
      <c r="H19" s="15">
        <v>250</v>
      </c>
      <c r="I19" s="15" t="s">
        <v>133</v>
      </c>
      <c r="J19" s="15">
        <f>1.8/3</f>
        <v>0.6</v>
      </c>
      <c r="K19" s="15" t="s">
        <v>133</v>
      </c>
      <c r="L19" s="15">
        <f t="shared" si="1"/>
        <v>1.5624999999999999E-3</v>
      </c>
      <c r="M19" s="15" t="str">
        <f t="shared" si="2"/>
        <v>uL</v>
      </c>
      <c r="N19" s="3">
        <f t="shared" si="0"/>
        <v>5.5749999999999994E-2</v>
      </c>
      <c r="O19" s="1">
        <f t="shared" si="3"/>
        <v>4.9336283185840704E-4</v>
      </c>
      <c r="P19" s="1">
        <f t="shared" si="4"/>
        <v>4.2557251908396942E-4</v>
      </c>
    </row>
    <row r="20" spans="1:16">
      <c r="A20" s="15" t="s">
        <v>24</v>
      </c>
      <c r="B20" s="20" t="s">
        <v>162</v>
      </c>
      <c r="C20" s="15" t="s">
        <v>28</v>
      </c>
      <c r="D20" s="21" t="s">
        <v>163</v>
      </c>
      <c r="E20" s="15">
        <v>2</v>
      </c>
      <c r="F20" s="15" t="s">
        <v>27</v>
      </c>
      <c r="G20" s="15">
        <v>33320</v>
      </c>
      <c r="H20" s="15">
        <v>60</v>
      </c>
      <c r="I20" s="15" t="s">
        <v>134</v>
      </c>
      <c r="J20" s="15">
        <f>1.44/3</f>
        <v>0.48</v>
      </c>
      <c r="K20" s="15" t="s">
        <v>134</v>
      </c>
      <c r="L20" s="15">
        <f t="shared" si="1"/>
        <v>1.25E-3</v>
      </c>
      <c r="M20" s="15" t="str">
        <f t="shared" si="2"/>
        <v>uL</v>
      </c>
      <c r="N20" s="3">
        <f t="shared" si="0"/>
        <v>0.69416666666666671</v>
      </c>
      <c r="O20" s="1">
        <f t="shared" si="3"/>
        <v>6.1430678466076697E-3</v>
      </c>
      <c r="P20" s="1">
        <f t="shared" si="4"/>
        <v>5.2989821882951657E-3</v>
      </c>
    </row>
    <row r="21" spans="1:16">
      <c r="A21" s="15" t="s">
        <v>24</v>
      </c>
      <c r="B21" s="20" t="s">
        <v>86</v>
      </c>
      <c r="C21" s="15" t="s">
        <v>87</v>
      </c>
      <c r="D21" s="21">
        <v>3333574001</v>
      </c>
      <c r="E21" s="15">
        <v>400</v>
      </c>
      <c r="F21" s="15" t="s">
        <v>7</v>
      </c>
      <c r="G21" s="15">
        <v>28300</v>
      </c>
      <c r="H21" s="15">
        <v>60</v>
      </c>
      <c r="I21" s="15" t="s">
        <v>134</v>
      </c>
      <c r="J21" s="15">
        <f>5.04/3</f>
        <v>1.68</v>
      </c>
      <c r="K21" s="15" t="s">
        <v>134</v>
      </c>
      <c r="L21" s="15">
        <f t="shared" si="1"/>
        <v>4.3749999999999995E-3</v>
      </c>
      <c r="M21" s="15" t="str">
        <f t="shared" si="2"/>
        <v>uL</v>
      </c>
      <c r="N21" s="3">
        <f t="shared" si="0"/>
        <v>2.0635416666666666</v>
      </c>
      <c r="O21" s="1">
        <f t="shared" si="3"/>
        <v>1.8261430678466077E-2</v>
      </c>
      <c r="P21" s="1">
        <f t="shared" si="4"/>
        <v>1.5752226463104327E-2</v>
      </c>
    </row>
    <row r="22" spans="1:16">
      <c r="A22" s="15" t="s">
        <v>24</v>
      </c>
      <c r="B22" s="20" t="s">
        <v>11</v>
      </c>
      <c r="C22" s="15" t="s">
        <v>55</v>
      </c>
      <c r="D22" s="21">
        <v>9012</v>
      </c>
      <c r="E22" s="15">
        <f>10*1000</f>
        <v>10000</v>
      </c>
      <c r="F22" s="15" t="s">
        <v>52</v>
      </c>
      <c r="G22" s="15">
        <v>3672</v>
      </c>
      <c r="H22" s="15">
        <f>10*1000</f>
        <v>10000</v>
      </c>
      <c r="I22" s="15" t="s">
        <v>52</v>
      </c>
      <c r="J22" s="15">
        <f>59.22/3</f>
        <v>19.739999999999998</v>
      </c>
      <c r="K22" s="15" t="s">
        <v>52</v>
      </c>
      <c r="L22" s="15">
        <f t="shared" si="1"/>
        <v>5.1406249999999994E-2</v>
      </c>
      <c r="M22" s="15" t="str">
        <f t="shared" si="2"/>
        <v>uL</v>
      </c>
      <c r="N22" s="3">
        <f t="shared" si="0"/>
        <v>1.8876374999999997E-2</v>
      </c>
      <c r="O22" s="1">
        <f t="shared" si="3"/>
        <v>1.6704756637168138E-4</v>
      </c>
      <c r="P22" s="1">
        <f t="shared" si="4"/>
        <v>1.4409446564885494E-4</v>
      </c>
    </row>
    <row r="23" spans="1:16" ht="60">
      <c r="A23" s="15" t="s">
        <v>169</v>
      </c>
      <c r="B23" s="20" t="s">
        <v>56</v>
      </c>
      <c r="C23" s="15" t="s">
        <v>55</v>
      </c>
      <c r="D23" s="21" t="s">
        <v>58</v>
      </c>
      <c r="E23" s="15">
        <v>2</v>
      </c>
      <c r="F23" s="15" t="s">
        <v>15</v>
      </c>
      <c r="G23" s="15"/>
      <c r="H23" s="15"/>
      <c r="I23" s="15" t="s">
        <v>135</v>
      </c>
      <c r="J23" s="15">
        <f>300.48/3</f>
        <v>100.16000000000001</v>
      </c>
      <c r="K23" s="15" t="s">
        <v>135</v>
      </c>
      <c r="L23" s="15">
        <f t="shared" si="1"/>
        <v>0.26083333333333336</v>
      </c>
      <c r="M23" s="15" t="str">
        <f t="shared" si="2"/>
        <v>uL</v>
      </c>
      <c r="N23" s="3"/>
    </row>
    <row r="24" spans="1:16" ht="60">
      <c r="A24" s="15" t="s">
        <v>29</v>
      </c>
      <c r="B24" s="20" t="s">
        <v>59</v>
      </c>
      <c r="C24" s="15" t="s">
        <v>55</v>
      </c>
      <c r="D24" s="21" t="s">
        <v>58</v>
      </c>
      <c r="E24" s="15">
        <v>1.25</v>
      </c>
      <c r="F24" s="15" t="s">
        <v>57</v>
      </c>
      <c r="G24" s="15">
        <v>92718</v>
      </c>
      <c r="H24" s="15">
        <v>1000</v>
      </c>
      <c r="I24" s="15" t="s">
        <v>137</v>
      </c>
      <c r="J24" s="15">
        <f>24/3</f>
        <v>8</v>
      </c>
      <c r="K24" s="15" t="s">
        <v>137</v>
      </c>
      <c r="L24" s="15">
        <f t="shared" si="1"/>
        <v>2.0833333333333332E-2</v>
      </c>
      <c r="M24" s="15" t="str">
        <f t="shared" si="2"/>
        <v>uL</v>
      </c>
      <c r="N24" s="3">
        <f>G24/H24*L24</f>
        <v>1.9316249999999999</v>
      </c>
      <c r="O24" s="1">
        <f>N24/$S$2</f>
        <v>1.7094026548672564E-2</v>
      </c>
      <c r="P24" s="1">
        <f t="shared" si="4"/>
        <v>1.4745229007633587E-2</v>
      </c>
    </row>
    <row r="25" spans="1:16">
      <c r="A25" s="15" t="s">
        <v>29</v>
      </c>
      <c r="B25" s="20" t="s">
        <v>32</v>
      </c>
      <c r="C25" s="15" t="s">
        <v>94</v>
      </c>
      <c r="D25" s="21"/>
      <c r="E25" s="15">
        <v>10</v>
      </c>
      <c r="F25" s="15" t="s">
        <v>31</v>
      </c>
      <c r="G25" s="15">
        <f>25747</f>
        <v>25747</v>
      </c>
      <c r="H25" s="15">
        <v>4750</v>
      </c>
      <c r="I25" s="15" t="s">
        <v>131</v>
      </c>
      <c r="J25" s="15">
        <f>3.84/3</f>
        <v>1.28</v>
      </c>
      <c r="K25" s="15" t="s">
        <v>131</v>
      </c>
      <c r="L25" s="15">
        <f t="shared" si="1"/>
        <v>3.3333333333333335E-3</v>
      </c>
      <c r="M25" s="15" t="str">
        <f t="shared" si="2"/>
        <v>uL</v>
      </c>
      <c r="N25" s="3">
        <f>G25/H25*L25</f>
        <v>1.80680701754386E-2</v>
      </c>
      <c r="O25" s="1">
        <f>N25/$S$2</f>
        <v>1.5989442633131503E-4</v>
      </c>
      <c r="P25" s="1">
        <f t="shared" si="4"/>
        <v>1.3792419981250841E-4</v>
      </c>
    </row>
    <row r="26" spans="1:16">
      <c r="A26" s="15" t="s">
        <v>33</v>
      </c>
      <c r="B26" s="20" t="s">
        <v>11</v>
      </c>
      <c r="C26" s="15" t="s">
        <v>55</v>
      </c>
      <c r="D26" s="21">
        <v>9012</v>
      </c>
      <c r="E26" s="15">
        <f>10*1000</f>
        <v>10000</v>
      </c>
      <c r="F26" s="15" t="s">
        <v>52</v>
      </c>
      <c r="G26" s="15">
        <v>3672</v>
      </c>
      <c r="H26" s="15">
        <f>10*1000</f>
        <v>10000</v>
      </c>
      <c r="I26" s="15" t="s">
        <v>52</v>
      </c>
      <c r="J26" s="15">
        <f>225.6/3</f>
        <v>75.2</v>
      </c>
      <c r="K26" s="15" t="s">
        <v>52</v>
      </c>
      <c r="L26" s="15">
        <f t="shared" si="1"/>
        <v>0.19583333333333333</v>
      </c>
      <c r="M26" s="15" t="str">
        <f t="shared" si="2"/>
        <v>uL</v>
      </c>
      <c r="N26" s="3">
        <f>G26/H26*L26</f>
        <v>7.1910000000000002E-2</v>
      </c>
      <c r="O26" s="1">
        <f>N26/$S$2</f>
        <v>6.3637168141592927E-4</v>
      </c>
      <c r="P26" s="1">
        <f t="shared" si="4"/>
        <v>5.4893129770992367E-4</v>
      </c>
    </row>
    <row r="27" spans="1:16" ht="60">
      <c r="A27" s="15" t="s">
        <v>35</v>
      </c>
      <c r="B27" s="20" t="s">
        <v>56</v>
      </c>
      <c r="C27" s="15" t="s">
        <v>55</v>
      </c>
      <c r="D27" s="21" t="s">
        <v>58</v>
      </c>
      <c r="E27" s="15">
        <v>2</v>
      </c>
      <c r="F27" s="15" t="s">
        <v>15</v>
      </c>
      <c r="G27" s="15"/>
      <c r="H27" s="15"/>
      <c r="I27" s="15" t="s">
        <v>135</v>
      </c>
      <c r="J27" s="15">
        <f>300.48/3</f>
        <v>100.16000000000001</v>
      </c>
      <c r="K27" s="15" t="s">
        <v>135</v>
      </c>
      <c r="L27" s="15">
        <f t="shared" si="1"/>
        <v>0.26083333333333336</v>
      </c>
      <c r="M27" s="15" t="str">
        <f t="shared" si="2"/>
        <v>uL</v>
      </c>
      <c r="N27" s="3"/>
    </row>
    <row r="28" spans="1:16">
      <c r="A28" s="15" t="s">
        <v>35</v>
      </c>
      <c r="B28" s="20" t="s">
        <v>34</v>
      </c>
      <c r="C28" s="15" t="s">
        <v>95</v>
      </c>
      <c r="D28" s="21"/>
      <c r="E28" s="15">
        <v>100</v>
      </c>
      <c r="F28" s="15" t="s">
        <v>31</v>
      </c>
      <c r="G28" s="15">
        <f>21470</f>
        <v>21470</v>
      </c>
      <c r="H28" s="15">
        <v>820</v>
      </c>
      <c r="I28" s="15" t="s">
        <v>131</v>
      </c>
      <c r="J28" s="15">
        <f>11.424/3</f>
        <v>3.8079999999999998</v>
      </c>
      <c r="K28" s="15" t="s">
        <v>131</v>
      </c>
      <c r="L28" s="15">
        <f t="shared" si="1"/>
        <v>9.9166666666666656E-3</v>
      </c>
      <c r="M28" s="15" t="str">
        <f t="shared" si="2"/>
        <v>uL</v>
      </c>
      <c r="N28" s="3">
        <f t="shared" ref="N28:N52" si="5">G28/H28*L28</f>
        <v>0.25964735772357722</v>
      </c>
      <c r="O28" s="5">
        <f>N28/$S$2</f>
        <v>2.2977642276422764E-3</v>
      </c>
      <c r="P28" s="1">
        <f t="shared" si="4"/>
        <v>1.9820408986532612E-3</v>
      </c>
    </row>
    <row r="29" spans="1:16">
      <c r="A29" s="15" t="s">
        <v>36</v>
      </c>
      <c r="B29" s="20" t="s">
        <v>11</v>
      </c>
      <c r="C29" s="15" t="s">
        <v>55</v>
      </c>
      <c r="D29" s="21">
        <v>9012</v>
      </c>
      <c r="E29" s="15">
        <f>10*1000</f>
        <v>10000</v>
      </c>
      <c r="F29" s="15" t="s">
        <v>52</v>
      </c>
      <c r="G29" s="15">
        <v>3672</v>
      </c>
      <c r="H29" s="15">
        <f>10*1000</f>
        <v>10000</v>
      </c>
      <c r="I29" s="15" t="s">
        <v>52</v>
      </c>
      <c r="J29" s="15">
        <f>290.88/3</f>
        <v>96.96</v>
      </c>
      <c r="K29" s="15" t="s">
        <v>52</v>
      </c>
      <c r="L29" s="15">
        <f t="shared" si="1"/>
        <v>0.2525</v>
      </c>
      <c r="M29" s="15" t="str">
        <f t="shared" si="2"/>
        <v>uL</v>
      </c>
      <c r="N29" s="3">
        <f t="shared" si="5"/>
        <v>9.2718000000000009E-2</v>
      </c>
      <c r="O29" s="5">
        <f t="shared" ref="O29:O61" si="6">N29/$S$2</f>
        <v>8.2051327433628322E-4</v>
      </c>
      <c r="P29" s="1">
        <f t="shared" si="4"/>
        <v>7.0777099236641228E-4</v>
      </c>
    </row>
    <row r="30" spans="1:16">
      <c r="A30" s="8" t="s">
        <v>38</v>
      </c>
      <c r="B30" s="17" t="s">
        <v>54</v>
      </c>
      <c r="C30" s="8" t="s">
        <v>39</v>
      </c>
      <c r="D30" s="9">
        <v>28006</v>
      </c>
      <c r="E30" s="8">
        <v>250</v>
      </c>
      <c r="F30" s="8" t="s">
        <v>40</v>
      </c>
      <c r="G30" s="8">
        <v>64000</v>
      </c>
      <c r="H30" s="8">
        <v>250</v>
      </c>
      <c r="I30" s="8" t="s">
        <v>40</v>
      </c>
      <c r="J30" s="8">
        <v>1</v>
      </c>
      <c r="K30" s="8" t="s">
        <v>40</v>
      </c>
      <c r="L30" s="8">
        <f t="shared" si="1"/>
        <v>2.6041666666666665E-3</v>
      </c>
      <c r="M30" s="8" t="str">
        <f t="shared" si="2"/>
        <v>column</v>
      </c>
      <c r="N30" s="3">
        <f t="shared" si="5"/>
        <v>0.66666666666666663</v>
      </c>
      <c r="O30" s="5">
        <f t="shared" si="6"/>
        <v>5.8997050147492625E-3</v>
      </c>
      <c r="P30" s="1">
        <f t="shared" si="4"/>
        <v>5.0890585241730275E-3</v>
      </c>
    </row>
    <row r="31" spans="1:16">
      <c r="A31" s="8" t="s">
        <v>41</v>
      </c>
      <c r="B31" s="17" t="s">
        <v>11</v>
      </c>
      <c r="C31" s="8" t="s">
        <v>55</v>
      </c>
      <c r="D31" s="9">
        <v>9012</v>
      </c>
      <c r="E31" s="8">
        <f>10*1000</f>
        <v>10000</v>
      </c>
      <c r="F31" s="8" t="s">
        <v>52</v>
      </c>
      <c r="G31" s="8">
        <v>3672</v>
      </c>
      <c r="H31" s="8">
        <f>10*1000</f>
        <v>10000</v>
      </c>
      <c r="I31" s="8" t="s">
        <v>52</v>
      </c>
      <c r="J31" s="8">
        <v>42</v>
      </c>
      <c r="K31" s="8" t="s">
        <v>52</v>
      </c>
      <c r="L31" s="8">
        <f t="shared" si="1"/>
        <v>0.109375</v>
      </c>
      <c r="M31" s="8" t="str">
        <f t="shared" si="2"/>
        <v>uL</v>
      </c>
      <c r="N31" s="3">
        <f t="shared" si="5"/>
        <v>4.0162500000000004E-2</v>
      </c>
      <c r="O31" s="5">
        <f t="shared" si="6"/>
        <v>3.5542035398230089E-4</v>
      </c>
      <c r="P31" s="1">
        <f t="shared" si="4"/>
        <v>3.065839694656489E-4</v>
      </c>
    </row>
    <row r="32" spans="1:16">
      <c r="A32" s="8" t="s">
        <v>42</v>
      </c>
      <c r="B32" s="17" t="s">
        <v>50</v>
      </c>
      <c r="C32" s="8" t="s">
        <v>51</v>
      </c>
      <c r="D32" s="9" t="s">
        <v>53</v>
      </c>
      <c r="E32" s="8">
        <f>60*1000</f>
        <v>60000</v>
      </c>
      <c r="F32" s="8" t="s">
        <v>52</v>
      </c>
      <c r="G32" s="22">
        <v>100980</v>
      </c>
      <c r="H32" s="8">
        <f>60*1000</f>
        <v>60000</v>
      </c>
      <c r="I32" s="8" t="s">
        <v>52</v>
      </c>
      <c r="J32" s="8">
        <v>32</v>
      </c>
      <c r="K32" s="8" t="s">
        <v>52</v>
      </c>
      <c r="L32" s="8">
        <f t="shared" si="1"/>
        <v>8.3333333333333329E-2</v>
      </c>
      <c r="M32" s="8" t="str">
        <f t="shared" si="2"/>
        <v>uL</v>
      </c>
      <c r="N32" s="3">
        <f t="shared" si="5"/>
        <v>0.14024999999999999</v>
      </c>
      <c r="O32" s="5">
        <f t="shared" si="6"/>
        <v>1.2411504424778761E-3</v>
      </c>
      <c r="P32" s="1">
        <f t="shared" si="4"/>
        <v>1.0706106870229006E-3</v>
      </c>
    </row>
    <row r="33" spans="1:16">
      <c r="A33" s="8" t="s">
        <v>44</v>
      </c>
      <c r="B33" s="17" t="s">
        <v>43</v>
      </c>
      <c r="C33" s="8" t="s">
        <v>91</v>
      </c>
      <c r="D33" s="9" t="s">
        <v>92</v>
      </c>
      <c r="E33" s="8">
        <f>10*11</f>
        <v>110</v>
      </c>
      <c r="F33" s="8" t="s">
        <v>45</v>
      </c>
      <c r="G33" s="8">
        <v>61560</v>
      </c>
      <c r="H33" s="8">
        <v>110</v>
      </c>
      <c r="I33" s="8" t="s">
        <v>45</v>
      </c>
      <c r="J33" s="8">
        <v>1</v>
      </c>
      <c r="K33" s="8" t="s">
        <v>45</v>
      </c>
      <c r="L33" s="8">
        <f t="shared" si="1"/>
        <v>2.6041666666666665E-3</v>
      </c>
      <c r="M33" s="8" t="str">
        <f t="shared" si="2"/>
        <v>well</v>
      </c>
      <c r="N33" s="3">
        <f t="shared" si="5"/>
        <v>1.4573863636363635</v>
      </c>
      <c r="O33" s="5">
        <f t="shared" si="6"/>
        <v>1.2897224456958969E-2</v>
      </c>
      <c r="P33" s="1">
        <f t="shared" si="4"/>
        <v>1.1125086745315753E-2</v>
      </c>
    </row>
    <row r="34" spans="1:16">
      <c r="A34" s="8" t="s">
        <v>141</v>
      </c>
      <c r="B34" s="17" t="s">
        <v>145</v>
      </c>
      <c r="C34" s="8" t="s">
        <v>144</v>
      </c>
      <c r="D34" s="9" t="s">
        <v>143</v>
      </c>
      <c r="E34" s="8">
        <v>1000</v>
      </c>
      <c r="F34" s="8" t="s">
        <v>75</v>
      </c>
      <c r="G34" s="8">
        <f>1000*175</f>
        <v>175000</v>
      </c>
      <c r="H34" s="8">
        <v>1000</v>
      </c>
      <c r="I34" s="8" t="s">
        <v>119</v>
      </c>
      <c r="J34" s="8">
        <v>1</v>
      </c>
      <c r="K34" s="8" t="s">
        <v>119</v>
      </c>
      <c r="L34" s="8">
        <f t="shared" si="1"/>
        <v>2.6041666666666665E-3</v>
      </c>
      <c r="M34" s="8" t="str">
        <f t="shared" si="2"/>
        <v>well</v>
      </c>
      <c r="N34" s="3">
        <f t="shared" si="5"/>
        <v>0.45572916666666663</v>
      </c>
      <c r="O34" s="5">
        <f t="shared" si="6"/>
        <v>4.0330014749262533E-3</v>
      </c>
      <c r="P34" s="1">
        <f t="shared" si="4"/>
        <v>3.4788486005089057E-3</v>
      </c>
    </row>
    <row r="35" spans="1:16" ht="30">
      <c r="A35" s="8" t="s">
        <v>46</v>
      </c>
      <c r="B35" s="17" t="s">
        <v>96</v>
      </c>
      <c r="C35" s="8" t="s">
        <v>48</v>
      </c>
      <c r="D35" s="9">
        <v>520091</v>
      </c>
      <c r="E35" s="8">
        <v>250</v>
      </c>
      <c r="F35" s="8" t="s">
        <v>47</v>
      </c>
      <c r="G35" s="8">
        <v>213840</v>
      </c>
      <c r="H35" s="8">
        <v>250</v>
      </c>
      <c r="I35" s="8" t="s">
        <v>47</v>
      </c>
      <c r="J35" s="8">
        <v>1</v>
      </c>
      <c r="K35" s="8" t="s">
        <v>47</v>
      </c>
      <c r="L35" s="8">
        <f t="shared" si="1"/>
        <v>2.6041666666666665E-3</v>
      </c>
      <c r="M35" s="8" t="str">
        <f t="shared" si="2"/>
        <v>tube</v>
      </c>
      <c r="N35" s="3">
        <f t="shared" si="5"/>
        <v>2.2275</v>
      </c>
      <c r="O35" s="5">
        <f t="shared" si="6"/>
        <v>1.9712389380530975E-2</v>
      </c>
      <c r="P35" s="1">
        <f t="shared" si="4"/>
        <v>1.700381679389313E-2</v>
      </c>
    </row>
    <row r="36" spans="1:16">
      <c r="A36" s="8" t="s">
        <v>46</v>
      </c>
      <c r="B36" s="17" t="s">
        <v>20</v>
      </c>
      <c r="C36" s="8" t="s">
        <v>21</v>
      </c>
      <c r="D36" s="9" t="s">
        <v>22</v>
      </c>
      <c r="E36" s="8">
        <v>200</v>
      </c>
      <c r="F36" s="8" t="s">
        <v>23</v>
      </c>
      <c r="G36" s="8">
        <v>46820</v>
      </c>
      <c r="H36" s="8">
        <v>200</v>
      </c>
      <c r="I36" s="8" t="s">
        <v>23</v>
      </c>
      <c r="J36" s="8">
        <v>1</v>
      </c>
      <c r="K36" s="8" t="s">
        <v>23</v>
      </c>
      <c r="L36" s="8">
        <f t="shared" si="1"/>
        <v>2.6041666666666665E-3</v>
      </c>
      <c r="M36" s="8" t="str">
        <f t="shared" si="2"/>
        <v>column/time</v>
      </c>
      <c r="N36" s="3">
        <f t="shared" si="5"/>
        <v>0.60963541666666665</v>
      </c>
      <c r="O36" s="5">
        <f t="shared" si="6"/>
        <v>5.3950036873156339E-3</v>
      </c>
      <c r="P36" s="1">
        <f t="shared" si="4"/>
        <v>4.6537054707379132E-3</v>
      </c>
    </row>
    <row r="37" spans="1:16">
      <c r="A37" s="8" t="s">
        <v>46</v>
      </c>
      <c r="B37" s="17" t="s">
        <v>11</v>
      </c>
      <c r="C37" s="8" t="s">
        <v>55</v>
      </c>
      <c r="D37" s="9">
        <v>9012</v>
      </c>
      <c r="E37" s="8">
        <f>10*1000</f>
        <v>10000</v>
      </c>
      <c r="F37" s="8" t="s">
        <v>52</v>
      </c>
      <c r="G37" s="8">
        <v>3672</v>
      </c>
      <c r="H37" s="8">
        <f>10*1000</f>
        <v>10000</v>
      </c>
      <c r="I37" s="8" t="s">
        <v>52</v>
      </c>
      <c r="J37" s="8">
        <v>11</v>
      </c>
      <c r="K37" s="8" t="s">
        <v>52</v>
      </c>
      <c r="L37" s="8">
        <f t="shared" si="1"/>
        <v>2.8645833333333332E-2</v>
      </c>
      <c r="M37" s="8" t="str">
        <f t="shared" si="2"/>
        <v>uL</v>
      </c>
      <c r="N37" s="3">
        <f t="shared" si="5"/>
        <v>1.051875E-2</v>
      </c>
      <c r="O37" s="5">
        <f t="shared" si="6"/>
        <v>9.3086283185840713E-5</v>
      </c>
      <c r="P37" s="1">
        <f t="shared" si="4"/>
        <v>8.0295801526717559E-5</v>
      </c>
    </row>
    <row r="38" spans="1:16">
      <c r="A38" s="8" t="s">
        <v>72</v>
      </c>
      <c r="B38" s="17" t="s">
        <v>73</v>
      </c>
      <c r="C38" s="8" t="s">
        <v>74</v>
      </c>
      <c r="D38" s="9"/>
      <c r="E38" s="8">
        <v>24</v>
      </c>
      <c r="F38" s="8" t="s">
        <v>75</v>
      </c>
      <c r="G38" s="23">
        <v>160799</v>
      </c>
      <c r="H38" s="8">
        <v>24</v>
      </c>
      <c r="I38" s="8" t="s">
        <v>75</v>
      </c>
      <c r="J38" s="8">
        <f>1/5</f>
        <v>0.2</v>
      </c>
      <c r="K38" s="8" t="s">
        <v>75</v>
      </c>
      <c r="L38" s="8">
        <f t="shared" si="1"/>
        <v>5.2083333333333333E-4</v>
      </c>
      <c r="M38" s="8" t="str">
        <f t="shared" si="2"/>
        <v>times</v>
      </c>
      <c r="N38" s="3">
        <f t="shared" si="5"/>
        <v>3.489561631944444</v>
      </c>
      <c r="O38" s="5">
        <f t="shared" si="6"/>
        <v>3.0881076388888887E-2</v>
      </c>
      <c r="P38" s="1">
        <f t="shared" si="4"/>
        <v>2.6637875053011024E-2</v>
      </c>
    </row>
    <row r="39" spans="1:16">
      <c r="A39" s="13" t="s">
        <v>72</v>
      </c>
      <c r="B39" s="16" t="s">
        <v>80</v>
      </c>
      <c r="C39" s="13" t="s">
        <v>74</v>
      </c>
      <c r="D39" s="9" t="s">
        <v>81</v>
      </c>
      <c r="E39" s="8">
        <f>500*25/2</f>
        <v>6250</v>
      </c>
      <c r="F39" s="8" t="s">
        <v>52</v>
      </c>
      <c r="G39" s="8">
        <v>37800</v>
      </c>
      <c r="H39" s="8">
        <f>E39</f>
        <v>6250</v>
      </c>
      <c r="I39" s="8" t="s">
        <v>52</v>
      </c>
      <c r="J39" s="8">
        <v>25</v>
      </c>
      <c r="K39" s="8" t="s">
        <v>52</v>
      </c>
      <c r="L39" s="8">
        <f t="shared" si="1"/>
        <v>6.5104166666666671E-2</v>
      </c>
      <c r="M39" s="8" t="str">
        <f t="shared" si="2"/>
        <v>uL</v>
      </c>
      <c r="N39" s="3">
        <f t="shared" si="5"/>
        <v>0.39375000000000004</v>
      </c>
      <c r="O39" s="5">
        <f t="shared" si="6"/>
        <v>3.4845132743362836E-3</v>
      </c>
      <c r="P39" s="1">
        <f t="shared" si="4"/>
        <v>3.0057251908396951E-3</v>
      </c>
    </row>
    <row r="40" spans="1:16">
      <c r="A40" s="13" t="s">
        <v>72</v>
      </c>
      <c r="B40" s="16" t="s">
        <v>101</v>
      </c>
      <c r="C40" s="13" t="s">
        <v>95</v>
      </c>
      <c r="D40" s="9"/>
      <c r="E40" s="8">
        <v>100</v>
      </c>
      <c r="F40" s="8" t="s">
        <v>100</v>
      </c>
      <c r="G40" s="8">
        <v>20304</v>
      </c>
      <c r="H40" s="8">
        <v>900</v>
      </c>
      <c r="I40" s="8" t="s">
        <v>131</v>
      </c>
      <c r="J40" s="8">
        <f>2*1.5/100</f>
        <v>0.03</v>
      </c>
      <c r="K40" s="8" t="s">
        <v>131</v>
      </c>
      <c r="L40" s="8">
        <f t="shared" si="1"/>
        <v>7.8125000000000002E-5</v>
      </c>
      <c r="M40" s="8" t="str">
        <f t="shared" si="2"/>
        <v>uL</v>
      </c>
      <c r="N40" s="3">
        <f t="shared" si="5"/>
        <v>1.7625E-3</v>
      </c>
      <c r="O40" s="5">
        <f t="shared" si="6"/>
        <v>1.5597345132743362E-5</v>
      </c>
      <c r="P40" s="1">
        <f t="shared" si="4"/>
        <v>1.3454198473282443E-5</v>
      </c>
    </row>
    <row r="41" spans="1:16">
      <c r="A41" s="13" t="s">
        <v>72</v>
      </c>
      <c r="B41" s="16" t="s">
        <v>102</v>
      </c>
      <c r="C41" s="13" t="s">
        <v>95</v>
      </c>
      <c r="D41" s="9"/>
      <c r="E41" s="8">
        <v>100</v>
      </c>
      <c r="F41" s="8" t="s">
        <v>98</v>
      </c>
      <c r="G41" s="8">
        <v>29419</v>
      </c>
      <c r="H41" s="8">
        <v>310</v>
      </c>
      <c r="I41" s="8" t="s">
        <v>131</v>
      </c>
      <c r="J41" s="8">
        <f>2*1.5/100</f>
        <v>0.03</v>
      </c>
      <c r="K41" s="8" t="s">
        <v>131</v>
      </c>
      <c r="L41" s="8">
        <f t="shared" si="1"/>
        <v>7.8125000000000002E-5</v>
      </c>
      <c r="M41" s="8" t="str">
        <f t="shared" si="2"/>
        <v>uL</v>
      </c>
      <c r="N41" s="3">
        <f t="shared" si="5"/>
        <v>7.4140625000000005E-3</v>
      </c>
      <c r="O41" s="5">
        <f t="shared" si="6"/>
        <v>6.561117256637168E-5</v>
      </c>
      <c r="P41" s="1">
        <f t="shared" si="4"/>
        <v>5.6595896946564889E-5</v>
      </c>
    </row>
    <row r="42" spans="1:16">
      <c r="A42" s="13" t="s">
        <v>72</v>
      </c>
      <c r="B42" s="16" t="s">
        <v>99</v>
      </c>
      <c r="C42" s="13" t="s">
        <v>95</v>
      </c>
      <c r="D42" s="9"/>
      <c r="E42" s="8">
        <v>100</v>
      </c>
      <c r="F42" s="8" t="s">
        <v>98</v>
      </c>
      <c r="G42" s="8">
        <v>29419</v>
      </c>
      <c r="H42" s="8">
        <v>310</v>
      </c>
      <c r="I42" s="8" t="s">
        <v>131</v>
      </c>
      <c r="J42" s="8">
        <v>0.35</v>
      </c>
      <c r="K42" s="8" t="s">
        <v>131</v>
      </c>
      <c r="L42" s="8">
        <f t="shared" si="1"/>
        <v>9.1145833333333324E-4</v>
      </c>
      <c r="M42" s="8" t="str">
        <f t="shared" si="2"/>
        <v>uL</v>
      </c>
      <c r="N42" s="3">
        <f t="shared" si="5"/>
        <v>8.6497395833333324E-2</v>
      </c>
      <c r="O42" s="5">
        <f t="shared" si="6"/>
        <v>7.6546367994100289E-4</v>
      </c>
      <c r="P42" s="1">
        <f t="shared" si="4"/>
        <v>6.6028546437659028E-4</v>
      </c>
    </row>
    <row r="43" spans="1:16">
      <c r="A43" s="13" t="s">
        <v>72</v>
      </c>
      <c r="B43" s="16" t="s">
        <v>97</v>
      </c>
      <c r="C43" s="13" t="s">
        <v>95</v>
      </c>
      <c r="D43" s="9"/>
      <c r="E43" s="8">
        <v>100</v>
      </c>
      <c r="F43" s="8" t="s">
        <v>8</v>
      </c>
      <c r="G43" s="8">
        <v>21556</v>
      </c>
      <c r="H43" s="8">
        <v>818</v>
      </c>
      <c r="I43" s="8" t="s">
        <v>131</v>
      </c>
      <c r="J43" s="8">
        <v>0.35</v>
      </c>
      <c r="K43" s="8" t="s">
        <v>131</v>
      </c>
      <c r="L43" s="8">
        <f t="shared" si="1"/>
        <v>9.1145833333333324E-4</v>
      </c>
      <c r="M43" s="8" t="str">
        <f t="shared" si="2"/>
        <v>uL</v>
      </c>
      <c r="N43" s="3">
        <f t="shared" si="5"/>
        <v>2.4018821312143435E-2</v>
      </c>
      <c r="O43" s="5">
        <f t="shared" si="6"/>
        <v>2.1255594081542864E-4</v>
      </c>
      <c r="P43" s="1">
        <f t="shared" si="4"/>
        <v>1.8334978100872852E-4</v>
      </c>
    </row>
    <row r="44" spans="1:16">
      <c r="A44" s="8" t="s">
        <v>76</v>
      </c>
      <c r="B44" s="17" t="s">
        <v>50</v>
      </c>
      <c r="C44" s="8" t="s">
        <v>51</v>
      </c>
      <c r="D44" s="9" t="s">
        <v>53</v>
      </c>
      <c r="E44" s="8">
        <f>60*1000</f>
        <v>60000</v>
      </c>
      <c r="F44" s="8" t="s">
        <v>52</v>
      </c>
      <c r="G44" s="22">
        <v>100980</v>
      </c>
      <c r="H44" s="8">
        <f>60*1000</f>
        <v>60000</v>
      </c>
      <c r="I44" s="8" t="s">
        <v>52</v>
      </c>
      <c r="J44" s="8">
        <v>40</v>
      </c>
      <c r="K44" s="8" t="s">
        <v>52</v>
      </c>
      <c r="L44" s="8">
        <f t="shared" si="1"/>
        <v>0.10416666666666667</v>
      </c>
      <c r="M44" s="8" t="str">
        <f t="shared" si="2"/>
        <v>uL</v>
      </c>
      <c r="N44" s="3">
        <f t="shared" si="5"/>
        <v>0.17531250000000001</v>
      </c>
      <c r="O44" s="5">
        <f t="shared" si="6"/>
        <v>1.5514380530973451E-3</v>
      </c>
      <c r="P44" s="1">
        <f t="shared" si="4"/>
        <v>1.3382633587786261E-3</v>
      </c>
    </row>
    <row r="45" spans="1:16">
      <c r="A45" s="8" t="s">
        <v>76</v>
      </c>
      <c r="B45" s="17" t="s">
        <v>11</v>
      </c>
      <c r="C45" s="8" t="s">
        <v>55</v>
      </c>
      <c r="D45" s="9">
        <v>9012</v>
      </c>
      <c r="E45" s="8">
        <f>10*1000</f>
        <v>10000</v>
      </c>
      <c r="F45" s="8" t="s">
        <v>52</v>
      </c>
      <c r="G45" s="8">
        <v>3672</v>
      </c>
      <c r="H45" s="8">
        <f>10*1000</f>
        <v>10000</v>
      </c>
      <c r="I45" s="8" t="s">
        <v>52</v>
      </c>
      <c r="J45" s="8">
        <v>25</v>
      </c>
      <c r="K45" s="8" t="s">
        <v>52</v>
      </c>
      <c r="L45" s="8">
        <f t="shared" si="1"/>
        <v>6.5104166666666671E-2</v>
      </c>
      <c r="M45" s="8" t="str">
        <f t="shared" si="2"/>
        <v>uL</v>
      </c>
      <c r="N45" s="3">
        <f t="shared" si="5"/>
        <v>2.3906250000000004E-2</v>
      </c>
      <c r="O45" s="5">
        <f t="shared" si="6"/>
        <v>2.1155973451327437E-4</v>
      </c>
      <c r="P45" s="1">
        <f t="shared" si="4"/>
        <v>1.824904580152672E-4</v>
      </c>
    </row>
    <row r="46" spans="1:16">
      <c r="A46" s="13" t="s">
        <v>77</v>
      </c>
      <c r="B46" s="16" t="s">
        <v>43</v>
      </c>
      <c r="C46" s="8" t="s">
        <v>91</v>
      </c>
      <c r="D46" s="9" t="s">
        <v>92</v>
      </c>
      <c r="E46" s="8">
        <f>10*11</f>
        <v>110</v>
      </c>
      <c r="F46" s="8" t="s">
        <v>45</v>
      </c>
      <c r="G46" s="8">
        <v>61560</v>
      </c>
      <c r="H46" s="8">
        <v>110</v>
      </c>
      <c r="I46" s="8" t="s">
        <v>45</v>
      </c>
      <c r="J46" s="8">
        <v>1</v>
      </c>
      <c r="K46" s="8" t="s">
        <v>45</v>
      </c>
      <c r="L46" s="8">
        <f t="shared" si="1"/>
        <v>2.6041666666666665E-3</v>
      </c>
      <c r="M46" s="8" t="str">
        <f t="shared" si="2"/>
        <v>well</v>
      </c>
      <c r="N46" s="3">
        <f t="shared" si="5"/>
        <v>1.4573863636363635</v>
      </c>
      <c r="O46" s="5">
        <f t="shared" si="6"/>
        <v>1.2897224456958969E-2</v>
      </c>
      <c r="P46" s="1">
        <f t="shared" si="4"/>
        <v>1.1125086745315753E-2</v>
      </c>
    </row>
    <row r="47" spans="1:16">
      <c r="A47" s="13" t="s">
        <v>142</v>
      </c>
      <c r="B47" s="17" t="s">
        <v>145</v>
      </c>
      <c r="C47" s="8" t="s">
        <v>144</v>
      </c>
      <c r="D47" s="9" t="s">
        <v>143</v>
      </c>
      <c r="E47" s="8">
        <v>1000</v>
      </c>
      <c r="F47" s="8" t="s">
        <v>75</v>
      </c>
      <c r="G47" s="8">
        <f>1000*175</f>
        <v>175000</v>
      </c>
      <c r="H47" s="8">
        <v>1000</v>
      </c>
      <c r="I47" s="8" t="s">
        <v>119</v>
      </c>
      <c r="J47" s="8">
        <v>1</v>
      </c>
      <c r="K47" s="8" t="s">
        <v>119</v>
      </c>
      <c r="L47" s="8">
        <f t="shared" si="1"/>
        <v>2.6041666666666665E-3</v>
      </c>
      <c r="M47" s="8" t="str">
        <f t="shared" si="2"/>
        <v>well</v>
      </c>
      <c r="N47" s="3">
        <f t="shared" si="5"/>
        <v>0.45572916666666663</v>
      </c>
      <c r="O47" s="5">
        <f t="shared" si="6"/>
        <v>4.0330014749262533E-3</v>
      </c>
      <c r="P47" s="1">
        <f t="shared" si="4"/>
        <v>3.4788486005089057E-3</v>
      </c>
    </row>
    <row r="48" spans="1:16">
      <c r="A48" s="13" t="s">
        <v>124</v>
      </c>
      <c r="B48" s="16" t="s">
        <v>103</v>
      </c>
      <c r="C48" s="8" t="s">
        <v>104</v>
      </c>
      <c r="D48" s="9" t="s">
        <v>105</v>
      </c>
      <c r="E48" s="8">
        <f>96*10*5</f>
        <v>4800</v>
      </c>
      <c r="F48" s="8" t="s">
        <v>106</v>
      </c>
      <c r="G48" s="8">
        <v>57210</v>
      </c>
      <c r="H48" s="8">
        <f>E48</f>
        <v>4800</v>
      </c>
      <c r="I48" s="8" t="s">
        <v>106</v>
      </c>
      <c r="J48" s="8">
        <v>19</v>
      </c>
      <c r="K48" s="8" t="s">
        <v>106</v>
      </c>
      <c r="L48" s="8">
        <f t="shared" si="1"/>
        <v>4.9479166666666664E-2</v>
      </c>
      <c r="M48" s="8" t="str">
        <f t="shared" si="2"/>
        <v>Tip</v>
      </c>
      <c r="N48" s="3">
        <f t="shared" si="5"/>
        <v>0.58972981770833333</v>
      </c>
      <c r="O48" s="5">
        <f t="shared" si="6"/>
        <v>5.2188479443215337E-3</v>
      </c>
      <c r="P48" s="1">
        <f t="shared" si="4"/>
        <v>4.5017543336513992E-3</v>
      </c>
    </row>
    <row r="49" spans="1:16">
      <c r="A49" s="13" t="s">
        <v>124</v>
      </c>
      <c r="B49" s="16" t="s">
        <v>107</v>
      </c>
      <c r="C49" s="8" t="s">
        <v>104</v>
      </c>
      <c r="D49" s="9" t="s">
        <v>108</v>
      </c>
      <c r="E49" s="8">
        <f>96*10*5</f>
        <v>4800</v>
      </c>
      <c r="F49" s="8" t="s">
        <v>106</v>
      </c>
      <c r="G49" s="8">
        <v>60480</v>
      </c>
      <c r="H49" s="8">
        <f t="shared" ref="H49:H56" si="7">E49</f>
        <v>4800</v>
      </c>
      <c r="I49" s="8" t="s">
        <v>106</v>
      </c>
      <c r="J49" s="8">
        <v>28</v>
      </c>
      <c r="K49" s="8" t="s">
        <v>106</v>
      </c>
      <c r="L49" s="8">
        <f t="shared" si="1"/>
        <v>7.2916666666666671E-2</v>
      </c>
      <c r="M49" s="8" t="str">
        <f t="shared" si="2"/>
        <v>Tip</v>
      </c>
      <c r="N49" s="3">
        <f t="shared" si="5"/>
        <v>0.91875000000000007</v>
      </c>
      <c r="O49" s="5">
        <f t="shared" si="6"/>
        <v>8.1305309734513286E-3</v>
      </c>
      <c r="P49" s="1">
        <f t="shared" si="4"/>
        <v>7.0133587786259544E-3</v>
      </c>
    </row>
    <row r="50" spans="1:16">
      <c r="A50" s="8" t="s">
        <v>124</v>
      </c>
      <c r="B50" s="17" t="s">
        <v>109</v>
      </c>
      <c r="C50" s="8" t="s">
        <v>104</v>
      </c>
      <c r="D50" s="9" t="s">
        <v>110</v>
      </c>
      <c r="E50" s="8">
        <f>96*10*5</f>
        <v>4800</v>
      </c>
      <c r="F50" s="8" t="s">
        <v>106</v>
      </c>
      <c r="G50" s="8">
        <v>60480</v>
      </c>
      <c r="H50" s="8">
        <f t="shared" si="7"/>
        <v>4800</v>
      </c>
      <c r="I50" s="8" t="s">
        <v>106</v>
      </c>
      <c r="J50" s="8">
        <v>13</v>
      </c>
      <c r="K50" s="8" t="s">
        <v>106</v>
      </c>
      <c r="L50" s="8">
        <f t="shared" si="1"/>
        <v>3.3854166666666664E-2</v>
      </c>
      <c r="M50" s="8" t="str">
        <f t="shared" si="2"/>
        <v>Tip</v>
      </c>
      <c r="N50" s="3">
        <f t="shared" si="5"/>
        <v>0.42656249999999996</v>
      </c>
      <c r="O50" s="5">
        <f t="shared" si="6"/>
        <v>3.7748893805309731E-3</v>
      </c>
      <c r="P50" s="1">
        <f t="shared" si="4"/>
        <v>3.2562022900763355E-3</v>
      </c>
    </row>
    <row r="51" spans="1:16">
      <c r="A51" s="8" t="s">
        <v>124</v>
      </c>
      <c r="B51" s="17" t="s">
        <v>111</v>
      </c>
      <c r="C51" s="8" t="s">
        <v>112</v>
      </c>
      <c r="D51" s="9">
        <v>1013070</v>
      </c>
      <c r="E51" s="8">
        <f>96*10*5</f>
        <v>4800</v>
      </c>
      <c r="F51" s="8" t="s">
        <v>106</v>
      </c>
      <c r="G51" s="8">
        <v>34560</v>
      </c>
      <c r="H51" s="8">
        <f t="shared" si="7"/>
        <v>4800</v>
      </c>
      <c r="I51" s="8" t="s">
        <v>106</v>
      </c>
      <c r="J51" s="8">
        <v>6</v>
      </c>
      <c r="K51" s="8" t="s">
        <v>106</v>
      </c>
      <c r="L51" s="8">
        <f t="shared" si="1"/>
        <v>1.5625E-2</v>
      </c>
      <c r="M51" s="8" t="str">
        <f t="shared" si="2"/>
        <v>Tip</v>
      </c>
      <c r="N51" s="3">
        <f t="shared" si="5"/>
        <v>0.1125</v>
      </c>
      <c r="O51" s="5">
        <f t="shared" si="6"/>
        <v>9.9557522123893804E-4</v>
      </c>
      <c r="P51" s="1">
        <f t="shared" si="4"/>
        <v>8.5877862595419845E-4</v>
      </c>
    </row>
    <row r="52" spans="1:16">
      <c r="A52" s="8" t="s">
        <v>124</v>
      </c>
      <c r="B52" s="17" t="s">
        <v>113</v>
      </c>
      <c r="C52" s="8" t="s">
        <v>112</v>
      </c>
      <c r="D52" s="9">
        <v>1013090</v>
      </c>
      <c r="E52" s="8">
        <f>96*10*4</f>
        <v>3840</v>
      </c>
      <c r="F52" s="8" t="s">
        <v>106</v>
      </c>
      <c r="G52" s="8">
        <v>30240</v>
      </c>
      <c r="H52" s="8">
        <f t="shared" si="7"/>
        <v>3840</v>
      </c>
      <c r="I52" s="8" t="s">
        <v>106</v>
      </c>
      <c r="J52" s="8">
        <v>15</v>
      </c>
      <c r="K52" s="8" t="s">
        <v>106</v>
      </c>
      <c r="L52" s="8">
        <f t="shared" si="1"/>
        <v>3.90625E-2</v>
      </c>
      <c r="M52" s="8" t="str">
        <f t="shared" si="2"/>
        <v>Tip</v>
      </c>
      <c r="N52" s="3">
        <f t="shared" si="5"/>
        <v>0.3076171875</v>
      </c>
      <c r="O52" s="5">
        <f t="shared" si="6"/>
        <v>2.7222759955752214E-3</v>
      </c>
      <c r="P52" s="1">
        <f t="shared" si="4"/>
        <v>2.3482228053435116E-3</v>
      </c>
    </row>
    <row r="53" spans="1:16">
      <c r="A53" s="8" t="s">
        <v>146</v>
      </c>
      <c r="B53" s="17" t="s">
        <v>174</v>
      </c>
      <c r="C53" s="8" t="s">
        <v>176</v>
      </c>
      <c r="D53" s="9" t="s">
        <v>177</v>
      </c>
      <c r="E53" s="8">
        <v>960</v>
      </c>
      <c r="F53" s="8" t="s">
        <v>175</v>
      </c>
      <c r="G53" s="8">
        <v>13651</v>
      </c>
      <c r="H53" s="8">
        <f>E53</f>
        <v>960</v>
      </c>
      <c r="I53" s="8" t="s">
        <v>175</v>
      </c>
      <c r="J53" s="8">
        <v>2</v>
      </c>
      <c r="K53" s="8" t="s">
        <v>175</v>
      </c>
      <c r="L53" s="8">
        <f>J53/1536</f>
        <v>1.3020833333333333E-3</v>
      </c>
      <c r="M53" s="8" t="s">
        <v>175</v>
      </c>
      <c r="N53" s="3"/>
      <c r="O53" s="5">
        <f t="shared" si="6"/>
        <v>0</v>
      </c>
      <c r="P53" s="1">
        <f t="shared" si="4"/>
        <v>0</v>
      </c>
    </row>
    <row r="54" spans="1:16">
      <c r="A54" s="8" t="s">
        <v>124</v>
      </c>
      <c r="B54" s="17" t="s">
        <v>114</v>
      </c>
      <c r="C54" s="8" t="s">
        <v>71</v>
      </c>
      <c r="D54" s="9">
        <v>30108051</v>
      </c>
      <c r="E54" s="8">
        <f>5*50*3</f>
        <v>750</v>
      </c>
      <c r="F54" s="8" t="s">
        <v>116</v>
      </c>
      <c r="G54" s="8">
        <v>6480</v>
      </c>
      <c r="H54" s="8">
        <f t="shared" si="7"/>
        <v>750</v>
      </c>
      <c r="I54" s="8" t="s">
        <v>116</v>
      </c>
      <c r="J54" s="8">
        <v>4</v>
      </c>
      <c r="K54" s="8" t="s">
        <v>116</v>
      </c>
      <c r="L54" s="8">
        <f t="shared" si="1"/>
        <v>1.0416666666666666E-2</v>
      </c>
      <c r="M54" s="8" t="str">
        <f t="shared" si="2"/>
        <v>tube</v>
      </c>
      <c r="N54" s="3">
        <f t="shared" ref="N54:N61" si="8">G54/H54*L54</f>
        <v>0.09</v>
      </c>
      <c r="O54" s="5">
        <f t="shared" si="6"/>
        <v>7.9646017699115039E-4</v>
      </c>
      <c r="P54" s="1">
        <f t="shared" si="4"/>
        <v>6.8702290076335878E-4</v>
      </c>
    </row>
    <row r="55" spans="1:16">
      <c r="A55" s="8" t="s">
        <v>124</v>
      </c>
      <c r="B55" s="17" t="s">
        <v>191</v>
      </c>
      <c r="C55" s="8" t="s">
        <v>181</v>
      </c>
      <c r="D55" s="9" t="s">
        <v>182</v>
      </c>
      <c r="E55" s="8">
        <v>480</v>
      </c>
      <c r="F55" s="8" t="s">
        <v>47</v>
      </c>
      <c r="G55" s="8">
        <v>10220</v>
      </c>
      <c r="H55" s="8">
        <v>480</v>
      </c>
      <c r="I55" s="8" t="s">
        <v>47</v>
      </c>
      <c r="J55" s="8">
        <v>1</v>
      </c>
      <c r="K55" s="8" t="s">
        <v>47</v>
      </c>
      <c r="L55" s="8">
        <f>J55/1536</f>
        <v>6.5104166666666663E-4</v>
      </c>
      <c r="M55" s="8" t="str">
        <f t="shared" si="2"/>
        <v>tube</v>
      </c>
      <c r="N55" s="3">
        <f t="shared" si="8"/>
        <v>1.3861762152777778E-2</v>
      </c>
      <c r="O55" s="5">
        <f t="shared" si="6"/>
        <v>1.226704615290069E-4</v>
      </c>
      <c r="P55" s="1">
        <f t="shared" si="4"/>
        <v>1.0581497826547922E-4</v>
      </c>
    </row>
    <row r="56" spans="1:16">
      <c r="A56" s="8" t="s">
        <v>124</v>
      </c>
      <c r="B56" s="17" t="s">
        <v>115</v>
      </c>
      <c r="C56" s="8" t="s">
        <v>71</v>
      </c>
      <c r="D56" s="9">
        <v>30108310</v>
      </c>
      <c r="E56" s="8">
        <f>4*50*2</f>
        <v>400</v>
      </c>
      <c r="F56" s="8" t="s">
        <v>47</v>
      </c>
      <c r="G56" s="8">
        <v>11404</v>
      </c>
      <c r="H56" s="8">
        <f t="shared" si="7"/>
        <v>400</v>
      </c>
      <c r="I56" s="8" t="s">
        <v>47</v>
      </c>
      <c r="J56" s="8">
        <v>3</v>
      </c>
      <c r="K56" s="8" t="s">
        <v>47</v>
      </c>
      <c r="L56" s="8">
        <f t="shared" si="1"/>
        <v>7.8125E-3</v>
      </c>
      <c r="M56" s="8" t="str">
        <f t="shared" si="2"/>
        <v>tube</v>
      </c>
      <c r="N56" s="3">
        <f t="shared" si="8"/>
        <v>0.22273437500000001</v>
      </c>
      <c r="O56" s="5">
        <f t="shared" si="6"/>
        <v>1.9711006637168141E-3</v>
      </c>
      <c r="P56" s="1">
        <f t="shared" si="4"/>
        <v>1.7002624045801527E-3</v>
      </c>
    </row>
    <row r="57" spans="1:16">
      <c r="A57" s="8" t="s">
        <v>124</v>
      </c>
      <c r="B57" s="17" t="s">
        <v>117</v>
      </c>
      <c r="C57" s="8" t="s">
        <v>55</v>
      </c>
      <c r="D57" s="9" t="s">
        <v>118</v>
      </c>
      <c r="E57" s="8">
        <f>125*8*3</f>
        <v>3000</v>
      </c>
      <c r="F57" s="8" t="s">
        <v>119</v>
      </c>
      <c r="G57" s="8">
        <v>40095</v>
      </c>
      <c r="H57" s="8">
        <f>E57</f>
        <v>3000</v>
      </c>
      <c r="I57" s="8" t="s">
        <v>119</v>
      </c>
      <c r="J57" s="8">
        <v>13</v>
      </c>
      <c r="K57" s="8" t="s">
        <v>119</v>
      </c>
      <c r="L57" s="8">
        <f t="shared" si="1"/>
        <v>3.3854166666666664E-2</v>
      </c>
      <c r="M57" s="8" t="str">
        <f t="shared" si="2"/>
        <v>well</v>
      </c>
      <c r="N57" s="3">
        <f t="shared" si="8"/>
        <v>0.45246093749999999</v>
      </c>
      <c r="O57" s="5">
        <f t="shared" si="6"/>
        <v>4.0040790929203535E-3</v>
      </c>
      <c r="P57" s="1">
        <f t="shared" si="4"/>
        <v>3.4539002862595419E-3</v>
      </c>
    </row>
    <row r="58" spans="1:16" ht="16">
      <c r="A58" s="8" t="s">
        <v>124</v>
      </c>
      <c r="B58" s="17" t="s">
        <v>120</v>
      </c>
      <c r="C58" s="8" t="s">
        <v>55</v>
      </c>
      <c r="D58" s="9" t="s">
        <v>122</v>
      </c>
      <c r="E58" s="8">
        <f>125*8*3</f>
        <v>3000</v>
      </c>
      <c r="F58" s="8" t="s">
        <v>119</v>
      </c>
      <c r="G58" s="24">
        <v>10692</v>
      </c>
      <c r="H58" s="8">
        <f>E58</f>
        <v>3000</v>
      </c>
      <c r="I58" s="8" t="s">
        <v>119</v>
      </c>
      <c r="J58" s="8">
        <v>26</v>
      </c>
      <c r="K58" s="8" t="s">
        <v>119</v>
      </c>
      <c r="L58" s="8">
        <f t="shared" si="1"/>
        <v>6.7708333333333329E-2</v>
      </c>
      <c r="M58" s="8" t="str">
        <f t="shared" si="2"/>
        <v>well</v>
      </c>
      <c r="N58" s="3">
        <f t="shared" si="8"/>
        <v>0.24131249999999999</v>
      </c>
      <c r="O58" s="5">
        <f t="shared" si="6"/>
        <v>2.1355088495575219E-3</v>
      </c>
      <c r="P58" s="1">
        <f t="shared" si="4"/>
        <v>1.8420801526717555E-3</v>
      </c>
    </row>
    <row r="59" spans="1:16" ht="16">
      <c r="A59" s="8" t="s">
        <v>124</v>
      </c>
      <c r="B59" s="17" t="s">
        <v>121</v>
      </c>
      <c r="C59" s="8" t="s">
        <v>55</v>
      </c>
      <c r="D59" s="9" t="s">
        <v>123</v>
      </c>
      <c r="E59" s="8">
        <f>1000</f>
        <v>1000</v>
      </c>
      <c r="F59" s="8" t="s">
        <v>119</v>
      </c>
      <c r="G59" s="24">
        <v>7574</v>
      </c>
      <c r="H59" s="8">
        <f t="shared" ref="H59" si="9">E59</f>
        <v>1000</v>
      </c>
      <c r="I59" s="8" t="s">
        <v>119</v>
      </c>
      <c r="J59" s="8">
        <v>3</v>
      </c>
      <c r="K59" s="8" t="s">
        <v>119</v>
      </c>
      <c r="L59" s="8">
        <f t="shared" si="1"/>
        <v>7.8125E-3</v>
      </c>
      <c r="M59" s="8" t="str">
        <f t="shared" si="2"/>
        <v>well</v>
      </c>
      <c r="N59" s="3">
        <f t="shared" si="8"/>
        <v>5.9171874999999999E-2</v>
      </c>
      <c r="O59" s="5">
        <f t="shared" si="6"/>
        <v>5.2364491150442476E-4</v>
      </c>
      <c r="P59" s="1">
        <f t="shared" si="4"/>
        <v>4.5169370229007633E-4</v>
      </c>
    </row>
    <row r="60" spans="1:16">
      <c r="A60" s="8" t="s">
        <v>128</v>
      </c>
      <c r="B60" s="17" t="s">
        <v>126</v>
      </c>
      <c r="C60" s="8" t="s">
        <v>83</v>
      </c>
      <c r="D60" s="9" t="s">
        <v>127</v>
      </c>
      <c r="E60" s="8">
        <v>2000</v>
      </c>
      <c r="F60" s="8" t="s">
        <v>129</v>
      </c>
      <c r="G60" s="17">
        <v>118584</v>
      </c>
      <c r="H60" s="8">
        <f>E60</f>
        <v>2000</v>
      </c>
      <c r="I60" s="8" t="s">
        <v>129</v>
      </c>
      <c r="J60" s="8">
        <v>3</v>
      </c>
      <c r="K60" s="8" t="s">
        <v>129</v>
      </c>
      <c r="L60" s="8">
        <f t="shared" si="1"/>
        <v>7.8125E-3</v>
      </c>
      <c r="M60" s="8" t="str">
        <f t="shared" si="2"/>
        <v>sheel</v>
      </c>
      <c r="N60" s="3">
        <f t="shared" si="8"/>
        <v>0.46321875000000001</v>
      </c>
      <c r="O60" s="5">
        <f t="shared" si="6"/>
        <v>4.0992809734513276E-3</v>
      </c>
      <c r="P60" s="1">
        <f t="shared" si="4"/>
        <v>3.5360209923664121E-3</v>
      </c>
    </row>
    <row r="61" spans="1:16">
      <c r="A61" s="8" t="s">
        <v>149</v>
      </c>
      <c r="B61" s="17" t="s">
        <v>147</v>
      </c>
      <c r="C61" s="13" t="s">
        <v>95</v>
      </c>
      <c r="D61" s="9"/>
      <c r="E61" s="8">
        <v>100</v>
      </c>
      <c r="F61" s="8" t="s">
        <v>98</v>
      </c>
      <c r="G61" s="8">
        <v>29419</v>
      </c>
      <c r="H61" s="8">
        <v>310</v>
      </c>
      <c r="I61" s="8" t="s">
        <v>148</v>
      </c>
      <c r="J61" s="8">
        <f>6/4</f>
        <v>1.5</v>
      </c>
      <c r="K61" s="8" t="s">
        <v>193</v>
      </c>
      <c r="L61" s="8">
        <f t="shared" si="1"/>
        <v>3.90625E-3</v>
      </c>
      <c r="M61" s="8" t="str">
        <f t="shared" si="2"/>
        <v>uL (for 4 plates)</v>
      </c>
      <c r="N61" s="4">
        <f t="shared" si="8"/>
        <v>0.37070312500000002</v>
      </c>
      <c r="O61" s="5">
        <f t="shared" si="6"/>
        <v>3.2805586283185841E-3</v>
      </c>
      <c r="P61" s="1">
        <f t="shared" si="4"/>
        <v>2.8297948473282445E-3</v>
      </c>
    </row>
    <row r="63" spans="1:16">
      <c r="M63" s="26" t="s">
        <v>158</v>
      </c>
      <c r="N63" s="29">
        <f>SUM(N3:N61)-N33-N34-N46-N47</f>
        <v>34.037680140371791</v>
      </c>
      <c r="O63" s="1">
        <f>SUM(O3:O61)-O33-O34-O46-O47</f>
        <v>0.30121840832187419</v>
      </c>
      <c r="P63" s="1">
        <f>SUM(P3:P61)-P33-P34-P46-P47</f>
        <v>0.25982961939215099</v>
      </c>
    </row>
    <row r="64" spans="1:16">
      <c r="M64" s="26" t="s">
        <v>159</v>
      </c>
      <c r="N64" s="30">
        <f>N63+N33+N46</f>
        <v>36.952452867644524</v>
      </c>
      <c r="O64" s="1">
        <f>O63+O33+O46</f>
        <v>0.3270128572357921</v>
      </c>
      <c r="P64" s="1">
        <f>P63+P33+P46</f>
        <v>0.28207979288278251</v>
      </c>
    </row>
    <row r="65" spans="13:16">
      <c r="M65" s="26" t="s">
        <v>160</v>
      </c>
      <c r="N65" s="31">
        <f>N63+N34+N47</f>
        <v>34.949138473705119</v>
      </c>
      <c r="O65" s="1">
        <f>O63+O34+O47</f>
        <v>0.30928441127172668</v>
      </c>
      <c r="P65" s="1">
        <f>P63+P34+P47</f>
        <v>0.26678731659316879</v>
      </c>
    </row>
  </sheetData>
  <autoFilter ref="A2:P2"/>
  <phoneticPr fontId="1"/>
  <conditionalFormatting sqref="N3:N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workbookViewId="0"/>
  </sheetViews>
  <sheetFormatPr baseColWidth="12" defaultRowHeight="15" x14ac:dyDescent="0"/>
  <cols>
    <col min="1" max="1" width="27.33203125" style="1" customWidth="1"/>
    <col min="2" max="2" width="40.6640625" style="1" bestFit="1" customWidth="1"/>
    <col min="3" max="3" width="23.1640625" style="1" bestFit="1" customWidth="1"/>
    <col min="4" max="4" width="19.83203125" style="7" bestFit="1" customWidth="1"/>
    <col min="5" max="6" width="15" style="1" bestFit="1" customWidth="1"/>
    <col min="7" max="7" width="25.6640625" style="1" bestFit="1" customWidth="1"/>
    <col min="8" max="9" width="21.1640625" style="1" bestFit="1" customWidth="1"/>
    <col min="10" max="11" width="21.5" style="1" bestFit="1" customWidth="1"/>
    <col min="12" max="12" width="19.1640625" style="1" bestFit="1" customWidth="1"/>
    <col min="13" max="13" width="42.1640625" style="1" bestFit="1" customWidth="1"/>
    <col min="14" max="14" width="23" style="1" bestFit="1" customWidth="1"/>
    <col min="15" max="15" width="25" style="1" bestFit="1" customWidth="1"/>
    <col min="16" max="16" width="23.83203125" style="1" bestFit="1" customWidth="1"/>
    <col min="17" max="17" width="12.83203125" style="1"/>
    <col min="18" max="18" width="26.33203125" style="1" bestFit="1" customWidth="1"/>
    <col min="19" max="19" width="10.1640625" style="1" bestFit="1" customWidth="1"/>
    <col min="20" max="16384" width="12.83203125" style="1"/>
  </cols>
  <sheetData>
    <row r="1" spans="1:19" ht="32" customHeight="1">
      <c r="A1" s="12" t="s">
        <v>166</v>
      </c>
      <c r="S1" s="1" t="s">
        <v>173</v>
      </c>
    </row>
    <row r="2" spans="1:19">
      <c r="A2" s="26" t="s">
        <v>0</v>
      </c>
      <c r="B2" s="26" t="s">
        <v>1</v>
      </c>
      <c r="C2" s="26" t="s">
        <v>2</v>
      </c>
      <c r="D2" s="27" t="s">
        <v>161</v>
      </c>
      <c r="E2" s="26" t="s">
        <v>150</v>
      </c>
      <c r="F2" s="26" t="s">
        <v>151</v>
      </c>
      <c r="G2" s="26" t="s">
        <v>154</v>
      </c>
      <c r="H2" s="26" t="s">
        <v>152</v>
      </c>
      <c r="I2" s="26" t="s">
        <v>153</v>
      </c>
      <c r="J2" s="26" t="s">
        <v>130</v>
      </c>
      <c r="K2" s="26" t="s">
        <v>138</v>
      </c>
      <c r="L2" s="26" t="s">
        <v>140</v>
      </c>
      <c r="M2" s="26" t="s">
        <v>140</v>
      </c>
      <c r="N2" s="26" t="s">
        <v>157</v>
      </c>
      <c r="O2" s="26" t="s">
        <v>156</v>
      </c>
      <c r="P2" s="26" t="s">
        <v>155</v>
      </c>
      <c r="R2" s="28" t="s">
        <v>195</v>
      </c>
      <c r="S2" s="28">
        <v>113</v>
      </c>
    </row>
    <row r="3" spans="1:19">
      <c r="A3" s="13" t="s">
        <v>79</v>
      </c>
      <c r="B3" s="16" t="s">
        <v>69</v>
      </c>
      <c r="C3" s="8" t="s">
        <v>71</v>
      </c>
      <c r="D3" s="9" t="s">
        <v>70</v>
      </c>
      <c r="E3" s="8">
        <v>25</v>
      </c>
      <c r="F3" s="8" t="s">
        <v>68</v>
      </c>
      <c r="G3" s="8">
        <v>23225</v>
      </c>
      <c r="H3" s="8">
        <v>25</v>
      </c>
      <c r="I3" s="8" t="s">
        <v>68</v>
      </c>
      <c r="J3" s="8">
        <v>1</v>
      </c>
      <c r="K3" s="8" t="s">
        <v>68</v>
      </c>
      <c r="L3" s="8">
        <f>J3/384</f>
        <v>2.6041666666666665E-3</v>
      </c>
      <c r="M3" s="8" t="str">
        <f>K3</f>
        <v>plate</v>
      </c>
      <c r="N3" s="2">
        <f t="shared" ref="N3:N22" si="0">G3/H3*L3</f>
        <v>2.419270833333333</v>
      </c>
      <c r="O3" s="1">
        <f>N3/$S$2</f>
        <v>2.1409476401179937E-2</v>
      </c>
      <c r="P3" s="1">
        <f>N3/$S$3</f>
        <v>1.8467716284987275E-2</v>
      </c>
      <c r="R3" s="28" t="s">
        <v>197</v>
      </c>
      <c r="S3" s="28">
        <v>131</v>
      </c>
    </row>
    <row r="4" spans="1:19" ht="30">
      <c r="A4" s="13" t="s">
        <v>79</v>
      </c>
      <c r="B4" s="16" t="s">
        <v>82</v>
      </c>
      <c r="C4" s="8" t="s">
        <v>83</v>
      </c>
      <c r="D4" s="9" t="s">
        <v>84</v>
      </c>
      <c r="E4" s="8">
        <v>50</v>
      </c>
      <c r="F4" s="8" t="s">
        <v>85</v>
      </c>
      <c r="G4" s="8">
        <v>493506</v>
      </c>
      <c r="H4" s="8">
        <v>50</v>
      </c>
      <c r="I4" s="8" t="s">
        <v>85</v>
      </c>
      <c r="J4" s="8">
        <f>1/30</f>
        <v>3.3333333333333333E-2</v>
      </c>
      <c r="K4" s="8" t="s">
        <v>179</v>
      </c>
      <c r="L4" s="8">
        <f t="shared" ref="L4:L61" si="1">J4/384</f>
        <v>8.6805555555555559E-5</v>
      </c>
      <c r="M4" s="8" t="str">
        <f t="shared" ref="M4:M61" si="2">K4</f>
        <v>rack (for 30 plates)</v>
      </c>
      <c r="N4" s="3">
        <f t="shared" si="0"/>
        <v>0.85678125000000005</v>
      </c>
      <c r="O4" s="1">
        <f t="shared" ref="O4:O22" si="3">N4/$S$2</f>
        <v>7.5821349557522125E-3</v>
      </c>
      <c r="P4" s="1">
        <f t="shared" ref="P4:P61" si="4">N4/$S$3</f>
        <v>6.5403148854961835E-3</v>
      </c>
    </row>
    <row r="5" spans="1:19">
      <c r="A5" s="8" t="s">
        <v>18</v>
      </c>
      <c r="B5" s="17" t="s">
        <v>30</v>
      </c>
      <c r="C5" s="8" t="s">
        <v>125</v>
      </c>
      <c r="D5" s="9"/>
      <c r="E5" s="8">
        <v>100</v>
      </c>
      <c r="F5" s="8" t="s">
        <v>8</v>
      </c>
      <c r="G5" s="8">
        <f>73*13</f>
        <v>949</v>
      </c>
      <c r="H5" s="8">
        <v>100</v>
      </c>
      <c r="I5" s="8" t="s">
        <v>131</v>
      </c>
      <c r="J5" s="8">
        <f>384*0.000625</f>
        <v>0.24</v>
      </c>
      <c r="K5" s="8" t="s">
        <v>131</v>
      </c>
      <c r="L5" s="8">
        <f t="shared" si="1"/>
        <v>6.2500000000000001E-4</v>
      </c>
      <c r="M5" s="8" t="str">
        <f t="shared" si="2"/>
        <v>uL</v>
      </c>
      <c r="N5" s="3">
        <f t="shared" si="0"/>
        <v>5.9312499999999999E-3</v>
      </c>
      <c r="O5" s="1">
        <f t="shared" si="3"/>
        <v>5.2488938053097347E-5</v>
      </c>
      <c r="P5" s="1">
        <f t="shared" si="4"/>
        <v>4.527671755725191E-5</v>
      </c>
    </row>
    <row r="6" spans="1:19">
      <c r="A6" s="8" t="s">
        <v>5</v>
      </c>
      <c r="B6" s="17" t="s">
        <v>37</v>
      </c>
      <c r="C6" s="8" t="s">
        <v>17</v>
      </c>
      <c r="D6" s="9">
        <v>28324</v>
      </c>
      <c r="E6" s="8">
        <v>10</v>
      </c>
      <c r="F6" s="8" t="s">
        <v>6</v>
      </c>
      <c r="G6" s="8">
        <v>16050</v>
      </c>
      <c r="H6" s="8">
        <f>6*10*1000</f>
        <v>60000</v>
      </c>
      <c r="I6" s="8" t="s">
        <v>132</v>
      </c>
      <c r="J6" s="8">
        <f>0.03*384</f>
        <v>11.52</v>
      </c>
      <c r="K6" s="8" t="s">
        <v>132</v>
      </c>
      <c r="L6" s="8">
        <f t="shared" si="1"/>
        <v>0.03</v>
      </c>
      <c r="M6" s="8" t="str">
        <f t="shared" si="2"/>
        <v>uL</v>
      </c>
      <c r="N6" s="3">
        <f t="shared" si="0"/>
        <v>8.0250000000000009E-3</v>
      </c>
      <c r="O6" s="1">
        <f t="shared" si="3"/>
        <v>7.1017699115044259E-5</v>
      </c>
      <c r="P6" s="1">
        <f t="shared" si="4"/>
        <v>6.1259541984732828E-5</v>
      </c>
    </row>
    <row r="7" spans="1:19">
      <c r="A7" s="8" t="s">
        <v>5</v>
      </c>
      <c r="B7" s="17" t="s">
        <v>4</v>
      </c>
      <c r="C7" s="8" t="s">
        <v>17</v>
      </c>
      <c r="D7" s="9">
        <v>18427088</v>
      </c>
      <c r="E7" s="8">
        <v>10</v>
      </c>
      <c r="F7" s="8" t="s">
        <v>3</v>
      </c>
      <c r="G7" s="8">
        <v>83721</v>
      </c>
      <c r="H7" s="8">
        <v>1000</v>
      </c>
      <c r="I7" s="8" t="s">
        <v>133</v>
      </c>
      <c r="J7" s="8">
        <f>0.04/3.3*384</f>
        <v>4.6545454545454552</v>
      </c>
      <c r="K7" s="8" t="s">
        <v>133</v>
      </c>
      <c r="L7" s="8">
        <f t="shared" si="1"/>
        <v>1.2121212121212123E-2</v>
      </c>
      <c r="M7" s="8" t="str">
        <f t="shared" si="2"/>
        <v>uL</v>
      </c>
      <c r="N7" s="3">
        <f t="shared" si="0"/>
        <v>1.0148000000000001</v>
      </c>
      <c r="O7" s="1">
        <f t="shared" si="3"/>
        <v>8.9805309734513287E-3</v>
      </c>
      <c r="P7" s="1">
        <f t="shared" si="4"/>
        <v>7.7465648854961842E-3</v>
      </c>
    </row>
    <row r="8" spans="1:19">
      <c r="A8" s="8" t="s">
        <v>5</v>
      </c>
      <c r="B8" s="17" t="s">
        <v>10</v>
      </c>
      <c r="C8" s="8" t="s">
        <v>78</v>
      </c>
      <c r="D8" s="9" t="s">
        <v>93</v>
      </c>
      <c r="E8" s="8">
        <v>40</v>
      </c>
      <c r="F8" s="8" t="s">
        <v>7</v>
      </c>
      <c r="G8" s="8">
        <v>41040</v>
      </c>
      <c r="H8" s="8">
        <v>250</v>
      </c>
      <c r="I8" s="8" t="s">
        <v>134</v>
      </c>
      <c r="J8" s="8">
        <f>0.025*384</f>
        <v>9.6000000000000014</v>
      </c>
      <c r="K8" s="8" t="s">
        <v>134</v>
      </c>
      <c r="L8" s="8">
        <f t="shared" si="1"/>
        <v>2.5000000000000005E-2</v>
      </c>
      <c r="M8" s="8" t="str">
        <f t="shared" si="2"/>
        <v>uL</v>
      </c>
      <c r="N8" s="3">
        <f t="shared" si="0"/>
        <v>4.104000000000001</v>
      </c>
      <c r="O8" s="1">
        <f t="shared" si="3"/>
        <v>3.6318584070796467E-2</v>
      </c>
      <c r="P8" s="1">
        <f t="shared" si="4"/>
        <v>3.1328244274809167E-2</v>
      </c>
    </row>
    <row r="9" spans="1:19">
      <c r="A9" s="8" t="s">
        <v>5</v>
      </c>
      <c r="B9" s="17" t="s">
        <v>11</v>
      </c>
      <c r="C9" s="8" t="s">
        <v>55</v>
      </c>
      <c r="D9" s="9">
        <v>9012</v>
      </c>
      <c r="E9" s="8">
        <f>10*1000</f>
        <v>10000</v>
      </c>
      <c r="F9" s="8" t="s">
        <v>52</v>
      </c>
      <c r="G9" s="8">
        <v>3672</v>
      </c>
      <c r="H9" s="8">
        <f>10*1000</f>
        <v>10000</v>
      </c>
      <c r="I9" s="8" t="s">
        <v>52</v>
      </c>
      <c r="J9" s="8">
        <f>(0.5*384)-SUM(J5:J8)</f>
        <v>165.98545454545456</v>
      </c>
      <c r="K9" s="8" t="s">
        <v>52</v>
      </c>
      <c r="L9" s="8">
        <f t="shared" si="1"/>
        <v>0.43225378787878793</v>
      </c>
      <c r="M9" s="8" t="str">
        <f t="shared" si="2"/>
        <v>uL</v>
      </c>
      <c r="N9" s="3">
        <f t="shared" si="0"/>
        <v>0.15872359090909094</v>
      </c>
      <c r="O9" s="1">
        <f>N9/$S$2</f>
        <v>1.4046335478680614E-3</v>
      </c>
      <c r="P9" s="1">
        <f t="shared" si="4"/>
        <v>1.2116304649548927E-3</v>
      </c>
    </row>
    <row r="10" spans="1:19">
      <c r="A10" s="8" t="s">
        <v>14</v>
      </c>
      <c r="B10" s="17" t="s">
        <v>88</v>
      </c>
      <c r="C10" s="8" t="s">
        <v>90</v>
      </c>
      <c r="D10" s="9" t="s">
        <v>89</v>
      </c>
      <c r="E10" s="8">
        <v>10</v>
      </c>
      <c r="F10" s="8" t="s">
        <v>15</v>
      </c>
      <c r="G10" s="8">
        <v>3110</v>
      </c>
      <c r="H10" s="8">
        <f>6*1000</f>
        <v>6000</v>
      </c>
      <c r="I10" s="8" t="s">
        <v>135</v>
      </c>
      <c r="J10" s="8">
        <f>0.2*384</f>
        <v>76.800000000000011</v>
      </c>
      <c r="K10" s="8" t="s">
        <v>135</v>
      </c>
      <c r="L10" s="8">
        <f t="shared" si="1"/>
        <v>0.20000000000000004</v>
      </c>
      <c r="M10" s="8" t="str">
        <f t="shared" si="2"/>
        <v>uL</v>
      </c>
      <c r="N10" s="3">
        <f t="shared" si="0"/>
        <v>0.10366666666666668</v>
      </c>
      <c r="O10" s="1">
        <f t="shared" si="3"/>
        <v>9.1740412979351049E-4</v>
      </c>
      <c r="P10" s="1">
        <f t="shared" si="4"/>
        <v>7.9134860050890604E-4</v>
      </c>
    </row>
    <row r="11" spans="1:19" s="6" customFormat="1">
      <c r="A11" s="14" t="s">
        <v>14</v>
      </c>
      <c r="B11" s="18" t="s">
        <v>13</v>
      </c>
      <c r="C11" s="14" t="s">
        <v>17</v>
      </c>
      <c r="D11" s="19">
        <v>18080085</v>
      </c>
      <c r="E11" s="14">
        <v>200</v>
      </c>
      <c r="F11" s="14" t="s">
        <v>16</v>
      </c>
      <c r="G11" s="14">
        <v>139200</v>
      </c>
      <c r="H11" s="14">
        <v>200</v>
      </c>
      <c r="I11" s="14" t="s">
        <v>139</v>
      </c>
      <c r="J11" s="14">
        <f>0.025*384/4</f>
        <v>2.4000000000000004</v>
      </c>
      <c r="K11" s="14" t="s">
        <v>139</v>
      </c>
      <c r="L11" s="14">
        <f t="shared" si="1"/>
        <v>6.2500000000000012E-3</v>
      </c>
      <c r="M11" s="14" t="str">
        <f t="shared" si="2"/>
        <v>uL</v>
      </c>
      <c r="N11" s="6">
        <f t="shared" si="0"/>
        <v>4.3500000000000005</v>
      </c>
      <c r="O11" s="6">
        <f t="shared" si="3"/>
        <v>3.8495575221238941E-2</v>
      </c>
      <c r="P11" s="6">
        <f t="shared" si="4"/>
        <v>3.3206106870229013E-2</v>
      </c>
    </row>
    <row r="12" spans="1:19" s="6" customFormat="1">
      <c r="A12" s="14" t="s">
        <v>14</v>
      </c>
      <c r="B12" s="18" t="s">
        <v>9</v>
      </c>
      <c r="C12" s="14" t="s">
        <v>78</v>
      </c>
      <c r="D12" s="19" t="s">
        <v>93</v>
      </c>
      <c r="E12" s="14">
        <v>40</v>
      </c>
      <c r="F12" s="14" t="s">
        <v>16</v>
      </c>
      <c r="G12" s="14">
        <v>41040</v>
      </c>
      <c r="H12" s="14">
        <v>250</v>
      </c>
      <c r="I12" s="14" t="s">
        <v>134</v>
      </c>
      <c r="J12" s="14">
        <f>0.01375*384/4</f>
        <v>1.32</v>
      </c>
      <c r="K12" s="14" t="s">
        <v>134</v>
      </c>
      <c r="L12" s="14">
        <f t="shared" si="1"/>
        <v>3.4375E-3</v>
      </c>
      <c r="M12" s="14" t="str">
        <f t="shared" si="2"/>
        <v>uL</v>
      </c>
      <c r="N12" s="6">
        <f t="shared" si="0"/>
        <v>0.56430000000000002</v>
      </c>
      <c r="O12" s="6">
        <f>N12/$S$2</f>
        <v>4.9938053097345137E-3</v>
      </c>
      <c r="P12" s="6">
        <f t="shared" si="4"/>
        <v>4.3076335877862597E-3</v>
      </c>
    </row>
    <row r="13" spans="1:19">
      <c r="A13" s="8" t="s">
        <v>14</v>
      </c>
      <c r="B13" s="17" t="s">
        <v>11</v>
      </c>
      <c r="C13" s="8" t="s">
        <v>55</v>
      </c>
      <c r="D13" s="9">
        <v>9012</v>
      </c>
      <c r="E13" s="8">
        <f>10*1000</f>
        <v>10000</v>
      </c>
      <c r="F13" s="8" t="s">
        <v>52</v>
      </c>
      <c r="G13" s="8">
        <v>3672</v>
      </c>
      <c r="H13" s="8">
        <f>10*1000</f>
        <v>10000</v>
      </c>
      <c r="I13" s="8" t="s">
        <v>52</v>
      </c>
      <c r="J13" s="8">
        <f>(1*384)-SUM(J10:J12)</f>
        <v>303.48</v>
      </c>
      <c r="K13" s="8" t="s">
        <v>52</v>
      </c>
      <c r="L13" s="8">
        <f t="shared" si="1"/>
        <v>0.79031250000000008</v>
      </c>
      <c r="M13" s="8" t="str">
        <f t="shared" si="2"/>
        <v>uL</v>
      </c>
      <c r="N13" s="3">
        <f t="shared" si="0"/>
        <v>0.29020275000000006</v>
      </c>
      <c r="O13" s="1">
        <f t="shared" si="3"/>
        <v>2.5681659292035404E-3</v>
      </c>
      <c r="P13" s="1">
        <f t="shared" si="4"/>
        <v>2.2152881679389316E-3</v>
      </c>
    </row>
    <row r="14" spans="1:19">
      <c r="A14" s="8" t="s">
        <v>49</v>
      </c>
      <c r="B14" s="17" t="s">
        <v>64</v>
      </c>
      <c r="C14" s="8" t="s">
        <v>66</v>
      </c>
      <c r="D14" s="9" t="s">
        <v>65</v>
      </c>
      <c r="E14" s="8">
        <v>40</v>
      </c>
      <c r="F14" s="8" t="s">
        <v>67</v>
      </c>
      <c r="G14" s="8">
        <v>32319</v>
      </c>
      <c r="H14" s="8">
        <v>40</v>
      </c>
      <c r="I14" s="8" t="s">
        <v>67</v>
      </c>
      <c r="J14" s="8">
        <f>1</f>
        <v>1</v>
      </c>
      <c r="K14" s="8" t="s">
        <v>67</v>
      </c>
      <c r="L14" s="8">
        <f t="shared" si="1"/>
        <v>2.6041666666666665E-3</v>
      </c>
      <c r="M14" s="8" t="str">
        <f t="shared" si="2"/>
        <v>reservoir</v>
      </c>
      <c r="N14" s="3">
        <f t="shared" si="0"/>
        <v>2.1041015624999999</v>
      </c>
      <c r="O14" s="1">
        <f>N14/$S$2</f>
        <v>1.8620367809734511E-2</v>
      </c>
      <c r="P14" s="1">
        <f t="shared" si="4"/>
        <v>1.6061843988549616E-2</v>
      </c>
    </row>
    <row r="15" spans="1:19">
      <c r="A15" s="8" t="s">
        <v>49</v>
      </c>
      <c r="B15" s="17" t="s">
        <v>61</v>
      </c>
      <c r="C15" s="8" t="s">
        <v>60</v>
      </c>
      <c r="D15" s="9" t="s">
        <v>62</v>
      </c>
      <c r="E15" s="8">
        <f>250*0.3048</f>
        <v>76.2</v>
      </c>
      <c r="F15" s="8" t="s">
        <v>63</v>
      </c>
      <c r="G15" s="8">
        <v>3600</v>
      </c>
      <c r="H15" s="8">
        <f>250*0.3048</f>
        <v>76.2</v>
      </c>
      <c r="I15" s="8" t="s">
        <v>136</v>
      </c>
      <c r="J15" s="8">
        <v>0.43</v>
      </c>
      <c r="K15" s="8" t="s">
        <v>136</v>
      </c>
      <c r="L15" s="8">
        <f t="shared" si="1"/>
        <v>1.1197916666666667E-3</v>
      </c>
      <c r="M15" s="8" t="str">
        <f t="shared" si="2"/>
        <v>meter</v>
      </c>
      <c r="N15" s="3">
        <f t="shared" si="0"/>
        <v>5.2903543307086617E-2</v>
      </c>
      <c r="O15" s="1">
        <f t="shared" si="3"/>
        <v>4.6817294962023557E-4</v>
      </c>
      <c r="P15" s="1">
        <f t="shared" si="4"/>
        <v>4.0384384203882915E-4</v>
      </c>
    </row>
    <row r="16" spans="1:19">
      <c r="A16" s="15" t="s">
        <v>19</v>
      </c>
      <c r="B16" s="20" t="s">
        <v>20</v>
      </c>
      <c r="C16" s="15" t="s">
        <v>21</v>
      </c>
      <c r="D16" s="21" t="s">
        <v>22</v>
      </c>
      <c r="E16" s="15">
        <v>200</v>
      </c>
      <c r="F16" s="15" t="s">
        <v>23</v>
      </c>
      <c r="G16" s="15">
        <v>46820</v>
      </c>
      <c r="H16" s="15">
        <v>200</v>
      </c>
      <c r="I16" s="15" t="s">
        <v>23</v>
      </c>
      <c r="J16" s="15">
        <v>3</v>
      </c>
      <c r="K16" s="15" t="s">
        <v>23</v>
      </c>
      <c r="L16" s="15">
        <f t="shared" si="1"/>
        <v>7.8125E-3</v>
      </c>
      <c r="M16" s="15" t="str">
        <f t="shared" si="2"/>
        <v>column/time</v>
      </c>
      <c r="N16" s="3">
        <f t="shared" si="0"/>
        <v>1.82890625</v>
      </c>
      <c r="O16" s="1">
        <f t="shared" si="3"/>
        <v>1.6185011061946902E-2</v>
      </c>
      <c r="P16" s="1">
        <f t="shared" si="4"/>
        <v>1.396111641221374E-2</v>
      </c>
    </row>
    <row r="17" spans="1:16">
      <c r="A17" s="15" t="s">
        <v>19</v>
      </c>
      <c r="B17" s="20" t="s">
        <v>11</v>
      </c>
      <c r="C17" s="15" t="s">
        <v>55</v>
      </c>
      <c r="D17" s="21">
        <v>9012</v>
      </c>
      <c r="E17" s="15">
        <f>10*1000</f>
        <v>10000</v>
      </c>
      <c r="F17" s="15" t="s">
        <v>52</v>
      </c>
      <c r="G17" s="15">
        <v>3672</v>
      </c>
      <c r="H17" s="15">
        <f>10*1000</f>
        <v>10000</v>
      </c>
      <c r="I17" s="15" t="s">
        <v>52</v>
      </c>
      <c r="J17" s="15">
        <v>63</v>
      </c>
      <c r="K17" s="15" t="s">
        <v>52</v>
      </c>
      <c r="L17" s="15">
        <f t="shared" si="1"/>
        <v>0.1640625</v>
      </c>
      <c r="M17" s="15" t="str">
        <f t="shared" si="2"/>
        <v>uL</v>
      </c>
      <c r="N17" s="3">
        <f t="shared" si="0"/>
        <v>6.0243750000000006E-2</v>
      </c>
      <c r="O17" s="1">
        <f t="shared" si="3"/>
        <v>5.3313053097345134E-4</v>
      </c>
      <c r="P17" s="1">
        <f t="shared" si="4"/>
        <v>4.5987595419847332E-4</v>
      </c>
    </row>
    <row r="18" spans="1:16">
      <c r="A18" s="15" t="s">
        <v>24</v>
      </c>
      <c r="B18" s="20" t="s">
        <v>12</v>
      </c>
      <c r="C18" s="15" t="s">
        <v>90</v>
      </c>
      <c r="D18" s="21" t="s">
        <v>89</v>
      </c>
      <c r="E18" s="15">
        <v>10</v>
      </c>
      <c r="F18" s="15" t="s">
        <v>26</v>
      </c>
      <c r="G18" s="15">
        <v>3110</v>
      </c>
      <c r="H18" s="15">
        <f>6*1000</f>
        <v>6000</v>
      </c>
      <c r="I18" s="15" t="s">
        <v>135</v>
      </c>
      <c r="J18" s="15">
        <v>7.5</v>
      </c>
      <c r="K18" s="15" t="s">
        <v>135</v>
      </c>
      <c r="L18" s="15">
        <f t="shared" si="1"/>
        <v>1.953125E-2</v>
      </c>
      <c r="M18" s="15" t="str">
        <f t="shared" si="2"/>
        <v>uL</v>
      </c>
      <c r="N18" s="3">
        <f t="shared" si="0"/>
        <v>1.0123697916666667E-2</v>
      </c>
      <c r="O18" s="1">
        <f t="shared" si="3"/>
        <v>8.9590247050147498E-5</v>
      </c>
      <c r="P18" s="1">
        <f t="shared" si="4"/>
        <v>7.7280136768447837E-5</v>
      </c>
    </row>
    <row r="19" spans="1:16">
      <c r="A19" s="15" t="s">
        <v>24</v>
      </c>
      <c r="B19" s="20" t="s">
        <v>25</v>
      </c>
      <c r="C19" s="15" t="s">
        <v>17</v>
      </c>
      <c r="D19" s="21">
        <v>10216018</v>
      </c>
      <c r="E19" s="15">
        <v>100</v>
      </c>
      <c r="F19" s="15" t="s">
        <v>3</v>
      </c>
      <c r="G19" s="15">
        <v>8920</v>
      </c>
      <c r="H19" s="15">
        <v>250</v>
      </c>
      <c r="I19" s="15" t="s">
        <v>133</v>
      </c>
      <c r="J19" s="15">
        <v>1.8</v>
      </c>
      <c r="K19" s="15" t="s">
        <v>133</v>
      </c>
      <c r="L19" s="15">
        <f t="shared" si="1"/>
        <v>4.6874999999999998E-3</v>
      </c>
      <c r="M19" s="15" t="str">
        <f t="shared" si="2"/>
        <v>uL</v>
      </c>
      <c r="N19" s="3">
        <f t="shared" si="0"/>
        <v>0.16724999999999998</v>
      </c>
      <c r="O19" s="1">
        <f t="shared" si="3"/>
        <v>1.4800884955752211E-3</v>
      </c>
      <c r="P19" s="1">
        <f t="shared" si="4"/>
        <v>1.2767175572519082E-3</v>
      </c>
    </row>
    <row r="20" spans="1:16">
      <c r="A20" s="15" t="s">
        <v>24</v>
      </c>
      <c r="B20" s="20" t="s">
        <v>162</v>
      </c>
      <c r="C20" s="15" t="s">
        <v>28</v>
      </c>
      <c r="D20" s="21" t="s">
        <v>163</v>
      </c>
      <c r="E20" s="15">
        <v>2</v>
      </c>
      <c r="F20" s="15" t="s">
        <v>27</v>
      </c>
      <c r="G20" s="15">
        <v>33320</v>
      </c>
      <c r="H20" s="15">
        <v>60</v>
      </c>
      <c r="I20" s="15" t="s">
        <v>134</v>
      </c>
      <c r="J20" s="15">
        <v>1.44</v>
      </c>
      <c r="K20" s="15" t="s">
        <v>134</v>
      </c>
      <c r="L20" s="15">
        <f t="shared" si="1"/>
        <v>3.7499999999999999E-3</v>
      </c>
      <c r="M20" s="15" t="str">
        <f t="shared" si="2"/>
        <v>uL</v>
      </c>
      <c r="N20" s="3">
        <f t="shared" si="0"/>
        <v>2.0825</v>
      </c>
      <c r="O20" s="1">
        <f t="shared" si="3"/>
        <v>1.8429203539823007E-2</v>
      </c>
      <c r="P20" s="1">
        <f t="shared" si="4"/>
        <v>1.5896946564885495E-2</v>
      </c>
    </row>
    <row r="21" spans="1:16">
      <c r="A21" s="15" t="s">
        <v>24</v>
      </c>
      <c r="B21" s="20" t="s">
        <v>86</v>
      </c>
      <c r="C21" s="15" t="s">
        <v>87</v>
      </c>
      <c r="D21" s="21">
        <v>3333574001</v>
      </c>
      <c r="E21" s="15">
        <v>400</v>
      </c>
      <c r="F21" s="15" t="s">
        <v>7</v>
      </c>
      <c r="G21" s="15">
        <v>28300</v>
      </c>
      <c r="H21" s="15">
        <v>60</v>
      </c>
      <c r="I21" s="15" t="s">
        <v>134</v>
      </c>
      <c r="J21" s="15">
        <v>5.04</v>
      </c>
      <c r="K21" s="15" t="s">
        <v>134</v>
      </c>
      <c r="L21" s="15">
        <f t="shared" si="1"/>
        <v>1.3125E-2</v>
      </c>
      <c r="M21" s="15" t="str">
        <f t="shared" si="2"/>
        <v>uL</v>
      </c>
      <c r="N21" s="3">
        <f t="shared" si="0"/>
        <v>6.1906249999999998</v>
      </c>
      <c r="O21" s="1">
        <f t="shared" si="3"/>
        <v>5.4784292035398231E-2</v>
      </c>
      <c r="P21" s="1">
        <f t="shared" si="4"/>
        <v>4.7256679389312974E-2</v>
      </c>
    </row>
    <row r="22" spans="1:16">
      <c r="A22" s="15" t="s">
        <v>24</v>
      </c>
      <c r="B22" s="20" t="s">
        <v>11</v>
      </c>
      <c r="C22" s="15" t="s">
        <v>55</v>
      </c>
      <c r="D22" s="21">
        <v>9012</v>
      </c>
      <c r="E22" s="15">
        <f>10*1000</f>
        <v>10000</v>
      </c>
      <c r="F22" s="15" t="s">
        <v>52</v>
      </c>
      <c r="G22" s="15">
        <v>3672</v>
      </c>
      <c r="H22" s="15">
        <f>10*1000</f>
        <v>10000</v>
      </c>
      <c r="I22" s="15" t="s">
        <v>52</v>
      </c>
      <c r="J22" s="15">
        <f>59.22</f>
        <v>59.22</v>
      </c>
      <c r="K22" s="15" t="s">
        <v>52</v>
      </c>
      <c r="L22" s="15">
        <f t="shared" si="1"/>
        <v>0.15421874999999999</v>
      </c>
      <c r="M22" s="15" t="str">
        <f t="shared" si="2"/>
        <v>uL</v>
      </c>
      <c r="N22" s="3">
        <f t="shared" si="0"/>
        <v>5.6629125000000002E-2</v>
      </c>
      <c r="O22" s="1">
        <f t="shared" si="3"/>
        <v>5.0114269911504428E-4</v>
      </c>
      <c r="P22" s="1">
        <f t="shared" si="4"/>
        <v>4.3228339694656491E-4</v>
      </c>
    </row>
    <row r="23" spans="1:16" ht="60">
      <c r="A23" s="15" t="s">
        <v>29</v>
      </c>
      <c r="B23" s="20" t="s">
        <v>56</v>
      </c>
      <c r="C23" s="15" t="s">
        <v>55</v>
      </c>
      <c r="D23" s="21" t="s">
        <v>58</v>
      </c>
      <c r="E23" s="15">
        <v>2</v>
      </c>
      <c r="F23" s="15" t="s">
        <v>15</v>
      </c>
      <c r="G23" s="15"/>
      <c r="H23" s="15"/>
      <c r="I23" s="15" t="s">
        <v>135</v>
      </c>
      <c r="J23" s="15">
        <v>300.48</v>
      </c>
      <c r="K23" s="15" t="s">
        <v>135</v>
      </c>
      <c r="L23" s="15">
        <f t="shared" si="1"/>
        <v>0.78250000000000008</v>
      </c>
      <c r="M23" s="15" t="str">
        <f t="shared" si="2"/>
        <v>uL</v>
      </c>
      <c r="N23" s="3"/>
    </row>
    <row r="24" spans="1:16" ht="60">
      <c r="A24" s="15" t="s">
        <v>29</v>
      </c>
      <c r="B24" s="20" t="s">
        <v>59</v>
      </c>
      <c r="C24" s="15" t="s">
        <v>55</v>
      </c>
      <c r="D24" s="21" t="s">
        <v>58</v>
      </c>
      <c r="E24" s="15">
        <v>1.25</v>
      </c>
      <c r="F24" s="15" t="s">
        <v>57</v>
      </c>
      <c r="G24" s="15">
        <v>92718</v>
      </c>
      <c r="H24" s="15">
        <v>1000</v>
      </c>
      <c r="I24" s="15" t="s">
        <v>137</v>
      </c>
      <c r="J24" s="15">
        <v>24</v>
      </c>
      <c r="K24" s="15" t="s">
        <v>137</v>
      </c>
      <c r="L24" s="15">
        <f t="shared" si="1"/>
        <v>6.25E-2</v>
      </c>
      <c r="M24" s="15" t="str">
        <f t="shared" si="2"/>
        <v>uL</v>
      </c>
      <c r="N24" s="3">
        <f>G24/H24*L24</f>
        <v>5.7948750000000002</v>
      </c>
      <c r="O24" s="1">
        <f>N24/$S$2</f>
        <v>5.1282079646017699E-2</v>
      </c>
      <c r="P24" s="1">
        <f t="shared" si="4"/>
        <v>4.4235687022900767E-2</v>
      </c>
    </row>
    <row r="25" spans="1:16">
      <c r="A25" s="15" t="s">
        <v>29</v>
      </c>
      <c r="B25" s="20" t="s">
        <v>32</v>
      </c>
      <c r="C25" s="15" t="s">
        <v>94</v>
      </c>
      <c r="D25" s="21"/>
      <c r="E25" s="15">
        <v>10</v>
      </c>
      <c r="F25" s="15" t="s">
        <v>31</v>
      </c>
      <c r="G25" s="15">
        <f>25747</f>
        <v>25747</v>
      </c>
      <c r="H25" s="15">
        <v>4750</v>
      </c>
      <c r="I25" s="15" t="s">
        <v>131</v>
      </c>
      <c r="J25" s="15">
        <v>3.84</v>
      </c>
      <c r="K25" s="15" t="s">
        <v>131</v>
      </c>
      <c r="L25" s="15">
        <f t="shared" si="1"/>
        <v>0.01</v>
      </c>
      <c r="M25" s="15" t="str">
        <f t="shared" si="2"/>
        <v>uL</v>
      </c>
      <c r="N25" s="3">
        <f>G25/H25*L25</f>
        <v>5.4204210526315792E-2</v>
      </c>
      <c r="O25" s="1">
        <f>N25/$S$2</f>
        <v>4.7968327899394509E-4</v>
      </c>
      <c r="P25" s="1">
        <f t="shared" si="4"/>
        <v>4.1377259943752514E-4</v>
      </c>
    </row>
    <row r="26" spans="1:16">
      <c r="A26" s="15" t="s">
        <v>33</v>
      </c>
      <c r="B26" s="20" t="s">
        <v>11</v>
      </c>
      <c r="C26" s="15" t="s">
        <v>55</v>
      </c>
      <c r="D26" s="21">
        <v>9012</v>
      </c>
      <c r="E26" s="15">
        <f>10*1000</f>
        <v>10000</v>
      </c>
      <c r="F26" s="15" t="s">
        <v>52</v>
      </c>
      <c r="G26" s="15">
        <v>3672</v>
      </c>
      <c r="H26" s="15">
        <f>10*1000</f>
        <v>10000</v>
      </c>
      <c r="I26" s="15" t="s">
        <v>52</v>
      </c>
      <c r="J26" s="15">
        <v>225.6</v>
      </c>
      <c r="K26" s="15" t="s">
        <v>52</v>
      </c>
      <c r="L26" s="15">
        <f t="shared" si="1"/>
        <v>0.58750000000000002</v>
      </c>
      <c r="M26" s="15" t="str">
        <f t="shared" si="2"/>
        <v>uL</v>
      </c>
      <c r="N26" s="3">
        <f>G26/H26*L26</f>
        <v>0.21573000000000003</v>
      </c>
      <c r="O26" s="1">
        <f>N26/$S$2</f>
        <v>1.9091150442477878E-3</v>
      </c>
      <c r="P26" s="1">
        <f t="shared" si="4"/>
        <v>1.6467938931297712E-3</v>
      </c>
    </row>
    <row r="27" spans="1:16" ht="60">
      <c r="A27" s="15" t="s">
        <v>35</v>
      </c>
      <c r="B27" s="20" t="s">
        <v>56</v>
      </c>
      <c r="C27" s="15" t="s">
        <v>55</v>
      </c>
      <c r="D27" s="21" t="s">
        <v>58</v>
      </c>
      <c r="E27" s="15">
        <v>2</v>
      </c>
      <c r="F27" s="15" t="s">
        <v>15</v>
      </c>
      <c r="G27" s="15"/>
      <c r="H27" s="15"/>
      <c r="I27" s="15" t="s">
        <v>135</v>
      </c>
      <c r="J27" s="15">
        <v>300.48</v>
      </c>
      <c r="K27" s="15" t="s">
        <v>135</v>
      </c>
      <c r="L27" s="15">
        <f t="shared" si="1"/>
        <v>0.78250000000000008</v>
      </c>
      <c r="M27" s="15" t="str">
        <f t="shared" si="2"/>
        <v>uL</v>
      </c>
      <c r="N27" s="3"/>
    </row>
    <row r="28" spans="1:16">
      <c r="A28" s="15" t="s">
        <v>35</v>
      </c>
      <c r="B28" s="20" t="s">
        <v>34</v>
      </c>
      <c r="C28" s="15" t="s">
        <v>95</v>
      </c>
      <c r="D28" s="21"/>
      <c r="E28" s="15">
        <v>100</v>
      </c>
      <c r="F28" s="15" t="s">
        <v>31</v>
      </c>
      <c r="G28" s="15">
        <f>21470</f>
        <v>21470</v>
      </c>
      <c r="H28" s="15">
        <v>820</v>
      </c>
      <c r="I28" s="15" t="s">
        <v>131</v>
      </c>
      <c r="J28" s="15">
        <v>11.423999999999999</v>
      </c>
      <c r="K28" s="15" t="s">
        <v>131</v>
      </c>
      <c r="L28" s="15">
        <f t="shared" si="1"/>
        <v>2.9749999999999999E-2</v>
      </c>
      <c r="M28" s="15" t="str">
        <f t="shared" si="2"/>
        <v>uL</v>
      </c>
      <c r="N28" s="3">
        <f t="shared" ref="N28:N52" si="5">G28/H28*L28</f>
        <v>0.77894207317073172</v>
      </c>
      <c r="O28" s="5">
        <f>N28/$S$2</f>
        <v>6.8932926829268293E-3</v>
      </c>
      <c r="P28" s="1">
        <f t="shared" si="4"/>
        <v>5.9461226959597845E-3</v>
      </c>
    </row>
    <row r="29" spans="1:16">
      <c r="A29" s="15" t="s">
        <v>36</v>
      </c>
      <c r="B29" s="20" t="s">
        <v>11</v>
      </c>
      <c r="C29" s="15" t="s">
        <v>55</v>
      </c>
      <c r="D29" s="21">
        <v>9012</v>
      </c>
      <c r="E29" s="15">
        <f>10*1000</f>
        <v>10000</v>
      </c>
      <c r="F29" s="15" t="s">
        <v>52</v>
      </c>
      <c r="G29" s="15">
        <v>3672</v>
      </c>
      <c r="H29" s="15">
        <f>10*1000</f>
        <v>10000</v>
      </c>
      <c r="I29" s="15" t="s">
        <v>52</v>
      </c>
      <c r="J29" s="15">
        <v>290.88</v>
      </c>
      <c r="K29" s="15" t="s">
        <v>52</v>
      </c>
      <c r="L29" s="15">
        <f t="shared" si="1"/>
        <v>0.75749999999999995</v>
      </c>
      <c r="M29" s="15" t="str">
        <f t="shared" si="2"/>
        <v>uL</v>
      </c>
      <c r="N29" s="3">
        <f t="shared" si="5"/>
        <v>0.27815400000000001</v>
      </c>
      <c r="O29" s="5">
        <f t="shared" ref="O29:O61" si="6">N29/$S$2</f>
        <v>2.4615398230088499E-3</v>
      </c>
      <c r="P29" s="1">
        <f t="shared" si="4"/>
        <v>2.1233129770992366E-3</v>
      </c>
    </row>
    <row r="30" spans="1:16">
      <c r="A30" s="8" t="s">
        <v>38</v>
      </c>
      <c r="B30" s="17" t="s">
        <v>54</v>
      </c>
      <c r="C30" s="8" t="s">
        <v>39</v>
      </c>
      <c r="D30" s="9">
        <v>28006</v>
      </c>
      <c r="E30" s="8">
        <v>250</v>
      </c>
      <c r="F30" s="8" t="s">
        <v>40</v>
      </c>
      <c r="G30" s="8">
        <v>64000</v>
      </c>
      <c r="H30" s="8">
        <v>250</v>
      </c>
      <c r="I30" s="8" t="s">
        <v>40</v>
      </c>
      <c r="J30" s="8">
        <v>1</v>
      </c>
      <c r="K30" s="8" t="s">
        <v>40</v>
      </c>
      <c r="L30" s="8">
        <f t="shared" si="1"/>
        <v>2.6041666666666665E-3</v>
      </c>
      <c r="M30" s="8" t="str">
        <f t="shared" si="2"/>
        <v>column</v>
      </c>
      <c r="N30" s="3">
        <f t="shared" si="5"/>
        <v>0.66666666666666663</v>
      </c>
      <c r="O30" s="5">
        <f t="shared" si="6"/>
        <v>5.8997050147492625E-3</v>
      </c>
      <c r="P30" s="1">
        <f t="shared" si="4"/>
        <v>5.0890585241730275E-3</v>
      </c>
    </row>
    <row r="31" spans="1:16">
      <c r="A31" s="8" t="s">
        <v>41</v>
      </c>
      <c r="B31" s="17" t="s">
        <v>11</v>
      </c>
      <c r="C31" s="8" t="s">
        <v>55</v>
      </c>
      <c r="D31" s="9">
        <v>9012</v>
      </c>
      <c r="E31" s="8">
        <f>10*1000</f>
        <v>10000</v>
      </c>
      <c r="F31" s="8" t="s">
        <v>52</v>
      </c>
      <c r="G31" s="8">
        <v>3672</v>
      </c>
      <c r="H31" s="8">
        <f>10*1000</f>
        <v>10000</v>
      </c>
      <c r="I31" s="8" t="s">
        <v>52</v>
      </c>
      <c r="J31" s="8">
        <v>42</v>
      </c>
      <c r="K31" s="8" t="s">
        <v>52</v>
      </c>
      <c r="L31" s="8">
        <f t="shared" si="1"/>
        <v>0.109375</v>
      </c>
      <c r="M31" s="8" t="str">
        <f t="shared" si="2"/>
        <v>uL</v>
      </c>
      <c r="N31" s="3">
        <f t="shared" si="5"/>
        <v>4.0162500000000004E-2</v>
      </c>
      <c r="O31" s="5">
        <f t="shared" si="6"/>
        <v>3.5542035398230089E-4</v>
      </c>
      <c r="P31" s="1">
        <f t="shared" si="4"/>
        <v>3.065839694656489E-4</v>
      </c>
    </row>
    <row r="32" spans="1:16">
      <c r="A32" s="8" t="s">
        <v>42</v>
      </c>
      <c r="B32" s="17" t="s">
        <v>50</v>
      </c>
      <c r="C32" s="8" t="s">
        <v>51</v>
      </c>
      <c r="D32" s="9" t="s">
        <v>53</v>
      </c>
      <c r="E32" s="8">
        <f>60*1000</f>
        <v>60000</v>
      </c>
      <c r="F32" s="8" t="s">
        <v>52</v>
      </c>
      <c r="G32" s="22">
        <v>100980</v>
      </c>
      <c r="H32" s="8">
        <f>60*1000</f>
        <v>60000</v>
      </c>
      <c r="I32" s="8" t="s">
        <v>52</v>
      </c>
      <c r="J32" s="8">
        <v>32</v>
      </c>
      <c r="K32" s="8" t="s">
        <v>52</v>
      </c>
      <c r="L32" s="8">
        <f t="shared" si="1"/>
        <v>8.3333333333333329E-2</v>
      </c>
      <c r="M32" s="8" t="str">
        <f t="shared" si="2"/>
        <v>uL</v>
      </c>
      <c r="N32" s="3">
        <f t="shared" si="5"/>
        <v>0.14024999999999999</v>
      </c>
      <c r="O32" s="5">
        <f t="shared" si="6"/>
        <v>1.2411504424778761E-3</v>
      </c>
      <c r="P32" s="1">
        <f t="shared" si="4"/>
        <v>1.0706106870229006E-3</v>
      </c>
    </row>
    <row r="33" spans="1:16">
      <c r="A33" s="8" t="s">
        <v>44</v>
      </c>
      <c r="B33" s="17" t="s">
        <v>43</v>
      </c>
      <c r="C33" s="8" t="s">
        <v>91</v>
      </c>
      <c r="D33" s="9" t="s">
        <v>92</v>
      </c>
      <c r="E33" s="8">
        <f>10*11</f>
        <v>110</v>
      </c>
      <c r="F33" s="8" t="s">
        <v>45</v>
      </c>
      <c r="G33" s="8">
        <v>61560</v>
      </c>
      <c r="H33" s="8">
        <v>110</v>
      </c>
      <c r="I33" s="8" t="s">
        <v>45</v>
      </c>
      <c r="J33" s="8">
        <v>1</v>
      </c>
      <c r="K33" s="8" t="s">
        <v>45</v>
      </c>
      <c r="L33" s="8">
        <f t="shared" si="1"/>
        <v>2.6041666666666665E-3</v>
      </c>
      <c r="M33" s="8" t="str">
        <f t="shared" si="2"/>
        <v>well</v>
      </c>
      <c r="N33" s="3">
        <f t="shared" si="5"/>
        <v>1.4573863636363635</v>
      </c>
      <c r="O33" s="5">
        <f t="shared" si="6"/>
        <v>1.2897224456958969E-2</v>
      </c>
      <c r="P33" s="1">
        <f t="shared" si="4"/>
        <v>1.1125086745315753E-2</v>
      </c>
    </row>
    <row r="34" spans="1:16">
      <c r="A34" s="8" t="s">
        <v>141</v>
      </c>
      <c r="B34" s="17" t="s">
        <v>145</v>
      </c>
      <c r="C34" s="8" t="s">
        <v>144</v>
      </c>
      <c r="D34" s="9" t="s">
        <v>143</v>
      </c>
      <c r="E34" s="8">
        <v>1000</v>
      </c>
      <c r="F34" s="8" t="s">
        <v>75</v>
      </c>
      <c r="G34" s="8">
        <f>1000*175</f>
        <v>175000</v>
      </c>
      <c r="H34" s="8">
        <v>1000</v>
      </c>
      <c r="I34" s="8" t="s">
        <v>119</v>
      </c>
      <c r="J34" s="8">
        <v>1</v>
      </c>
      <c r="K34" s="8" t="s">
        <v>119</v>
      </c>
      <c r="L34" s="8">
        <f t="shared" si="1"/>
        <v>2.6041666666666665E-3</v>
      </c>
      <c r="M34" s="8" t="str">
        <f t="shared" si="2"/>
        <v>well</v>
      </c>
      <c r="N34" s="3">
        <f t="shared" si="5"/>
        <v>0.45572916666666663</v>
      </c>
      <c r="O34" s="5">
        <f t="shared" si="6"/>
        <v>4.0330014749262533E-3</v>
      </c>
      <c r="P34" s="1">
        <f t="shared" si="4"/>
        <v>3.4788486005089057E-3</v>
      </c>
    </row>
    <row r="35" spans="1:16" ht="30">
      <c r="A35" s="8" t="s">
        <v>46</v>
      </c>
      <c r="B35" s="17" t="s">
        <v>96</v>
      </c>
      <c r="C35" s="8" t="s">
        <v>48</v>
      </c>
      <c r="D35" s="9">
        <v>520091</v>
      </c>
      <c r="E35" s="8">
        <v>250</v>
      </c>
      <c r="F35" s="8" t="s">
        <v>47</v>
      </c>
      <c r="G35" s="8">
        <v>213840</v>
      </c>
      <c r="H35" s="8">
        <v>250</v>
      </c>
      <c r="I35" s="8" t="s">
        <v>47</v>
      </c>
      <c r="J35" s="8">
        <v>1</v>
      </c>
      <c r="K35" s="8" t="s">
        <v>47</v>
      </c>
      <c r="L35" s="8">
        <f t="shared" si="1"/>
        <v>2.6041666666666665E-3</v>
      </c>
      <c r="M35" s="8" t="str">
        <f t="shared" si="2"/>
        <v>tube</v>
      </c>
      <c r="N35" s="3">
        <f t="shared" si="5"/>
        <v>2.2275</v>
      </c>
      <c r="O35" s="5">
        <f t="shared" si="6"/>
        <v>1.9712389380530975E-2</v>
      </c>
      <c r="P35" s="1">
        <f t="shared" si="4"/>
        <v>1.700381679389313E-2</v>
      </c>
    </row>
    <row r="36" spans="1:16">
      <c r="A36" s="8" t="s">
        <v>46</v>
      </c>
      <c r="B36" s="17" t="s">
        <v>20</v>
      </c>
      <c r="C36" s="8" t="s">
        <v>21</v>
      </c>
      <c r="D36" s="9" t="s">
        <v>22</v>
      </c>
      <c r="E36" s="8">
        <v>200</v>
      </c>
      <c r="F36" s="8" t="s">
        <v>23</v>
      </c>
      <c r="G36" s="8">
        <v>46820</v>
      </c>
      <c r="H36" s="8">
        <v>200</v>
      </c>
      <c r="I36" s="8" t="s">
        <v>23</v>
      </c>
      <c r="J36" s="8">
        <v>1</v>
      </c>
      <c r="K36" s="8" t="s">
        <v>23</v>
      </c>
      <c r="L36" s="8">
        <f t="shared" si="1"/>
        <v>2.6041666666666665E-3</v>
      </c>
      <c r="M36" s="8" t="str">
        <f t="shared" si="2"/>
        <v>column/time</v>
      </c>
      <c r="N36" s="3">
        <f t="shared" si="5"/>
        <v>0.60963541666666665</v>
      </c>
      <c r="O36" s="5">
        <f t="shared" si="6"/>
        <v>5.3950036873156339E-3</v>
      </c>
      <c r="P36" s="1">
        <f t="shared" si="4"/>
        <v>4.6537054707379132E-3</v>
      </c>
    </row>
    <row r="37" spans="1:16">
      <c r="A37" s="8" t="s">
        <v>46</v>
      </c>
      <c r="B37" s="17" t="s">
        <v>11</v>
      </c>
      <c r="C37" s="8" t="s">
        <v>55</v>
      </c>
      <c r="D37" s="9">
        <v>9012</v>
      </c>
      <c r="E37" s="8">
        <f>10*1000</f>
        <v>10000</v>
      </c>
      <c r="F37" s="8" t="s">
        <v>52</v>
      </c>
      <c r="G37" s="8">
        <v>3672</v>
      </c>
      <c r="H37" s="8">
        <f>10*1000</f>
        <v>10000</v>
      </c>
      <c r="I37" s="8" t="s">
        <v>52</v>
      </c>
      <c r="J37" s="8">
        <v>11</v>
      </c>
      <c r="K37" s="8" t="s">
        <v>52</v>
      </c>
      <c r="L37" s="8">
        <f t="shared" si="1"/>
        <v>2.8645833333333332E-2</v>
      </c>
      <c r="M37" s="8" t="str">
        <f t="shared" si="2"/>
        <v>uL</v>
      </c>
      <c r="N37" s="3">
        <f t="shared" si="5"/>
        <v>1.051875E-2</v>
      </c>
      <c r="O37" s="5">
        <f t="shared" si="6"/>
        <v>9.3086283185840713E-5</v>
      </c>
      <c r="P37" s="1">
        <f t="shared" si="4"/>
        <v>8.0295801526717559E-5</v>
      </c>
    </row>
    <row r="38" spans="1:16">
      <c r="A38" s="8" t="s">
        <v>72</v>
      </c>
      <c r="B38" s="17" t="s">
        <v>73</v>
      </c>
      <c r="C38" s="8" t="s">
        <v>74</v>
      </c>
      <c r="D38" s="9"/>
      <c r="E38" s="8">
        <v>24</v>
      </c>
      <c r="F38" s="8" t="s">
        <v>75</v>
      </c>
      <c r="G38" s="23">
        <v>160799</v>
      </c>
      <c r="H38" s="8">
        <v>24</v>
      </c>
      <c r="I38" s="8" t="s">
        <v>75</v>
      </c>
      <c r="J38" s="8">
        <f>1/5</f>
        <v>0.2</v>
      </c>
      <c r="K38" s="8" t="s">
        <v>75</v>
      </c>
      <c r="L38" s="8">
        <f t="shared" si="1"/>
        <v>5.2083333333333333E-4</v>
      </c>
      <c r="M38" s="8" t="str">
        <f t="shared" si="2"/>
        <v>times</v>
      </c>
      <c r="N38" s="3">
        <f t="shared" si="5"/>
        <v>3.489561631944444</v>
      </c>
      <c r="O38" s="5">
        <f t="shared" si="6"/>
        <v>3.0881076388888887E-2</v>
      </c>
      <c r="P38" s="1">
        <f t="shared" si="4"/>
        <v>2.6637875053011024E-2</v>
      </c>
    </row>
    <row r="39" spans="1:16">
      <c r="A39" s="13" t="s">
        <v>72</v>
      </c>
      <c r="B39" s="16" t="s">
        <v>80</v>
      </c>
      <c r="C39" s="13" t="s">
        <v>74</v>
      </c>
      <c r="D39" s="9" t="s">
        <v>81</v>
      </c>
      <c r="E39" s="8">
        <f>500*25/2</f>
        <v>6250</v>
      </c>
      <c r="F39" s="8" t="s">
        <v>52</v>
      </c>
      <c r="G39" s="8">
        <v>37800</v>
      </c>
      <c r="H39" s="8">
        <f>E39</f>
        <v>6250</v>
      </c>
      <c r="I39" s="8" t="s">
        <v>52</v>
      </c>
      <c r="J39" s="8">
        <v>25</v>
      </c>
      <c r="K39" s="8" t="s">
        <v>52</v>
      </c>
      <c r="L39" s="8">
        <f t="shared" si="1"/>
        <v>6.5104166666666671E-2</v>
      </c>
      <c r="M39" s="8" t="str">
        <f t="shared" si="2"/>
        <v>uL</v>
      </c>
      <c r="N39" s="3">
        <f t="shared" si="5"/>
        <v>0.39375000000000004</v>
      </c>
      <c r="O39" s="5">
        <f t="shared" si="6"/>
        <v>3.4845132743362836E-3</v>
      </c>
      <c r="P39" s="1">
        <f t="shared" si="4"/>
        <v>3.0057251908396951E-3</v>
      </c>
    </row>
    <row r="40" spans="1:16">
      <c r="A40" s="13" t="s">
        <v>72</v>
      </c>
      <c r="B40" s="16" t="s">
        <v>101</v>
      </c>
      <c r="C40" s="13" t="s">
        <v>95</v>
      </c>
      <c r="D40" s="9"/>
      <c r="E40" s="8">
        <v>100</v>
      </c>
      <c r="F40" s="8" t="s">
        <v>100</v>
      </c>
      <c r="G40" s="8">
        <v>20304</v>
      </c>
      <c r="H40" s="8">
        <v>900</v>
      </c>
      <c r="I40" s="8" t="s">
        <v>131</v>
      </c>
      <c r="J40" s="8">
        <f>2*1.5/100</f>
        <v>0.03</v>
      </c>
      <c r="K40" s="8" t="s">
        <v>131</v>
      </c>
      <c r="L40" s="8">
        <f t="shared" si="1"/>
        <v>7.8125000000000002E-5</v>
      </c>
      <c r="M40" s="8" t="str">
        <f t="shared" si="2"/>
        <v>uL</v>
      </c>
      <c r="N40" s="3">
        <f t="shared" si="5"/>
        <v>1.7625E-3</v>
      </c>
      <c r="O40" s="5">
        <f t="shared" si="6"/>
        <v>1.5597345132743362E-5</v>
      </c>
      <c r="P40" s="1">
        <f t="shared" si="4"/>
        <v>1.3454198473282443E-5</v>
      </c>
    </row>
    <row r="41" spans="1:16">
      <c r="A41" s="13" t="s">
        <v>72</v>
      </c>
      <c r="B41" s="16" t="s">
        <v>102</v>
      </c>
      <c r="C41" s="13" t="s">
        <v>95</v>
      </c>
      <c r="D41" s="9"/>
      <c r="E41" s="8">
        <v>100</v>
      </c>
      <c r="F41" s="8" t="s">
        <v>98</v>
      </c>
      <c r="G41" s="8">
        <v>29419</v>
      </c>
      <c r="H41" s="8">
        <v>310</v>
      </c>
      <c r="I41" s="8" t="s">
        <v>131</v>
      </c>
      <c r="J41" s="8">
        <f>2*1.5/100</f>
        <v>0.03</v>
      </c>
      <c r="K41" s="8" t="s">
        <v>131</v>
      </c>
      <c r="L41" s="8">
        <f t="shared" si="1"/>
        <v>7.8125000000000002E-5</v>
      </c>
      <c r="M41" s="8" t="str">
        <f t="shared" si="2"/>
        <v>uL</v>
      </c>
      <c r="N41" s="3">
        <f t="shared" si="5"/>
        <v>7.4140625000000005E-3</v>
      </c>
      <c r="O41" s="5">
        <f t="shared" si="6"/>
        <v>6.561117256637168E-5</v>
      </c>
      <c r="P41" s="1">
        <f t="shared" si="4"/>
        <v>5.6595896946564889E-5</v>
      </c>
    </row>
    <row r="42" spans="1:16">
      <c r="A42" s="13" t="s">
        <v>72</v>
      </c>
      <c r="B42" s="16" t="s">
        <v>99</v>
      </c>
      <c r="C42" s="13" t="s">
        <v>95</v>
      </c>
      <c r="D42" s="9"/>
      <c r="E42" s="8">
        <v>100</v>
      </c>
      <c r="F42" s="8" t="s">
        <v>98</v>
      </c>
      <c r="G42" s="8">
        <v>29419</v>
      </c>
      <c r="H42" s="8">
        <v>310</v>
      </c>
      <c r="I42" s="8" t="s">
        <v>131</v>
      </c>
      <c r="J42" s="8">
        <v>0.35</v>
      </c>
      <c r="K42" s="8" t="s">
        <v>131</v>
      </c>
      <c r="L42" s="8">
        <f t="shared" si="1"/>
        <v>9.1145833333333324E-4</v>
      </c>
      <c r="M42" s="8" t="str">
        <f t="shared" si="2"/>
        <v>uL</v>
      </c>
      <c r="N42" s="3">
        <f t="shared" si="5"/>
        <v>8.6497395833333324E-2</v>
      </c>
      <c r="O42" s="5">
        <f t="shared" si="6"/>
        <v>7.6546367994100289E-4</v>
      </c>
      <c r="P42" s="1">
        <f t="shared" si="4"/>
        <v>6.6028546437659028E-4</v>
      </c>
    </row>
    <row r="43" spans="1:16">
      <c r="A43" s="13" t="s">
        <v>72</v>
      </c>
      <c r="B43" s="16" t="s">
        <v>97</v>
      </c>
      <c r="C43" s="13" t="s">
        <v>95</v>
      </c>
      <c r="D43" s="9"/>
      <c r="E43" s="8">
        <v>100</v>
      </c>
      <c r="F43" s="8" t="s">
        <v>8</v>
      </c>
      <c r="G43" s="8">
        <v>21556</v>
      </c>
      <c r="H43" s="8">
        <v>818</v>
      </c>
      <c r="I43" s="8" t="s">
        <v>131</v>
      </c>
      <c r="J43" s="8">
        <v>0.35</v>
      </c>
      <c r="K43" s="8" t="s">
        <v>131</v>
      </c>
      <c r="L43" s="8">
        <f t="shared" si="1"/>
        <v>9.1145833333333324E-4</v>
      </c>
      <c r="M43" s="8" t="str">
        <f t="shared" si="2"/>
        <v>uL</v>
      </c>
      <c r="N43" s="3">
        <f t="shared" si="5"/>
        <v>2.4018821312143435E-2</v>
      </c>
      <c r="O43" s="5">
        <f t="shared" si="6"/>
        <v>2.1255594081542864E-4</v>
      </c>
      <c r="P43" s="1">
        <f t="shared" si="4"/>
        <v>1.8334978100872852E-4</v>
      </c>
    </row>
    <row r="44" spans="1:16">
      <c r="A44" s="8" t="s">
        <v>76</v>
      </c>
      <c r="B44" s="17" t="s">
        <v>50</v>
      </c>
      <c r="C44" s="8" t="s">
        <v>51</v>
      </c>
      <c r="D44" s="9" t="s">
        <v>53</v>
      </c>
      <c r="E44" s="8">
        <f>60*1000</f>
        <v>60000</v>
      </c>
      <c r="F44" s="8" t="s">
        <v>52</v>
      </c>
      <c r="G44" s="22">
        <v>100980</v>
      </c>
      <c r="H44" s="8">
        <f>60*1000</f>
        <v>60000</v>
      </c>
      <c r="I44" s="8" t="s">
        <v>52</v>
      </c>
      <c r="J44" s="8">
        <v>40</v>
      </c>
      <c r="K44" s="8" t="s">
        <v>52</v>
      </c>
      <c r="L44" s="8">
        <f t="shared" si="1"/>
        <v>0.10416666666666667</v>
      </c>
      <c r="M44" s="8" t="str">
        <f t="shared" si="2"/>
        <v>uL</v>
      </c>
      <c r="N44" s="3">
        <f t="shared" si="5"/>
        <v>0.17531250000000001</v>
      </c>
      <c r="O44" s="5">
        <f t="shared" si="6"/>
        <v>1.5514380530973451E-3</v>
      </c>
      <c r="P44" s="1">
        <f t="shared" si="4"/>
        <v>1.3382633587786261E-3</v>
      </c>
    </row>
    <row r="45" spans="1:16">
      <c r="A45" s="8" t="s">
        <v>76</v>
      </c>
      <c r="B45" s="17" t="s">
        <v>11</v>
      </c>
      <c r="C45" s="8" t="s">
        <v>55</v>
      </c>
      <c r="D45" s="9">
        <v>9012</v>
      </c>
      <c r="E45" s="8">
        <f>10*1000</f>
        <v>10000</v>
      </c>
      <c r="F45" s="8" t="s">
        <v>52</v>
      </c>
      <c r="G45" s="8">
        <v>3672</v>
      </c>
      <c r="H45" s="8">
        <f>10*1000</f>
        <v>10000</v>
      </c>
      <c r="I45" s="8" t="s">
        <v>52</v>
      </c>
      <c r="J45" s="8">
        <v>25</v>
      </c>
      <c r="K45" s="8" t="s">
        <v>52</v>
      </c>
      <c r="L45" s="8">
        <f t="shared" si="1"/>
        <v>6.5104166666666671E-2</v>
      </c>
      <c r="M45" s="8" t="str">
        <f t="shared" si="2"/>
        <v>uL</v>
      </c>
      <c r="N45" s="3">
        <f t="shared" si="5"/>
        <v>2.3906250000000004E-2</v>
      </c>
      <c r="O45" s="5">
        <f t="shared" si="6"/>
        <v>2.1155973451327437E-4</v>
      </c>
      <c r="P45" s="1">
        <f t="shared" si="4"/>
        <v>1.824904580152672E-4</v>
      </c>
    </row>
    <row r="46" spans="1:16">
      <c r="A46" s="13" t="s">
        <v>77</v>
      </c>
      <c r="B46" s="16" t="s">
        <v>43</v>
      </c>
      <c r="C46" s="8" t="s">
        <v>91</v>
      </c>
      <c r="D46" s="9" t="s">
        <v>92</v>
      </c>
      <c r="E46" s="8">
        <f>10*11</f>
        <v>110</v>
      </c>
      <c r="F46" s="8" t="s">
        <v>45</v>
      </c>
      <c r="G46" s="8">
        <v>61560</v>
      </c>
      <c r="H46" s="8">
        <v>110</v>
      </c>
      <c r="I46" s="8" t="s">
        <v>45</v>
      </c>
      <c r="J46" s="8">
        <v>1</v>
      </c>
      <c r="K46" s="8" t="s">
        <v>45</v>
      </c>
      <c r="L46" s="8">
        <f t="shared" si="1"/>
        <v>2.6041666666666665E-3</v>
      </c>
      <c r="M46" s="8" t="str">
        <f t="shared" si="2"/>
        <v>well</v>
      </c>
      <c r="N46" s="3">
        <f t="shared" si="5"/>
        <v>1.4573863636363635</v>
      </c>
      <c r="O46" s="5">
        <f t="shared" si="6"/>
        <v>1.2897224456958969E-2</v>
      </c>
      <c r="P46" s="1">
        <f t="shared" si="4"/>
        <v>1.1125086745315753E-2</v>
      </c>
    </row>
    <row r="47" spans="1:16">
      <c r="A47" s="13" t="s">
        <v>142</v>
      </c>
      <c r="B47" s="17" t="s">
        <v>145</v>
      </c>
      <c r="C47" s="8" t="s">
        <v>144</v>
      </c>
      <c r="D47" s="9" t="s">
        <v>143</v>
      </c>
      <c r="E47" s="8">
        <v>1000</v>
      </c>
      <c r="F47" s="8" t="s">
        <v>75</v>
      </c>
      <c r="G47" s="8">
        <f>1000*175</f>
        <v>175000</v>
      </c>
      <c r="H47" s="8">
        <v>1000</v>
      </c>
      <c r="I47" s="8" t="s">
        <v>119</v>
      </c>
      <c r="J47" s="8">
        <v>1</v>
      </c>
      <c r="K47" s="8" t="s">
        <v>119</v>
      </c>
      <c r="L47" s="8">
        <f t="shared" si="1"/>
        <v>2.6041666666666665E-3</v>
      </c>
      <c r="M47" s="8" t="str">
        <f t="shared" si="2"/>
        <v>well</v>
      </c>
      <c r="N47" s="3">
        <f t="shared" si="5"/>
        <v>0.45572916666666663</v>
      </c>
      <c r="O47" s="5">
        <f t="shared" si="6"/>
        <v>4.0330014749262533E-3</v>
      </c>
      <c r="P47" s="1">
        <f t="shared" si="4"/>
        <v>3.4788486005089057E-3</v>
      </c>
    </row>
    <row r="48" spans="1:16">
      <c r="A48" s="13" t="s">
        <v>124</v>
      </c>
      <c r="B48" s="16" t="s">
        <v>103</v>
      </c>
      <c r="C48" s="8" t="s">
        <v>104</v>
      </c>
      <c r="D48" s="9" t="s">
        <v>105</v>
      </c>
      <c r="E48" s="8">
        <f>96*10*5</f>
        <v>4800</v>
      </c>
      <c r="F48" s="8" t="s">
        <v>106</v>
      </c>
      <c r="G48" s="8">
        <v>57210</v>
      </c>
      <c r="H48" s="8">
        <f>E48</f>
        <v>4800</v>
      </c>
      <c r="I48" s="8" t="s">
        <v>106</v>
      </c>
      <c r="J48" s="8">
        <v>19</v>
      </c>
      <c r="K48" s="8" t="s">
        <v>106</v>
      </c>
      <c r="L48" s="8">
        <f t="shared" si="1"/>
        <v>4.9479166666666664E-2</v>
      </c>
      <c r="M48" s="8" t="str">
        <f t="shared" si="2"/>
        <v>Tip</v>
      </c>
      <c r="N48" s="3">
        <f t="shared" si="5"/>
        <v>0.58972981770833333</v>
      </c>
      <c r="O48" s="5">
        <f t="shared" si="6"/>
        <v>5.2188479443215337E-3</v>
      </c>
      <c r="P48" s="1">
        <f t="shared" si="4"/>
        <v>4.5017543336513992E-3</v>
      </c>
    </row>
    <row r="49" spans="1:16">
      <c r="A49" s="13" t="s">
        <v>124</v>
      </c>
      <c r="B49" s="16" t="s">
        <v>107</v>
      </c>
      <c r="C49" s="8" t="s">
        <v>104</v>
      </c>
      <c r="D49" s="9" t="s">
        <v>108</v>
      </c>
      <c r="E49" s="8">
        <f>96*10*5</f>
        <v>4800</v>
      </c>
      <c r="F49" s="8" t="s">
        <v>106</v>
      </c>
      <c r="G49" s="8">
        <v>60480</v>
      </c>
      <c r="H49" s="8">
        <f t="shared" ref="H49:H56" si="7">E49</f>
        <v>4800</v>
      </c>
      <c r="I49" s="8" t="s">
        <v>106</v>
      </c>
      <c r="J49" s="8">
        <v>28</v>
      </c>
      <c r="K49" s="8" t="s">
        <v>106</v>
      </c>
      <c r="L49" s="8">
        <f t="shared" si="1"/>
        <v>7.2916666666666671E-2</v>
      </c>
      <c r="M49" s="8" t="str">
        <f t="shared" si="2"/>
        <v>Tip</v>
      </c>
      <c r="N49" s="3">
        <f t="shared" si="5"/>
        <v>0.91875000000000007</v>
      </c>
      <c r="O49" s="5">
        <f t="shared" si="6"/>
        <v>8.1305309734513286E-3</v>
      </c>
      <c r="P49" s="1">
        <f t="shared" si="4"/>
        <v>7.0133587786259544E-3</v>
      </c>
    </row>
    <row r="50" spans="1:16">
      <c r="A50" s="8" t="s">
        <v>124</v>
      </c>
      <c r="B50" s="17" t="s">
        <v>109</v>
      </c>
      <c r="C50" s="8" t="s">
        <v>104</v>
      </c>
      <c r="D50" s="9" t="s">
        <v>110</v>
      </c>
      <c r="E50" s="8">
        <f>96*10*5</f>
        <v>4800</v>
      </c>
      <c r="F50" s="8" t="s">
        <v>106</v>
      </c>
      <c r="G50" s="8">
        <v>60480</v>
      </c>
      <c r="H50" s="8">
        <f t="shared" si="7"/>
        <v>4800</v>
      </c>
      <c r="I50" s="8" t="s">
        <v>106</v>
      </c>
      <c r="J50" s="8">
        <v>13</v>
      </c>
      <c r="K50" s="8" t="s">
        <v>106</v>
      </c>
      <c r="L50" s="8">
        <f t="shared" si="1"/>
        <v>3.3854166666666664E-2</v>
      </c>
      <c r="M50" s="8" t="str">
        <f t="shared" si="2"/>
        <v>Tip</v>
      </c>
      <c r="N50" s="3">
        <f t="shared" si="5"/>
        <v>0.42656249999999996</v>
      </c>
      <c r="O50" s="5">
        <f t="shared" si="6"/>
        <v>3.7748893805309731E-3</v>
      </c>
      <c r="P50" s="1">
        <f t="shared" si="4"/>
        <v>3.2562022900763355E-3</v>
      </c>
    </row>
    <row r="51" spans="1:16">
      <c r="A51" s="8" t="s">
        <v>124</v>
      </c>
      <c r="B51" s="17" t="s">
        <v>111</v>
      </c>
      <c r="C51" s="8" t="s">
        <v>112</v>
      </c>
      <c r="D51" s="9">
        <v>1013070</v>
      </c>
      <c r="E51" s="8">
        <f>96*10*5</f>
        <v>4800</v>
      </c>
      <c r="F51" s="8" t="s">
        <v>106</v>
      </c>
      <c r="G51" s="8">
        <v>34560</v>
      </c>
      <c r="H51" s="8">
        <f t="shared" si="7"/>
        <v>4800</v>
      </c>
      <c r="I51" s="8" t="s">
        <v>106</v>
      </c>
      <c r="J51" s="8">
        <v>6</v>
      </c>
      <c r="K51" s="8" t="s">
        <v>106</v>
      </c>
      <c r="L51" s="8">
        <f t="shared" si="1"/>
        <v>1.5625E-2</v>
      </c>
      <c r="M51" s="8" t="str">
        <f t="shared" si="2"/>
        <v>Tip</v>
      </c>
      <c r="N51" s="3">
        <f t="shared" si="5"/>
        <v>0.1125</v>
      </c>
      <c r="O51" s="5">
        <f t="shared" si="6"/>
        <v>9.9557522123893804E-4</v>
      </c>
      <c r="P51" s="1">
        <f t="shared" si="4"/>
        <v>8.5877862595419845E-4</v>
      </c>
    </row>
    <row r="52" spans="1:16">
      <c r="A52" s="8" t="s">
        <v>124</v>
      </c>
      <c r="B52" s="17" t="s">
        <v>113</v>
      </c>
      <c r="C52" s="8" t="s">
        <v>112</v>
      </c>
      <c r="D52" s="9">
        <v>1013090</v>
      </c>
      <c r="E52" s="8">
        <f>96*10*4</f>
        <v>3840</v>
      </c>
      <c r="F52" s="8" t="s">
        <v>106</v>
      </c>
      <c r="G52" s="8">
        <v>30240</v>
      </c>
      <c r="H52" s="8">
        <f t="shared" si="7"/>
        <v>3840</v>
      </c>
      <c r="I52" s="8" t="s">
        <v>106</v>
      </c>
      <c r="J52" s="8">
        <v>15</v>
      </c>
      <c r="K52" s="8" t="s">
        <v>106</v>
      </c>
      <c r="L52" s="8">
        <f t="shared" si="1"/>
        <v>3.90625E-2</v>
      </c>
      <c r="M52" s="8" t="str">
        <f t="shared" si="2"/>
        <v>Tip</v>
      </c>
      <c r="N52" s="3">
        <f t="shared" si="5"/>
        <v>0.3076171875</v>
      </c>
      <c r="O52" s="5">
        <f t="shared" si="6"/>
        <v>2.7222759955752214E-3</v>
      </c>
      <c r="P52" s="1">
        <f t="shared" si="4"/>
        <v>2.3482228053435116E-3</v>
      </c>
    </row>
    <row r="53" spans="1:16">
      <c r="A53" s="8" t="s">
        <v>146</v>
      </c>
      <c r="B53" s="17" t="s">
        <v>174</v>
      </c>
      <c r="C53" s="8" t="s">
        <v>176</v>
      </c>
      <c r="D53" s="9" t="s">
        <v>177</v>
      </c>
      <c r="E53" s="8">
        <v>960</v>
      </c>
      <c r="F53" s="8" t="s">
        <v>175</v>
      </c>
      <c r="G53" s="8">
        <v>13651</v>
      </c>
      <c r="H53" s="8">
        <f>E53</f>
        <v>960</v>
      </c>
      <c r="I53" s="8" t="s">
        <v>175</v>
      </c>
      <c r="J53" s="8">
        <v>2</v>
      </c>
      <c r="K53" s="8" t="s">
        <v>175</v>
      </c>
      <c r="L53" s="8">
        <f>J53/1536</f>
        <v>1.3020833333333333E-3</v>
      </c>
      <c r="M53" s="8" t="s">
        <v>175</v>
      </c>
      <c r="N53" s="3"/>
      <c r="O53" s="5">
        <f t="shared" si="6"/>
        <v>0</v>
      </c>
      <c r="P53" s="1">
        <f t="shared" si="4"/>
        <v>0</v>
      </c>
    </row>
    <row r="54" spans="1:16">
      <c r="A54" s="8" t="s">
        <v>124</v>
      </c>
      <c r="B54" s="17" t="s">
        <v>114</v>
      </c>
      <c r="C54" s="8" t="s">
        <v>71</v>
      </c>
      <c r="D54" s="9">
        <v>30108051</v>
      </c>
      <c r="E54" s="8">
        <f>5*50*3</f>
        <v>750</v>
      </c>
      <c r="F54" s="8" t="s">
        <v>116</v>
      </c>
      <c r="G54" s="8">
        <v>6480</v>
      </c>
      <c r="H54" s="8">
        <f t="shared" si="7"/>
        <v>750</v>
      </c>
      <c r="I54" s="8" t="s">
        <v>116</v>
      </c>
      <c r="J54" s="8">
        <v>4</v>
      </c>
      <c r="K54" s="8" t="s">
        <v>116</v>
      </c>
      <c r="L54" s="8">
        <f t="shared" si="1"/>
        <v>1.0416666666666666E-2</v>
      </c>
      <c r="M54" s="8" t="str">
        <f t="shared" si="2"/>
        <v>tube</v>
      </c>
      <c r="N54" s="3">
        <f t="shared" ref="N54:N61" si="8">G54/H54*L54</f>
        <v>0.09</v>
      </c>
      <c r="O54" s="5">
        <f t="shared" si="6"/>
        <v>7.9646017699115039E-4</v>
      </c>
      <c r="P54" s="1">
        <f t="shared" si="4"/>
        <v>6.8702290076335878E-4</v>
      </c>
    </row>
    <row r="55" spans="1:16">
      <c r="A55" s="8" t="s">
        <v>124</v>
      </c>
      <c r="B55" s="17" t="s">
        <v>191</v>
      </c>
      <c r="C55" s="8" t="s">
        <v>181</v>
      </c>
      <c r="D55" s="9" t="s">
        <v>182</v>
      </c>
      <c r="E55" s="8">
        <v>480</v>
      </c>
      <c r="F55" s="8" t="s">
        <v>47</v>
      </c>
      <c r="G55" s="8">
        <v>10220</v>
      </c>
      <c r="H55" s="8">
        <v>480</v>
      </c>
      <c r="I55" s="8" t="s">
        <v>47</v>
      </c>
      <c r="J55" s="8">
        <v>1</v>
      </c>
      <c r="K55" s="8" t="s">
        <v>47</v>
      </c>
      <c r="L55" s="8">
        <f>J55/1536</f>
        <v>6.5104166666666663E-4</v>
      </c>
      <c r="M55" s="8" t="str">
        <f t="shared" si="2"/>
        <v>tube</v>
      </c>
      <c r="N55" s="3">
        <f t="shared" si="8"/>
        <v>1.3861762152777778E-2</v>
      </c>
      <c r="O55" s="5">
        <f t="shared" si="6"/>
        <v>1.226704615290069E-4</v>
      </c>
      <c r="P55" s="1">
        <f t="shared" si="4"/>
        <v>1.0581497826547922E-4</v>
      </c>
    </row>
    <row r="56" spans="1:16">
      <c r="A56" s="8" t="s">
        <v>124</v>
      </c>
      <c r="B56" s="17" t="s">
        <v>115</v>
      </c>
      <c r="C56" s="8" t="s">
        <v>71</v>
      </c>
      <c r="D56" s="9">
        <v>30108310</v>
      </c>
      <c r="E56" s="8">
        <f>4*50*2</f>
        <v>400</v>
      </c>
      <c r="F56" s="8" t="s">
        <v>47</v>
      </c>
      <c r="G56" s="8">
        <v>11404</v>
      </c>
      <c r="H56" s="8">
        <f t="shared" si="7"/>
        <v>400</v>
      </c>
      <c r="I56" s="8" t="s">
        <v>47</v>
      </c>
      <c r="J56" s="8">
        <v>3</v>
      </c>
      <c r="K56" s="8" t="s">
        <v>47</v>
      </c>
      <c r="L56" s="8">
        <f t="shared" si="1"/>
        <v>7.8125E-3</v>
      </c>
      <c r="M56" s="8" t="str">
        <f t="shared" si="2"/>
        <v>tube</v>
      </c>
      <c r="N56" s="3">
        <f t="shared" si="8"/>
        <v>0.22273437500000001</v>
      </c>
      <c r="O56" s="5">
        <f t="shared" si="6"/>
        <v>1.9711006637168141E-3</v>
      </c>
      <c r="P56" s="1">
        <f t="shared" si="4"/>
        <v>1.7002624045801527E-3</v>
      </c>
    </row>
    <row r="57" spans="1:16">
      <c r="A57" s="8" t="s">
        <v>124</v>
      </c>
      <c r="B57" s="17" t="s">
        <v>117</v>
      </c>
      <c r="C57" s="8" t="s">
        <v>55</v>
      </c>
      <c r="D57" s="9" t="s">
        <v>118</v>
      </c>
      <c r="E57" s="8">
        <f>125*8*3</f>
        <v>3000</v>
      </c>
      <c r="F57" s="8" t="s">
        <v>119</v>
      </c>
      <c r="G57" s="8">
        <v>40095</v>
      </c>
      <c r="H57" s="8">
        <f>E57</f>
        <v>3000</v>
      </c>
      <c r="I57" s="8" t="s">
        <v>119</v>
      </c>
      <c r="J57" s="8">
        <v>13</v>
      </c>
      <c r="K57" s="8" t="s">
        <v>119</v>
      </c>
      <c r="L57" s="8">
        <f t="shared" si="1"/>
        <v>3.3854166666666664E-2</v>
      </c>
      <c r="M57" s="8" t="str">
        <f t="shared" si="2"/>
        <v>well</v>
      </c>
      <c r="N57" s="3">
        <f t="shared" si="8"/>
        <v>0.45246093749999999</v>
      </c>
      <c r="O57" s="5">
        <f t="shared" si="6"/>
        <v>4.0040790929203535E-3</v>
      </c>
      <c r="P57" s="1">
        <f t="shared" si="4"/>
        <v>3.4539002862595419E-3</v>
      </c>
    </row>
    <row r="58" spans="1:16" ht="16">
      <c r="A58" s="8" t="s">
        <v>124</v>
      </c>
      <c r="B58" s="17" t="s">
        <v>120</v>
      </c>
      <c r="C58" s="8" t="s">
        <v>55</v>
      </c>
      <c r="D58" s="9" t="s">
        <v>122</v>
      </c>
      <c r="E58" s="8">
        <f>125*8*3</f>
        <v>3000</v>
      </c>
      <c r="F58" s="8" t="s">
        <v>119</v>
      </c>
      <c r="G58" s="24">
        <v>10692</v>
      </c>
      <c r="H58" s="8">
        <f>E58</f>
        <v>3000</v>
      </c>
      <c r="I58" s="8" t="s">
        <v>119</v>
      </c>
      <c r="J58" s="8">
        <v>26</v>
      </c>
      <c r="K58" s="8" t="s">
        <v>119</v>
      </c>
      <c r="L58" s="8">
        <f t="shared" si="1"/>
        <v>6.7708333333333329E-2</v>
      </c>
      <c r="M58" s="8" t="str">
        <f t="shared" si="2"/>
        <v>well</v>
      </c>
      <c r="N58" s="3">
        <f t="shared" si="8"/>
        <v>0.24131249999999999</v>
      </c>
      <c r="O58" s="5">
        <f t="shared" si="6"/>
        <v>2.1355088495575219E-3</v>
      </c>
      <c r="P58" s="1">
        <f t="shared" si="4"/>
        <v>1.8420801526717555E-3</v>
      </c>
    </row>
    <row r="59" spans="1:16" ht="16">
      <c r="A59" s="8" t="s">
        <v>124</v>
      </c>
      <c r="B59" s="17" t="s">
        <v>121</v>
      </c>
      <c r="C59" s="8" t="s">
        <v>55</v>
      </c>
      <c r="D59" s="9" t="s">
        <v>123</v>
      </c>
      <c r="E59" s="8">
        <f>1000</f>
        <v>1000</v>
      </c>
      <c r="F59" s="8" t="s">
        <v>119</v>
      </c>
      <c r="G59" s="24">
        <v>7574</v>
      </c>
      <c r="H59" s="8">
        <f t="shared" ref="H59" si="9">E59</f>
        <v>1000</v>
      </c>
      <c r="I59" s="8" t="s">
        <v>119</v>
      </c>
      <c r="J59" s="8">
        <v>3</v>
      </c>
      <c r="K59" s="8" t="s">
        <v>119</v>
      </c>
      <c r="L59" s="8">
        <f t="shared" si="1"/>
        <v>7.8125E-3</v>
      </c>
      <c r="M59" s="8" t="str">
        <f t="shared" si="2"/>
        <v>well</v>
      </c>
      <c r="N59" s="3">
        <f t="shared" si="8"/>
        <v>5.9171874999999999E-2</v>
      </c>
      <c r="O59" s="5">
        <f t="shared" si="6"/>
        <v>5.2364491150442476E-4</v>
      </c>
      <c r="P59" s="1">
        <f t="shared" si="4"/>
        <v>4.5169370229007633E-4</v>
      </c>
    </row>
    <row r="60" spans="1:16">
      <c r="A60" s="8" t="s">
        <v>128</v>
      </c>
      <c r="B60" s="17" t="s">
        <v>126</v>
      </c>
      <c r="C60" s="8" t="s">
        <v>83</v>
      </c>
      <c r="D60" s="9" t="s">
        <v>127</v>
      </c>
      <c r="E60" s="8">
        <v>2000</v>
      </c>
      <c r="F60" s="8" t="s">
        <v>129</v>
      </c>
      <c r="G60" s="17">
        <v>118584</v>
      </c>
      <c r="H60" s="8">
        <f>E60</f>
        <v>2000</v>
      </c>
      <c r="I60" s="8" t="s">
        <v>129</v>
      </c>
      <c r="J60" s="8">
        <v>3</v>
      </c>
      <c r="K60" s="8" t="s">
        <v>129</v>
      </c>
      <c r="L60" s="8">
        <f t="shared" si="1"/>
        <v>7.8125E-3</v>
      </c>
      <c r="M60" s="8" t="str">
        <f t="shared" si="2"/>
        <v>sheel</v>
      </c>
      <c r="N60" s="3">
        <f t="shared" si="8"/>
        <v>0.46321875000000001</v>
      </c>
      <c r="O60" s="5">
        <f t="shared" si="6"/>
        <v>4.0992809734513276E-3</v>
      </c>
      <c r="P60" s="1">
        <f t="shared" si="4"/>
        <v>3.5360209923664121E-3</v>
      </c>
    </row>
    <row r="61" spans="1:16">
      <c r="A61" s="8" t="s">
        <v>149</v>
      </c>
      <c r="B61" s="17" t="s">
        <v>147</v>
      </c>
      <c r="C61" s="13" t="s">
        <v>95</v>
      </c>
      <c r="D61" s="9"/>
      <c r="E61" s="8">
        <v>100</v>
      </c>
      <c r="F61" s="8" t="s">
        <v>98</v>
      </c>
      <c r="G61" s="8">
        <v>29419</v>
      </c>
      <c r="H61" s="8">
        <v>310</v>
      </c>
      <c r="I61" s="8" t="s">
        <v>148</v>
      </c>
      <c r="J61" s="8">
        <f>6/4</f>
        <v>1.5</v>
      </c>
      <c r="K61" s="8" t="s">
        <v>193</v>
      </c>
      <c r="L61" s="8">
        <f t="shared" si="1"/>
        <v>3.90625E-3</v>
      </c>
      <c r="M61" s="8" t="str">
        <f t="shared" si="2"/>
        <v>uL (for 4 plates)</v>
      </c>
      <c r="N61" s="4">
        <f t="shared" si="8"/>
        <v>0.37070312500000002</v>
      </c>
      <c r="O61" s="5">
        <f t="shared" si="6"/>
        <v>3.2805586283185841E-3</v>
      </c>
      <c r="P61" s="1">
        <f t="shared" si="4"/>
        <v>2.8297948473282445E-3</v>
      </c>
    </row>
    <row r="63" spans="1:16">
      <c r="M63" s="26" t="s">
        <v>158</v>
      </c>
      <c r="N63" s="29">
        <f>SUM(N3:N61)-N33-N34-N46-N47</f>
        <v>45.716468878114263</v>
      </c>
      <c r="O63" s="1">
        <f>SUM(O3:O61)-O33-O34-O46-O47</f>
        <v>0.40457052104525887</v>
      </c>
      <c r="P63" s="1">
        <f>SUM(P3:P61)-P33-P34-P46-P47</f>
        <v>0.34898067845888736</v>
      </c>
    </row>
    <row r="64" spans="1:16">
      <c r="M64" s="26" t="s">
        <v>159</v>
      </c>
      <c r="N64" s="30">
        <f>N63+N33+N46</f>
        <v>48.631241605386997</v>
      </c>
      <c r="O64" s="1">
        <f>O63+O33+O46</f>
        <v>0.43036496995917678</v>
      </c>
      <c r="P64" s="1">
        <f>P63+P33+P46</f>
        <v>0.37123085194951888</v>
      </c>
    </row>
    <row r="65" spans="13:16">
      <c r="M65" s="26" t="s">
        <v>160</v>
      </c>
      <c r="N65" s="31">
        <f>N63+N34+N47</f>
        <v>46.627927211447592</v>
      </c>
      <c r="O65" s="1">
        <f>O63+O34+O47</f>
        <v>0.41263652399511136</v>
      </c>
      <c r="P65" s="1">
        <f>P63+P34+P47</f>
        <v>0.35593837565990516</v>
      </c>
    </row>
  </sheetData>
  <autoFilter ref="A2:P2"/>
  <phoneticPr fontId="1"/>
  <conditionalFormatting sqref="N3:N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workbookViewId="0"/>
  </sheetViews>
  <sheetFormatPr baseColWidth="12" defaultRowHeight="15" x14ac:dyDescent="0"/>
  <cols>
    <col min="1" max="1" width="27.33203125" style="1" customWidth="1"/>
    <col min="2" max="2" width="40.6640625" style="1" bestFit="1" customWidth="1"/>
    <col min="3" max="3" width="23.1640625" style="1" bestFit="1" customWidth="1"/>
    <col min="4" max="4" width="19.83203125" style="7" bestFit="1" customWidth="1"/>
    <col min="5" max="6" width="15" style="1" bestFit="1" customWidth="1"/>
    <col min="7" max="7" width="25.6640625" style="1" bestFit="1" customWidth="1"/>
    <col min="8" max="9" width="21.1640625" style="1" bestFit="1" customWidth="1"/>
    <col min="10" max="11" width="21.5" style="1" bestFit="1" customWidth="1"/>
    <col min="12" max="12" width="19.1640625" style="1" bestFit="1" customWidth="1"/>
    <col min="13" max="13" width="42.1640625" style="1" bestFit="1" customWidth="1"/>
    <col min="14" max="14" width="23" style="1" bestFit="1" customWidth="1"/>
    <col min="15" max="15" width="25" style="1" bestFit="1" customWidth="1"/>
    <col min="16" max="16" width="23.83203125" style="1" bestFit="1" customWidth="1"/>
    <col min="17" max="17" width="12.83203125" style="1"/>
    <col min="18" max="18" width="26.33203125" style="1" bestFit="1" customWidth="1"/>
    <col min="19" max="19" width="10.1640625" style="1" bestFit="1" customWidth="1"/>
    <col min="20" max="16384" width="12.83203125" style="1"/>
  </cols>
  <sheetData>
    <row r="1" spans="1:19" ht="32" customHeight="1">
      <c r="A1" s="10" t="s">
        <v>165</v>
      </c>
      <c r="S1" s="1" t="s">
        <v>173</v>
      </c>
    </row>
    <row r="2" spans="1:19">
      <c r="A2" s="26" t="s">
        <v>0</v>
      </c>
      <c r="B2" s="26" t="s">
        <v>1</v>
      </c>
      <c r="C2" s="26" t="s">
        <v>2</v>
      </c>
      <c r="D2" s="27" t="s">
        <v>161</v>
      </c>
      <c r="E2" s="26" t="s">
        <v>150</v>
      </c>
      <c r="F2" s="26" t="s">
        <v>151</v>
      </c>
      <c r="G2" s="26" t="s">
        <v>154</v>
      </c>
      <c r="H2" s="26" t="s">
        <v>152</v>
      </c>
      <c r="I2" s="26" t="s">
        <v>153</v>
      </c>
      <c r="J2" s="26" t="s">
        <v>130</v>
      </c>
      <c r="K2" s="26" t="s">
        <v>138</v>
      </c>
      <c r="L2" s="26" t="s">
        <v>140</v>
      </c>
      <c r="M2" s="26" t="s">
        <v>140</v>
      </c>
      <c r="N2" s="26" t="s">
        <v>157</v>
      </c>
      <c r="O2" s="26" t="s">
        <v>156</v>
      </c>
      <c r="P2" s="26" t="s">
        <v>155</v>
      </c>
      <c r="R2" s="28" t="s">
        <v>195</v>
      </c>
      <c r="S2" s="28">
        <v>113</v>
      </c>
    </row>
    <row r="3" spans="1:19">
      <c r="A3" s="13" t="s">
        <v>79</v>
      </c>
      <c r="B3" s="16" t="s">
        <v>69</v>
      </c>
      <c r="C3" s="8" t="s">
        <v>71</v>
      </c>
      <c r="D3" s="9" t="s">
        <v>70</v>
      </c>
      <c r="E3" s="8">
        <v>25</v>
      </c>
      <c r="F3" s="8" t="s">
        <v>68</v>
      </c>
      <c r="G3" s="8">
        <v>23225</v>
      </c>
      <c r="H3" s="8">
        <v>25</v>
      </c>
      <c r="I3" s="8" t="s">
        <v>68</v>
      </c>
      <c r="J3" s="8">
        <v>1</v>
      </c>
      <c r="K3" s="8" t="s">
        <v>68</v>
      </c>
      <c r="L3" s="8">
        <f>J3/384</f>
        <v>2.6041666666666665E-3</v>
      </c>
      <c r="M3" s="8" t="str">
        <f>K3</f>
        <v>plate</v>
      </c>
      <c r="N3" s="2">
        <f t="shared" ref="N3:N22" si="0">G3/H3*L3</f>
        <v>2.419270833333333</v>
      </c>
      <c r="O3" s="1">
        <f>N3/$S$2</f>
        <v>2.1409476401179937E-2</v>
      </c>
      <c r="P3" s="1">
        <f>N3/$S$3</f>
        <v>1.8467716284987275E-2</v>
      </c>
      <c r="R3" s="28" t="s">
        <v>197</v>
      </c>
      <c r="S3" s="28">
        <v>131</v>
      </c>
    </row>
    <row r="4" spans="1:19" ht="30">
      <c r="A4" s="13" t="s">
        <v>79</v>
      </c>
      <c r="B4" s="16" t="s">
        <v>82</v>
      </c>
      <c r="C4" s="8" t="s">
        <v>83</v>
      </c>
      <c r="D4" s="9" t="s">
        <v>84</v>
      </c>
      <c r="E4" s="8">
        <v>50</v>
      </c>
      <c r="F4" s="8" t="s">
        <v>85</v>
      </c>
      <c r="G4" s="8">
        <v>493506</v>
      </c>
      <c r="H4" s="8">
        <v>50</v>
      </c>
      <c r="I4" s="8" t="s">
        <v>85</v>
      </c>
      <c r="J4" s="8">
        <f>1/30</f>
        <v>3.3333333333333333E-2</v>
      </c>
      <c r="K4" s="8" t="s">
        <v>179</v>
      </c>
      <c r="L4" s="8">
        <f t="shared" ref="L4:L61" si="1">J4/384</f>
        <v>8.6805555555555559E-5</v>
      </c>
      <c r="M4" s="8" t="str">
        <f t="shared" ref="M4:M61" si="2">K4</f>
        <v>rack (for 30 plates)</v>
      </c>
      <c r="N4" s="3">
        <f t="shared" si="0"/>
        <v>0.85678125000000005</v>
      </c>
      <c r="O4" s="1">
        <f t="shared" ref="O4:O22" si="3">N4/$S$2</f>
        <v>7.5821349557522125E-3</v>
      </c>
      <c r="P4" s="1">
        <f t="shared" ref="P4:P61" si="4">N4/$S$3</f>
        <v>6.5403148854961835E-3</v>
      </c>
    </row>
    <row r="5" spans="1:19">
      <c r="A5" s="8" t="s">
        <v>18</v>
      </c>
      <c r="B5" s="17" t="s">
        <v>30</v>
      </c>
      <c r="C5" s="8" t="s">
        <v>125</v>
      </c>
      <c r="D5" s="9"/>
      <c r="E5" s="8">
        <v>100</v>
      </c>
      <c r="F5" s="8" t="s">
        <v>8</v>
      </c>
      <c r="G5" s="8">
        <f>73*13</f>
        <v>949</v>
      </c>
      <c r="H5" s="8">
        <v>100</v>
      </c>
      <c r="I5" s="8" t="s">
        <v>131</v>
      </c>
      <c r="J5" s="8">
        <f>384*0.000625</f>
        <v>0.24</v>
      </c>
      <c r="K5" s="8" t="s">
        <v>131</v>
      </c>
      <c r="L5" s="8">
        <f t="shared" si="1"/>
        <v>6.2500000000000001E-4</v>
      </c>
      <c r="M5" s="8" t="str">
        <f t="shared" si="2"/>
        <v>uL</v>
      </c>
      <c r="N5" s="3">
        <f t="shared" si="0"/>
        <v>5.9312499999999999E-3</v>
      </c>
      <c r="O5" s="1">
        <f t="shared" si="3"/>
        <v>5.2488938053097347E-5</v>
      </c>
      <c r="P5" s="1">
        <f t="shared" si="4"/>
        <v>4.527671755725191E-5</v>
      </c>
    </row>
    <row r="6" spans="1:19">
      <c r="A6" s="8" t="s">
        <v>5</v>
      </c>
      <c r="B6" s="17" t="s">
        <v>37</v>
      </c>
      <c r="C6" s="8" t="s">
        <v>17</v>
      </c>
      <c r="D6" s="9">
        <v>28324</v>
      </c>
      <c r="E6" s="8">
        <v>10</v>
      </c>
      <c r="F6" s="8" t="s">
        <v>6</v>
      </c>
      <c r="G6" s="8">
        <v>16050</v>
      </c>
      <c r="H6" s="8">
        <f>6*10*1000</f>
        <v>60000</v>
      </c>
      <c r="I6" s="8" t="s">
        <v>132</v>
      </c>
      <c r="J6" s="8">
        <f>0.03*384</f>
        <v>11.52</v>
      </c>
      <c r="K6" s="8" t="s">
        <v>132</v>
      </c>
      <c r="L6" s="8">
        <f t="shared" si="1"/>
        <v>0.03</v>
      </c>
      <c r="M6" s="8" t="str">
        <f t="shared" si="2"/>
        <v>uL</v>
      </c>
      <c r="N6" s="3">
        <f t="shared" si="0"/>
        <v>8.0250000000000009E-3</v>
      </c>
      <c r="O6" s="1">
        <f t="shared" si="3"/>
        <v>7.1017699115044259E-5</v>
      </c>
      <c r="P6" s="1">
        <f t="shared" si="4"/>
        <v>6.1259541984732828E-5</v>
      </c>
    </row>
    <row r="7" spans="1:19">
      <c r="A7" s="8" t="s">
        <v>5</v>
      </c>
      <c r="B7" s="17" t="s">
        <v>4</v>
      </c>
      <c r="C7" s="8" t="s">
        <v>17</v>
      </c>
      <c r="D7" s="9">
        <v>18427088</v>
      </c>
      <c r="E7" s="8">
        <v>10</v>
      </c>
      <c r="F7" s="8" t="s">
        <v>3</v>
      </c>
      <c r="G7" s="8">
        <v>83721</v>
      </c>
      <c r="H7" s="8">
        <v>1000</v>
      </c>
      <c r="I7" s="8" t="s">
        <v>133</v>
      </c>
      <c r="J7" s="8">
        <f>0.04/3.3*384</f>
        <v>4.6545454545454552</v>
      </c>
      <c r="K7" s="8" t="s">
        <v>133</v>
      </c>
      <c r="L7" s="8">
        <f t="shared" si="1"/>
        <v>1.2121212121212123E-2</v>
      </c>
      <c r="M7" s="8" t="str">
        <f t="shared" si="2"/>
        <v>uL</v>
      </c>
      <c r="N7" s="3">
        <f t="shared" si="0"/>
        <v>1.0148000000000001</v>
      </c>
      <c r="O7" s="1">
        <f t="shared" si="3"/>
        <v>8.9805309734513287E-3</v>
      </c>
      <c r="P7" s="1">
        <f t="shared" si="4"/>
        <v>7.7465648854961842E-3</v>
      </c>
    </row>
    <row r="8" spans="1:19">
      <c r="A8" s="8" t="s">
        <v>5</v>
      </c>
      <c r="B8" s="17" t="s">
        <v>10</v>
      </c>
      <c r="C8" s="8" t="s">
        <v>78</v>
      </c>
      <c r="D8" s="9" t="s">
        <v>93</v>
      </c>
      <c r="E8" s="8">
        <v>40</v>
      </c>
      <c r="F8" s="8" t="s">
        <v>7</v>
      </c>
      <c r="G8" s="8">
        <v>41040</v>
      </c>
      <c r="H8" s="8">
        <v>250</v>
      </c>
      <c r="I8" s="8" t="s">
        <v>134</v>
      </c>
      <c r="J8" s="8">
        <f>0.025*384</f>
        <v>9.6000000000000014</v>
      </c>
      <c r="K8" s="8" t="s">
        <v>134</v>
      </c>
      <c r="L8" s="8">
        <f t="shared" si="1"/>
        <v>2.5000000000000005E-2</v>
      </c>
      <c r="M8" s="8" t="str">
        <f t="shared" si="2"/>
        <v>uL</v>
      </c>
      <c r="N8" s="3">
        <f t="shared" si="0"/>
        <v>4.104000000000001</v>
      </c>
      <c r="O8" s="1">
        <f t="shared" si="3"/>
        <v>3.6318584070796467E-2</v>
      </c>
      <c r="P8" s="1">
        <f t="shared" si="4"/>
        <v>3.1328244274809167E-2</v>
      </c>
    </row>
    <row r="9" spans="1:19">
      <c r="A9" s="8" t="s">
        <v>5</v>
      </c>
      <c r="B9" s="17" t="s">
        <v>11</v>
      </c>
      <c r="C9" s="8" t="s">
        <v>55</v>
      </c>
      <c r="D9" s="9">
        <v>9012</v>
      </c>
      <c r="E9" s="8">
        <f>10*1000</f>
        <v>10000</v>
      </c>
      <c r="F9" s="8" t="s">
        <v>52</v>
      </c>
      <c r="G9" s="8">
        <v>3672</v>
      </c>
      <c r="H9" s="8">
        <f>10*1000</f>
        <v>10000</v>
      </c>
      <c r="I9" s="8" t="s">
        <v>52</v>
      </c>
      <c r="J9" s="8">
        <f>(0.5*384)-SUM(J5:J8)</f>
        <v>165.98545454545456</v>
      </c>
      <c r="K9" s="8" t="s">
        <v>52</v>
      </c>
      <c r="L9" s="8">
        <f t="shared" si="1"/>
        <v>0.43225378787878793</v>
      </c>
      <c r="M9" s="8" t="str">
        <f t="shared" si="2"/>
        <v>uL</v>
      </c>
      <c r="N9" s="3">
        <f t="shared" si="0"/>
        <v>0.15872359090909094</v>
      </c>
      <c r="O9" s="1">
        <f>N9/$S$2</f>
        <v>1.4046335478680614E-3</v>
      </c>
      <c r="P9" s="1">
        <f t="shared" si="4"/>
        <v>1.2116304649548927E-3</v>
      </c>
    </row>
    <row r="10" spans="1:19">
      <c r="A10" s="8" t="s">
        <v>14</v>
      </c>
      <c r="B10" s="17" t="s">
        <v>88</v>
      </c>
      <c r="C10" s="8" t="s">
        <v>90</v>
      </c>
      <c r="D10" s="9" t="s">
        <v>89</v>
      </c>
      <c r="E10" s="8">
        <v>10</v>
      </c>
      <c r="F10" s="8" t="s">
        <v>15</v>
      </c>
      <c r="G10" s="8">
        <v>3110</v>
      </c>
      <c r="H10" s="8">
        <f>6*1000</f>
        <v>6000</v>
      </c>
      <c r="I10" s="8" t="s">
        <v>135</v>
      </c>
      <c r="J10" s="8">
        <f>0.2*384</f>
        <v>76.800000000000011</v>
      </c>
      <c r="K10" s="8" t="s">
        <v>135</v>
      </c>
      <c r="L10" s="8">
        <f t="shared" si="1"/>
        <v>0.20000000000000004</v>
      </c>
      <c r="M10" s="8" t="str">
        <f t="shared" si="2"/>
        <v>uL</v>
      </c>
      <c r="N10" s="3">
        <f t="shared" si="0"/>
        <v>0.10366666666666668</v>
      </c>
      <c r="O10" s="1">
        <f t="shared" si="3"/>
        <v>9.1740412979351049E-4</v>
      </c>
      <c r="P10" s="1">
        <f t="shared" si="4"/>
        <v>7.9134860050890604E-4</v>
      </c>
    </row>
    <row r="11" spans="1:19" s="6" customFormat="1">
      <c r="A11" s="14" t="s">
        <v>14</v>
      </c>
      <c r="B11" s="18" t="s">
        <v>13</v>
      </c>
      <c r="C11" s="14" t="s">
        <v>17</v>
      </c>
      <c r="D11" s="19">
        <v>18080085</v>
      </c>
      <c r="E11" s="14">
        <v>200</v>
      </c>
      <c r="F11" s="14" t="s">
        <v>16</v>
      </c>
      <c r="G11" s="14">
        <v>139200</v>
      </c>
      <c r="H11" s="14">
        <v>200</v>
      </c>
      <c r="I11" s="14" t="s">
        <v>139</v>
      </c>
      <c r="J11" s="14">
        <f>0.025*384*4</f>
        <v>38.400000000000006</v>
      </c>
      <c r="K11" s="14" t="s">
        <v>139</v>
      </c>
      <c r="L11" s="14">
        <f t="shared" si="1"/>
        <v>0.10000000000000002</v>
      </c>
      <c r="M11" s="14" t="str">
        <f t="shared" si="2"/>
        <v>uL</v>
      </c>
      <c r="N11" s="6">
        <f t="shared" si="0"/>
        <v>69.600000000000009</v>
      </c>
      <c r="O11" s="6">
        <f t="shared" si="3"/>
        <v>0.61592920353982306</v>
      </c>
      <c r="P11" s="6">
        <f t="shared" si="4"/>
        <v>0.53129770992366421</v>
      </c>
    </row>
    <row r="12" spans="1:19" s="6" customFormat="1">
      <c r="A12" s="14" t="s">
        <v>14</v>
      </c>
      <c r="B12" s="18" t="s">
        <v>9</v>
      </c>
      <c r="C12" s="14" t="s">
        <v>78</v>
      </c>
      <c r="D12" s="19" t="s">
        <v>93</v>
      </c>
      <c r="E12" s="14">
        <v>40</v>
      </c>
      <c r="F12" s="14" t="s">
        <v>16</v>
      </c>
      <c r="G12" s="14">
        <v>41040</v>
      </c>
      <c r="H12" s="14">
        <v>250</v>
      </c>
      <c r="I12" s="14" t="s">
        <v>134</v>
      </c>
      <c r="J12" s="14">
        <f>0.01375*384*4</f>
        <v>21.12</v>
      </c>
      <c r="K12" s="14" t="s">
        <v>134</v>
      </c>
      <c r="L12" s="14">
        <f t="shared" si="1"/>
        <v>5.5E-2</v>
      </c>
      <c r="M12" s="14" t="str">
        <f t="shared" si="2"/>
        <v>uL</v>
      </c>
      <c r="N12" s="6">
        <f t="shared" si="0"/>
        <v>9.0288000000000004</v>
      </c>
      <c r="O12" s="6">
        <f>N12/$S$2</f>
        <v>7.9900884955752219E-2</v>
      </c>
      <c r="P12" s="6">
        <f t="shared" si="4"/>
        <v>6.8922137404580155E-2</v>
      </c>
    </row>
    <row r="13" spans="1:19">
      <c r="A13" s="8" t="s">
        <v>14</v>
      </c>
      <c r="B13" s="17" t="s">
        <v>11</v>
      </c>
      <c r="C13" s="8" t="s">
        <v>55</v>
      </c>
      <c r="D13" s="9">
        <v>9012</v>
      </c>
      <c r="E13" s="8">
        <f>10*1000</f>
        <v>10000</v>
      </c>
      <c r="F13" s="8" t="s">
        <v>52</v>
      </c>
      <c r="G13" s="8">
        <v>3672</v>
      </c>
      <c r="H13" s="8">
        <f>10*1000</f>
        <v>10000</v>
      </c>
      <c r="I13" s="8" t="s">
        <v>52</v>
      </c>
      <c r="J13" s="8">
        <f>(1*384)-SUM(J10:J12)</f>
        <v>247.67999999999998</v>
      </c>
      <c r="K13" s="8" t="s">
        <v>52</v>
      </c>
      <c r="L13" s="8">
        <f t="shared" si="1"/>
        <v>0.64499999999999991</v>
      </c>
      <c r="M13" s="8" t="str">
        <f t="shared" si="2"/>
        <v>uL</v>
      </c>
      <c r="N13" s="3">
        <f t="shared" si="0"/>
        <v>0.23684399999999997</v>
      </c>
      <c r="O13" s="1">
        <f t="shared" si="3"/>
        <v>2.0959646017699113E-3</v>
      </c>
      <c r="P13" s="1">
        <f t="shared" si="4"/>
        <v>1.8079694656488547E-3</v>
      </c>
    </row>
    <row r="14" spans="1:19">
      <c r="A14" s="8" t="s">
        <v>49</v>
      </c>
      <c r="B14" s="17" t="s">
        <v>64</v>
      </c>
      <c r="C14" s="8" t="s">
        <v>66</v>
      </c>
      <c r="D14" s="9" t="s">
        <v>65</v>
      </c>
      <c r="E14" s="8">
        <v>40</v>
      </c>
      <c r="F14" s="8" t="s">
        <v>67</v>
      </c>
      <c r="G14" s="8">
        <v>32319</v>
      </c>
      <c r="H14" s="8">
        <v>40</v>
      </c>
      <c r="I14" s="8" t="s">
        <v>67</v>
      </c>
      <c r="J14" s="8">
        <f>1</f>
        <v>1</v>
      </c>
      <c r="K14" s="8" t="s">
        <v>67</v>
      </c>
      <c r="L14" s="8">
        <f t="shared" si="1"/>
        <v>2.6041666666666665E-3</v>
      </c>
      <c r="M14" s="8" t="str">
        <f t="shared" si="2"/>
        <v>reservoir</v>
      </c>
      <c r="N14" s="3">
        <f t="shared" si="0"/>
        <v>2.1041015624999999</v>
      </c>
      <c r="O14" s="1">
        <f>N14/$S$2</f>
        <v>1.8620367809734511E-2</v>
      </c>
      <c r="P14" s="1">
        <f t="shared" si="4"/>
        <v>1.6061843988549616E-2</v>
      </c>
    </row>
    <row r="15" spans="1:19">
      <c r="A15" s="8" t="s">
        <v>49</v>
      </c>
      <c r="B15" s="17" t="s">
        <v>61</v>
      </c>
      <c r="C15" s="8" t="s">
        <v>60</v>
      </c>
      <c r="D15" s="9" t="s">
        <v>62</v>
      </c>
      <c r="E15" s="8">
        <f>250*0.3048</f>
        <v>76.2</v>
      </c>
      <c r="F15" s="8" t="s">
        <v>63</v>
      </c>
      <c r="G15" s="8">
        <v>3600</v>
      </c>
      <c r="H15" s="8">
        <f>250*0.3048</f>
        <v>76.2</v>
      </c>
      <c r="I15" s="8" t="s">
        <v>136</v>
      </c>
      <c r="J15" s="8">
        <v>0.43</v>
      </c>
      <c r="K15" s="8" t="s">
        <v>136</v>
      </c>
      <c r="L15" s="8">
        <f t="shared" si="1"/>
        <v>1.1197916666666667E-3</v>
      </c>
      <c r="M15" s="8" t="str">
        <f t="shared" si="2"/>
        <v>meter</v>
      </c>
      <c r="N15" s="3">
        <f t="shared" si="0"/>
        <v>5.2903543307086617E-2</v>
      </c>
      <c r="O15" s="1">
        <f t="shared" si="3"/>
        <v>4.6817294962023557E-4</v>
      </c>
      <c r="P15" s="1">
        <f t="shared" si="4"/>
        <v>4.0384384203882915E-4</v>
      </c>
    </row>
    <row r="16" spans="1:19">
      <c r="A16" s="15" t="s">
        <v>19</v>
      </c>
      <c r="B16" s="20" t="s">
        <v>20</v>
      </c>
      <c r="C16" s="15" t="s">
        <v>21</v>
      </c>
      <c r="D16" s="21" t="s">
        <v>22</v>
      </c>
      <c r="E16" s="15">
        <v>200</v>
      </c>
      <c r="F16" s="15" t="s">
        <v>23</v>
      </c>
      <c r="G16" s="15">
        <v>46820</v>
      </c>
      <c r="H16" s="15">
        <v>200</v>
      </c>
      <c r="I16" s="15" t="s">
        <v>23</v>
      </c>
      <c r="J16" s="15">
        <v>3</v>
      </c>
      <c r="K16" s="15" t="s">
        <v>23</v>
      </c>
      <c r="L16" s="15">
        <f t="shared" si="1"/>
        <v>7.8125E-3</v>
      </c>
      <c r="M16" s="15" t="str">
        <f t="shared" si="2"/>
        <v>column/time</v>
      </c>
      <c r="N16" s="3">
        <f t="shared" si="0"/>
        <v>1.82890625</v>
      </c>
      <c r="O16" s="1">
        <f t="shared" si="3"/>
        <v>1.6185011061946902E-2</v>
      </c>
      <c r="P16" s="1">
        <f t="shared" si="4"/>
        <v>1.396111641221374E-2</v>
      </c>
    </row>
    <row r="17" spans="1:16">
      <c r="A17" s="15" t="s">
        <v>19</v>
      </c>
      <c r="B17" s="20" t="s">
        <v>11</v>
      </c>
      <c r="C17" s="15" t="s">
        <v>55</v>
      </c>
      <c r="D17" s="21">
        <v>9012</v>
      </c>
      <c r="E17" s="15">
        <f>10*1000</f>
        <v>10000</v>
      </c>
      <c r="F17" s="15" t="s">
        <v>52</v>
      </c>
      <c r="G17" s="15">
        <v>3672</v>
      </c>
      <c r="H17" s="15">
        <f>10*1000</f>
        <v>10000</v>
      </c>
      <c r="I17" s="15" t="s">
        <v>52</v>
      </c>
      <c r="J17" s="15">
        <v>63</v>
      </c>
      <c r="K17" s="15" t="s">
        <v>52</v>
      </c>
      <c r="L17" s="15">
        <f t="shared" si="1"/>
        <v>0.1640625</v>
      </c>
      <c r="M17" s="15" t="str">
        <f t="shared" si="2"/>
        <v>uL</v>
      </c>
      <c r="N17" s="3">
        <f t="shared" si="0"/>
        <v>6.0243750000000006E-2</v>
      </c>
      <c r="O17" s="1">
        <f t="shared" si="3"/>
        <v>5.3313053097345134E-4</v>
      </c>
      <c r="P17" s="1">
        <f t="shared" si="4"/>
        <v>4.5987595419847332E-4</v>
      </c>
    </row>
    <row r="18" spans="1:16">
      <c r="A18" s="15" t="s">
        <v>24</v>
      </c>
      <c r="B18" s="20" t="s">
        <v>12</v>
      </c>
      <c r="C18" s="15" t="s">
        <v>90</v>
      </c>
      <c r="D18" s="21" t="s">
        <v>89</v>
      </c>
      <c r="E18" s="15">
        <v>10</v>
      </c>
      <c r="F18" s="15" t="s">
        <v>26</v>
      </c>
      <c r="G18" s="15">
        <v>3110</v>
      </c>
      <c r="H18" s="15">
        <f>6*1000</f>
        <v>6000</v>
      </c>
      <c r="I18" s="15" t="s">
        <v>135</v>
      </c>
      <c r="J18" s="15">
        <v>7.5</v>
      </c>
      <c r="K18" s="15" t="s">
        <v>135</v>
      </c>
      <c r="L18" s="15">
        <f t="shared" si="1"/>
        <v>1.953125E-2</v>
      </c>
      <c r="M18" s="15" t="str">
        <f t="shared" si="2"/>
        <v>uL</v>
      </c>
      <c r="N18" s="3">
        <f t="shared" si="0"/>
        <v>1.0123697916666667E-2</v>
      </c>
      <c r="O18" s="1">
        <f t="shared" si="3"/>
        <v>8.9590247050147498E-5</v>
      </c>
      <c r="P18" s="1">
        <f t="shared" si="4"/>
        <v>7.7280136768447837E-5</v>
      </c>
    </row>
    <row r="19" spans="1:16">
      <c r="A19" s="15" t="s">
        <v>24</v>
      </c>
      <c r="B19" s="20" t="s">
        <v>25</v>
      </c>
      <c r="C19" s="15" t="s">
        <v>17</v>
      </c>
      <c r="D19" s="21">
        <v>10216018</v>
      </c>
      <c r="E19" s="15">
        <v>100</v>
      </c>
      <c r="F19" s="15" t="s">
        <v>3</v>
      </c>
      <c r="G19" s="15">
        <v>8920</v>
      </c>
      <c r="H19" s="15">
        <v>250</v>
      </c>
      <c r="I19" s="15" t="s">
        <v>133</v>
      </c>
      <c r="J19" s="15">
        <v>1.8</v>
      </c>
      <c r="K19" s="15" t="s">
        <v>133</v>
      </c>
      <c r="L19" s="15">
        <f t="shared" si="1"/>
        <v>4.6874999999999998E-3</v>
      </c>
      <c r="M19" s="15" t="str">
        <f t="shared" si="2"/>
        <v>uL</v>
      </c>
      <c r="N19" s="3">
        <f t="shared" si="0"/>
        <v>0.16724999999999998</v>
      </c>
      <c r="O19" s="1">
        <f t="shared" si="3"/>
        <v>1.4800884955752211E-3</v>
      </c>
      <c r="P19" s="1">
        <f t="shared" si="4"/>
        <v>1.2767175572519082E-3</v>
      </c>
    </row>
    <row r="20" spans="1:16">
      <c r="A20" s="15" t="s">
        <v>24</v>
      </c>
      <c r="B20" s="20" t="s">
        <v>162</v>
      </c>
      <c r="C20" s="15" t="s">
        <v>28</v>
      </c>
      <c r="D20" s="21" t="s">
        <v>163</v>
      </c>
      <c r="E20" s="15">
        <v>2</v>
      </c>
      <c r="F20" s="15" t="s">
        <v>27</v>
      </c>
      <c r="G20" s="15">
        <v>33320</v>
      </c>
      <c r="H20" s="15">
        <v>60</v>
      </c>
      <c r="I20" s="15" t="s">
        <v>134</v>
      </c>
      <c r="J20" s="15">
        <v>1.44</v>
      </c>
      <c r="K20" s="15" t="s">
        <v>134</v>
      </c>
      <c r="L20" s="15">
        <f t="shared" si="1"/>
        <v>3.7499999999999999E-3</v>
      </c>
      <c r="M20" s="15" t="str">
        <f t="shared" si="2"/>
        <v>uL</v>
      </c>
      <c r="N20" s="3">
        <f t="shared" si="0"/>
        <v>2.0825</v>
      </c>
      <c r="O20" s="1">
        <f t="shared" si="3"/>
        <v>1.8429203539823007E-2</v>
      </c>
      <c r="P20" s="1">
        <f t="shared" si="4"/>
        <v>1.5896946564885495E-2</v>
      </c>
    </row>
    <row r="21" spans="1:16">
      <c r="A21" s="15" t="s">
        <v>24</v>
      </c>
      <c r="B21" s="20" t="s">
        <v>86</v>
      </c>
      <c r="C21" s="15" t="s">
        <v>87</v>
      </c>
      <c r="D21" s="21">
        <v>3333574001</v>
      </c>
      <c r="E21" s="15">
        <v>400</v>
      </c>
      <c r="F21" s="15" t="s">
        <v>7</v>
      </c>
      <c r="G21" s="15">
        <v>28300</v>
      </c>
      <c r="H21" s="15">
        <v>60</v>
      </c>
      <c r="I21" s="15" t="s">
        <v>134</v>
      </c>
      <c r="J21" s="15">
        <v>5.04</v>
      </c>
      <c r="K21" s="15" t="s">
        <v>134</v>
      </c>
      <c r="L21" s="15">
        <f t="shared" si="1"/>
        <v>1.3125E-2</v>
      </c>
      <c r="M21" s="15" t="str">
        <f t="shared" si="2"/>
        <v>uL</v>
      </c>
      <c r="N21" s="3">
        <f t="shared" si="0"/>
        <v>6.1906249999999998</v>
      </c>
      <c r="O21" s="1">
        <f t="shared" si="3"/>
        <v>5.4784292035398231E-2</v>
      </c>
      <c r="P21" s="1">
        <f t="shared" si="4"/>
        <v>4.7256679389312974E-2</v>
      </c>
    </row>
    <row r="22" spans="1:16">
      <c r="A22" s="15" t="s">
        <v>24</v>
      </c>
      <c r="B22" s="20" t="s">
        <v>11</v>
      </c>
      <c r="C22" s="15" t="s">
        <v>55</v>
      </c>
      <c r="D22" s="21">
        <v>9012</v>
      </c>
      <c r="E22" s="15">
        <f>10*1000</f>
        <v>10000</v>
      </c>
      <c r="F22" s="15" t="s">
        <v>52</v>
      </c>
      <c r="G22" s="15">
        <v>3672</v>
      </c>
      <c r="H22" s="15">
        <f>10*1000</f>
        <v>10000</v>
      </c>
      <c r="I22" s="15" t="s">
        <v>52</v>
      </c>
      <c r="J22" s="15">
        <f>59.22</f>
        <v>59.22</v>
      </c>
      <c r="K22" s="15" t="s">
        <v>52</v>
      </c>
      <c r="L22" s="15">
        <f t="shared" si="1"/>
        <v>0.15421874999999999</v>
      </c>
      <c r="M22" s="15" t="str">
        <f t="shared" si="2"/>
        <v>uL</v>
      </c>
      <c r="N22" s="3">
        <f t="shared" si="0"/>
        <v>5.6629125000000002E-2</v>
      </c>
      <c r="O22" s="1">
        <f t="shared" si="3"/>
        <v>5.0114269911504428E-4</v>
      </c>
      <c r="P22" s="1">
        <f t="shared" si="4"/>
        <v>4.3228339694656491E-4</v>
      </c>
    </row>
    <row r="23" spans="1:16" ht="60">
      <c r="A23" s="15" t="s">
        <v>29</v>
      </c>
      <c r="B23" s="20" t="s">
        <v>168</v>
      </c>
      <c r="C23" s="15" t="s">
        <v>55</v>
      </c>
      <c r="D23" s="21" t="s">
        <v>58</v>
      </c>
      <c r="E23" s="15">
        <v>2</v>
      </c>
      <c r="F23" s="15" t="s">
        <v>15</v>
      </c>
      <c r="G23" s="15"/>
      <c r="H23" s="15"/>
      <c r="I23" s="15" t="s">
        <v>135</v>
      </c>
      <c r="J23" s="15">
        <v>300.48</v>
      </c>
      <c r="K23" s="15" t="s">
        <v>135</v>
      </c>
      <c r="L23" s="15">
        <f t="shared" si="1"/>
        <v>0.78250000000000008</v>
      </c>
      <c r="M23" s="15" t="str">
        <f t="shared" si="2"/>
        <v>uL</v>
      </c>
      <c r="N23" s="3"/>
    </row>
    <row r="24" spans="1:16" ht="60">
      <c r="A24" s="15" t="s">
        <v>29</v>
      </c>
      <c r="B24" s="20" t="s">
        <v>59</v>
      </c>
      <c r="C24" s="15" t="s">
        <v>55</v>
      </c>
      <c r="D24" s="21" t="s">
        <v>58</v>
      </c>
      <c r="E24" s="15">
        <v>1.25</v>
      </c>
      <c r="F24" s="15" t="s">
        <v>57</v>
      </c>
      <c r="G24" s="15">
        <v>92718</v>
      </c>
      <c r="H24" s="15">
        <v>1000</v>
      </c>
      <c r="I24" s="15" t="s">
        <v>137</v>
      </c>
      <c r="J24" s="15">
        <v>24</v>
      </c>
      <c r="K24" s="15" t="s">
        <v>137</v>
      </c>
      <c r="L24" s="15">
        <f t="shared" si="1"/>
        <v>6.25E-2</v>
      </c>
      <c r="M24" s="15" t="str">
        <f t="shared" si="2"/>
        <v>uL</v>
      </c>
      <c r="N24" s="3">
        <f>G24/H24*L24</f>
        <v>5.7948750000000002</v>
      </c>
      <c r="O24" s="1">
        <f>N24/$S$2</f>
        <v>5.1282079646017699E-2</v>
      </c>
      <c r="P24" s="1">
        <f t="shared" si="4"/>
        <v>4.4235687022900767E-2</v>
      </c>
    </row>
    <row r="25" spans="1:16">
      <c r="A25" s="15" t="s">
        <v>29</v>
      </c>
      <c r="B25" s="20" t="s">
        <v>32</v>
      </c>
      <c r="C25" s="15" t="s">
        <v>94</v>
      </c>
      <c r="D25" s="21"/>
      <c r="E25" s="15">
        <v>10</v>
      </c>
      <c r="F25" s="15" t="s">
        <v>31</v>
      </c>
      <c r="G25" s="15">
        <f>25747</f>
        <v>25747</v>
      </c>
      <c r="H25" s="15">
        <v>4750</v>
      </c>
      <c r="I25" s="15" t="s">
        <v>131</v>
      </c>
      <c r="J25" s="15">
        <v>3.84</v>
      </c>
      <c r="K25" s="15" t="s">
        <v>131</v>
      </c>
      <c r="L25" s="15">
        <f t="shared" si="1"/>
        <v>0.01</v>
      </c>
      <c r="M25" s="15" t="str">
        <f t="shared" si="2"/>
        <v>uL</v>
      </c>
      <c r="N25" s="3">
        <f>G25/H25*L25</f>
        <v>5.4204210526315792E-2</v>
      </c>
      <c r="O25" s="1">
        <f>N25/$S$2</f>
        <v>4.7968327899394509E-4</v>
      </c>
      <c r="P25" s="1">
        <f t="shared" si="4"/>
        <v>4.1377259943752514E-4</v>
      </c>
    </row>
    <row r="26" spans="1:16">
      <c r="A26" s="15" t="s">
        <v>33</v>
      </c>
      <c r="B26" s="20" t="s">
        <v>11</v>
      </c>
      <c r="C26" s="15" t="s">
        <v>55</v>
      </c>
      <c r="D26" s="21">
        <v>9012</v>
      </c>
      <c r="E26" s="15">
        <f>10*1000</f>
        <v>10000</v>
      </c>
      <c r="F26" s="15" t="s">
        <v>52</v>
      </c>
      <c r="G26" s="15">
        <v>3672</v>
      </c>
      <c r="H26" s="15">
        <f>10*1000</f>
        <v>10000</v>
      </c>
      <c r="I26" s="15" t="s">
        <v>52</v>
      </c>
      <c r="J26" s="15">
        <v>225.6</v>
      </c>
      <c r="K26" s="15" t="s">
        <v>52</v>
      </c>
      <c r="L26" s="15">
        <f t="shared" si="1"/>
        <v>0.58750000000000002</v>
      </c>
      <c r="M26" s="15" t="str">
        <f t="shared" si="2"/>
        <v>uL</v>
      </c>
      <c r="N26" s="3">
        <f>G26/H26*L26</f>
        <v>0.21573000000000003</v>
      </c>
      <c r="O26" s="1">
        <f>N26/$S$2</f>
        <v>1.9091150442477878E-3</v>
      </c>
      <c r="P26" s="1">
        <f t="shared" si="4"/>
        <v>1.6467938931297712E-3</v>
      </c>
    </row>
    <row r="27" spans="1:16" ht="60">
      <c r="A27" s="15" t="s">
        <v>35</v>
      </c>
      <c r="B27" s="20" t="s">
        <v>56</v>
      </c>
      <c r="C27" s="15" t="s">
        <v>55</v>
      </c>
      <c r="D27" s="21" t="s">
        <v>58</v>
      </c>
      <c r="E27" s="15">
        <v>2</v>
      </c>
      <c r="F27" s="15" t="s">
        <v>15</v>
      </c>
      <c r="G27" s="15"/>
      <c r="H27" s="15"/>
      <c r="I27" s="15" t="s">
        <v>135</v>
      </c>
      <c r="J27" s="15">
        <v>300.48</v>
      </c>
      <c r="K27" s="15" t="s">
        <v>135</v>
      </c>
      <c r="L27" s="15">
        <f t="shared" si="1"/>
        <v>0.78250000000000008</v>
      </c>
      <c r="M27" s="15" t="str">
        <f t="shared" si="2"/>
        <v>uL</v>
      </c>
      <c r="N27" s="3"/>
    </row>
    <row r="28" spans="1:16">
      <c r="A28" s="15" t="s">
        <v>35</v>
      </c>
      <c r="B28" s="20" t="s">
        <v>34</v>
      </c>
      <c r="C28" s="15" t="s">
        <v>95</v>
      </c>
      <c r="D28" s="21"/>
      <c r="E28" s="15">
        <v>100</v>
      </c>
      <c r="F28" s="15" t="s">
        <v>31</v>
      </c>
      <c r="G28" s="15">
        <f>21470</f>
        <v>21470</v>
      </c>
      <c r="H28" s="15">
        <v>820</v>
      </c>
      <c r="I28" s="15" t="s">
        <v>131</v>
      </c>
      <c r="J28" s="15">
        <v>11.423999999999999</v>
      </c>
      <c r="K28" s="15" t="s">
        <v>131</v>
      </c>
      <c r="L28" s="15">
        <f t="shared" si="1"/>
        <v>2.9749999999999999E-2</v>
      </c>
      <c r="M28" s="15" t="str">
        <f t="shared" si="2"/>
        <v>uL</v>
      </c>
      <c r="N28" s="3">
        <f t="shared" ref="N28:N52" si="5">G28/H28*L28</f>
        <v>0.77894207317073172</v>
      </c>
      <c r="O28" s="5">
        <f>N28/$S$2</f>
        <v>6.8932926829268293E-3</v>
      </c>
      <c r="P28" s="1">
        <f t="shared" si="4"/>
        <v>5.9461226959597845E-3</v>
      </c>
    </row>
    <row r="29" spans="1:16">
      <c r="A29" s="15" t="s">
        <v>36</v>
      </c>
      <c r="B29" s="20" t="s">
        <v>11</v>
      </c>
      <c r="C29" s="15" t="s">
        <v>55</v>
      </c>
      <c r="D29" s="21">
        <v>9012</v>
      </c>
      <c r="E29" s="15">
        <f>10*1000</f>
        <v>10000</v>
      </c>
      <c r="F29" s="15" t="s">
        <v>52</v>
      </c>
      <c r="G29" s="15">
        <v>3672</v>
      </c>
      <c r="H29" s="15">
        <f>10*1000</f>
        <v>10000</v>
      </c>
      <c r="I29" s="15" t="s">
        <v>52</v>
      </c>
      <c r="J29" s="15">
        <v>290.88</v>
      </c>
      <c r="K29" s="15" t="s">
        <v>52</v>
      </c>
      <c r="L29" s="15">
        <f t="shared" si="1"/>
        <v>0.75749999999999995</v>
      </c>
      <c r="M29" s="15" t="str">
        <f t="shared" si="2"/>
        <v>uL</v>
      </c>
      <c r="N29" s="3">
        <f t="shared" si="5"/>
        <v>0.27815400000000001</v>
      </c>
      <c r="O29" s="5">
        <f t="shared" ref="O29:O61" si="6">N29/$S$2</f>
        <v>2.4615398230088499E-3</v>
      </c>
      <c r="P29" s="1">
        <f t="shared" si="4"/>
        <v>2.1233129770992366E-3</v>
      </c>
    </row>
    <row r="30" spans="1:16">
      <c r="A30" s="8" t="s">
        <v>38</v>
      </c>
      <c r="B30" s="17" t="s">
        <v>54</v>
      </c>
      <c r="C30" s="8" t="s">
        <v>39</v>
      </c>
      <c r="D30" s="9">
        <v>28006</v>
      </c>
      <c r="E30" s="8">
        <v>250</v>
      </c>
      <c r="F30" s="8" t="s">
        <v>40</v>
      </c>
      <c r="G30" s="8">
        <v>64000</v>
      </c>
      <c r="H30" s="8">
        <v>250</v>
      </c>
      <c r="I30" s="8" t="s">
        <v>40</v>
      </c>
      <c r="J30" s="8">
        <v>1</v>
      </c>
      <c r="K30" s="8" t="s">
        <v>40</v>
      </c>
      <c r="L30" s="8">
        <f t="shared" si="1"/>
        <v>2.6041666666666665E-3</v>
      </c>
      <c r="M30" s="8" t="str">
        <f t="shared" si="2"/>
        <v>column</v>
      </c>
      <c r="N30" s="3">
        <f t="shared" si="5"/>
        <v>0.66666666666666663</v>
      </c>
      <c r="O30" s="5">
        <f t="shared" si="6"/>
        <v>5.8997050147492625E-3</v>
      </c>
      <c r="P30" s="1">
        <f t="shared" si="4"/>
        <v>5.0890585241730275E-3</v>
      </c>
    </row>
    <row r="31" spans="1:16">
      <c r="A31" s="8" t="s">
        <v>41</v>
      </c>
      <c r="B31" s="17" t="s">
        <v>11</v>
      </c>
      <c r="C31" s="8" t="s">
        <v>55</v>
      </c>
      <c r="D31" s="9">
        <v>9012</v>
      </c>
      <c r="E31" s="8">
        <f>10*1000</f>
        <v>10000</v>
      </c>
      <c r="F31" s="8" t="s">
        <v>52</v>
      </c>
      <c r="G31" s="8">
        <v>3672</v>
      </c>
      <c r="H31" s="8">
        <f>10*1000</f>
        <v>10000</v>
      </c>
      <c r="I31" s="8" t="s">
        <v>52</v>
      </c>
      <c r="J31" s="8">
        <v>42</v>
      </c>
      <c r="K31" s="8" t="s">
        <v>52</v>
      </c>
      <c r="L31" s="8">
        <f t="shared" si="1"/>
        <v>0.109375</v>
      </c>
      <c r="M31" s="8" t="str">
        <f t="shared" si="2"/>
        <v>uL</v>
      </c>
      <c r="N31" s="3">
        <f t="shared" si="5"/>
        <v>4.0162500000000004E-2</v>
      </c>
      <c r="O31" s="5">
        <f t="shared" si="6"/>
        <v>3.5542035398230089E-4</v>
      </c>
      <c r="P31" s="1">
        <f t="shared" si="4"/>
        <v>3.065839694656489E-4</v>
      </c>
    </row>
    <row r="32" spans="1:16">
      <c r="A32" s="8" t="s">
        <v>42</v>
      </c>
      <c r="B32" s="17" t="s">
        <v>50</v>
      </c>
      <c r="C32" s="8" t="s">
        <v>51</v>
      </c>
      <c r="D32" s="9" t="s">
        <v>53</v>
      </c>
      <c r="E32" s="8">
        <f>60*1000</f>
        <v>60000</v>
      </c>
      <c r="F32" s="8" t="s">
        <v>52</v>
      </c>
      <c r="G32" s="22">
        <v>100980</v>
      </c>
      <c r="H32" s="8">
        <f>60*1000</f>
        <v>60000</v>
      </c>
      <c r="I32" s="8" t="s">
        <v>52</v>
      </c>
      <c r="J32" s="8">
        <v>32</v>
      </c>
      <c r="K32" s="8" t="s">
        <v>52</v>
      </c>
      <c r="L32" s="8">
        <f t="shared" si="1"/>
        <v>8.3333333333333329E-2</v>
      </c>
      <c r="M32" s="8" t="str">
        <f t="shared" si="2"/>
        <v>uL</v>
      </c>
      <c r="N32" s="3">
        <f t="shared" si="5"/>
        <v>0.14024999999999999</v>
      </c>
      <c r="O32" s="5">
        <f t="shared" si="6"/>
        <v>1.2411504424778761E-3</v>
      </c>
      <c r="P32" s="1">
        <f t="shared" si="4"/>
        <v>1.0706106870229006E-3</v>
      </c>
    </row>
    <row r="33" spans="1:16">
      <c r="A33" s="8" t="s">
        <v>44</v>
      </c>
      <c r="B33" s="17" t="s">
        <v>43</v>
      </c>
      <c r="C33" s="8" t="s">
        <v>91</v>
      </c>
      <c r="D33" s="9" t="s">
        <v>92</v>
      </c>
      <c r="E33" s="8">
        <f>10*11</f>
        <v>110</v>
      </c>
      <c r="F33" s="8" t="s">
        <v>45</v>
      </c>
      <c r="G33" s="8">
        <v>61560</v>
      </c>
      <c r="H33" s="8">
        <v>110</v>
      </c>
      <c r="I33" s="8" t="s">
        <v>45</v>
      </c>
      <c r="J33" s="8">
        <v>1</v>
      </c>
      <c r="K33" s="8" t="s">
        <v>45</v>
      </c>
      <c r="L33" s="8">
        <f t="shared" si="1"/>
        <v>2.6041666666666665E-3</v>
      </c>
      <c r="M33" s="8" t="str">
        <f t="shared" si="2"/>
        <v>well</v>
      </c>
      <c r="N33" s="3">
        <f t="shared" si="5"/>
        <v>1.4573863636363635</v>
      </c>
      <c r="O33" s="5">
        <f t="shared" si="6"/>
        <v>1.2897224456958969E-2</v>
      </c>
      <c r="P33" s="1">
        <f t="shared" si="4"/>
        <v>1.1125086745315753E-2</v>
      </c>
    </row>
    <row r="34" spans="1:16">
      <c r="A34" s="8" t="s">
        <v>141</v>
      </c>
      <c r="B34" s="17" t="s">
        <v>145</v>
      </c>
      <c r="C34" s="8" t="s">
        <v>144</v>
      </c>
      <c r="D34" s="9" t="s">
        <v>143</v>
      </c>
      <c r="E34" s="8">
        <v>1000</v>
      </c>
      <c r="F34" s="8" t="s">
        <v>75</v>
      </c>
      <c r="G34" s="8">
        <f>1000*175</f>
        <v>175000</v>
      </c>
      <c r="H34" s="8">
        <v>1000</v>
      </c>
      <c r="I34" s="8" t="s">
        <v>119</v>
      </c>
      <c r="J34" s="8">
        <v>1</v>
      </c>
      <c r="K34" s="8" t="s">
        <v>119</v>
      </c>
      <c r="L34" s="8">
        <f t="shared" si="1"/>
        <v>2.6041666666666665E-3</v>
      </c>
      <c r="M34" s="8" t="str">
        <f t="shared" si="2"/>
        <v>well</v>
      </c>
      <c r="N34" s="3">
        <f t="shared" si="5"/>
        <v>0.45572916666666663</v>
      </c>
      <c r="O34" s="5">
        <f t="shared" si="6"/>
        <v>4.0330014749262533E-3</v>
      </c>
      <c r="P34" s="1">
        <f t="shared" si="4"/>
        <v>3.4788486005089057E-3</v>
      </c>
    </row>
    <row r="35" spans="1:16" ht="30">
      <c r="A35" s="8" t="s">
        <v>46</v>
      </c>
      <c r="B35" s="17" t="s">
        <v>96</v>
      </c>
      <c r="C35" s="8" t="s">
        <v>48</v>
      </c>
      <c r="D35" s="9">
        <v>520091</v>
      </c>
      <c r="E35" s="8">
        <v>250</v>
      </c>
      <c r="F35" s="8" t="s">
        <v>47</v>
      </c>
      <c r="G35" s="8">
        <v>213840</v>
      </c>
      <c r="H35" s="8">
        <v>250</v>
      </c>
      <c r="I35" s="8" t="s">
        <v>47</v>
      </c>
      <c r="J35" s="8">
        <v>1</v>
      </c>
      <c r="K35" s="8" t="s">
        <v>47</v>
      </c>
      <c r="L35" s="8">
        <f t="shared" si="1"/>
        <v>2.6041666666666665E-3</v>
      </c>
      <c r="M35" s="8" t="str">
        <f t="shared" si="2"/>
        <v>tube</v>
      </c>
      <c r="N35" s="3">
        <f t="shared" si="5"/>
        <v>2.2275</v>
      </c>
      <c r="O35" s="5">
        <f t="shared" si="6"/>
        <v>1.9712389380530975E-2</v>
      </c>
      <c r="P35" s="1">
        <f t="shared" si="4"/>
        <v>1.700381679389313E-2</v>
      </c>
    </row>
    <row r="36" spans="1:16">
      <c r="A36" s="8" t="s">
        <v>46</v>
      </c>
      <c r="B36" s="17" t="s">
        <v>20</v>
      </c>
      <c r="C36" s="8" t="s">
        <v>21</v>
      </c>
      <c r="D36" s="9" t="s">
        <v>22</v>
      </c>
      <c r="E36" s="8">
        <v>200</v>
      </c>
      <c r="F36" s="8" t="s">
        <v>23</v>
      </c>
      <c r="G36" s="8">
        <v>46820</v>
      </c>
      <c r="H36" s="8">
        <v>200</v>
      </c>
      <c r="I36" s="8" t="s">
        <v>23</v>
      </c>
      <c r="J36" s="8">
        <v>1</v>
      </c>
      <c r="K36" s="8" t="s">
        <v>23</v>
      </c>
      <c r="L36" s="8">
        <f t="shared" si="1"/>
        <v>2.6041666666666665E-3</v>
      </c>
      <c r="M36" s="8" t="str">
        <f t="shared" si="2"/>
        <v>column/time</v>
      </c>
      <c r="N36" s="3">
        <f t="shared" si="5"/>
        <v>0.60963541666666665</v>
      </c>
      <c r="O36" s="5">
        <f t="shared" si="6"/>
        <v>5.3950036873156339E-3</v>
      </c>
      <c r="P36" s="1">
        <f t="shared" si="4"/>
        <v>4.6537054707379132E-3</v>
      </c>
    </row>
    <row r="37" spans="1:16">
      <c r="A37" s="8" t="s">
        <v>46</v>
      </c>
      <c r="B37" s="17" t="s">
        <v>11</v>
      </c>
      <c r="C37" s="8" t="s">
        <v>55</v>
      </c>
      <c r="D37" s="9">
        <v>9012</v>
      </c>
      <c r="E37" s="8">
        <f>10*1000</f>
        <v>10000</v>
      </c>
      <c r="F37" s="8" t="s">
        <v>52</v>
      </c>
      <c r="G37" s="8">
        <v>3672</v>
      </c>
      <c r="H37" s="8">
        <f>10*1000</f>
        <v>10000</v>
      </c>
      <c r="I37" s="8" t="s">
        <v>52</v>
      </c>
      <c r="J37" s="8">
        <v>11</v>
      </c>
      <c r="K37" s="8" t="s">
        <v>52</v>
      </c>
      <c r="L37" s="8">
        <f t="shared" si="1"/>
        <v>2.8645833333333332E-2</v>
      </c>
      <c r="M37" s="8" t="str">
        <f t="shared" si="2"/>
        <v>uL</v>
      </c>
      <c r="N37" s="3">
        <f t="shared" si="5"/>
        <v>1.051875E-2</v>
      </c>
      <c r="O37" s="5">
        <f t="shared" si="6"/>
        <v>9.3086283185840713E-5</v>
      </c>
      <c r="P37" s="1">
        <f t="shared" si="4"/>
        <v>8.0295801526717559E-5</v>
      </c>
    </row>
    <row r="38" spans="1:16">
      <c r="A38" s="8" t="s">
        <v>72</v>
      </c>
      <c r="B38" s="17" t="s">
        <v>73</v>
      </c>
      <c r="C38" s="8" t="s">
        <v>74</v>
      </c>
      <c r="D38" s="9"/>
      <c r="E38" s="8">
        <v>24</v>
      </c>
      <c r="F38" s="8" t="s">
        <v>75</v>
      </c>
      <c r="G38" s="23">
        <v>160799</v>
      </c>
      <c r="H38" s="8">
        <v>24</v>
      </c>
      <c r="I38" s="8" t="s">
        <v>75</v>
      </c>
      <c r="J38" s="8">
        <f>1/5</f>
        <v>0.2</v>
      </c>
      <c r="K38" s="8" t="s">
        <v>75</v>
      </c>
      <c r="L38" s="8">
        <f t="shared" si="1"/>
        <v>5.2083333333333333E-4</v>
      </c>
      <c r="M38" s="8" t="str">
        <f t="shared" si="2"/>
        <v>times</v>
      </c>
      <c r="N38" s="3">
        <f t="shared" si="5"/>
        <v>3.489561631944444</v>
      </c>
      <c r="O38" s="5">
        <f t="shared" si="6"/>
        <v>3.0881076388888887E-2</v>
      </c>
      <c r="P38" s="1">
        <f t="shared" si="4"/>
        <v>2.6637875053011024E-2</v>
      </c>
    </row>
    <row r="39" spans="1:16">
      <c r="A39" s="13" t="s">
        <v>72</v>
      </c>
      <c r="B39" s="16" t="s">
        <v>80</v>
      </c>
      <c r="C39" s="13" t="s">
        <v>74</v>
      </c>
      <c r="D39" s="9" t="s">
        <v>81</v>
      </c>
      <c r="E39" s="8">
        <f>500*25/2</f>
        <v>6250</v>
      </c>
      <c r="F39" s="8" t="s">
        <v>52</v>
      </c>
      <c r="G39" s="8">
        <v>37800</v>
      </c>
      <c r="H39" s="8">
        <f>E39</f>
        <v>6250</v>
      </c>
      <c r="I39" s="8" t="s">
        <v>52</v>
      </c>
      <c r="J39" s="8">
        <v>25</v>
      </c>
      <c r="K39" s="8" t="s">
        <v>52</v>
      </c>
      <c r="L39" s="8">
        <f t="shared" si="1"/>
        <v>6.5104166666666671E-2</v>
      </c>
      <c r="M39" s="8" t="str">
        <f t="shared" si="2"/>
        <v>uL</v>
      </c>
      <c r="N39" s="3">
        <f t="shared" si="5"/>
        <v>0.39375000000000004</v>
      </c>
      <c r="O39" s="5">
        <f t="shared" si="6"/>
        <v>3.4845132743362836E-3</v>
      </c>
      <c r="P39" s="1">
        <f t="shared" si="4"/>
        <v>3.0057251908396951E-3</v>
      </c>
    </row>
    <row r="40" spans="1:16">
      <c r="A40" s="13" t="s">
        <v>72</v>
      </c>
      <c r="B40" s="16" t="s">
        <v>101</v>
      </c>
      <c r="C40" s="13" t="s">
        <v>95</v>
      </c>
      <c r="D40" s="9"/>
      <c r="E40" s="8">
        <v>100</v>
      </c>
      <c r="F40" s="8" t="s">
        <v>100</v>
      </c>
      <c r="G40" s="8">
        <v>20304</v>
      </c>
      <c r="H40" s="8">
        <v>900</v>
      </c>
      <c r="I40" s="8" t="s">
        <v>131</v>
      </c>
      <c r="J40" s="8">
        <f>2*1.5/100</f>
        <v>0.03</v>
      </c>
      <c r="K40" s="8" t="s">
        <v>131</v>
      </c>
      <c r="L40" s="8">
        <f t="shared" si="1"/>
        <v>7.8125000000000002E-5</v>
      </c>
      <c r="M40" s="8" t="str">
        <f t="shared" si="2"/>
        <v>uL</v>
      </c>
      <c r="N40" s="3">
        <f t="shared" si="5"/>
        <v>1.7625E-3</v>
      </c>
      <c r="O40" s="5">
        <f t="shared" si="6"/>
        <v>1.5597345132743362E-5</v>
      </c>
      <c r="P40" s="1">
        <f t="shared" si="4"/>
        <v>1.3454198473282443E-5</v>
      </c>
    </row>
    <row r="41" spans="1:16">
      <c r="A41" s="13" t="s">
        <v>72</v>
      </c>
      <c r="B41" s="16" t="s">
        <v>102</v>
      </c>
      <c r="C41" s="13" t="s">
        <v>95</v>
      </c>
      <c r="D41" s="9"/>
      <c r="E41" s="8">
        <v>100</v>
      </c>
      <c r="F41" s="8" t="s">
        <v>98</v>
      </c>
      <c r="G41" s="8">
        <v>29419</v>
      </c>
      <c r="H41" s="8">
        <v>310</v>
      </c>
      <c r="I41" s="8" t="s">
        <v>131</v>
      </c>
      <c r="J41" s="8">
        <f>2*1.5/100</f>
        <v>0.03</v>
      </c>
      <c r="K41" s="8" t="s">
        <v>131</v>
      </c>
      <c r="L41" s="8">
        <f t="shared" si="1"/>
        <v>7.8125000000000002E-5</v>
      </c>
      <c r="M41" s="8" t="str">
        <f t="shared" si="2"/>
        <v>uL</v>
      </c>
      <c r="N41" s="3">
        <f t="shared" si="5"/>
        <v>7.4140625000000005E-3</v>
      </c>
      <c r="O41" s="5">
        <f t="shared" si="6"/>
        <v>6.561117256637168E-5</v>
      </c>
      <c r="P41" s="1">
        <f t="shared" si="4"/>
        <v>5.6595896946564889E-5</v>
      </c>
    </row>
    <row r="42" spans="1:16">
      <c r="A42" s="13" t="s">
        <v>72</v>
      </c>
      <c r="B42" s="16" t="s">
        <v>99</v>
      </c>
      <c r="C42" s="13" t="s">
        <v>95</v>
      </c>
      <c r="D42" s="9"/>
      <c r="E42" s="8">
        <v>100</v>
      </c>
      <c r="F42" s="8" t="s">
        <v>98</v>
      </c>
      <c r="G42" s="8">
        <v>29419</v>
      </c>
      <c r="H42" s="8">
        <v>310</v>
      </c>
      <c r="I42" s="8" t="s">
        <v>131</v>
      </c>
      <c r="J42" s="8">
        <v>0.35</v>
      </c>
      <c r="K42" s="8" t="s">
        <v>131</v>
      </c>
      <c r="L42" s="8">
        <f t="shared" si="1"/>
        <v>9.1145833333333324E-4</v>
      </c>
      <c r="M42" s="8" t="str">
        <f t="shared" si="2"/>
        <v>uL</v>
      </c>
      <c r="N42" s="3">
        <f t="shared" si="5"/>
        <v>8.6497395833333324E-2</v>
      </c>
      <c r="O42" s="5">
        <f t="shared" si="6"/>
        <v>7.6546367994100289E-4</v>
      </c>
      <c r="P42" s="1">
        <f t="shared" si="4"/>
        <v>6.6028546437659028E-4</v>
      </c>
    </row>
    <row r="43" spans="1:16">
      <c r="A43" s="13" t="s">
        <v>72</v>
      </c>
      <c r="B43" s="16" t="s">
        <v>97</v>
      </c>
      <c r="C43" s="13" t="s">
        <v>95</v>
      </c>
      <c r="D43" s="9"/>
      <c r="E43" s="8">
        <v>100</v>
      </c>
      <c r="F43" s="8" t="s">
        <v>8</v>
      </c>
      <c r="G43" s="8">
        <v>21556</v>
      </c>
      <c r="H43" s="8">
        <v>818</v>
      </c>
      <c r="I43" s="8" t="s">
        <v>131</v>
      </c>
      <c r="J43" s="8">
        <v>0.35</v>
      </c>
      <c r="K43" s="8" t="s">
        <v>131</v>
      </c>
      <c r="L43" s="8">
        <f t="shared" si="1"/>
        <v>9.1145833333333324E-4</v>
      </c>
      <c r="M43" s="8" t="str">
        <f t="shared" si="2"/>
        <v>uL</v>
      </c>
      <c r="N43" s="3">
        <f t="shared" si="5"/>
        <v>2.4018821312143435E-2</v>
      </c>
      <c r="O43" s="5">
        <f t="shared" si="6"/>
        <v>2.1255594081542864E-4</v>
      </c>
      <c r="P43" s="1">
        <f t="shared" si="4"/>
        <v>1.8334978100872852E-4</v>
      </c>
    </row>
    <row r="44" spans="1:16">
      <c r="A44" s="8" t="s">
        <v>76</v>
      </c>
      <c r="B44" s="17" t="s">
        <v>50</v>
      </c>
      <c r="C44" s="8" t="s">
        <v>51</v>
      </c>
      <c r="D44" s="9" t="s">
        <v>53</v>
      </c>
      <c r="E44" s="8">
        <f>60*1000</f>
        <v>60000</v>
      </c>
      <c r="F44" s="8" t="s">
        <v>52</v>
      </c>
      <c r="G44" s="22">
        <v>100980</v>
      </c>
      <c r="H44" s="8">
        <f>60*1000</f>
        <v>60000</v>
      </c>
      <c r="I44" s="8" t="s">
        <v>52</v>
      </c>
      <c r="J44" s="8">
        <v>40</v>
      </c>
      <c r="K44" s="8" t="s">
        <v>52</v>
      </c>
      <c r="L44" s="8">
        <f t="shared" si="1"/>
        <v>0.10416666666666667</v>
      </c>
      <c r="M44" s="8" t="str">
        <f t="shared" si="2"/>
        <v>uL</v>
      </c>
      <c r="N44" s="3">
        <f t="shared" si="5"/>
        <v>0.17531250000000001</v>
      </c>
      <c r="O44" s="5">
        <f t="shared" si="6"/>
        <v>1.5514380530973451E-3</v>
      </c>
      <c r="P44" s="1">
        <f t="shared" si="4"/>
        <v>1.3382633587786261E-3</v>
      </c>
    </row>
    <row r="45" spans="1:16">
      <c r="A45" s="8" t="s">
        <v>76</v>
      </c>
      <c r="B45" s="17" t="s">
        <v>11</v>
      </c>
      <c r="C45" s="8" t="s">
        <v>55</v>
      </c>
      <c r="D45" s="9">
        <v>9012</v>
      </c>
      <c r="E45" s="8">
        <f>10*1000</f>
        <v>10000</v>
      </c>
      <c r="F45" s="8" t="s">
        <v>52</v>
      </c>
      <c r="G45" s="8">
        <v>3672</v>
      </c>
      <c r="H45" s="8">
        <f>10*1000</f>
        <v>10000</v>
      </c>
      <c r="I45" s="8" t="s">
        <v>52</v>
      </c>
      <c r="J45" s="8">
        <v>25</v>
      </c>
      <c r="K45" s="8" t="s">
        <v>52</v>
      </c>
      <c r="L45" s="8">
        <f t="shared" si="1"/>
        <v>6.5104166666666671E-2</v>
      </c>
      <c r="M45" s="8" t="str">
        <f t="shared" si="2"/>
        <v>uL</v>
      </c>
      <c r="N45" s="3">
        <f t="shared" si="5"/>
        <v>2.3906250000000004E-2</v>
      </c>
      <c r="O45" s="5">
        <f t="shared" si="6"/>
        <v>2.1155973451327437E-4</v>
      </c>
      <c r="P45" s="1">
        <f t="shared" si="4"/>
        <v>1.824904580152672E-4</v>
      </c>
    </row>
    <row r="46" spans="1:16">
      <c r="A46" s="13" t="s">
        <v>77</v>
      </c>
      <c r="B46" s="16" t="s">
        <v>43</v>
      </c>
      <c r="C46" s="8" t="s">
        <v>91</v>
      </c>
      <c r="D46" s="9" t="s">
        <v>92</v>
      </c>
      <c r="E46" s="8">
        <f>10*11</f>
        <v>110</v>
      </c>
      <c r="F46" s="8" t="s">
        <v>45</v>
      </c>
      <c r="G46" s="8">
        <v>61560</v>
      </c>
      <c r="H46" s="8">
        <v>110</v>
      </c>
      <c r="I46" s="8" t="s">
        <v>45</v>
      </c>
      <c r="J46" s="8">
        <v>1</v>
      </c>
      <c r="K46" s="8" t="s">
        <v>45</v>
      </c>
      <c r="L46" s="8">
        <f t="shared" si="1"/>
        <v>2.6041666666666665E-3</v>
      </c>
      <c r="M46" s="8" t="str">
        <f t="shared" si="2"/>
        <v>well</v>
      </c>
      <c r="N46" s="3">
        <f t="shared" si="5"/>
        <v>1.4573863636363635</v>
      </c>
      <c r="O46" s="5">
        <f t="shared" si="6"/>
        <v>1.2897224456958969E-2</v>
      </c>
      <c r="P46" s="1">
        <f t="shared" si="4"/>
        <v>1.1125086745315753E-2</v>
      </c>
    </row>
    <row r="47" spans="1:16">
      <c r="A47" s="13" t="s">
        <v>142</v>
      </c>
      <c r="B47" s="17" t="s">
        <v>145</v>
      </c>
      <c r="C47" s="8" t="s">
        <v>144</v>
      </c>
      <c r="D47" s="9" t="s">
        <v>143</v>
      </c>
      <c r="E47" s="8">
        <v>1000</v>
      </c>
      <c r="F47" s="8" t="s">
        <v>75</v>
      </c>
      <c r="G47" s="8">
        <f>1000*175</f>
        <v>175000</v>
      </c>
      <c r="H47" s="8">
        <v>1000</v>
      </c>
      <c r="I47" s="8" t="s">
        <v>119</v>
      </c>
      <c r="J47" s="8">
        <v>1</v>
      </c>
      <c r="K47" s="8" t="s">
        <v>119</v>
      </c>
      <c r="L47" s="8">
        <f t="shared" si="1"/>
        <v>2.6041666666666665E-3</v>
      </c>
      <c r="M47" s="8" t="str">
        <f t="shared" si="2"/>
        <v>well</v>
      </c>
      <c r="N47" s="3">
        <f t="shared" si="5"/>
        <v>0.45572916666666663</v>
      </c>
      <c r="O47" s="5">
        <f t="shared" si="6"/>
        <v>4.0330014749262533E-3</v>
      </c>
      <c r="P47" s="1">
        <f t="shared" si="4"/>
        <v>3.4788486005089057E-3</v>
      </c>
    </row>
    <row r="48" spans="1:16">
      <c r="A48" s="13" t="s">
        <v>124</v>
      </c>
      <c r="B48" s="16" t="s">
        <v>103</v>
      </c>
      <c r="C48" s="8" t="s">
        <v>104</v>
      </c>
      <c r="D48" s="9" t="s">
        <v>105</v>
      </c>
      <c r="E48" s="8">
        <f>96*10*5</f>
        <v>4800</v>
      </c>
      <c r="F48" s="8" t="s">
        <v>106</v>
      </c>
      <c r="G48" s="8">
        <v>57210</v>
      </c>
      <c r="H48" s="8">
        <f>E48</f>
        <v>4800</v>
      </c>
      <c r="I48" s="8" t="s">
        <v>106</v>
      </c>
      <c r="J48" s="8">
        <v>19</v>
      </c>
      <c r="K48" s="8" t="s">
        <v>106</v>
      </c>
      <c r="L48" s="8">
        <f t="shared" si="1"/>
        <v>4.9479166666666664E-2</v>
      </c>
      <c r="M48" s="8" t="str">
        <f t="shared" si="2"/>
        <v>Tip</v>
      </c>
      <c r="N48" s="3">
        <f t="shared" si="5"/>
        <v>0.58972981770833333</v>
      </c>
      <c r="O48" s="5">
        <f t="shared" si="6"/>
        <v>5.2188479443215337E-3</v>
      </c>
      <c r="P48" s="1">
        <f t="shared" si="4"/>
        <v>4.5017543336513992E-3</v>
      </c>
    </row>
    <row r="49" spans="1:16">
      <c r="A49" s="13" t="s">
        <v>124</v>
      </c>
      <c r="B49" s="16" t="s">
        <v>107</v>
      </c>
      <c r="C49" s="8" t="s">
        <v>104</v>
      </c>
      <c r="D49" s="9" t="s">
        <v>108</v>
      </c>
      <c r="E49" s="8">
        <f>96*10*5</f>
        <v>4800</v>
      </c>
      <c r="F49" s="8" t="s">
        <v>106</v>
      </c>
      <c r="G49" s="8">
        <v>60480</v>
      </c>
      <c r="H49" s="8">
        <f t="shared" ref="H49:H56" si="7">E49</f>
        <v>4800</v>
      </c>
      <c r="I49" s="8" t="s">
        <v>106</v>
      </c>
      <c r="J49" s="8">
        <v>28</v>
      </c>
      <c r="K49" s="8" t="s">
        <v>106</v>
      </c>
      <c r="L49" s="8">
        <f t="shared" si="1"/>
        <v>7.2916666666666671E-2</v>
      </c>
      <c r="M49" s="8" t="str">
        <f t="shared" si="2"/>
        <v>Tip</v>
      </c>
      <c r="N49" s="3">
        <f t="shared" si="5"/>
        <v>0.91875000000000007</v>
      </c>
      <c r="O49" s="5">
        <f t="shared" si="6"/>
        <v>8.1305309734513286E-3</v>
      </c>
      <c r="P49" s="1">
        <f t="shared" si="4"/>
        <v>7.0133587786259544E-3</v>
      </c>
    </row>
    <row r="50" spans="1:16">
      <c r="A50" s="8" t="s">
        <v>124</v>
      </c>
      <c r="B50" s="17" t="s">
        <v>109</v>
      </c>
      <c r="C50" s="8" t="s">
        <v>104</v>
      </c>
      <c r="D50" s="9" t="s">
        <v>110</v>
      </c>
      <c r="E50" s="8">
        <f>96*10*5</f>
        <v>4800</v>
      </c>
      <c r="F50" s="8" t="s">
        <v>106</v>
      </c>
      <c r="G50" s="8">
        <v>60480</v>
      </c>
      <c r="H50" s="8">
        <f t="shared" si="7"/>
        <v>4800</v>
      </c>
      <c r="I50" s="8" t="s">
        <v>106</v>
      </c>
      <c r="J50" s="8">
        <v>13</v>
      </c>
      <c r="K50" s="8" t="s">
        <v>106</v>
      </c>
      <c r="L50" s="8">
        <f t="shared" si="1"/>
        <v>3.3854166666666664E-2</v>
      </c>
      <c r="M50" s="8" t="str">
        <f t="shared" si="2"/>
        <v>Tip</v>
      </c>
      <c r="N50" s="3">
        <f t="shared" si="5"/>
        <v>0.42656249999999996</v>
      </c>
      <c r="O50" s="5">
        <f t="shared" si="6"/>
        <v>3.7748893805309731E-3</v>
      </c>
      <c r="P50" s="1">
        <f t="shared" si="4"/>
        <v>3.2562022900763355E-3</v>
      </c>
    </row>
    <row r="51" spans="1:16">
      <c r="A51" s="8" t="s">
        <v>124</v>
      </c>
      <c r="B51" s="17" t="s">
        <v>111</v>
      </c>
      <c r="C51" s="8" t="s">
        <v>112</v>
      </c>
      <c r="D51" s="9">
        <v>1013070</v>
      </c>
      <c r="E51" s="8">
        <f>96*10*5</f>
        <v>4800</v>
      </c>
      <c r="F51" s="8" t="s">
        <v>106</v>
      </c>
      <c r="G51" s="8">
        <v>34560</v>
      </c>
      <c r="H51" s="8">
        <f t="shared" si="7"/>
        <v>4800</v>
      </c>
      <c r="I51" s="8" t="s">
        <v>106</v>
      </c>
      <c r="J51" s="8">
        <v>6</v>
      </c>
      <c r="K51" s="8" t="s">
        <v>106</v>
      </c>
      <c r="L51" s="8">
        <f t="shared" si="1"/>
        <v>1.5625E-2</v>
      </c>
      <c r="M51" s="8" t="str">
        <f t="shared" si="2"/>
        <v>Tip</v>
      </c>
      <c r="N51" s="3">
        <f t="shared" si="5"/>
        <v>0.1125</v>
      </c>
      <c r="O51" s="5">
        <f t="shared" si="6"/>
        <v>9.9557522123893804E-4</v>
      </c>
      <c r="P51" s="1">
        <f t="shared" si="4"/>
        <v>8.5877862595419845E-4</v>
      </c>
    </row>
    <row r="52" spans="1:16">
      <c r="A52" s="8" t="s">
        <v>124</v>
      </c>
      <c r="B52" s="17" t="s">
        <v>113</v>
      </c>
      <c r="C52" s="8" t="s">
        <v>112</v>
      </c>
      <c r="D52" s="9">
        <v>1013090</v>
      </c>
      <c r="E52" s="8">
        <f>96*10*4</f>
        <v>3840</v>
      </c>
      <c r="F52" s="8" t="s">
        <v>106</v>
      </c>
      <c r="G52" s="8">
        <v>30240</v>
      </c>
      <c r="H52" s="8">
        <f t="shared" si="7"/>
        <v>3840</v>
      </c>
      <c r="I52" s="8" t="s">
        <v>106</v>
      </c>
      <c r="J52" s="8">
        <v>15</v>
      </c>
      <c r="K52" s="8" t="s">
        <v>106</v>
      </c>
      <c r="L52" s="8">
        <f t="shared" si="1"/>
        <v>3.90625E-2</v>
      </c>
      <c r="M52" s="8" t="str">
        <f t="shared" si="2"/>
        <v>Tip</v>
      </c>
      <c r="N52" s="3">
        <f t="shared" si="5"/>
        <v>0.3076171875</v>
      </c>
      <c r="O52" s="5">
        <f t="shared" si="6"/>
        <v>2.7222759955752214E-3</v>
      </c>
      <c r="P52" s="1">
        <f t="shared" si="4"/>
        <v>2.3482228053435116E-3</v>
      </c>
    </row>
    <row r="53" spans="1:16">
      <c r="A53" s="8" t="s">
        <v>146</v>
      </c>
      <c r="B53" s="17" t="s">
        <v>174</v>
      </c>
      <c r="C53" s="8" t="s">
        <v>176</v>
      </c>
      <c r="D53" s="9" t="s">
        <v>177</v>
      </c>
      <c r="E53" s="8">
        <v>960</v>
      </c>
      <c r="F53" s="8" t="s">
        <v>175</v>
      </c>
      <c r="G53" s="8">
        <v>13651</v>
      </c>
      <c r="H53" s="8">
        <f>E53</f>
        <v>960</v>
      </c>
      <c r="I53" s="8" t="s">
        <v>175</v>
      </c>
      <c r="J53" s="8">
        <v>2</v>
      </c>
      <c r="K53" s="8" t="s">
        <v>175</v>
      </c>
      <c r="L53" s="8">
        <f>J53/1536</f>
        <v>1.3020833333333333E-3</v>
      </c>
      <c r="M53" s="8" t="s">
        <v>175</v>
      </c>
      <c r="N53" s="3"/>
      <c r="O53" s="5">
        <f t="shared" si="6"/>
        <v>0</v>
      </c>
      <c r="P53" s="1">
        <f t="shared" si="4"/>
        <v>0</v>
      </c>
    </row>
    <row r="54" spans="1:16">
      <c r="A54" s="8" t="s">
        <v>124</v>
      </c>
      <c r="B54" s="17" t="s">
        <v>114</v>
      </c>
      <c r="C54" s="8" t="s">
        <v>71</v>
      </c>
      <c r="D54" s="9">
        <v>30108051</v>
      </c>
      <c r="E54" s="8">
        <f>5*50*3</f>
        <v>750</v>
      </c>
      <c r="F54" s="8" t="s">
        <v>116</v>
      </c>
      <c r="G54" s="8">
        <v>6480</v>
      </c>
      <c r="H54" s="8">
        <f t="shared" si="7"/>
        <v>750</v>
      </c>
      <c r="I54" s="8" t="s">
        <v>116</v>
      </c>
      <c r="J54" s="8">
        <v>4</v>
      </c>
      <c r="K54" s="8" t="s">
        <v>116</v>
      </c>
      <c r="L54" s="8">
        <f t="shared" si="1"/>
        <v>1.0416666666666666E-2</v>
      </c>
      <c r="M54" s="8" t="str">
        <f t="shared" si="2"/>
        <v>tube</v>
      </c>
      <c r="N54" s="3">
        <f t="shared" ref="N54:N61" si="8">G54/H54*L54</f>
        <v>0.09</v>
      </c>
      <c r="O54" s="5">
        <f t="shared" si="6"/>
        <v>7.9646017699115039E-4</v>
      </c>
      <c r="P54" s="1">
        <f t="shared" si="4"/>
        <v>6.8702290076335878E-4</v>
      </c>
    </row>
    <row r="55" spans="1:16">
      <c r="A55" s="8" t="s">
        <v>124</v>
      </c>
      <c r="B55" s="17" t="s">
        <v>191</v>
      </c>
      <c r="C55" s="8" t="s">
        <v>181</v>
      </c>
      <c r="D55" s="9" t="s">
        <v>182</v>
      </c>
      <c r="E55" s="8">
        <v>480</v>
      </c>
      <c r="F55" s="8" t="s">
        <v>47</v>
      </c>
      <c r="G55" s="8">
        <v>10220</v>
      </c>
      <c r="H55" s="8">
        <v>480</v>
      </c>
      <c r="I55" s="8" t="s">
        <v>47</v>
      </c>
      <c r="J55" s="8">
        <v>1</v>
      </c>
      <c r="K55" s="8" t="s">
        <v>47</v>
      </c>
      <c r="L55" s="8">
        <f>J55/1536</f>
        <v>6.5104166666666663E-4</v>
      </c>
      <c r="M55" s="8" t="str">
        <f t="shared" si="2"/>
        <v>tube</v>
      </c>
      <c r="N55" s="3">
        <f t="shared" si="8"/>
        <v>1.3861762152777778E-2</v>
      </c>
      <c r="O55" s="5">
        <f t="shared" si="6"/>
        <v>1.226704615290069E-4</v>
      </c>
      <c r="P55" s="1">
        <f t="shared" si="4"/>
        <v>1.0581497826547922E-4</v>
      </c>
    </row>
    <row r="56" spans="1:16">
      <c r="A56" s="8" t="s">
        <v>124</v>
      </c>
      <c r="B56" s="17" t="s">
        <v>115</v>
      </c>
      <c r="C56" s="8" t="s">
        <v>71</v>
      </c>
      <c r="D56" s="9">
        <v>30108310</v>
      </c>
      <c r="E56" s="8">
        <f>4*50*2</f>
        <v>400</v>
      </c>
      <c r="F56" s="8" t="s">
        <v>47</v>
      </c>
      <c r="G56" s="8">
        <v>11404</v>
      </c>
      <c r="H56" s="8">
        <f t="shared" si="7"/>
        <v>400</v>
      </c>
      <c r="I56" s="8" t="s">
        <v>47</v>
      </c>
      <c r="J56" s="8">
        <v>3</v>
      </c>
      <c r="K56" s="8" t="s">
        <v>47</v>
      </c>
      <c r="L56" s="8">
        <f t="shared" si="1"/>
        <v>7.8125E-3</v>
      </c>
      <c r="M56" s="8" t="str">
        <f t="shared" si="2"/>
        <v>tube</v>
      </c>
      <c r="N56" s="3">
        <f t="shared" si="8"/>
        <v>0.22273437500000001</v>
      </c>
      <c r="O56" s="5">
        <f t="shared" si="6"/>
        <v>1.9711006637168141E-3</v>
      </c>
      <c r="P56" s="1">
        <f t="shared" si="4"/>
        <v>1.7002624045801527E-3</v>
      </c>
    </row>
    <row r="57" spans="1:16">
      <c r="A57" s="8" t="s">
        <v>124</v>
      </c>
      <c r="B57" s="17" t="s">
        <v>117</v>
      </c>
      <c r="C57" s="8" t="s">
        <v>55</v>
      </c>
      <c r="D57" s="9" t="s">
        <v>118</v>
      </c>
      <c r="E57" s="8">
        <f>125*8*3</f>
        <v>3000</v>
      </c>
      <c r="F57" s="8" t="s">
        <v>119</v>
      </c>
      <c r="G57" s="8">
        <v>40095</v>
      </c>
      <c r="H57" s="8">
        <f>E57</f>
        <v>3000</v>
      </c>
      <c r="I57" s="8" t="s">
        <v>119</v>
      </c>
      <c r="J57" s="8">
        <v>13</v>
      </c>
      <c r="K57" s="8" t="s">
        <v>119</v>
      </c>
      <c r="L57" s="8">
        <f t="shared" si="1"/>
        <v>3.3854166666666664E-2</v>
      </c>
      <c r="M57" s="8" t="str">
        <f t="shared" si="2"/>
        <v>well</v>
      </c>
      <c r="N57" s="3">
        <f t="shared" si="8"/>
        <v>0.45246093749999999</v>
      </c>
      <c r="O57" s="5">
        <f t="shared" si="6"/>
        <v>4.0040790929203535E-3</v>
      </c>
      <c r="P57" s="1">
        <f t="shared" si="4"/>
        <v>3.4539002862595419E-3</v>
      </c>
    </row>
    <row r="58" spans="1:16" ht="16">
      <c r="A58" s="8" t="s">
        <v>124</v>
      </c>
      <c r="B58" s="17" t="s">
        <v>120</v>
      </c>
      <c r="C58" s="8" t="s">
        <v>55</v>
      </c>
      <c r="D58" s="9" t="s">
        <v>122</v>
      </c>
      <c r="E58" s="8">
        <f>125*8*3</f>
        <v>3000</v>
      </c>
      <c r="F58" s="8" t="s">
        <v>119</v>
      </c>
      <c r="G58" s="24">
        <v>10692</v>
      </c>
      <c r="H58" s="8">
        <f>E58</f>
        <v>3000</v>
      </c>
      <c r="I58" s="8" t="s">
        <v>119</v>
      </c>
      <c r="J58" s="8">
        <v>26</v>
      </c>
      <c r="K58" s="8" t="s">
        <v>119</v>
      </c>
      <c r="L58" s="8">
        <f t="shared" si="1"/>
        <v>6.7708333333333329E-2</v>
      </c>
      <c r="M58" s="8" t="str">
        <f t="shared" si="2"/>
        <v>well</v>
      </c>
      <c r="N58" s="3">
        <f t="shared" si="8"/>
        <v>0.24131249999999999</v>
      </c>
      <c r="O58" s="5">
        <f t="shared" si="6"/>
        <v>2.1355088495575219E-3</v>
      </c>
      <c r="P58" s="1">
        <f t="shared" si="4"/>
        <v>1.8420801526717555E-3</v>
      </c>
    </row>
    <row r="59" spans="1:16" ht="16">
      <c r="A59" s="8" t="s">
        <v>124</v>
      </c>
      <c r="B59" s="17" t="s">
        <v>121</v>
      </c>
      <c r="C59" s="8" t="s">
        <v>55</v>
      </c>
      <c r="D59" s="9" t="s">
        <v>123</v>
      </c>
      <c r="E59" s="8">
        <f>1000</f>
        <v>1000</v>
      </c>
      <c r="F59" s="8" t="s">
        <v>119</v>
      </c>
      <c r="G59" s="24">
        <v>7574</v>
      </c>
      <c r="H59" s="8">
        <f t="shared" ref="H59" si="9">E59</f>
        <v>1000</v>
      </c>
      <c r="I59" s="8" t="s">
        <v>119</v>
      </c>
      <c r="J59" s="8">
        <v>3</v>
      </c>
      <c r="K59" s="8" t="s">
        <v>119</v>
      </c>
      <c r="L59" s="8">
        <f t="shared" si="1"/>
        <v>7.8125E-3</v>
      </c>
      <c r="M59" s="8" t="str">
        <f t="shared" si="2"/>
        <v>well</v>
      </c>
      <c r="N59" s="3">
        <f t="shared" si="8"/>
        <v>5.9171874999999999E-2</v>
      </c>
      <c r="O59" s="5">
        <f t="shared" si="6"/>
        <v>5.2364491150442476E-4</v>
      </c>
      <c r="P59" s="1">
        <f t="shared" si="4"/>
        <v>4.5169370229007633E-4</v>
      </c>
    </row>
    <row r="60" spans="1:16">
      <c r="A60" s="8" t="s">
        <v>128</v>
      </c>
      <c r="B60" s="17" t="s">
        <v>126</v>
      </c>
      <c r="C60" s="8" t="s">
        <v>83</v>
      </c>
      <c r="D60" s="9" t="s">
        <v>127</v>
      </c>
      <c r="E60" s="8">
        <v>2000</v>
      </c>
      <c r="F60" s="8" t="s">
        <v>129</v>
      </c>
      <c r="G60" s="17">
        <v>118584</v>
      </c>
      <c r="H60" s="8">
        <f>E60</f>
        <v>2000</v>
      </c>
      <c r="I60" s="8" t="s">
        <v>129</v>
      </c>
      <c r="J60" s="8">
        <v>3</v>
      </c>
      <c r="K60" s="8" t="s">
        <v>129</v>
      </c>
      <c r="L60" s="8">
        <f t="shared" si="1"/>
        <v>7.8125E-3</v>
      </c>
      <c r="M60" s="8" t="str">
        <f t="shared" si="2"/>
        <v>sheel</v>
      </c>
      <c r="N60" s="3">
        <f t="shared" si="8"/>
        <v>0.46321875000000001</v>
      </c>
      <c r="O60" s="5">
        <f t="shared" si="6"/>
        <v>4.0992809734513276E-3</v>
      </c>
      <c r="P60" s="1">
        <f t="shared" si="4"/>
        <v>3.5360209923664121E-3</v>
      </c>
    </row>
    <row r="61" spans="1:16">
      <c r="A61" s="8" t="s">
        <v>149</v>
      </c>
      <c r="B61" s="17" t="s">
        <v>147</v>
      </c>
      <c r="C61" s="13" t="s">
        <v>95</v>
      </c>
      <c r="D61" s="9"/>
      <c r="E61" s="8">
        <v>100</v>
      </c>
      <c r="F61" s="8" t="s">
        <v>98</v>
      </c>
      <c r="G61" s="8">
        <v>29419</v>
      </c>
      <c r="H61" s="8">
        <v>310</v>
      </c>
      <c r="I61" s="8" t="s">
        <v>148</v>
      </c>
      <c r="J61" s="8">
        <f>6/4</f>
        <v>1.5</v>
      </c>
      <c r="K61" s="8" t="s">
        <v>192</v>
      </c>
      <c r="L61" s="8">
        <f t="shared" si="1"/>
        <v>3.90625E-3</v>
      </c>
      <c r="M61" s="8" t="str">
        <f t="shared" si="2"/>
        <v>uL (for 4 plates)</v>
      </c>
      <c r="N61" s="4">
        <f t="shared" si="8"/>
        <v>0.37070312500000002</v>
      </c>
      <c r="O61" s="5">
        <f t="shared" si="6"/>
        <v>3.2805586283185841E-3</v>
      </c>
      <c r="P61" s="1">
        <f t="shared" si="4"/>
        <v>2.8297948473282445E-3</v>
      </c>
    </row>
    <row r="63" spans="1:16">
      <c r="M63" s="26" t="s">
        <v>158</v>
      </c>
      <c r="N63" s="29">
        <f>SUM(N3:N61)-N33-N34-N46-N47</f>
        <v>119.37761012811428</v>
      </c>
      <c r="O63" s="1">
        <f>SUM(O3:O61)-O33-O34-O46-O47</f>
        <v>1.0564390276824271</v>
      </c>
      <c r="P63" s="1">
        <f>SUM(P3:P61)-P33-P34-P46-P47</f>
        <v>0.91127946662682657</v>
      </c>
    </row>
    <row r="64" spans="1:16">
      <c r="M64" s="26" t="s">
        <v>159</v>
      </c>
      <c r="N64" s="30">
        <f>N63+N33+N46</f>
        <v>122.292382855387</v>
      </c>
      <c r="O64" s="1">
        <f>O63+O33+O46</f>
        <v>1.0822334765963451</v>
      </c>
      <c r="P64" s="1">
        <f>P63+P33+P46</f>
        <v>0.93352964011745809</v>
      </c>
    </row>
    <row r="65" spans="13:16">
      <c r="M65" s="26" t="s">
        <v>160</v>
      </c>
      <c r="N65" s="31">
        <f>N63+N34+N47</f>
        <v>120.28906846144763</v>
      </c>
      <c r="O65" s="1">
        <f>O63+O34+O47</f>
        <v>1.0645050306322799</v>
      </c>
      <c r="P65" s="1">
        <f>P63+P34+P47</f>
        <v>0.91823716382784448</v>
      </c>
    </row>
  </sheetData>
  <autoFilter ref="A2:P2"/>
  <phoneticPr fontId="1"/>
  <conditionalFormatting sqref="N3:N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S65"/>
  <sheetViews>
    <sheetView workbookViewId="0"/>
  </sheetViews>
  <sheetFormatPr baseColWidth="12" defaultRowHeight="15" x14ac:dyDescent="0"/>
  <cols>
    <col min="1" max="1" width="27.33203125" style="1" customWidth="1"/>
    <col min="2" max="2" width="40.6640625" style="1" bestFit="1" customWidth="1"/>
    <col min="3" max="3" width="23.1640625" style="1" bestFit="1" customWidth="1"/>
    <col min="4" max="4" width="19.83203125" style="7" bestFit="1" customWidth="1"/>
    <col min="5" max="6" width="15" style="1" bestFit="1" customWidth="1"/>
    <col min="7" max="7" width="25.6640625" style="1" bestFit="1" customWidth="1"/>
    <col min="8" max="9" width="21.1640625" style="1" bestFit="1" customWidth="1"/>
    <col min="10" max="10" width="22.6640625" style="1" bestFit="1" customWidth="1"/>
    <col min="11" max="11" width="27.5" style="1" bestFit="1" customWidth="1"/>
    <col min="12" max="12" width="19.1640625" style="1" bestFit="1" customWidth="1"/>
    <col min="13" max="13" width="42.1640625" style="1" bestFit="1" customWidth="1"/>
    <col min="14" max="14" width="23" style="1" bestFit="1" customWidth="1"/>
    <col min="15" max="15" width="25" style="1" bestFit="1" customWidth="1"/>
    <col min="16" max="16" width="23.83203125" style="1" bestFit="1" customWidth="1"/>
    <col min="17" max="17" width="12.83203125" style="1"/>
    <col min="18" max="18" width="26.33203125" style="1" bestFit="1" customWidth="1"/>
    <col min="19" max="19" width="10.1640625" style="1" bestFit="1" customWidth="1"/>
    <col min="20" max="16384" width="12.83203125" style="1"/>
  </cols>
  <sheetData>
    <row r="1" spans="1:19" ht="32" customHeight="1">
      <c r="A1" s="11" t="s">
        <v>170</v>
      </c>
      <c r="S1" s="1" t="s">
        <v>173</v>
      </c>
    </row>
    <row r="2" spans="1:19">
      <c r="A2" s="26" t="s">
        <v>0</v>
      </c>
      <c r="B2" s="26" t="s">
        <v>1</v>
      </c>
      <c r="C2" s="26" t="s">
        <v>2</v>
      </c>
      <c r="D2" s="27" t="s">
        <v>161</v>
      </c>
      <c r="E2" s="26" t="s">
        <v>150</v>
      </c>
      <c r="F2" s="26" t="s">
        <v>151</v>
      </c>
      <c r="G2" s="26" t="s">
        <v>154</v>
      </c>
      <c r="H2" s="26" t="s">
        <v>152</v>
      </c>
      <c r="I2" s="26" t="s">
        <v>153</v>
      </c>
      <c r="J2" s="26" t="s">
        <v>185</v>
      </c>
      <c r="K2" s="26" t="s">
        <v>187</v>
      </c>
      <c r="L2" s="26" t="s">
        <v>188</v>
      </c>
      <c r="M2" s="26" t="s">
        <v>140</v>
      </c>
      <c r="N2" s="26" t="s">
        <v>157</v>
      </c>
      <c r="O2" s="26" t="s">
        <v>156</v>
      </c>
      <c r="P2" s="26" t="s">
        <v>155</v>
      </c>
      <c r="R2" s="28" t="s">
        <v>195</v>
      </c>
      <c r="S2" s="28">
        <v>113</v>
      </c>
    </row>
    <row r="3" spans="1:19">
      <c r="A3" s="13" t="s">
        <v>79</v>
      </c>
      <c r="B3" s="16" t="s">
        <v>69</v>
      </c>
      <c r="C3" s="8" t="s">
        <v>71</v>
      </c>
      <c r="D3" s="9" t="s">
        <v>70</v>
      </c>
      <c r="E3" s="8">
        <v>25</v>
      </c>
      <c r="F3" s="8" t="s">
        <v>68</v>
      </c>
      <c r="G3" s="8">
        <v>23225</v>
      </c>
      <c r="H3" s="8">
        <v>25</v>
      </c>
      <c r="I3" s="8" t="s">
        <v>68</v>
      </c>
      <c r="J3" s="8">
        <v>4</v>
      </c>
      <c r="K3" s="8" t="s">
        <v>68</v>
      </c>
      <c r="L3" s="8">
        <f>J3/1536</f>
        <v>2.6041666666666665E-3</v>
      </c>
      <c r="M3" s="8" t="str">
        <f>K3</f>
        <v>plate</v>
      </c>
      <c r="N3" s="2">
        <f t="shared" ref="N3:N22" si="0">G3/H3*L3</f>
        <v>2.419270833333333</v>
      </c>
      <c r="O3" s="1">
        <f>N3/$S$2</f>
        <v>2.1409476401179937E-2</v>
      </c>
      <c r="P3" s="1">
        <f>N3/$S$3</f>
        <v>1.8467716284987275E-2</v>
      </c>
      <c r="R3" s="28" t="s">
        <v>197</v>
      </c>
      <c r="S3" s="28">
        <v>131</v>
      </c>
    </row>
    <row r="4" spans="1:19" ht="30">
      <c r="A4" s="13" t="s">
        <v>79</v>
      </c>
      <c r="B4" s="16" t="s">
        <v>82</v>
      </c>
      <c r="C4" s="8" t="s">
        <v>83</v>
      </c>
      <c r="D4" s="9" t="s">
        <v>84</v>
      </c>
      <c r="E4" s="8">
        <v>50</v>
      </c>
      <c r="F4" s="8" t="s">
        <v>85</v>
      </c>
      <c r="G4" s="8">
        <v>493506</v>
      </c>
      <c r="H4" s="8">
        <v>50</v>
      </c>
      <c r="I4" s="8" t="s">
        <v>85</v>
      </c>
      <c r="J4" s="8">
        <f>1/30*4</f>
        <v>0.13333333333333333</v>
      </c>
      <c r="K4" s="8" t="s">
        <v>189</v>
      </c>
      <c r="L4" s="8">
        <f>J4/1536</f>
        <v>8.6805555555555559E-5</v>
      </c>
      <c r="M4" s="8" t="str">
        <f t="shared" ref="M4:M61" si="1">K4</f>
        <v>rack (for 30 plates x 4sets)</v>
      </c>
      <c r="N4" s="3">
        <f t="shared" si="0"/>
        <v>0.85678125000000005</v>
      </c>
      <c r="O4" s="1">
        <f t="shared" ref="O4:O22" si="2">N4/$S$2</f>
        <v>7.5821349557522125E-3</v>
      </c>
      <c r="P4" s="1">
        <f t="shared" ref="P4:P61" si="3">N4/$S$3</f>
        <v>6.5403148854961835E-3</v>
      </c>
    </row>
    <row r="5" spans="1:19">
      <c r="A5" s="8" t="s">
        <v>18</v>
      </c>
      <c r="B5" s="17" t="s">
        <v>30</v>
      </c>
      <c r="C5" s="8" t="s">
        <v>125</v>
      </c>
      <c r="D5" s="9"/>
      <c r="E5" s="8">
        <v>100</v>
      </c>
      <c r="F5" s="8" t="s">
        <v>8</v>
      </c>
      <c r="G5" s="8">
        <f>74*13</f>
        <v>962</v>
      </c>
      <c r="H5" s="8">
        <v>100</v>
      </c>
      <c r="I5" s="8" t="s">
        <v>131</v>
      </c>
      <c r="J5" s="8">
        <f>384*0.000625*4</f>
        <v>0.96</v>
      </c>
      <c r="K5" s="8" t="s">
        <v>131</v>
      </c>
      <c r="L5" s="8">
        <f t="shared" ref="L5:L61" si="4">J5/1536</f>
        <v>6.2500000000000001E-4</v>
      </c>
      <c r="M5" s="8" t="str">
        <f t="shared" si="1"/>
        <v>uL</v>
      </c>
      <c r="N5" s="3">
        <f t="shared" si="0"/>
        <v>6.0124999999999996E-3</v>
      </c>
      <c r="O5" s="1">
        <f t="shared" si="2"/>
        <v>5.3207964601769906E-5</v>
      </c>
      <c r="P5" s="1">
        <f t="shared" si="3"/>
        <v>4.589694656488549E-5</v>
      </c>
    </row>
    <row r="6" spans="1:19">
      <c r="A6" s="8" t="s">
        <v>5</v>
      </c>
      <c r="B6" s="17" t="s">
        <v>37</v>
      </c>
      <c r="C6" s="8" t="s">
        <v>17</v>
      </c>
      <c r="D6" s="9">
        <v>28324</v>
      </c>
      <c r="E6" s="8">
        <v>10</v>
      </c>
      <c r="F6" s="8" t="s">
        <v>6</v>
      </c>
      <c r="G6" s="8">
        <v>16050</v>
      </c>
      <c r="H6" s="8">
        <f>6*10*1000</f>
        <v>60000</v>
      </c>
      <c r="I6" s="8" t="s">
        <v>132</v>
      </c>
      <c r="J6" s="8">
        <f>0.03*384*4</f>
        <v>46.08</v>
      </c>
      <c r="K6" s="8" t="s">
        <v>132</v>
      </c>
      <c r="L6" s="8">
        <f t="shared" si="4"/>
        <v>0.03</v>
      </c>
      <c r="M6" s="8" t="str">
        <f t="shared" si="1"/>
        <v>uL</v>
      </c>
      <c r="N6" s="3">
        <f t="shared" si="0"/>
        <v>8.0250000000000009E-3</v>
      </c>
      <c r="O6" s="1">
        <f t="shared" si="2"/>
        <v>7.1017699115044259E-5</v>
      </c>
      <c r="P6" s="1">
        <f t="shared" si="3"/>
        <v>6.1259541984732828E-5</v>
      </c>
    </row>
    <row r="7" spans="1:19">
      <c r="A7" s="8" t="s">
        <v>5</v>
      </c>
      <c r="B7" s="17" t="s">
        <v>4</v>
      </c>
      <c r="C7" s="8" t="s">
        <v>17</v>
      </c>
      <c r="D7" s="9">
        <v>18427088</v>
      </c>
      <c r="E7" s="8">
        <v>10</v>
      </c>
      <c r="F7" s="8" t="s">
        <v>3</v>
      </c>
      <c r="G7" s="8">
        <v>83721</v>
      </c>
      <c r="H7" s="8">
        <v>1000</v>
      </c>
      <c r="I7" s="8" t="s">
        <v>133</v>
      </c>
      <c r="J7" s="8">
        <f>0.04/3.3*384*4</f>
        <v>18.618181818181821</v>
      </c>
      <c r="K7" s="8" t="s">
        <v>133</v>
      </c>
      <c r="L7" s="8">
        <f t="shared" si="4"/>
        <v>1.2121212121212123E-2</v>
      </c>
      <c r="M7" s="8" t="str">
        <f t="shared" si="1"/>
        <v>uL</v>
      </c>
      <c r="N7" s="3">
        <f t="shared" si="0"/>
        <v>1.0148000000000001</v>
      </c>
      <c r="O7" s="1">
        <f t="shared" si="2"/>
        <v>8.9805309734513287E-3</v>
      </c>
      <c r="P7" s="1">
        <f t="shared" si="3"/>
        <v>7.7465648854961842E-3</v>
      </c>
    </row>
    <row r="8" spans="1:19">
      <c r="A8" s="8" t="s">
        <v>5</v>
      </c>
      <c r="B8" s="17" t="s">
        <v>10</v>
      </c>
      <c r="C8" s="8" t="s">
        <v>78</v>
      </c>
      <c r="D8" s="9" t="s">
        <v>93</v>
      </c>
      <c r="E8" s="8">
        <v>40</v>
      </c>
      <c r="F8" s="8" t="s">
        <v>7</v>
      </c>
      <c r="G8" s="8">
        <v>41040</v>
      </c>
      <c r="H8" s="8">
        <v>250</v>
      </c>
      <c r="I8" s="8" t="s">
        <v>134</v>
      </c>
      <c r="J8" s="8">
        <f>0.025*384*4</f>
        <v>38.400000000000006</v>
      </c>
      <c r="K8" s="8" t="s">
        <v>134</v>
      </c>
      <c r="L8" s="8">
        <f t="shared" si="4"/>
        <v>2.5000000000000005E-2</v>
      </c>
      <c r="M8" s="8" t="str">
        <f t="shared" si="1"/>
        <v>uL</v>
      </c>
      <c r="N8" s="3">
        <f t="shared" si="0"/>
        <v>4.104000000000001</v>
      </c>
      <c r="O8" s="1">
        <f t="shared" si="2"/>
        <v>3.6318584070796467E-2</v>
      </c>
      <c r="P8" s="1">
        <f t="shared" si="3"/>
        <v>3.1328244274809167E-2</v>
      </c>
    </row>
    <row r="9" spans="1:19">
      <c r="A9" s="8" t="s">
        <v>5</v>
      </c>
      <c r="B9" s="17" t="s">
        <v>11</v>
      </c>
      <c r="C9" s="8" t="s">
        <v>55</v>
      </c>
      <c r="D9" s="9">
        <v>9012</v>
      </c>
      <c r="E9" s="8">
        <f>10*1000</f>
        <v>10000</v>
      </c>
      <c r="F9" s="8" t="s">
        <v>52</v>
      </c>
      <c r="G9" s="8">
        <v>3672</v>
      </c>
      <c r="H9" s="8">
        <f>10*1000</f>
        <v>10000</v>
      </c>
      <c r="I9" s="8" t="s">
        <v>52</v>
      </c>
      <c r="J9" s="8">
        <f>(0.5*384*4)-SUM(J5:J8)</f>
        <v>663.94181818181823</v>
      </c>
      <c r="K9" s="8" t="s">
        <v>52</v>
      </c>
      <c r="L9" s="8">
        <f t="shared" si="4"/>
        <v>0.43225378787878793</v>
      </c>
      <c r="M9" s="8" t="str">
        <f t="shared" si="1"/>
        <v>uL</v>
      </c>
      <c r="N9" s="3">
        <f t="shared" si="0"/>
        <v>0.15872359090909094</v>
      </c>
      <c r="O9" s="1">
        <f>N9/$S$2</f>
        <v>1.4046335478680614E-3</v>
      </c>
      <c r="P9" s="1">
        <f t="shared" si="3"/>
        <v>1.2116304649548927E-3</v>
      </c>
    </row>
    <row r="10" spans="1:19">
      <c r="A10" s="8" t="s">
        <v>14</v>
      </c>
      <c r="B10" s="17" t="s">
        <v>88</v>
      </c>
      <c r="C10" s="8" t="s">
        <v>90</v>
      </c>
      <c r="D10" s="9" t="s">
        <v>89</v>
      </c>
      <c r="E10" s="8">
        <v>10</v>
      </c>
      <c r="F10" s="8" t="s">
        <v>15</v>
      </c>
      <c r="G10" s="8">
        <v>3110</v>
      </c>
      <c r="H10" s="8">
        <f>6*1000</f>
        <v>6000</v>
      </c>
      <c r="I10" s="8" t="s">
        <v>135</v>
      </c>
      <c r="J10" s="8">
        <f>0.2*384*4</f>
        <v>307.20000000000005</v>
      </c>
      <c r="K10" s="8" t="s">
        <v>135</v>
      </c>
      <c r="L10" s="8">
        <f t="shared" si="4"/>
        <v>0.20000000000000004</v>
      </c>
      <c r="M10" s="8" t="str">
        <f t="shared" si="1"/>
        <v>uL</v>
      </c>
      <c r="N10" s="3">
        <f t="shared" si="0"/>
        <v>0.10366666666666668</v>
      </c>
      <c r="O10" s="1">
        <f t="shared" si="2"/>
        <v>9.1740412979351049E-4</v>
      </c>
      <c r="P10" s="1">
        <f t="shared" si="3"/>
        <v>7.9134860050890604E-4</v>
      </c>
    </row>
    <row r="11" spans="1:19" s="6" customFormat="1">
      <c r="A11" s="14" t="s">
        <v>14</v>
      </c>
      <c r="B11" s="18" t="s">
        <v>13</v>
      </c>
      <c r="C11" s="14" t="s">
        <v>17</v>
      </c>
      <c r="D11" s="19">
        <v>18080085</v>
      </c>
      <c r="E11" s="14">
        <v>200</v>
      </c>
      <c r="F11" s="14" t="s">
        <v>16</v>
      </c>
      <c r="G11" s="14">
        <v>139200</v>
      </c>
      <c r="H11" s="14">
        <v>200</v>
      </c>
      <c r="I11" s="14" t="s">
        <v>139</v>
      </c>
      <c r="J11" s="14">
        <f>0.025*384*4</f>
        <v>38.400000000000006</v>
      </c>
      <c r="K11" s="14" t="s">
        <v>139</v>
      </c>
      <c r="L11" s="25">
        <f t="shared" si="4"/>
        <v>2.5000000000000005E-2</v>
      </c>
      <c r="M11" s="14" t="str">
        <f t="shared" si="1"/>
        <v>uL</v>
      </c>
      <c r="N11" s="6">
        <f t="shared" si="0"/>
        <v>17.400000000000002</v>
      </c>
      <c r="O11" s="6">
        <f t="shared" si="2"/>
        <v>0.15398230088495576</v>
      </c>
      <c r="P11" s="6">
        <f t="shared" si="3"/>
        <v>0.13282442748091605</v>
      </c>
    </row>
    <row r="12" spans="1:19" s="6" customFormat="1">
      <c r="A12" s="14" t="s">
        <v>14</v>
      </c>
      <c r="B12" s="18" t="s">
        <v>9</v>
      </c>
      <c r="C12" s="14" t="s">
        <v>78</v>
      </c>
      <c r="D12" s="19" t="s">
        <v>93</v>
      </c>
      <c r="E12" s="14">
        <v>40</v>
      </c>
      <c r="F12" s="14" t="s">
        <v>16</v>
      </c>
      <c r="G12" s="14">
        <v>41040</v>
      </c>
      <c r="H12" s="14">
        <v>250</v>
      </c>
      <c r="I12" s="14" t="s">
        <v>134</v>
      </c>
      <c r="J12" s="14">
        <f>0.01375*384*4</f>
        <v>21.12</v>
      </c>
      <c r="K12" s="14" t="s">
        <v>134</v>
      </c>
      <c r="L12" s="25">
        <f t="shared" si="4"/>
        <v>1.375E-2</v>
      </c>
      <c r="M12" s="14" t="str">
        <f t="shared" si="1"/>
        <v>uL</v>
      </c>
      <c r="N12" s="6">
        <f t="shared" si="0"/>
        <v>2.2572000000000001</v>
      </c>
      <c r="O12" s="6">
        <f>N12/$S$2</f>
        <v>1.9975221238938055E-2</v>
      </c>
      <c r="P12" s="6">
        <f t="shared" si="3"/>
        <v>1.7230534351145039E-2</v>
      </c>
    </row>
    <row r="13" spans="1:19">
      <c r="A13" s="8" t="s">
        <v>14</v>
      </c>
      <c r="B13" s="17" t="s">
        <v>11</v>
      </c>
      <c r="C13" s="8" t="s">
        <v>55</v>
      </c>
      <c r="D13" s="9">
        <v>9012</v>
      </c>
      <c r="E13" s="8">
        <f>10*1000</f>
        <v>10000</v>
      </c>
      <c r="F13" s="8" t="s">
        <v>52</v>
      </c>
      <c r="G13" s="8">
        <v>3672</v>
      </c>
      <c r="H13" s="8">
        <f>10*1000</f>
        <v>10000</v>
      </c>
      <c r="I13" s="8" t="s">
        <v>52</v>
      </c>
      <c r="J13" s="8">
        <f>(4*384)-SUM(J10:J12)</f>
        <v>1169.28</v>
      </c>
      <c r="K13" s="8" t="s">
        <v>52</v>
      </c>
      <c r="L13" s="8">
        <f t="shared" si="4"/>
        <v>0.76124999999999998</v>
      </c>
      <c r="M13" s="8" t="str">
        <f t="shared" si="1"/>
        <v>uL</v>
      </c>
      <c r="N13" s="3">
        <f t="shared" si="0"/>
        <v>0.27953100000000003</v>
      </c>
      <c r="O13" s="1">
        <f t="shared" si="2"/>
        <v>2.4737256637168146E-3</v>
      </c>
      <c r="P13" s="1">
        <f t="shared" si="3"/>
        <v>2.1338244274809164E-3</v>
      </c>
    </row>
    <row r="14" spans="1:19">
      <c r="A14" s="8" t="s">
        <v>49</v>
      </c>
      <c r="B14" s="17" t="s">
        <v>64</v>
      </c>
      <c r="C14" s="8" t="s">
        <v>66</v>
      </c>
      <c r="D14" s="9" t="s">
        <v>65</v>
      </c>
      <c r="E14" s="8">
        <v>40</v>
      </c>
      <c r="F14" s="8" t="s">
        <v>67</v>
      </c>
      <c r="G14" s="8">
        <v>32319</v>
      </c>
      <c r="H14" s="8">
        <v>40</v>
      </c>
      <c r="I14" s="8" t="s">
        <v>67</v>
      </c>
      <c r="J14" s="8">
        <f>1*2</f>
        <v>2</v>
      </c>
      <c r="K14" s="8" t="s">
        <v>67</v>
      </c>
      <c r="L14" s="8">
        <f t="shared" si="4"/>
        <v>1.3020833333333333E-3</v>
      </c>
      <c r="M14" s="8" t="str">
        <f t="shared" si="1"/>
        <v>reservoir</v>
      </c>
      <c r="N14" s="3">
        <f t="shared" si="0"/>
        <v>1.05205078125</v>
      </c>
      <c r="O14" s="1">
        <f>N14/$S$2</f>
        <v>9.3101839048672554E-3</v>
      </c>
      <c r="P14" s="1">
        <f t="shared" si="3"/>
        <v>8.0309219942748082E-3</v>
      </c>
    </row>
    <row r="15" spans="1:19">
      <c r="A15" s="8" t="s">
        <v>49</v>
      </c>
      <c r="B15" s="17" t="s">
        <v>61</v>
      </c>
      <c r="C15" s="8" t="s">
        <v>60</v>
      </c>
      <c r="D15" s="9" t="s">
        <v>62</v>
      </c>
      <c r="E15" s="8">
        <f>250*0.3048</f>
        <v>76.2</v>
      </c>
      <c r="F15" s="8" t="s">
        <v>63</v>
      </c>
      <c r="G15" s="8">
        <v>3600</v>
      </c>
      <c r="H15" s="8">
        <f>250*0.3048</f>
        <v>76.2</v>
      </c>
      <c r="I15" s="8" t="s">
        <v>136</v>
      </c>
      <c r="J15" s="8">
        <f>0.43*2</f>
        <v>0.86</v>
      </c>
      <c r="K15" s="8" t="s">
        <v>136</v>
      </c>
      <c r="L15" s="8">
        <f t="shared" si="4"/>
        <v>5.5989583333333336E-4</v>
      </c>
      <c r="M15" s="8" t="str">
        <f t="shared" si="1"/>
        <v>meter</v>
      </c>
      <c r="N15" s="3">
        <f t="shared" si="0"/>
        <v>2.6451771653543309E-2</v>
      </c>
      <c r="O15" s="1">
        <f t="shared" si="2"/>
        <v>2.3408647481011779E-4</v>
      </c>
      <c r="P15" s="1">
        <f t="shared" si="3"/>
        <v>2.0192192101941458E-4</v>
      </c>
    </row>
    <row r="16" spans="1:19">
      <c r="A16" s="15" t="s">
        <v>19</v>
      </c>
      <c r="B16" s="20" t="s">
        <v>20</v>
      </c>
      <c r="C16" s="15" t="s">
        <v>21</v>
      </c>
      <c r="D16" s="21" t="s">
        <v>22</v>
      </c>
      <c r="E16" s="15">
        <v>200</v>
      </c>
      <c r="F16" s="15" t="s">
        <v>23</v>
      </c>
      <c r="G16" s="15">
        <v>46820</v>
      </c>
      <c r="H16" s="15">
        <v>200</v>
      </c>
      <c r="I16" s="15" t="s">
        <v>23</v>
      </c>
      <c r="J16" s="15">
        <f>3/3*8</f>
        <v>8</v>
      </c>
      <c r="K16" s="15" t="s">
        <v>23</v>
      </c>
      <c r="L16" s="15">
        <f t="shared" si="4"/>
        <v>5.208333333333333E-3</v>
      </c>
      <c r="M16" s="15" t="str">
        <f t="shared" si="1"/>
        <v>column/time</v>
      </c>
      <c r="N16" s="3">
        <f t="shared" si="0"/>
        <v>1.2192708333333333</v>
      </c>
      <c r="O16" s="1">
        <f t="shared" si="2"/>
        <v>1.0790007374631268E-2</v>
      </c>
      <c r="P16" s="1">
        <f t="shared" si="3"/>
        <v>9.3074109414758265E-3</v>
      </c>
    </row>
    <row r="17" spans="1:16">
      <c r="A17" s="15" t="s">
        <v>19</v>
      </c>
      <c r="B17" s="20" t="s">
        <v>11</v>
      </c>
      <c r="C17" s="15" t="s">
        <v>55</v>
      </c>
      <c r="D17" s="21">
        <v>9012</v>
      </c>
      <c r="E17" s="15">
        <f>10*1000</f>
        <v>10000</v>
      </c>
      <c r="F17" s="15" t="s">
        <v>52</v>
      </c>
      <c r="G17" s="15">
        <v>3672</v>
      </c>
      <c r="H17" s="15">
        <f>10*1000</f>
        <v>10000</v>
      </c>
      <c r="I17" s="15" t="s">
        <v>52</v>
      </c>
      <c r="J17" s="15">
        <f>63/3*8</f>
        <v>168</v>
      </c>
      <c r="K17" s="15" t="s">
        <v>52</v>
      </c>
      <c r="L17" s="15">
        <f t="shared" si="4"/>
        <v>0.109375</v>
      </c>
      <c r="M17" s="15" t="str">
        <f t="shared" si="1"/>
        <v>uL</v>
      </c>
      <c r="N17" s="3">
        <f t="shared" si="0"/>
        <v>4.0162500000000004E-2</v>
      </c>
      <c r="O17" s="1">
        <f t="shared" si="2"/>
        <v>3.5542035398230089E-4</v>
      </c>
      <c r="P17" s="1">
        <f t="shared" si="3"/>
        <v>3.065839694656489E-4</v>
      </c>
    </row>
    <row r="18" spans="1:16">
      <c r="A18" s="15" t="s">
        <v>24</v>
      </c>
      <c r="B18" s="20" t="s">
        <v>12</v>
      </c>
      <c r="C18" s="15" t="s">
        <v>90</v>
      </c>
      <c r="D18" s="21" t="s">
        <v>89</v>
      </c>
      <c r="E18" s="15">
        <v>10</v>
      </c>
      <c r="F18" s="15" t="s">
        <v>26</v>
      </c>
      <c r="G18" s="15">
        <v>3110</v>
      </c>
      <c r="H18" s="15">
        <f>6*1000</f>
        <v>6000</v>
      </c>
      <c r="I18" s="15" t="s">
        <v>135</v>
      </c>
      <c r="J18" s="15">
        <f>7.5/3*8</f>
        <v>20</v>
      </c>
      <c r="K18" s="15" t="s">
        <v>135</v>
      </c>
      <c r="L18" s="15">
        <f t="shared" si="4"/>
        <v>1.3020833333333334E-2</v>
      </c>
      <c r="M18" s="15" t="str">
        <f t="shared" si="1"/>
        <v>uL</v>
      </c>
      <c r="N18" s="3">
        <f t="shared" si="0"/>
        <v>6.7491319444444448E-3</v>
      </c>
      <c r="O18" s="1">
        <f t="shared" si="2"/>
        <v>5.9726831366764999E-5</v>
      </c>
      <c r="P18" s="1">
        <f t="shared" si="3"/>
        <v>5.1520091178965224E-5</v>
      </c>
    </row>
    <row r="19" spans="1:16">
      <c r="A19" s="15" t="s">
        <v>24</v>
      </c>
      <c r="B19" s="20" t="s">
        <v>25</v>
      </c>
      <c r="C19" s="15" t="s">
        <v>17</v>
      </c>
      <c r="D19" s="21">
        <v>10216018</v>
      </c>
      <c r="E19" s="15">
        <v>100</v>
      </c>
      <c r="F19" s="15" t="s">
        <v>3</v>
      </c>
      <c r="G19" s="15">
        <v>8920</v>
      </c>
      <c r="H19" s="15">
        <v>250</v>
      </c>
      <c r="I19" s="15" t="s">
        <v>133</v>
      </c>
      <c r="J19" s="15">
        <f>(1.8)/3*8</f>
        <v>4.8</v>
      </c>
      <c r="K19" s="15" t="s">
        <v>133</v>
      </c>
      <c r="L19" s="15">
        <f t="shared" si="4"/>
        <v>3.1249999999999997E-3</v>
      </c>
      <c r="M19" s="15" t="str">
        <f t="shared" si="1"/>
        <v>uL</v>
      </c>
      <c r="N19" s="3">
        <f t="shared" si="0"/>
        <v>0.11149999999999999</v>
      </c>
      <c r="O19" s="1">
        <f t="shared" si="2"/>
        <v>9.8672566371681408E-4</v>
      </c>
      <c r="P19" s="1">
        <f t="shared" si="3"/>
        <v>8.5114503816793884E-4</v>
      </c>
    </row>
    <row r="20" spans="1:16">
      <c r="A20" s="15" t="s">
        <v>24</v>
      </c>
      <c r="B20" s="20" t="s">
        <v>162</v>
      </c>
      <c r="C20" s="15" t="s">
        <v>28</v>
      </c>
      <c r="D20" s="21" t="s">
        <v>163</v>
      </c>
      <c r="E20" s="15">
        <v>2</v>
      </c>
      <c r="F20" s="15" t="s">
        <v>27</v>
      </c>
      <c r="G20" s="15">
        <v>33320</v>
      </c>
      <c r="H20" s="15">
        <v>60</v>
      </c>
      <c r="I20" s="15" t="s">
        <v>134</v>
      </c>
      <c r="J20" s="15">
        <f>(1.44)/3*8</f>
        <v>3.84</v>
      </c>
      <c r="K20" s="15" t="s">
        <v>134</v>
      </c>
      <c r="L20" s="15">
        <f t="shared" si="4"/>
        <v>2.5000000000000001E-3</v>
      </c>
      <c r="M20" s="15" t="str">
        <f t="shared" si="1"/>
        <v>uL</v>
      </c>
      <c r="N20" s="3">
        <f t="shared" si="0"/>
        <v>1.3883333333333334</v>
      </c>
      <c r="O20" s="1">
        <f t="shared" si="2"/>
        <v>1.2286135693215339E-2</v>
      </c>
      <c r="P20" s="1">
        <f t="shared" si="3"/>
        <v>1.0597964376590331E-2</v>
      </c>
    </row>
    <row r="21" spans="1:16">
      <c r="A21" s="15" t="s">
        <v>24</v>
      </c>
      <c r="B21" s="20" t="s">
        <v>86</v>
      </c>
      <c r="C21" s="15" t="s">
        <v>87</v>
      </c>
      <c r="D21" s="21">
        <v>3333574001</v>
      </c>
      <c r="E21" s="15">
        <v>400</v>
      </c>
      <c r="F21" s="15" t="s">
        <v>7</v>
      </c>
      <c r="G21" s="15">
        <v>28300</v>
      </c>
      <c r="H21" s="15">
        <v>60</v>
      </c>
      <c r="I21" s="15" t="s">
        <v>134</v>
      </c>
      <c r="J21" s="15">
        <f>(5.04)/3*8</f>
        <v>13.44</v>
      </c>
      <c r="K21" s="15" t="s">
        <v>134</v>
      </c>
      <c r="L21" s="15">
        <f t="shared" si="4"/>
        <v>8.7499999999999991E-3</v>
      </c>
      <c r="M21" s="15" t="str">
        <f t="shared" si="1"/>
        <v>uL</v>
      </c>
      <c r="N21" s="3">
        <f t="shared" si="0"/>
        <v>4.1270833333333332</v>
      </c>
      <c r="O21" s="1">
        <f t="shared" si="2"/>
        <v>3.6522861356932154E-2</v>
      </c>
      <c r="P21" s="1">
        <f t="shared" si="3"/>
        <v>3.1504452926208654E-2</v>
      </c>
    </row>
    <row r="22" spans="1:16">
      <c r="A22" s="15" t="s">
        <v>24</v>
      </c>
      <c r="B22" s="20" t="s">
        <v>11</v>
      </c>
      <c r="C22" s="15" t="s">
        <v>55</v>
      </c>
      <c r="D22" s="21">
        <v>9012</v>
      </c>
      <c r="E22" s="15">
        <f>10*1000</f>
        <v>10000</v>
      </c>
      <c r="F22" s="15" t="s">
        <v>52</v>
      </c>
      <c r="G22" s="15">
        <v>3672</v>
      </c>
      <c r="H22" s="15">
        <f>10*1000</f>
        <v>10000</v>
      </c>
      <c r="I22" s="15" t="s">
        <v>52</v>
      </c>
      <c r="J22" s="15">
        <f>(59.22)/3*8</f>
        <v>157.91999999999999</v>
      </c>
      <c r="K22" s="15" t="s">
        <v>52</v>
      </c>
      <c r="L22" s="15">
        <f t="shared" si="4"/>
        <v>0.10281249999999999</v>
      </c>
      <c r="M22" s="15" t="str">
        <f t="shared" si="1"/>
        <v>uL</v>
      </c>
      <c r="N22" s="3">
        <f t="shared" si="0"/>
        <v>3.7752749999999995E-2</v>
      </c>
      <c r="O22" s="1">
        <f t="shared" si="2"/>
        <v>3.3409513274336276E-4</v>
      </c>
      <c r="P22" s="1">
        <f t="shared" si="3"/>
        <v>2.8818893129770989E-4</v>
      </c>
    </row>
    <row r="23" spans="1:16" ht="60">
      <c r="A23" s="15" t="s">
        <v>29</v>
      </c>
      <c r="B23" s="20" t="s">
        <v>56</v>
      </c>
      <c r="C23" s="15" t="s">
        <v>55</v>
      </c>
      <c r="D23" s="21" t="s">
        <v>58</v>
      </c>
      <c r="E23" s="15">
        <v>2</v>
      </c>
      <c r="F23" s="15" t="s">
        <v>15</v>
      </c>
      <c r="G23" s="15"/>
      <c r="H23" s="15"/>
      <c r="I23" s="15" t="s">
        <v>135</v>
      </c>
      <c r="J23" s="15">
        <f>300.48/3*8</f>
        <v>801.28000000000009</v>
      </c>
      <c r="K23" s="15" t="s">
        <v>135</v>
      </c>
      <c r="L23" s="15">
        <f t="shared" si="4"/>
        <v>0.52166666666666672</v>
      </c>
      <c r="M23" s="15" t="str">
        <f t="shared" si="1"/>
        <v>uL</v>
      </c>
      <c r="N23" s="3"/>
    </row>
    <row r="24" spans="1:16" ht="60">
      <c r="A24" s="15" t="s">
        <v>29</v>
      </c>
      <c r="B24" s="20" t="s">
        <v>59</v>
      </c>
      <c r="C24" s="15" t="s">
        <v>55</v>
      </c>
      <c r="D24" s="21" t="s">
        <v>58</v>
      </c>
      <c r="E24" s="15">
        <v>1.25</v>
      </c>
      <c r="F24" s="15" t="s">
        <v>57</v>
      </c>
      <c r="G24" s="15">
        <v>92718</v>
      </c>
      <c r="H24" s="15">
        <v>1000</v>
      </c>
      <c r="I24" s="15" t="s">
        <v>137</v>
      </c>
      <c r="J24" s="15">
        <f>24/3*8</f>
        <v>64</v>
      </c>
      <c r="K24" s="15" t="s">
        <v>137</v>
      </c>
      <c r="L24" s="15">
        <f t="shared" si="4"/>
        <v>4.1666666666666664E-2</v>
      </c>
      <c r="M24" s="15" t="str">
        <f t="shared" si="1"/>
        <v>uL</v>
      </c>
      <c r="N24" s="3">
        <f>G24/H24*L24</f>
        <v>3.8632499999999999</v>
      </c>
      <c r="O24" s="1">
        <f>N24/$S$2</f>
        <v>3.4188053097345128E-2</v>
      </c>
      <c r="P24" s="1">
        <f t="shared" si="3"/>
        <v>2.9490458015267174E-2</v>
      </c>
    </row>
    <row r="25" spans="1:16">
      <c r="A25" s="15" t="s">
        <v>29</v>
      </c>
      <c r="B25" s="20" t="s">
        <v>32</v>
      </c>
      <c r="C25" s="15" t="s">
        <v>94</v>
      </c>
      <c r="D25" s="21"/>
      <c r="E25" s="15">
        <v>10</v>
      </c>
      <c r="F25" s="15" t="s">
        <v>31</v>
      </c>
      <c r="G25" s="15">
        <f>25747</f>
        <v>25747</v>
      </c>
      <c r="H25" s="15">
        <v>4750</v>
      </c>
      <c r="I25" s="15" t="s">
        <v>131</v>
      </c>
      <c r="J25" s="15">
        <f>(3.84)/3*8</f>
        <v>10.24</v>
      </c>
      <c r="K25" s="15" t="s">
        <v>131</v>
      </c>
      <c r="L25" s="15">
        <f t="shared" si="4"/>
        <v>6.6666666666666671E-3</v>
      </c>
      <c r="M25" s="15" t="str">
        <f t="shared" si="1"/>
        <v>uL</v>
      </c>
      <c r="N25" s="3">
        <f>G25/H25*L25</f>
        <v>3.6136140350877199E-2</v>
      </c>
      <c r="O25" s="1">
        <f>N25/$S$2</f>
        <v>3.1978885266263006E-4</v>
      </c>
      <c r="P25" s="1">
        <f t="shared" si="3"/>
        <v>2.7584839962501681E-4</v>
      </c>
    </row>
    <row r="26" spans="1:16">
      <c r="A26" s="15" t="s">
        <v>33</v>
      </c>
      <c r="B26" s="20" t="s">
        <v>11</v>
      </c>
      <c r="C26" s="15" t="s">
        <v>55</v>
      </c>
      <c r="D26" s="21">
        <v>9012</v>
      </c>
      <c r="E26" s="15">
        <f>10*1000</f>
        <v>10000</v>
      </c>
      <c r="F26" s="15" t="s">
        <v>52</v>
      </c>
      <c r="G26" s="15">
        <v>3672</v>
      </c>
      <c r="H26" s="15">
        <f>10*1000</f>
        <v>10000</v>
      </c>
      <c r="I26" s="15" t="s">
        <v>52</v>
      </c>
      <c r="J26" s="15">
        <f>(225.6)/3*8</f>
        <v>601.6</v>
      </c>
      <c r="K26" s="15" t="s">
        <v>52</v>
      </c>
      <c r="L26" s="15">
        <f t="shared" si="4"/>
        <v>0.39166666666666666</v>
      </c>
      <c r="M26" s="15" t="str">
        <f t="shared" si="1"/>
        <v>uL</v>
      </c>
      <c r="N26" s="3">
        <f>G26/H26*L26</f>
        <v>0.14382</v>
      </c>
      <c r="O26" s="1">
        <f>N26/$S$2</f>
        <v>1.2727433628318585E-3</v>
      </c>
      <c r="P26" s="1">
        <f t="shared" si="3"/>
        <v>1.0978625954198473E-3</v>
      </c>
    </row>
    <row r="27" spans="1:16" ht="60">
      <c r="A27" s="15" t="s">
        <v>35</v>
      </c>
      <c r="B27" s="20" t="s">
        <v>56</v>
      </c>
      <c r="C27" s="15" t="s">
        <v>55</v>
      </c>
      <c r="D27" s="21" t="s">
        <v>58</v>
      </c>
      <c r="E27" s="15">
        <v>2</v>
      </c>
      <c r="F27" s="15" t="s">
        <v>15</v>
      </c>
      <c r="G27" s="15"/>
      <c r="H27" s="15"/>
      <c r="I27" s="15" t="s">
        <v>135</v>
      </c>
      <c r="J27" s="15">
        <f>(300.48)/3*8</f>
        <v>801.28000000000009</v>
      </c>
      <c r="K27" s="15" t="s">
        <v>135</v>
      </c>
      <c r="L27" s="15">
        <f t="shared" si="4"/>
        <v>0.52166666666666672</v>
      </c>
      <c r="M27" s="15" t="str">
        <f t="shared" si="1"/>
        <v>uL</v>
      </c>
      <c r="N27" s="3"/>
    </row>
    <row r="28" spans="1:16">
      <c r="A28" s="15" t="s">
        <v>35</v>
      </c>
      <c r="B28" s="20" t="s">
        <v>34</v>
      </c>
      <c r="C28" s="15" t="s">
        <v>95</v>
      </c>
      <c r="D28" s="21"/>
      <c r="E28" s="15">
        <v>100</v>
      </c>
      <c r="F28" s="15" t="s">
        <v>31</v>
      </c>
      <c r="G28" s="15">
        <f>21470</f>
        <v>21470</v>
      </c>
      <c r="H28" s="15">
        <v>820</v>
      </c>
      <c r="I28" s="15" t="s">
        <v>131</v>
      </c>
      <c r="J28" s="15">
        <f>(11.424)/3*8</f>
        <v>30.463999999999999</v>
      </c>
      <c r="K28" s="15" t="s">
        <v>131</v>
      </c>
      <c r="L28" s="15">
        <f t="shared" si="4"/>
        <v>1.9833333333333331E-2</v>
      </c>
      <c r="M28" s="15" t="str">
        <f t="shared" si="1"/>
        <v>uL</v>
      </c>
      <c r="N28" s="3">
        <f t="shared" ref="N28:N52" si="5">G28/H28*L28</f>
        <v>0.51929471544715444</v>
      </c>
      <c r="O28" s="5">
        <f>N28/$S$2</f>
        <v>4.5955284552845529E-3</v>
      </c>
      <c r="P28" s="1">
        <f t="shared" si="3"/>
        <v>3.9640817973065224E-3</v>
      </c>
    </row>
    <row r="29" spans="1:16">
      <c r="A29" s="15" t="s">
        <v>36</v>
      </c>
      <c r="B29" s="20" t="s">
        <v>11</v>
      </c>
      <c r="C29" s="15" t="s">
        <v>55</v>
      </c>
      <c r="D29" s="21">
        <v>9012</v>
      </c>
      <c r="E29" s="15">
        <f>10*1000</f>
        <v>10000</v>
      </c>
      <c r="F29" s="15" t="s">
        <v>52</v>
      </c>
      <c r="G29" s="15">
        <v>3672</v>
      </c>
      <c r="H29" s="15">
        <f>10*1000</f>
        <v>10000</v>
      </c>
      <c r="I29" s="15" t="s">
        <v>52</v>
      </c>
      <c r="J29" s="15">
        <f>(290.88)/3*8</f>
        <v>775.68</v>
      </c>
      <c r="K29" s="15" t="s">
        <v>52</v>
      </c>
      <c r="L29" s="15">
        <f t="shared" si="4"/>
        <v>0.505</v>
      </c>
      <c r="M29" s="15" t="str">
        <f t="shared" si="1"/>
        <v>uL</v>
      </c>
      <c r="N29" s="3">
        <f t="shared" si="5"/>
        <v>0.18543600000000002</v>
      </c>
      <c r="O29" s="5">
        <f t="shared" ref="O29:O61" si="6">N29/$S$2</f>
        <v>1.6410265486725664E-3</v>
      </c>
      <c r="P29" s="1">
        <f t="shared" si="3"/>
        <v>1.4155419847328246E-3</v>
      </c>
    </row>
    <row r="30" spans="1:16">
      <c r="A30" s="8" t="s">
        <v>38</v>
      </c>
      <c r="B30" s="17" t="s">
        <v>54</v>
      </c>
      <c r="C30" s="8" t="s">
        <v>39</v>
      </c>
      <c r="D30" s="9">
        <v>28006</v>
      </c>
      <c r="E30" s="8">
        <v>250</v>
      </c>
      <c r="F30" s="8" t="s">
        <v>40</v>
      </c>
      <c r="G30" s="8">
        <v>64000</v>
      </c>
      <c r="H30" s="8">
        <v>250</v>
      </c>
      <c r="I30" s="8" t="s">
        <v>40</v>
      </c>
      <c r="J30" s="8">
        <v>3</v>
      </c>
      <c r="K30" s="8" t="s">
        <v>40</v>
      </c>
      <c r="L30" s="8">
        <f t="shared" si="4"/>
        <v>1.953125E-3</v>
      </c>
      <c r="M30" s="8" t="str">
        <f t="shared" si="1"/>
        <v>column</v>
      </c>
      <c r="N30" s="3">
        <f t="shared" si="5"/>
        <v>0.5</v>
      </c>
      <c r="O30" s="5">
        <f t="shared" si="6"/>
        <v>4.4247787610619468E-3</v>
      </c>
      <c r="P30" s="1">
        <f t="shared" si="3"/>
        <v>3.8167938931297708E-3</v>
      </c>
    </row>
    <row r="31" spans="1:16">
      <c r="A31" s="8" t="s">
        <v>41</v>
      </c>
      <c r="B31" s="17" t="s">
        <v>11</v>
      </c>
      <c r="C31" s="8" t="s">
        <v>55</v>
      </c>
      <c r="D31" s="9">
        <v>9012</v>
      </c>
      <c r="E31" s="8">
        <f>10*1000</f>
        <v>10000</v>
      </c>
      <c r="F31" s="8" t="s">
        <v>52</v>
      </c>
      <c r="G31" s="8">
        <v>3672</v>
      </c>
      <c r="H31" s="8">
        <f>10*1000</f>
        <v>10000</v>
      </c>
      <c r="I31" s="8" t="s">
        <v>52</v>
      </c>
      <c r="J31" s="8">
        <f>32*3</f>
        <v>96</v>
      </c>
      <c r="K31" s="8" t="s">
        <v>52</v>
      </c>
      <c r="L31" s="8">
        <f t="shared" si="4"/>
        <v>6.25E-2</v>
      </c>
      <c r="M31" s="8" t="str">
        <f t="shared" si="1"/>
        <v>uL</v>
      </c>
      <c r="N31" s="3">
        <f t="shared" si="5"/>
        <v>2.2950000000000002E-2</v>
      </c>
      <c r="O31" s="5">
        <f t="shared" si="6"/>
        <v>2.0309734513274339E-4</v>
      </c>
      <c r="P31" s="1">
        <f t="shared" si="3"/>
        <v>1.7519083969465651E-4</v>
      </c>
    </row>
    <row r="32" spans="1:16">
      <c r="A32" s="8" t="s">
        <v>42</v>
      </c>
      <c r="B32" s="17" t="s">
        <v>50</v>
      </c>
      <c r="C32" s="8" t="s">
        <v>51</v>
      </c>
      <c r="D32" s="9" t="s">
        <v>53</v>
      </c>
      <c r="E32" s="8">
        <f>60*1000</f>
        <v>60000</v>
      </c>
      <c r="F32" s="8" t="s">
        <v>52</v>
      </c>
      <c r="G32" s="22">
        <v>100980</v>
      </c>
      <c r="H32" s="8">
        <f>60*1000</f>
        <v>60000</v>
      </c>
      <c r="I32" s="8" t="s">
        <v>52</v>
      </c>
      <c r="J32" s="8">
        <v>72</v>
      </c>
      <c r="K32" s="8" t="s">
        <v>52</v>
      </c>
      <c r="L32" s="8">
        <f t="shared" si="4"/>
        <v>4.6875E-2</v>
      </c>
      <c r="M32" s="8" t="str">
        <f t="shared" si="1"/>
        <v>uL</v>
      </c>
      <c r="N32" s="3">
        <f t="shared" si="5"/>
        <v>7.8890625000000006E-2</v>
      </c>
      <c r="O32" s="5">
        <f t="shared" si="6"/>
        <v>6.9814712389380535E-4</v>
      </c>
      <c r="P32" s="1">
        <f t="shared" si="3"/>
        <v>6.0221851145038168E-4</v>
      </c>
    </row>
    <row r="33" spans="1:16">
      <c r="A33" s="8" t="s">
        <v>44</v>
      </c>
      <c r="B33" s="17" t="s">
        <v>43</v>
      </c>
      <c r="C33" s="8" t="s">
        <v>91</v>
      </c>
      <c r="D33" s="9" t="s">
        <v>92</v>
      </c>
      <c r="E33" s="8">
        <f>10*11</f>
        <v>110</v>
      </c>
      <c r="F33" s="8" t="s">
        <v>45</v>
      </c>
      <c r="G33" s="8">
        <v>61560</v>
      </c>
      <c r="H33" s="8">
        <v>110</v>
      </c>
      <c r="I33" s="8" t="s">
        <v>45</v>
      </c>
      <c r="J33" s="8">
        <v>1</v>
      </c>
      <c r="K33" s="8" t="s">
        <v>45</v>
      </c>
      <c r="L33" s="8">
        <f t="shared" si="4"/>
        <v>6.5104166666666663E-4</v>
      </c>
      <c r="M33" s="8" t="str">
        <f t="shared" si="1"/>
        <v>well</v>
      </c>
      <c r="N33" s="3">
        <f t="shared" si="5"/>
        <v>0.36434659090909088</v>
      </c>
      <c r="O33" s="5">
        <f t="shared" si="6"/>
        <v>3.2243061142397424E-3</v>
      </c>
      <c r="P33" s="1">
        <f t="shared" si="3"/>
        <v>2.7812716863289382E-3</v>
      </c>
    </row>
    <row r="34" spans="1:16">
      <c r="A34" s="8" t="s">
        <v>141</v>
      </c>
      <c r="B34" s="17" t="s">
        <v>145</v>
      </c>
      <c r="C34" s="8" t="s">
        <v>144</v>
      </c>
      <c r="D34" s="9" t="s">
        <v>143</v>
      </c>
      <c r="E34" s="8">
        <v>1000</v>
      </c>
      <c r="F34" s="8" t="s">
        <v>75</v>
      </c>
      <c r="G34" s="8">
        <f>1000*175</f>
        <v>175000</v>
      </c>
      <c r="H34" s="8">
        <v>1000</v>
      </c>
      <c r="I34" s="8" t="s">
        <v>119</v>
      </c>
      <c r="J34" s="8">
        <v>1</v>
      </c>
      <c r="K34" s="8" t="s">
        <v>119</v>
      </c>
      <c r="L34" s="8">
        <f t="shared" si="4"/>
        <v>6.5104166666666663E-4</v>
      </c>
      <c r="M34" s="8" t="str">
        <f t="shared" si="1"/>
        <v>well</v>
      </c>
      <c r="N34" s="3">
        <f t="shared" si="5"/>
        <v>0.11393229166666666</v>
      </c>
      <c r="O34" s="5">
        <f t="shared" si="6"/>
        <v>1.0082503687315633E-3</v>
      </c>
      <c r="P34" s="1">
        <f t="shared" si="3"/>
        <v>8.6971215012722643E-4</v>
      </c>
    </row>
    <row r="35" spans="1:16" ht="30">
      <c r="A35" s="8" t="s">
        <v>46</v>
      </c>
      <c r="B35" s="17" t="s">
        <v>96</v>
      </c>
      <c r="C35" s="8" t="s">
        <v>48</v>
      </c>
      <c r="D35" s="9">
        <v>520091</v>
      </c>
      <c r="E35" s="8">
        <v>250</v>
      </c>
      <c r="F35" s="8" t="s">
        <v>47</v>
      </c>
      <c r="G35" s="8">
        <v>213840</v>
      </c>
      <c r="H35" s="8">
        <v>250</v>
      </c>
      <c r="I35" s="8" t="s">
        <v>47</v>
      </c>
      <c r="J35" s="8">
        <v>1</v>
      </c>
      <c r="K35" s="8" t="s">
        <v>47</v>
      </c>
      <c r="L35" s="8">
        <f t="shared" si="4"/>
        <v>6.5104166666666663E-4</v>
      </c>
      <c r="M35" s="8" t="str">
        <f t="shared" si="1"/>
        <v>tube</v>
      </c>
      <c r="N35" s="3">
        <f t="shared" si="5"/>
        <v>0.55687500000000001</v>
      </c>
      <c r="O35" s="5">
        <f t="shared" si="6"/>
        <v>4.9280973451327438E-3</v>
      </c>
      <c r="P35" s="1">
        <f t="shared" si="3"/>
        <v>4.2509541984732824E-3</v>
      </c>
    </row>
    <row r="36" spans="1:16">
      <c r="A36" s="8" t="s">
        <v>46</v>
      </c>
      <c r="B36" s="17" t="s">
        <v>20</v>
      </c>
      <c r="C36" s="8" t="s">
        <v>21</v>
      </c>
      <c r="D36" s="9" t="s">
        <v>22</v>
      </c>
      <c r="E36" s="8">
        <v>200</v>
      </c>
      <c r="F36" s="8" t="s">
        <v>23</v>
      </c>
      <c r="G36" s="8">
        <v>46820</v>
      </c>
      <c r="H36" s="8">
        <v>200</v>
      </c>
      <c r="I36" s="8" t="s">
        <v>23</v>
      </c>
      <c r="J36" s="8">
        <v>1</v>
      </c>
      <c r="K36" s="8" t="s">
        <v>23</v>
      </c>
      <c r="L36" s="8">
        <f t="shared" si="4"/>
        <v>6.5104166666666663E-4</v>
      </c>
      <c r="M36" s="8" t="str">
        <f t="shared" si="1"/>
        <v>column/time</v>
      </c>
      <c r="N36" s="3">
        <f t="shared" si="5"/>
        <v>0.15240885416666666</v>
      </c>
      <c r="O36" s="5">
        <f t="shared" si="6"/>
        <v>1.3487509218289085E-3</v>
      </c>
      <c r="P36" s="1">
        <f t="shared" si="3"/>
        <v>1.1634263676844783E-3</v>
      </c>
    </row>
    <row r="37" spans="1:16">
      <c r="A37" s="8" t="s">
        <v>46</v>
      </c>
      <c r="B37" s="17" t="s">
        <v>11</v>
      </c>
      <c r="C37" s="8" t="s">
        <v>55</v>
      </c>
      <c r="D37" s="9">
        <v>9012</v>
      </c>
      <c r="E37" s="8">
        <f>10*1000</f>
        <v>10000</v>
      </c>
      <c r="F37" s="8" t="s">
        <v>52</v>
      </c>
      <c r="G37" s="8">
        <v>3672</v>
      </c>
      <c r="H37" s="8">
        <f>10*1000</f>
        <v>10000</v>
      </c>
      <c r="I37" s="8" t="s">
        <v>52</v>
      </c>
      <c r="J37" s="8">
        <v>11</v>
      </c>
      <c r="K37" s="8" t="s">
        <v>52</v>
      </c>
      <c r="L37" s="8">
        <f t="shared" si="4"/>
        <v>7.161458333333333E-3</v>
      </c>
      <c r="M37" s="8" t="str">
        <f t="shared" si="1"/>
        <v>uL</v>
      </c>
      <c r="N37" s="3">
        <f t="shared" si="5"/>
        <v>2.6296875000000001E-3</v>
      </c>
      <c r="O37" s="5">
        <f t="shared" si="6"/>
        <v>2.3271570796460178E-5</v>
      </c>
      <c r="P37" s="1">
        <f t="shared" si="3"/>
        <v>2.007395038167939E-5</v>
      </c>
    </row>
    <row r="38" spans="1:16">
      <c r="A38" s="8" t="s">
        <v>72</v>
      </c>
      <c r="B38" s="17" t="s">
        <v>73</v>
      </c>
      <c r="C38" s="8" t="s">
        <v>74</v>
      </c>
      <c r="D38" s="9"/>
      <c r="E38" s="8">
        <v>24</v>
      </c>
      <c r="F38" s="8" t="s">
        <v>75</v>
      </c>
      <c r="G38" s="23">
        <v>160799</v>
      </c>
      <c r="H38" s="8">
        <v>24</v>
      </c>
      <c r="I38" s="8" t="s">
        <v>75</v>
      </c>
      <c r="J38" s="8">
        <f>1/5</f>
        <v>0.2</v>
      </c>
      <c r="K38" s="8" t="s">
        <v>75</v>
      </c>
      <c r="L38" s="8">
        <f t="shared" si="4"/>
        <v>1.3020833333333333E-4</v>
      </c>
      <c r="M38" s="8" t="str">
        <f t="shared" si="1"/>
        <v>times</v>
      </c>
      <c r="N38" s="3">
        <f t="shared" si="5"/>
        <v>0.87239040798611101</v>
      </c>
      <c r="O38" s="5">
        <f t="shared" si="6"/>
        <v>7.7202690972222217E-3</v>
      </c>
      <c r="P38" s="1">
        <f t="shared" si="3"/>
        <v>6.6594687632527561E-3</v>
      </c>
    </row>
    <row r="39" spans="1:16">
      <c r="A39" s="13" t="s">
        <v>72</v>
      </c>
      <c r="B39" s="16" t="s">
        <v>80</v>
      </c>
      <c r="C39" s="13" t="s">
        <v>74</v>
      </c>
      <c r="D39" s="9" t="s">
        <v>81</v>
      </c>
      <c r="E39" s="8">
        <f>500*25/2</f>
        <v>6250</v>
      </c>
      <c r="F39" s="8" t="s">
        <v>52</v>
      </c>
      <c r="G39" s="8">
        <v>37800</v>
      </c>
      <c r="H39" s="8">
        <f>E39</f>
        <v>6250</v>
      </c>
      <c r="I39" s="8" t="s">
        <v>52</v>
      </c>
      <c r="J39" s="8">
        <v>25</v>
      </c>
      <c r="K39" s="8" t="s">
        <v>52</v>
      </c>
      <c r="L39" s="8">
        <f t="shared" si="4"/>
        <v>1.6276041666666668E-2</v>
      </c>
      <c r="M39" s="8" t="str">
        <f t="shared" si="1"/>
        <v>uL</v>
      </c>
      <c r="N39" s="3">
        <f t="shared" si="5"/>
        <v>9.8437500000000011E-2</v>
      </c>
      <c r="O39" s="5">
        <f t="shared" si="6"/>
        <v>8.7112831858407089E-4</v>
      </c>
      <c r="P39" s="1">
        <f t="shared" si="3"/>
        <v>7.5143129770992377E-4</v>
      </c>
    </row>
    <row r="40" spans="1:16">
      <c r="A40" s="13" t="s">
        <v>72</v>
      </c>
      <c r="B40" s="16" t="s">
        <v>101</v>
      </c>
      <c r="C40" s="13" t="s">
        <v>95</v>
      </c>
      <c r="D40" s="9"/>
      <c r="E40" s="8">
        <v>100</v>
      </c>
      <c r="F40" s="8" t="s">
        <v>100</v>
      </c>
      <c r="G40" s="8">
        <v>20304</v>
      </c>
      <c r="H40" s="8">
        <v>900</v>
      </c>
      <c r="I40" s="8" t="s">
        <v>131</v>
      </c>
      <c r="J40" s="8">
        <f>2*1.5/100</f>
        <v>0.03</v>
      </c>
      <c r="K40" s="8" t="s">
        <v>131</v>
      </c>
      <c r="L40" s="8">
        <f t="shared" si="4"/>
        <v>1.953125E-5</v>
      </c>
      <c r="M40" s="8" t="str">
        <f t="shared" si="1"/>
        <v>uL</v>
      </c>
      <c r="N40" s="3">
        <f t="shared" si="5"/>
        <v>4.4062499999999999E-4</v>
      </c>
      <c r="O40" s="5">
        <f t="shared" si="6"/>
        <v>3.8993362831858404E-6</v>
      </c>
      <c r="P40" s="1">
        <f t="shared" si="3"/>
        <v>3.3635496183206107E-6</v>
      </c>
    </row>
    <row r="41" spans="1:16">
      <c r="A41" s="13" t="s">
        <v>72</v>
      </c>
      <c r="B41" s="16" t="s">
        <v>102</v>
      </c>
      <c r="C41" s="13" t="s">
        <v>95</v>
      </c>
      <c r="D41" s="9"/>
      <c r="E41" s="8">
        <v>100</v>
      </c>
      <c r="F41" s="8" t="s">
        <v>98</v>
      </c>
      <c r="G41" s="8">
        <v>29419</v>
      </c>
      <c r="H41" s="8">
        <v>310</v>
      </c>
      <c r="I41" s="8" t="s">
        <v>131</v>
      </c>
      <c r="J41" s="8">
        <f>2*1.5/100</f>
        <v>0.03</v>
      </c>
      <c r="K41" s="8" t="s">
        <v>131</v>
      </c>
      <c r="L41" s="8">
        <f t="shared" si="4"/>
        <v>1.953125E-5</v>
      </c>
      <c r="M41" s="8" t="str">
        <f t="shared" si="1"/>
        <v>uL</v>
      </c>
      <c r="N41" s="3">
        <f t="shared" si="5"/>
        <v>1.8535156250000001E-3</v>
      </c>
      <c r="O41" s="5">
        <f t="shared" si="6"/>
        <v>1.640279314159292E-5</v>
      </c>
      <c r="P41" s="1">
        <f t="shared" si="3"/>
        <v>1.4148974236641222E-5</v>
      </c>
    </row>
    <row r="42" spans="1:16">
      <c r="A42" s="13" t="s">
        <v>72</v>
      </c>
      <c r="B42" s="16" t="s">
        <v>99</v>
      </c>
      <c r="C42" s="13" t="s">
        <v>95</v>
      </c>
      <c r="D42" s="9"/>
      <c r="E42" s="8">
        <v>100</v>
      </c>
      <c r="F42" s="8" t="s">
        <v>98</v>
      </c>
      <c r="G42" s="8">
        <v>29419</v>
      </c>
      <c r="H42" s="8">
        <v>310</v>
      </c>
      <c r="I42" s="8" t="s">
        <v>131</v>
      </c>
      <c r="J42" s="8">
        <v>0.35</v>
      </c>
      <c r="K42" s="8" t="s">
        <v>131</v>
      </c>
      <c r="L42" s="8">
        <f t="shared" si="4"/>
        <v>2.2786458333333331E-4</v>
      </c>
      <c r="M42" s="8" t="str">
        <f t="shared" si="1"/>
        <v>uL</v>
      </c>
      <c r="N42" s="3">
        <f t="shared" si="5"/>
        <v>2.1624348958333331E-2</v>
      </c>
      <c r="O42" s="5">
        <f t="shared" si="6"/>
        <v>1.9136591998525072E-4</v>
      </c>
      <c r="P42" s="1">
        <f t="shared" si="3"/>
        <v>1.6507136609414757E-4</v>
      </c>
    </row>
    <row r="43" spans="1:16">
      <c r="A43" s="13" t="s">
        <v>72</v>
      </c>
      <c r="B43" s="16" t="s">
        <v>97</v>
      </c>
      <c r="C43" s="13" t="s">
        <v>95</v>
      </c>
      <c r="D43" s="9"/>
      <c r="E43" s="8">
        <v>100</v>
      </c>
      <c r="F43" s="8" t="s">
        <v>8</v>
      </c>
      <c r="G43" s="8">
        <v>21556</v>
      </c>
      <c r="H43" s="8">
        <v>818</v>
      </c>
      <c r="I43" s="8" t="s">
        <v>131</v>
      </c>
      <c r="J43" s="8">
        <v>0.35</v>
      </c>
      <c r="K43" s="8" t="s">
        <v>131</v>
      </c>
      <c r="L43" s="8">
        <f t="shared" si="4"/>
        <v>2.2786458333333331E-4</v>
      </c>
      <c r="M43" s="8" t="str">
        <f t="shared" si="1"/>
        <v>uL</v>
      </c>
      <c r="N43" s="3">
        <f t="shared" si="5"/>
        <v>6.0047053280358588E-3</v>
      </c>
      <c r="O43" s="5">
        <f t="shared" si="6"/>
        <v>5.313898520385716E-5</v>
      </c>
      <c r="P43" s="1">
        <f t="shared" si="3"/>
        <v>4.5837445252182131E-5</v>
      </c>
    </row>
    <row r="44" spans="1:16">
      <c r="A44" s="8" t="s">
        <v>76</v>
      </c>
      <c r="B44" s="17" t="s">
        <v>50</v>
      </c>
      <c r="C44" s="8" t="s">
        <v>51</v>
      </c>
      <c r="D44" s="9" t="s">
        <v>53</v>
      </c>
      <c r="E44" s="8">
        <f>60*1000</f>
        <v>60000</v>
      </c>
      <c r="F44" s="8" t="s">
        <v>52</v>
      </c>
      <c r="G44" s="22">
        <v>100980</v>
      </c>
      <c r="H44" s="8">
        <f>60*1000</f>
        <v>60000</v>
      </c>
      <c r="I44" s="8" t="s">
        <v>52</v>
      </c>
      <c r="J44" s="8">
        <v>40</v>
      </c>
      <c r="K44" s="8" t="s">
        <v>52</v>
      </c>
      <c r="L44" s="8">
        <f t="shared" si="4"/>
        <v>2.6041666666666668E-2</v>
      </c>
      <c r="M44" s="8" t="str">
        <f t="shared" si="1"/>
        <v>uL</v>
      </c>
      <c r="N44" s="3">
        <f t="shared" si="5"/>
        <v>4.3828125000000002E-2</v>
      </c>
      <c r="O44" s="5">
        <f t="shared" si="6"/>
        <v>3.8785951327433628E-4</v>
      </c>
      <c r="P44" s="1">
        <f t="shared" si="3"/>
        <v>3.3456583969465652E-4</v>
      </c>
    </row>
    <row r="45" spans="1:16">
      <c r="A45" s="8" t="s">
        <v>76</v>
      </c>
      <c r="B45" s="17" t="s">
        <v>11</v>
      </c>
      <c r="C45" s="8" t="s">
        <v>55</v>
      </c>
      <c r="D45" s="9">
        <v>9012</v>
      </c>
      <c r="E45" s="8">
        <f>10*1000</f>
        <v>10000</v>
      </c>
      <c r="F45" s="8" t="s">
        <v>52</v>
      </c>
      <c r="G45" s="8">
        <v>3672</v>
      </c>
      <c r="H45" s="8">
        <f>10*1000</f>
        <v>10000</v>
      </c>
      <c r="I45" s="8" t="s">
        <v>52</v>
      </c>
      <c r="J45" s="8">
        <v>25</v>
      </c>
      <c r="K45" s="8" t="s">
        <v>52</v>
      </c>
      <c r="L45" s="8">
        <f t="shared" si="4"/>
        <v>1.6276041666666668E-2</v>
      </c>
      <c r="M45" s="8" t="str">
        <f t="shared" si="1"/>
        <v>uL</v>
      </c>
      <c r="N45" s="3">
        <f t="shared" si="5"/>
        <v>5.976562500000001E-3</v>
      </c>
      <c r="O45" s="5">
        <f t="shared" si="6"/>
        <v>5.2889933628318591E-5</v>
      </c>
      <c r="P45" s="1">
        <f t="shared" si="3"/>
        <v>4.56226145038168E-5</v>
      </c>
    </row>
    <row r="46" spans="1:16">
      <c r="A46" s="13" t="s">
        <v>77</v>
      </c>
      <c r="B46" s="16" t="s">
        <v>43</v>
      </c>
      <c r="C46" s="8" t="s">
        <v>91</v>
      </c>
      <c r="D46" s="9" t="s">
        <v>92</v>
      </c>
      <c r="E46" s="8">
        <f>10*11</f>
        <v>110</v>
      </c>
      <c r="F46" s="8" t="s">
        <v>45</v>
      </c>
      <c r="G46" s="8">
        <v>61560</v>
      </c>
      <c r="H46" s="8">
        <v>110</v>
      </c>
      <c r="I46" s="8" t="s">
        <v>45</v>
      </c>
      <c r="J46" s="8">
        <v>1</v>
      </c>
      <c r="K46" s="8" t="s">
        <v>45</v>
      </c>
      <c r="L46" s="8">
        <f t="shared" si="4"/>
        <v>6.5104166666666663E-4</v>
      </c>
      <c r="M46" s="8" t="str">
        <f t="shared" si="1"/>
        <v>well</v>
      </c>
      <c r="N46" s="3">
        <f t="shared" si="5"/>
        <v>0.36434659090909088</v>
      </c>
      <c r="O46" s="5">
        <f t="shared" si="6"/>
        <v>3.2243061142397424E-3</v>
      </c>
      <c r="P46" s="1">
        <f t="shared" si="3"/>
        <v>2.7812716863289382E-3</v>
      </c>
    </row>
    <row r="47" spans="1:16">
      <c r="A47" s="13" t="s">
        <v>142</v>
      </c>
      <c r="B47" s="17" t="s">
        <v>145</v>
      </c>
      <c r="C47" s="8" t="s">
        <v>144</v>
      </c>
      <c r="D47" s="9" t="s">
        <v>143</v>
      </c>
      <c r="E47" s="8">
        <v>1000</v>
      </c>
      <c r="F47" s="8" t="s">
        <v>75</v>
      </c>
      <c r="G47" s="8">
        <f>1000*175</f>
        <v>175000</v>
      </c>
      <c r="H47" s="8">
        <v>1000</v>
      </c>
      <c r="I47" s="8" t="s">
        <v>119</v>
      </c>
      <c r="J47" s="8">
        <v>1</v>
      </c>
      <c r="K47" s="8" t="s">
        <v>119</v>
      </c>
      <c r="L47" s="8">
        <f t="shared" si="4"/>
        <v>6.5104166666666663E-4</v>
      </c>
      <c r="M47" s="8" t="str">
        <f t="shared" si="1"/>
        <v>well</v>
      </c>
      <c r="N47" s="3">
        <f t="shared" si="5"/>
        <v>0.11393229166666666</v>
      </c>
      <c r="O47" s="5">
        <f t="shared" si="6"/>
        <v>1.0082503687315633E-3</v>
      </c>
      <c r="P47" s="1">
        <f t="shared" si="3"/>
        <v>8.6971215012722643E-4</v>
      </c>
    </row>
    <row r="48" spans="1:16">
      <c r="A48" s="13" t="s">
        <v>124</v>
      </c>
      <c r="B48" s="16" t="s">
        <v>103</v>
      </c>
      <c r="C48" s="8" t="s">
        <v>104</v>
      </c>
      <c r="D48" s="9" t="s">
        <v>105</v>
      </c>
      <c r="E48" s="8">
        <f>96*10*5</f>
        <v>4800</v>
      </c>
      <c r="F48" s="8" t="s">
        <v>106</v>
      </c>
      <c r="G48" s="8">
        <v>57210</v>
      </c>
      <c r="H48" s="8">
        <f>E48</f>
        <v>4800</v>
      </c>
      <c r="I48" s="8" t="s">
        <v>106</v>
      </c>
      <c r="J48" s="8">
        <v>16</v>
      </c>
      <c r="K48" s="8" t="s">
        <v>106</v>
      </c>
      <c r="L48" s="8">
        <f t="shared" si="4"/>
        <v>1.0416666666666666E-2</v>
      </c>
      <c r="M48" s="8" t="str">
        <f t="shared" si="1"/>
        <v>Tip</v>
      </c>
      <c r="N48" s="3">
        <f t="shared" si="5"/>
        <v>0.12415364583333333</v>
      </c>
      <c r="O48" s="5">
        <f t="shared" si="6"/>
        <v>1.0987048303834808E-3</v>
      </c>
      <c r="P48" s="1">
        <f t="shared" si="3"/>
        <v>9.4773775445292617E-4</v>
      </c>
    </row>
    <row r="49" spans="1:16">
      <c r="A49" s="13" t="s">
        <v>124</v>
      </c>
      <c r="B49" s="16" t="s">
        <v>107</v>
      </c>
      <c r="C49" s="8" t="s">
        <v>104</v>
      </c>
      <c r="D49" s="9" t="s">
        <v>108</v>
      </c>
      <c r="E49" s="8">
        <f>96*10*5</f>
        <v>4800</v>
      </c>
      <c r="F49" s="8" t="s">
        <v>106</v>
      </c>
      <c r="G49" s="8">
        <v>60480</v>
      </c>
      <c r="H49" s="8">
        <f t="shared" ref="H49:H56" si="7">E49</f>
        <v>4800</v>
      </c>
      <c r="I49" s="8" t="s">
        <v>106</v>
      </c>
      <c r="J49" s="8">
        <v>36</v>
      </c>
      <c r="K49" s="8" t="s">
        <v>106</v>
      </c>
      <c r="L49" s="8">
        <f t="shared" si="4"/>
        <v>2.34375E-2</v>
      </c>
      <c r="M49" s="8" t="str">
        <f t="shared" si="1"/>
        <v>Tip</v>
      </c>
      <c r="N49" s="3">
        <f t="shared" si="5"/>
        <v>0.29531249999999998</v>
      </c>
      <c r="O49" s="5">
        <f t="shared" si="6"/>
        <v>2.613384955752212E-3</v>
      </c>
      <c r="P49" s="1">
        <f t="shared" si="3"/>
        <v>2.2542938931297708E-3</v>
      </c>
    </row>
    <row r="50" spans="1:16">
      <c r="A50" s="8" t="s">
        <v>124</v>
      </c>
      <c r="B50" s="17" t="s">
        <v>109</v>
      </c>
      <c r="C50" s="8" t="s">
        <v>104</v>
      </c>
      <c r="D50" s="9" t="s">
        <v>110</v>
      </c>
      <c r="E50" s="8">
        <f>96*10*5</f>
        <v>4800</v>
      </c>
      <c r="F50" s="8" t="s">
        <v>106</v>
      </c>
      <c r="G50" s="8">
        <v>60480</v>
      </c>
      <c r="H50" s="8">
        <f t="shared" si="7"/>
        <v>4800</v>
      </c>
      <c r="I50" s="8" t="s">
        <v>106</v>
      </c>
      <c r="J50" s="8">
        <v>20</v>
      </c>
      <c r="K50" s="8" t="s">
        <v>106</v>
      </c>
      <c r="L50" s="8">
        <f t="shared" si="4"/>
        <v>1.3020833333333334E-2</v>
      </c>
      <c r="M50" s="8" t="str">
        <f t="shared" si="1"/>
        <v>Tip</v>
      </c>
      <c r="N50" s="3">
        <f t="shared" si="5"/>
        <v>0.1640625</v>
      </c>
      <c r="O50" s="5">
        <f t="shared" si="6"/>
        <v>1.4518805309734514E-3</v>
      </c>
      <c r="P50" s="1">
        <f t="shared" si="3"/>
        <v>1.252385496183206E-3</v>
      </c>
    </row>
    <row r="51" spans="1:16">
      <c r="A51" s="8" t="s">
        <v>124</v>
      </c>
      <c r="B51" s="17" t="s">
        <v>111</v>
      </c>
      <c r="C51" s="8" t="s">
        <v>112</v>
      </c>
      <c r="D51" s="9">
        <v>1013070</v>
      </c>
      <c r="E51" s="8">
        <f>96*10*5</f>
        <v>4800</v>
      </c>
      <c r="F51" s="8" t="s">
        <v>106</v>
      </c>
      <c r="G51" s="8">
        <v>34560</v>
      </c>
      <c r="H51" s="8">
        <f t="shared" si="7"/>
        <v>4800</v>
      </c>
      <c r="I51" s="8" t="s">
        <v>106</v>
      </c>
      <c r="J51" s="8">
        <v>5</v>
      </c>
      <c r="K51" s="8" t="s">
        <v>106</v>
      </c>
      <c r="L51" s="8">
        <f t="shared" si="4"/>
        <v>3.2552083333333335E-3</v>
      </c>
      <c r="M51" s="8" t="str">
        <f t="shared" si="1"/>
        <v>Tip</v>
      </c>
      <c r="N51" s="3">
        <f t="shared" si="5"/>
        <v>2.34375E-2</v>
      </c>
      <c r="O51" s="5">
        <f t="shared" si="6"/>
        <v>2.0741150442477876E-4</v>
      </c>
      <c r="P51" s="1">
        <f t="shared" si="3"/>
        <v>1.7891221374045802E-4</v>
      </c>
    </row>
    <row r="52" spans="1:16">
      <c r="A52" s="8" t="s">
        <v>124</v>
      </c>
      <c r="B52" s="17" t="s">
        <v>113</v>
      </c>
      <c r="C52" s="8" t="s">
        <v>112</v>
      </c>
      <c r="D52" s="9">
        <v>1013090</v>
      </c>
      <c r="E52" s="8">
        <f>96*10*4</f>
        <v>3840</v>
      </c>
      <c r="F52" s="8" t="s">
        <v>106</v>
      </c>
      <c r="G52" s="8">
        <v>30240</v>
      </c>
      <c r="H52" s="8">
        <f t="shared" si="7"/>
        <v>3840</v>
      </c>
      <c r="I52" s="8" t="s">
        <v>106</v>
      </c>
      <c r="J52" s="8">
        <v>22</v>
      </c>
      <c r="K52" s="8" t="s">
        <v>106</v>
      </c>
      <c r="L52" s="8">
        <f t="shared" si="4"/>
        <v>1.4322916666666666E-2</v>
      </c>
      <c r="M52" s="8" t="str">
        <f t="shared" si="1"/>
        <v>Tip</v>
      </c>
      <c r="N52" s="3">
        <f t="shared" si="5"/>
        <v>0.11279296875</v>
      </c>
      <c r="O52" s="5">
        <f t="shared" si="6"/>
        <v>9.9816786504424771E-4</v>
      </c>
      <c r="P52" s="1">
        <f t="shared" si="3"/>
        <v>8.6101502862595417E-4</v>
      </c>
    </row>
    <row r="53" spans="1:16">
      <c r="A53" s="8" t="s">
        <v>146</v>
      </c>
      <c r="B53" s="17" t="s">
        <v>174</v>
      </c>
      <c r="C53" s="8" t="s">
        <v>176</v>
      </c>
      <c r="D53" s="9" t="s">
        <v>177</v>
      </c>
      <c r="E53" s="8">
        <v>960</v>
      </c>
      <c r="F53" s="8" t="s">
        <v>175</v>
      </c>
      <c r="G53" s="8">
        <v>13651</v>
      </c>
      <c r="H53" s="8">
        <f>E53</f>
        <v>960</v>
      </c>
      <c r="I53" s="8" t="s">
        <v>175</v>
      </c>
      <c r="J53" s="8">
        <v>2</v>
      </c>
      <c r="K53" s="8" t="s">
        <v>175</v>
      </c>
      <c r="L53" s="8">
        <f>J53/1536</f>
        <v>1.3020833333333333E-3</v>
      </c>
      <c r="M53" s="8" t="s">
        <v>175</v>
      </c>
      <c r="N53" s="3"/>
      <c r="O53" s="5">
        <f t="shared" si="6"/>
        <v>0</v>
      </c>
      <c r="P53" s="1">
        <f t="shared" si="3"/>
        <v>0</v>
      </c>
    </row>
    <row r="54" spans="1:16">
      <c r="A54" s="8" t="s">
        <v>124</v>
      </c>
      <c r="B54" s="17" t="s">
        <v>114</v>
      </c>
      <c r="C54" s="8" t="s">
        <v>71</v>
      </c>
      <c r="D54" s="9">
        <v>30108051</v>
      </c>
      <c r="E54" s="8">
        <f>5*50*3</f>
        <v>750</v>
      </c>
      <c r="F54" s="8" t="s">
        <v>116</v>
      </c>
      <c r="G54" s="8">
        <v>6480</v>
      </c>
      <c r="H54" s="8">
        <f t="shared" si="7"/>
        <v>750</v>
      </c>
      <c r="I54" s="8" t="s">
        <v>116</v>
      </c>
      <c r="J54" s="8">
        <v>5</v>
      </c>
      <c r="K54" s="8" t="s">
        <v>116</v>
      </c>
      <c r="L54" s="8">
        <f t="shared" si="4"/>
        <v>3.2552083333333335E-3</v>
      </c>
      <c r="M54" s="8" t="str">
        <f t="shared" si="1"/>
        <v>tube</v>
      </c>
      <c r="N54" s="3">
        <f t="shared" ref="N54:N61" si="8">G54/H54*L54</f>
        <v>2.8125000000000004E-2</v>
      </c>
      <c r="O54" s="5">
        <f t="shared" si="6"/>
        <v>2.4889380530973456E-4</v>
      </c>
      <c r="P54" s="1">
        <f t="shared" si="3"/>
        <v>2.1469465648854964E-4</v>
      </c>
    </row>
    <row r="55" spans="1:16">
      <c r="A55" s="8" t="s">
        <v>124</v>
      </c>
      <c r="B55" s="17" t="s">
        <v>191</v>
      </c>
      <c r="C55" s="8" t="s">
        <v>181</v>
      </c>
      <c r="D55" s="9" t="s">
        <v>182</v>
      </c>
      <c r="E55" s="8">
        <v>480</v>
      </c>
      <c r="F55" s="8" t="s">
        <v>47</v>
      </c>
      <c r="G55" s="8">
        <v>10220</v>
      </c>
      <c r="H55" s="8">
        <v>480</v>
      </c>
      <c r="I55" s="8" t="s">
        <v>47</v>
      </c>
      <c r="J55" s="8">
        <v>1</v>
      </c>
      <c r="K55" s="8" t="s">
        <v>47</v>
      </c>
      <c r="L55" s="8">
        <f>J55/1536</f>
        <v>6.5104166666666663E-4</v>
      </c>
      <c r="M55" s="8" t="str">
        <f t="shared" si="1"/>
        <v>tube</v>
      </c>
      <c r="N55" s="3">
        <f t="shared" si="8"/>
        <v>1.3861762152777778E-2</v>
      </c>
      <c r="O55" s="5">
        <f t="shared" si="6"/>
        <v>1.226704615290069E-4</v>
      </c>
      <c r="P55" s="1">
        <f t="shared" si="3"/>
        <v>1.0581497826547922E-4</v>
      </c>
    </row>
    <row r="56" spans="1:16">
      <c r="A56" s="8" t="s">
        <v>124</v>
      </c>
      <c r="B56" s="17" t="s">
        <v>115</v>
      </c>
      <c r="C56" s="8" t="s">
        <v>71</v>
      </c>
      <c r="D56" s="9">
        <v>30108310</v>
      </c>
      <c r="E56" s="8">
        <f>4*50*2</f>
        <v>400</v>
      </c>
      <c r="F56" s="8" t="s">
        <v>47</v>
      </c>
      <c r="G56" s="8">
        <v>11404</v>
      </c>
      <c r="H56" s="8">
        <f t="shared" si="7"/>
        <v>400</v>
      </c>
      <c r="I56" s="8" t="s">
        <v>47</v>
      </c>
      <c r="J56" s="8">
        <v>5</v>
      </c>
      <c r="K56" s="8" t="s">
        <v>47</v>
      </c>
      <c r="L56" s="8">
        <f t="shared" si="4"/>
        <v>3.2552083333333335E-3</v>
      </c>
      <c r="M56" s="8" t="str">
        <f t="shared" si="1"/>
        <v>tube</v>
      </c>
      <c r="N56" s="3">
        <f t="shared" si="8"/>
        <v>9.2805989583333345E-2</v>
      </c>
      <c r="O56" s="5">
        <f t="shared" si="6"/>
        <v>8.2129194321533931E-4</v>
      </c>
      <c r="P56" s="1">
        <f t="shared" si="3"/>
        <v>7.0844266857506368E-4</v>
      </c>
    </row>
    <row r="57" spans="1:16">
      <c r="A57" s="8" t="s">
        <v>124</v>
      </c>
      <c r="B57" s="17" t="s">
        <v>117</v>
      </c>
      <c r="C57" s="8" t="s">
        <v>55</v>
      </c>
      <c r="D57" s="9" t="s">
        <v>118</v>
      </c>
      <c r="E57" s="8">
        <f>125*8*3</f>
        <v>3000</v>
      </c>
      <c r="F57" s="8" t="s">
        <v>119</v>
      </c>
      <c r="G57" s="8">
        <v>40095</v>
      </c>
      <c r="H57" s="8">
        <f>E57</f>
        <v>3000</v>
      </c>
      <c r="I57" s="8" t="s">
        <v>119</v>
      </c>
      <c r="J57" s="8">
        <v>32</v>
      </c>
      <c r="K57" s="8" t="s">
        <v>119</v>
      </c>
      <c r="L57" s="8">
        <f t="shared" si="4"/>
        <v>2.0833333333333332E-2</v>
      </c>
      <c r="M57" s="8" t="str">
        <f t="shared" si="1"/>
        <v>well</v>
      </c>
      <c r="N57" s="3">
        <f t="shared" si="8"/>
        <v>0.2784375</v>
      </c>
      <c r="O57" s="5">
        <f t="shared" si="6"/>
        <v>2.4640486725663719E-3</v>
      </c>
      <c r="P57" s="1">
        <f t="shared" si="3"/>
        <v>2.1254770992366412E-3</v>
      </c>
    </row>
    <row r="58" spans="1:16" ht="16">
      <c r="A58" s="8" t="s">
        <v>124</v>
      </c>
      <c r="B58" s="17" t="s">
        <v>120</v>
      </c>
      <c r="C58" s="8" t="s">
        <v>55</v>
      </c>
      <c r="D58" s="9" t="s">
        <v>122</v>
      </c>
      <c r="E58" s="8">
        <f>125*8*3</f>
        <v>3000</v>
      </c>
      <c r="F58" s="8" t="s">
        <v>119</v>
      </c>
      <c r="G58" s="24">
        <v>10692</v>
      </c>
      <c r="H58" s="8">
        <f>E58</f>
        <v>3000</v>
      </c>
      <c r="I58" s="8" t="s">
        <v>119</v>
      </c>
      <c r="J58" s="8">
        <v>64</v>
      </c>
      <c r="K58" s="8" t="s">
        <v>119</v>
      </c>
      <c r="L58" s="8">
        <f t="shared" si="4"/>
        <v>4.1666666666666664E-2</v>
      </c>
      <c r="M58" s="8" t="str">
        <f t="shared" si="1"/>
        <v>well</v>
      </c>
      <c r="N58" s="3">
        <f t="shared" si="8"/>
        <v>0.14849999999999999</v>
      </c>
      <c r="O58" s="5">
        <f t="shared" si="6"/>
        <v>1.3141592920353981E-3</v>
      </c>
      <c r="P58" s="1">
        <f t="shared" si="3"/>
        <v>1.133587786259542E-3</v>
      </c>
    </row>
    <row r="59" spans="1:16" ht="16">
      <c r="A59" s="8" t="s">
        <v>124</v>
      </c>
      <c r="B59" s="17" t="s">
        <v>121</v>
      </c>
      <c r="C59" s="8" t="s">
        <v>55</v>
      </c>
      <c r="D59" s="9" t="s">
        <v>123</v>
      </c>
      <c r="E59" s="8">
        <f>1000</f>
        <v>1000</v>
      </c>
      <c r="F59" s="8" t="s">
        <v>119</v>
      </c>
      <c r="G59" s="24">
        <v>7574</v>
      </c>
      <c r="H59" s="8">
        <f t="shared" ref="H59" si="9">E59</f>
        <v>1000</v>
      </c>
      <c r="I59" s="8" t="s">
        <v>119</v>
      </c>
      <c r="J59" s="8">
        <v>4</v>
      </c>
      <c r="K59" s="8" t="s">
        <v>119</v>
      </c>
      <c r="L59" s="8">
        <f t="shared" si="4"/>
        <v>2.6041666666666665E-3</v>
      </c>
      <c r="M59" s="8" t="str">
        <f t="shared" si="1"/>
        <v>well</v>
      </c>
      <c r="N59" s="3">
        <f t="shared" si="8"/>
        <v>1.9723958333333333E-2</v>
      </c>
      <c r="O59" s="5">
        <f t="shared" si="6"/>
        <v>1.7454830383480826E-4</v>
      </c>
      <c r="P59" s="1">
        <f t="shared" si="3"/>
        <v>1.5056456743002544E-4</v>
      </c>
    </row>
    <row r="60" spans="1:16">
      <c r="A60" s="8" t="s">
        <v>128</v>
      </c>
      <c r="B60" s="17" t="s">
        <v>126</v>
      </c>
      <c r="C60" s="8" t="s">
        <v>83</v>
      </c>
      <c r="D60" s="9" t="s">
        <v>127</v>
      </c>
      <c r="E60" s="8">
        <v>2000</v>
      </c>
      <c r="F60" s="8" t="s">
        <v>129</v>
      </c>
      <c r="G60" s="17">
        <v>118584</v>
      </c>
      <c r="H60" s="8">
        <f>E60</f>
        <v>2000</v>
      </c>
      <c r="I60" s="8" t="s">
        <v>129</v>
      </c>
      <c r="J60" s="8">
        <v>3</v>
      </c>
      <c r="K60" s="8" t="s">
        <v>129</v>
      </c>
      <c r="L60" s="8">
        <f t="shared" si="4"/>
        <v>1.953125E-3</v>
      </c>
      <c r="M60" s="8" t="str">
        <f t="shared" si="1"/>
        <v>sheel</v>
      </c>
      <c r="N60" s="3">
        <f t="shared" si="8"/>
        <v>0.1158046875</v>
      </c>
      <c r="O60" s="5">
        <f t="shared" si="6"/>
        <v>1.0248202433628319E-3</v>
      </c>
      <c r="P60" s="1">
        <f t="shared" si="3"/>
        <v>8.8400524809160302E-4</v>
      </c>
    </row>
    <row r="61" spans="1:16">
      <c r="A61" s="8" t="s">
        <v>149</v>
      </c>
      <c r="B61" s="17" t="s">
        <v>147</v>
      </c>
      <c r="C61" s="13" t="s">
        <v>95</v>
      </c>
      <c r="D61" s="9"/>
      <c r="E61" s="8">
        <v>100</v>
      </c>
      <c r="F61" s="8" t="s">
        <v>98</v>
      </c>
      <c r="G61" s="8">
        <v>29419</v>
      </c>
      <c r="H61" s="8">
        <v>310</v>
      </c>
      <c r="I61" s="8" t="s">
        <v>148</v>
      </c>
      <c r="J61" s="8">
        <f>6</f>
        <v>6</v>
      </c>
      <c r="K61" s="8" t="s">
        <v>183</v>
      </c>
      <c r="L61" s="8">
        <f t="shared" si="4"/>
        <v>3.90625E-3</v>
      </c>
      <c r="M61" s="8" t="str">
        <f t="shared" si="1"/>
        <v>uL (for 1set of 1,536 indexes)</v>
      </c>
      <c r="N61" s="4">
        <f t="shared" si="8"/>
        <v>0.37070312500000002</v>
      </c>
      <c r="O61" s="5">
        <f t="shared" si="6"/>
        <v>3.2805586283185841E-3</v>
      </c>
      <c r="P61" s="1">
        <f t="shared" si="3"/>
        <v>2.8297948473282445E-3</v>
      </c>
    </row>
    <row r="63" spans="1:16">
      <c r="M63" s="26" t="s">
        <v>158</v>
      </c>
      <c r="N63" s="29">
        <f>SUM(N3:N61)-N33-N34-N46-N47</f>
        <v>45.517333225772042</v>
      </c>
      <c r="O63" s="1">
        <f>SUM(O3:O61)-O33-O34-O46-O47</f>
        <v>0.4028082586351508</v>
      </c>
      <c r="P63" s="1">
        <f>SUM(P3:P61)-P33-P34-P46-P47</f>
        <v>0.34746055897535905</v>
      </c>
    </row>
    <row r="64" spans="1:16">
      <c r="M64" s="26" t="s">
        <v>159</v>
      </c>
      <c r="N64" s="30">
        <f>N63+N33+N46</f>
        <v>46.246026407590229</v>
      </c>
      <c r="O64" s="1">
        <f>O63+O33+O46</f>
        <v>0.40925687086363027</v>
      </c>
      <c r="P64" s="1">
        <f>P63+P33+P46</f>
        <v>0.35302310234801687</v>
      </c>
    </row>
    <row r="65" spans="13:16">
      <c r="M65" s="26" t="s">
        <v>160</v>
      </c>
      <c r="N65" s="31">
        <f>N63+N34+N47</f>
        <v>45.74519780910537</v>
      </c>
      <c r="O65" s="1">
        <f>O63+O34+O47</f>
        <v>0.40482475937261397</v>
      </c>
      <c r="P65" s="1">
        <f>P63+P34+P47</f>
        <v>0.34919998327561347</v>
      </c>
    </row>
  </sheetData>
  <autoFilter ref="A2:P2"/>
  <phoneticPr fontId="1"/>
  <conditionalFormatting sqref="N3:N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S65"/>
  <sheetViews>
    <sheetView workbookViewId="0"/>
  </sheetViews>
  <sheetFormatPr baseColWidth="12" defaultRowHeight="15" x14ac:dyDescent="0"/>
  <cols>
    <col min="1" max="1" width="27.33203125" style="1" customWidth="1"/>
    <col min="2" max="2" width="40.6640625" style="1" bestFit="1" customWidth="1"/>
    <col min="3" max="3" width="23.1640625" style="1" bestFit="1" customWidth="1"/>
    <col min="4" max="4" width="19.83203125" style="7" bestFit="1" customWidth="1"/>
    <col min="5" max="6" width="15" style="1" bestFit="1" customWidth="1"/>
    <col min="7" max="7" width="25.6640625" style="1" bestFit="1" customWidth="1"/>
    <col min="8" max="9" width="21.1640625" style="1" bestFit="1" customWidth="1"/>
    <col min="10" max="10" width="22.6640625" style="1" bestFit="1" customWidth="1"/>
    <col min="11" max="11" width="27.5" style="1" bestFit="1" customWidth="1"/>
    <col min="12" max="12" width="19.1640625" style="1" bestFit="1" customWidth="1"/>
    <col min="13" max="13" width="42.1640625" style="1" bestFit="1" customWidth="1"/>
    <col min="14" max="14" width="23" style="1" bestFit="1" customWidth="1"/>
    <col min="15" max="15" width="25" style="1" bestFit="1" customWidth="1"/>
    <col min="16" max="16" width="23.83203125" style="1" bestFit="1" customWidth="1"/>
    <col min="17" max="17" width="12.83203125" style="1"/>
    <col min="18" max="18" width="26.33203125" style="1" bestFit="1" customWidth="1"/>
    <col min="19" max="19" width="10.1640625" style="1" bestFit="1" customWidth="1"/>
    <col min="20" max="16384" width="12.83203125" style="1"/>
  </cols>
  <sheetData>
    <row r="1" spans="1:19" ht="32" customHeight="1">
      <c r="A1" s="11" t="s">
        <v>170</v>
      </c>
      <c r="S1" s="1" t="s">
        <v>172</v>
      </c>
    </row>
    <row r="2" spans="1:19">
      <c r="A2" s="26" t="s">
        <v>0</v>
      </c>
      <c r="B2" s="26" t="s">
        <v>1</v>
      </c>
      <c r="C2" s="26" t="s">
        <v>2</v>
      </c>
      <c r="D2" s="27" t="s">
        <v>2</v>
      </c>
      <c r="E2" s="26" t="s">
        <v>150</v>
      </c>
      <c r="F2" s="26" t="s">
        <v>150</v>
      </c>
      <c r="G2" s="26" t="s">
        <v>154</v>
      </c>
      <c r="H2" s="26" t="s">
        <v>152</v>
      </c>
      <c r="I2" s="26" t="s">
        <v>152</v>
      </c>
      <c r="J2" s="26" t="s">
        <v>185</v>
      </c>
      <c r="K2" s="26" t="s">
        <v>185</v>
      </c>
      <c r="L2" s="26" t="s">
        <v>140</v>
      </c>
      <c r="M2" s="26" t="s">
        <v>140</v>
      </c>
      <c r="N2" s="26" t="s">
        <v>157</v>
      </c>
      <c r="O2" s="26" t="s">
        <v>156</v>
      </c>
      <c r="P2" s="26" t="s">
        <v>155</v>
      </c>
      <c r="R2" s="28" t="s">
        <v>194</v>
      </c>
      <c r="S2" s="28">
        <v>113</v>
      </c>
    </row>
    <row r="3" spans="1:19">
      <c r="A3" s="13" t="s">
        <v>79</v>
      </c>
      <c r="B3" s="16" t="s">
        <v>69</v>
      </c>
      <c r="C3" s="8" t="s">
        <v>71</v>
      </c>
      <c r="D3" s="9" t="s">
        <v>70</v>
      </c>
      <c r="E3" s="8">
        <v>25</v>
      </c>
      <c r="F3" s="8" t="s">
        <v>68</v>
      </c>
      <c r="G3" s="8">
        <v>23225</v>
      </c>
      <c r="H3" s="8">
        <v>25</v>
      </c>
      <c r="I3" s="8" t="s">
        <v>68</v>
      </c>
      <c r="J3" s="8">
        <v>4</v>
      </c>
      <c r="K3" s="8" t="s">
        <v>68</v>
      </c>
      <c r="L3" s="8">
        <f>J3/1536</f>
        <v>2.6041666666666665E-3</v>
      </c>
      <c r="M3" s="8" t="str">
        <f>K3</f>
        <v>plate</v>
      </c>
      <c r="N3" s="2">
        <f t="shared" ref="N3:N22" si="0">G3/H3*L3</f>
        <v>2.419270833333333</v>
      </c>
      <c r="O3" s="1">
        <f>N3/$S$2</f>
        <v>2.1409476401179937E-2</v>
      </c>
      <c r="P3" s="1">
        <f>N3/$S$3</f>
        <v>1.8467716284987275E-2</v>
      </c>
      <c r="R3" s="28" t="s">
        <v>197</v>
      </c>
      <c r="S3" s="28">
        <v>131</v>
      </c>
    </row>
    <row r="4" spans="1:19" ht="30">
      <c r="A4" s="13" t="s">
        <v>79</v>
      </c>
      <c r="B4" s="16" t="s">
        <v>82</v>
      </c>
      <c r="C4" s="8" t="s">
        <v>83</v>
      </c>
      <c r="D4" s="9" t="s">
        <v>84</v>
      </c>
      <c r="E4" s="8">
        <v>50</v>
      </c>
      <c r="F4" s="8" t="s">
        <v>85</v>
      </c>
      <c r="G4" s="8">
        <v>493506</v>
      </c>
      <c r="H4" s="8">
        <v>50</v>
      </c>
      <c r="I4" s="8" t="s">
        <v>85</v>
      </c>
      <c r="J4" s="8">
        <f>1/30*4</f>
        <v>0.13333333333333333</v>
      </c>
      <c r="K4" s="8" t="s">
        <v>189</v>
      </c>
      <c r="L4" s="8">
        <f>J4/1536</f>
        <v>8.6805555555555559E-5</v>
      </c>
      <c r="M4" s="8" t="str">
        <f t="shared" ref="M4:M61" si="1">K4</f>
        <v>rack (for 30 plates x 4sets)</v>
      </c>
      <c r="N4" s="3">
        <f t="shared" si="0"/>
        <v>0.85678125000000005</v>
      </c>
      <c r="O4" s="1">
        <f t="shared" ref="O4:O22" si="2">N4/$S$2</f>
        <v>7.5821349557522125E-3</v>
      </c>
      <c r="P4" s="1">
        <f t="shared" ref="P4:P61" si="3">N4/$S$3</f>
        <v>6.5403148854961835E-3</v>
      </c>
    </row>
    <row r="5" spans="1:19">
      <c r="A5" s="8" t="s">
        <v>5</v>
      </c>
      <c r="B5" s="17" t="s">
        <v>30</v>
      </c>
      <c r="C5" s="8" t="s">
        <v>125</v>
      </c>
      <c r="D5" s="9"/>
      <c r="E5" s="8">
        <v>100</v>
      </c>
      <c r="F5" s="8" t="s">
        <v>8</v>
      </c>
      <c r="G5" s="8">
        <f>74*13</f>
        <v>962</v>
      </c>
      <c r="H5" s="8">
        <v>100</v>
      </c>
      <c r="I5" s="8" t="s">
        <v>131</v>
      </c>
      <c r="J5" s="8">
        <f>384*0.000625*4</f>
        <v>0.96</v>
      </c>
      <c r="K5" s="8" t="s">
        <v>131</v>
      </c>
      <c r="L5" s="8">
        <f t="shared" ref="L5:L61" si="4">J5/1536</f>
        <v>6.2500000000000001E-4</v>
      </c>
      <c r="M5" s="8" t="str">
        <f t="shared" si="1"/>
        <v>uL</v>
      </c>
      <c r="N5" s="3">
        <f t="shared" si="0"/>
        <v>6.0124999999999996E-3</v>
      </c>
      <c r="O5" s="1">
        <f t="shared" si="2"/>
        <v>5.3207964601769906E-5</v>
      </c>
      <c r="P5" s="1">
        <f t="shared" si="3"/>
        <v>4.589694656488549E-5</v>
      </c>
    </row>
    <row r="6" spans="1:19">
      <c r="A6" s="8" t="s">
        <v>5</v>
      </c>
      <c r="B6" s="17" t="s">
        <v>37</v>
      </c>
      <c r="C6" s="8" t="s">
        <v>17</v>
      </c>
      <c r="D6" s="9">
        <v>28324</v>
      </c>
      <c r="E6" s="8">
        <v>10</v>
      </c>
      <c r="F6" s="8" t="s">
        <v>6</v>
      </c>
      <c r="G6" s="8">
        <v>16050</v>
      </c>
      <c r="H6" s="8">
        <f>6*10*1000</f>
        <v>60000</v>
      </c>
      <c r="I6" s="8" t="s">
        <v>131</v>
      </c>
      <c r="J6" s="8">
        <f>0.03*384*4</f>
        <v>46.08</v>
      </c>
      <c r="K6" s="8" t="s">
        <v>131</v>
      </c>
      <c r="L6" s="8">
        <f t="shared" si="4"/>
        <v>0.03</v>
      </c>
      <c r="M6" s="8" t="str">
        <f t="shared" si="1"/>
        <v>uL</v>
      </c>
      <c r="N6" s="3">
        <f t="shared" si="0"/>
        <v>8.0250000000000009E-3</v>
      </c>
      <c r="O6" s="1">
        <f t="shared" si="2"/>
        <v>7.1017699115044259E-5</v>
      </c>
      <c r="P6" s="1">
        <f t="shared" si="3"/>
        <v>6.1259541984732828E-5</v>
      </c>
    </row>
    <row r="7" spans="1:19">
      <c r="A7" s="8" t="s">
        <v>5</v>
      </c>
      <c r="B7" s="17" t="s">
        <v>4</v>
      </c>
      <c r="C7" s="8" t="s">
        <v>17</v>
      </c>
      <c r="D7" s="9">
        <v>18427088</v>
      </c>
      <c r="E7" s="8">
        <v>10</v>
      </c>
      <c r="F7" s="8" t="s">
        <v>3</v>
      </c>
      <c r="G7" s="8">
        <v>83721</v>
      </c>
      <c r="H7" s="8">
        <v>1000</v>
      </c>
      <c r="I7" s="8" t="s">
        <v>131</v>
      </c>
      <c r="J7" s="8">
        <f>0.04/3.3*384*4</f>
        <v>18.618181818181821</v>
      </c>
      <c r="K7" s="8" t="s">
        <v>131</v>
      </c>
      <c r="L7" s="8">
        <f t="shared" si="4"/>
        <v>1.2121212121212123E-2</v>
      </c>
      <c r="M7" s="8" t="str">
        <f t="shared" si="1"/>
        <v>uL</v>
      </c>
      <c r="N7" s="3">
        <f t="shared" si="0"/>
        <v>1.0148000000000001</v>
      </c>
      <c r="O7" s="1">
        <f t="shared" si="2"/>
        <v>8.9805309734513287E-3</v>
      </c>
      <c r="P7" s="1">
        <f t="shared" si="3"/>
        <v>7.7465648854961842E-3</v>
      </c>
    </row>
    <row r="8" spans="1:19">
      <c r="A8" s="8" t="s">
        <v>5</v>
      </c>
      <c r="B8" s="17" t="s">
        <v>10</v>
      </c>
      <c r="C8" s="8" t="s">
        <v>78</v>
      </c>
      <c r="D8" s="9" t="s">
        <v>93</v>
      </c>
      <c r="E8" s="8">
        <v>40</v>
      </c>
      <c r="F8" s="8" t="s">
        <v>7</v>
      </c>
      <c r="G8" s="8">
        <v>41040</v>
      </c>
      <c r="H8" s="8">
        <v>250</v>
      </c>
      <c r="I8" s="8" t="s">
        <v>131</v>
      </c>
      <c r="J8" s="8">
        <f>0.025*384*4</f>
        <v>38.400000000000006</v>
      </c>
      <c r="K8" s="8" t="s">
        <v>131</v>
      </c>
      <c r="L8" s="8">
        <f t="shared" si="4"/>
        <v>2.5000000000000005E-2</v>
      </c>
      <c r="M8" s="8" t="str">
        <f t="shared" si="1"/>
        <v>uL</v>
      </c>
      <c r="N8" s="3">
        <f t="shared" si="0"/>
        <v>4.104000000000001</v>
      </c>
      <c r="O8" s="1">
        <f t="shared" si="2"/>
        <v>3.6318584070796467E-2</v>
      </c>
      <c r="P8" s="1">
        <f t="shared" si="3"/>
        <v>3.1328244274809167E-2</v>
      </c>
    </row>
    <row r="9" spans="1:19">
      <c r="A9" s="8" t="s">
        <v>5</v>
      </c>
      <c r="B9" s="17" t="s">
        <v>11</v>
      </c>
      <c r="C9" s="8" t="s">
        <v>55</v>
      </c>
      <c r="D9" s="9">
        <v>9012</v>
      </c>
      <c r="E9" s="8">
        <f>10*1000</f>
        <v>10000</v>
      </c>
      <c r="F9" s="8" t="s">
        <v>52</v>
      </c>
      <c r="G9" s="8">
        <v>3672</v>
      </c>
      <c r="H9" s="8">
        <f>10*1000</f>
        <v>10000</v>
      </c>
      <c r="I9" s="8" t="s">
        <v>52</v>
      </c>
      <c r="J9" s="8">
        <f>(0.5*384*4)-SUM(J5:J8)</f>
        <v>663.94181818181823</v>
      </c>
      <c r="K9" s="8" t="s">
        <v>52</v>
      </c>
      <c r="L9" s="8">
        <f t="shared" si="4"/>
        <v>0.43225378787878793</v>
      </c>
      <c r="M9" s="8" t="str">
        <f t="shared" si="1"/>
        <v>uL</v>
      </c>
      <c r="N9" s="3">
        <f t="shared" si="0"/>
        <v>0.15872359090909094</v>
      </c>
      <c r="O9" s="1">
        <f>N9/$S$2</f>
        <v>1.4046335478680614E-3</v>
      </c>
      <c r="P9" s="1">
        <f t="shared" si="3"/>
        <v>1.2116304649548927E-3</v>
      </c>
    </row>
    <row r="10" spans="1:19">
      <c r="A10" s="8" t="s">
        <v>14</v>
      </c>
      <c r="B10" s="17" t="s">
        <v>88</v>
      </c>
      <c r="C10" s="8" t="s">
        <v>90</v>
      </c>
      <c r="D10" s="9" t="s">
        <v>89</v>
      </c>
      <c r="E10" s="8">
        <v>10</v>
      </c>
      <c r="F10" s="8" t="s">
        <v>15</v>
      </c>
      <c r="G10" s="8">
        <v>3110</v>
      </c>
      <c r="H10" s="8">
        <f>6*1000</f>
        <v>6000</v>
      </c>
      <c r="I10" s="8" t="s">
        <v>131</v>
      </c>
      <c r="J10" s="8">
        <f>0.2*384*4</f>
        <v>307.20000000000005</v>
      </c>
      <c r="K10" s="8" t="s">
        <v>131</v>
      </c>
      <c r="L10" s="8">
        <f t="shared" si="4"/>
        <v>0.20000000000000004</v>
      </c>
      <c r="M10" s="8" t="str">
        <f t="shared" si="1"/>
        <v>uL</v>
      </c>
      <c r="N10" s="3">
        <f t="shared" si="0"/>
        <v>0.10366666666666668</v>
      </c>
      <c r="O10" s="1">
        <f t="shared" si="2"/>
        <v>9.1740412979351049E-4</v>
      </c>
      <c r="P10" s="1">
        <f t="shared" si="3"/>
        <v>7.9134860050890604E-4</v>
      </c>
    </row>
    <row r="11" spans="1:19" s="6" customFormat="1">
      <c r="A11" s="14" t="s">
        <v>14</v>
      </c>
      <c r="B11" s="18" t="s">
        <v>13</v>
      </c>
      <c r="C11" s="14" t="s">
        <v>17</v>
      </c>
      <c r="D11" s="19">
        <v>18080085</v>
      </c>
      <c r="E11" s="14">
        <v>200</v>
      </c>
      <c r="F11" s="14" t="s">
        <v>7</v>
      </c>
      <c r="G11" s="14">
        <v>139200</v>
      </c>
      <c r="H11" s="14">
        <v>200</v>
      </c>
      <c r="I11" s="14" t="s">
        <v>131</v>
      </c>
      <c r="J11" s="14">
        <f>0.025*384*4/4</f>
        <v>9.6000000000000014</v>
      </c>
      <c r="K11" s="14" t="s">
        <v>131</v>
      </c>
      <c r="L11" s="25">
        <f>J11/1536</f>
        <v>6.2500000000000012E-3</v>
      </c>
      <c r="M11" s="14" t="str">
        <f t="shared" si="1"/>
        <v>uL</v>
      </c>
      <c r="N11" s="6">
        <f t="shared" si="0"/>
        <v>4.3500000000000005</v>
      </c>
      <c r="O11" s="6">
        <f t="shared" si="2"/>
        <v>3.8495575221238941E-2</v>
      </c>
      <c r="P11" s="6">
        <f t="shared" si="3"/>
        <v>3.3206106870229013E-2</v>
      </c>
    </row>
    <row r="12" spans="1:19" s="6" customFormat="1">
      <c r="A12" s="14" t="s">
        <v>14</v>
      </c>
      <c r="B12" s="18" t="s">
        <v>9</v>
      </c>
      <c r="C12" s="14" t="s">
        <v>78</v>
      </c>
      <c r="D12" s="19" t="s">
        <v>93</v>
      </c>
      <c r="E12" s="14">
        <v>40</v>
      </c>
      <c r="F12" s="14" t="s">
        <v>7</v>
      </c>
      <c r="G12" s="14">
        <v>41040</v>
      </c>
      <c r="H12" s="14">
        <v>250</v>
      </c>
      <c r="I12" s="14" t="s">
        <v>131</v>
      </c>
      <c r="J12" s="14">
        <f>0.01375*384*4/4</f>
        <v>5.28</v>
      </c>
      <c r="K12" s="14" t="s">
        <v>131</v>
      </c>
      <c r="L12" s="25">
        <f t="shared" si="4"/>
        <v>3.4375E-3</v>
      </c>
      <c r="M12" s="14" t="str">
        <f t="shared" si="1"/>
        <v>uL</v>
      </c>
      <c r="N12" s="6">
        <f t="shared" si="0"/>
        <v>0.56430000000000002</v>
      </c>
      <c r="O12" s="6">
        <f>N12/$S$2</f>
        <v>4.9938053097345137E-3</v>
      </c>
      <c r="P12" s="6">
        <f t="shared" si="3"/>
        <v>4.3076335877862597E-3</v>
      </c>
    </row>
    <row r="13" spans="1:19">
      <c r="A13" s="8" t="s">
        <v>14</v>
      </c>
      <c r="B13" s="17" t="s">
        <v>11</v>
      </c>
      <c r="C13" s="8" t="s">
        <v>55</v>
      </c>
      <c r="D13" s="9">
        <v>9012</v>
      </c>
      <c r="E13" s="8">
        <f>10*1000</f>
        <v>10000</v>
      </c>
      <c r="F13" s="8" t="s">
        <v>52</v>
      </c>
      <c r="G13" s="8">
        <v>3672</v>
      </c>
      <c r="H13" s="8">
        <f>10*1000</f>
        <v>10000</v>
      </c>
      <c r="I13" s="8" t="s">
        <v>52</v>
      </c>
      <c r="J13" s="8">
        <f>(4*384)-SUM(J10:J12)</f>
        <v>1213.92</v>
      </c>
      <c r="K13" s="8" t="s">
        <v>52</v>
      </c>
      <c r="L13" s="8">
        <f t="shared" si="4"/>
        <v>0.79031250000000008</v>
      </c>
      <c r="M13" s="8" t="str">
        <f t="shared" si="1"/>
        <v>uL</v>
      </c>
      <c r="N13" s="3">
        <f t="shared" si="0"/>
        <v>0.29020275000000006</v>
      </c>
      <c r="O13" s="1">
        <f t="shared" si="2"/>
        <v>2.5681659292035404E-3</v>
      </c>
      <c r="P13" s="1">
        <f t="shared" si="3"/>
        <v>2.2152881679389316E-3</v>
      </c>
    </row>
    <row r="14" spans="1:19">
      <c r="A14" s="8" t="s">
        <v>49</v>
      </c>
      <c r="B14" s="17" t="s">
        <v>64</v>
      </c>
      <c r="C14" s="8" t="s">
        <v>66</v>
      </c>
      <c r="D14" s="9" t="s">
        <v>65</v>
      </c>
      <c r="E14" s="8">
        <v>40</v>
      </c>
      <c r="F14" s="8" t="s">
        <v>67</v>
      </c>
      <c r="G14" s="8">
        <v>32319</v>
      </c>
      <c r="H14" s="8">
        <v>40</v>
      </c>
      <c r="I14" s="8" t="s">
        <v>67</v>
      </c>
      <c r="J14" s="8">
        <f>1*2</f>
        <v>2</v>
      </c>
      <c r="K14" s="8" t="s">
        <v>67</v>
      </c>
      <c r="L14" s="8">
        <f t="shared" si="4"/>
        <v>1.3020833333333333E-3</v>
      </c>
      <c r="M14" s="8" t="str">
        <f t="shared" si="1"/>
        <v>reservoir</v>
      </c>
      <c r="N14" s="3">
        <f t="shared" si="0"/>
        <v>1.05205078125</v>
      </c>
      <c r="O14" s="1">
        <f>N14/$S$2</f>
        <v>9.3101839048672554E-3</v>
      </c>
      <c r="P14" s="1">
        <f t="shared" si="3"/>
        <v>8.0309219942748082E-3</v>
      </c>
    </row>
    <row r="15" spans="1:19">
      <c r="A15" s="8" t="s">
        <v>49</v>
      </c>
      <c r="B15" s="17" t="s">
        <v>61</v>
      </c>
      <c r="C15" s="8" t="s">
        <v>60</v>
      </c>
      <c r="D15" s="9" t="s">
        <v>62</v>
      </c>
      <c r="E15" s="8">
        <f>250*0.3048</f>
        <v>76.2</v>
      </c>
      <c r="F15" s="8" t="s">
        <v>63</v>
      </c>
      <c r="G15" s="8">
        <v>3600</v>
      </c>
      <c r="H15" s="8">
        <f>250*0.3048</f>
        <v>76.2</v>
      </c>
      <c r="I15" s="8" t="s">
        <v>136</v>
      </c>
      <c r="J15" s="8">
        <f>0.43*2</f>
        <v>0.86</v>
      </c>
      <c r="K15" s="8" t="s">
        <v>136</v>
      </c>
      <c r="L15" s="8">
        <f t="shared" si="4"/>
        <v>5.5989583333333336E-4</v>
      </c>
      <c r="M15" s="8" t="str">
        <f t="shared" si="1"/>
        <v>meter</v>
      </c>
      <c r="N15" s="3">
        <f t="shared" si="0"/>
        <v>2.6451771653543309E-2</v>
      </c>
      <c r="O15" s="1">
        <f t="shared" si="2"/>
        <v>2.3408647481011779E-4</v>
      </c>
      <c r="P15" s="1">
        <f t="shared" si="3"/>
        <v>2.0192192101941458E-4</v>
      </c>
    </row>
    <row r="16" spans="1:19">
      <c r="A16" s="15" t="s">
        <v>19</v>
      </c>
      <c r="B16" s="20" t="s">
        <v>20</v>
      </c>
      <c r="C16" s="15" t="s">
        <v>21</v>
      </c>
      <c r="D16" s="21" t="s">
        <v>22</v>
      </c>
      <c r="E16" s="15">
        <v>200</v>
      </c>
      <c r="F16" s="15" t="s">
        <v>23</v>
      </c>
      <c r="G16" s="15">
        <v>46820</v>
      </c>
      <c r="H16" s="15">
        <v>200</v>
      </c>
      <c r="I16" s="15" t="s">
        <v>23</v>
      </c>
      <c r="J16" s="15">
        <f>3/3*8</f>
        <v>8</v>
      </c>
      <c r="K16" s="15" t="s">
        <v>23</v>
      </c>
      <c r="L16" s="15">
        <f t="shared" si="4"/>
        <v>5.208333333333333E-3</v>
      </c>
      <c r="M16" s="15" t="str">
        <f t="shared" si="1"/>
        <v>column/time</v>
      </c>
      <c r="N16" s="3">
        <f t="shared" si="0"/>
        <v>1.2192708333333333</v>
      </c>
      <c r="O16" s="1">
        <f t="shared" si="2"/>
        <v>1.0790007374631268E-2</v>
      </c>
      <c r="P16" s="1">
        <f t="shared" si="3"/>
        <v>9.3074109414758265E-3</v>
      </c>
    </row>
    <row r="17" spans="1:16">
      <c r="A17" s="15" t="s">
        <v>19</v>
      </c>
      <c r="B17" s="20" t="s">
        <v>11</v>
      </c>
      <c r="C17" s="15" t="s">
        <v>55</v>
      </c>
      <c r="D17" s="21">
        <v>9012</v>
      </c>
      <c r="E17" s="15">
        <f>10*1000</f>
        <v>10000</v>
      </c>
      <c r="F17" s="15" t="s">
        <v>52</v>
      </c>
      <c r="G17" s="15">
        <v>3672</v>
      </c>
      <c r="H17" s="15">
        <f>10*1000</f>
        <v>10000</v>
      </c>
      <c r="I17" s="15" t="s">
        <v>52</v>
      </c>
      <c r="J17" s="15">
        <f>63/3*8</f>
        <v>168</v>
      </c>
      <c r="K17" s="15" t="s">
        <v>52</v>
      </c>
      <c r="L17" s="15">
        <f t="shared" si="4"/>
        <v>0.109375</v>
      </c>
      <c r="M17" s="15" t="str">
        <f t="shared" si="1"/>
        <v>uL</v>
      </c>
      <c r="N17" s="3">
        <f t="shared" si="0"/>
        <v>4.0162500000000004E-2</v>
      </c>
      <c r="O17" s="1">
        <f t="shared" si="2"/>
        <v>3.5542035398230089E-4</v>
      </c>
      <c r="P17" s="1">
        <f t="shared" si="3"/>
        <v>3.065839694656489E-4</v>
      </c>
    </row>
    <row r="18" spans="1:16">
      <c r="A18" s="15" t="s">
        <v>24</v>
      </c>
      <c r="B18" s="20" t="s">
        <v>12</v>
      </c>
      <c r="C18" s="15" t="s">
        <v>90</v>
      </c>
      <c r="D18" s="21" t="s">
        <v>89</v>
      </c>
      <c r="E18" s="15">
        <v>10</v>
      </c>
      <c r="F18" s="15" t="s">
        <v>26</v>
      </c>
      <c r="G18" s="15">
        <v>3110</v>
      </c>
      <c r="H18" s="15">
        <f>6*1000</f>
        <v>6000</v>
      </c>
      <c r="I18" s="15" t="s">
        <v>131</v>
      </c>
      <c r="J18" s="15">
        <f>7.5/3*8</f>
        <v>20</v>
      </c>
      <c r="K18" s="15" t="s">
        <v>131</v>
      </c>
      <c r="L18" s="15">
        <f t="shared" si="4"/>
        <v>1.3020833333333334E-2</v>
      </c>
      <c r="M18" s="15" t="str">
        <f t="shared" si="1"/>
        <v>uL</v>
      </c>
      <c r="N18" s="3">
        <f t="shared" si="0"/>
        <v>6.7491319444444448E-3</v>
      </c>
      <c r="O18" s="1">
        <f t="shared" si="2"/>
        <v>5.9726831366764999E-5</v>
      </c>
      <c r="P18" s="1">
        <f t="shared" si="3"/>
        <v>5.1520091178965224E-5</v>
      </c>
    </row>
    <row r="19" spans="1:16">
      <c r="A19" s="15" t="s">
        <v>24</v>
      </c>
      <c r="B19" s="20" t="s">
        <v>25</v>
      </c>
      <c r="C19" s="15" t="s">
        <v>17</v>
      </c>
      <c r="D19" s="21">
        <v>10216018</v>
      </c>
      <c r="E19" s="15">
        <v>100</v>
      </c>
      <c r="F19" s="15" t="s">
        <v>3</v>
      </c>
      <c r="G19" s="15">
        <v>8920</v>
      </c>
      <c r="H19" s="15">
        <v>250</v>
      </c>
      <c r="I19" s="15" t="s">
        <v>131</v>
      </c>
      <c r="J19" s="15">
        <f>(1.8)/3*8</f>
        <v>4.8</v>
      </c>
      <c r="K19" s="15" t="s">
        <v>131</v>
      </c>
      <c r="L19" s="15">
        <f t="shared" si="4"/>
        <v>3.1249999999999997E-3</v>
      </c>
      <c r="M19" s="15" t="str">
        <f t="shared" si="1"/>
        <v>uL</v>
      </c>
      <c r="N19" s="3">
        <f t="shared" si="0"/>
        <v>0.11149999999999999</v>
      </c>
      <c r="O19" s="1">
        <f t="shared" si="2"/>
        <v>9.8672566371681408E-4</v>
      </c>
      <c r="P19" s="1">
        <f t="shared" si="3"/>
        <v>8.5114503816793884E-4</v>
      </c>
    </row>
    <row r="20" spans="1:16">
      <c r="A20" s="15" t="s">
        <v>24</v>
      </c>
      <c r="B20" s="20" t="s">
        <v>162</v>
      </c>
      <c r="C20" s="15" t="s">
        <v>28</v>
      </c>
      <c r="D20" s="21" t="s">
        <v>163</v>
      </c>
      <c r="E20" s="15">
        <v>2</v>
      </c>
      <c r="F20" s="15" t="s">
        <v>7</v>
      </c>
      <c r="G20" s="15">
        <v>33320</v>
      </c>
      <c r="H20" s="15">
        <v>60</v>
      </c>
      <c r="I20" s="15" t="s">
        <v>131</v>
      </c>
      <c r="J20" s="15">
        <f>(1.44)/3*8</f>
        <v>3.84</v>
      </c>
      <c r="K20" s="15" t="s">
        <v>131</v>
      </c>
      <c r="L20" s="15">
        <f t="shared" si="4"/>
        <v>2.5000000000000001E-3</v>
      </c>
      <c r="M20" s="15" t="str">
        <f t="shared" si="1"/>
        <v>uL</v>
      </c>
      <c r="N20" s="3">
        <f t="shared" si="0"/>
        <v>1.3883333333333334</v>
      </c>
      <c r="O20" s="1">
        <f t="shared" si="2"/>
        <v>1.2286135693215339E-2</v>
      </c>
      <c r="P20" s="1">
        <f t="shared" si="3"/>
        <v>1.0597964376590331E-2</v>
      </c>
    </row>
    <row r="21" spans="1:16">
      <c r="A21" s="15" t="s">
        <v>24</v>
      </c>
      <c r="B21" s="20" t="s">
        <v>86</v>
      </c>
      <c r="C21" s="15" t="s">
        <v>87</v>
      </c>
      <c r="D21" s="21">
        <v>3333574001</v>
      </c>
      <c r="E21" s="15">
        <v>400</v>
      </c>
      <c r="F21" s="15" t="s">
        <v>7</v>
      </c>
      <c r="G21" s="15">
        <v>28300</v>
      </c>
      <c r="H21" s="15">
        <v>60</v>
      </c>
      <c r="I21" s="15" t="s">
        <v>131</v>
      </c>
      <c r="J21" s="15">
        <f>(5.04)/3*8</f>
        <v>13.44</v>
      </c>
      <c r="K21" s="15" t="s">
        <v>131</v>
      </c>
      <c r="L21" s="15">
        <f t="shared" si="4"/>
        <v>8.7499999999999991E-3</v>
      </c>
      <c r="M21" s="15" t="str">
        <f t="shared" si="1"/>
        <v>uL</v>
      </c>
      <c r="N21" s="3">
        <f t="shared" si="0"/>
        <v>4.1270833333333332</v>
      </c>
      <c r="O21" s="1">
        <f t="shared" si="2"/>
        <v>3.6522861356932154E-2</v>
      </c>
      <c r="P21" s="1">
        <f t="shared" si="3"/>
        <v>3.1504452926208654E-2</v>
      </c>
    </row>
    <row r="22" spans="1:16">
      <c r="A22" s="15" t="s">
        <v>24</v>
      </c>
      <c r="B22" s="20" t="s">
        <v>11</v>
      </c>
      <c r="C22" s="15" t="s">
        <v>55</v>
      </c>
      <c r="D22" s="21">
        <v>9012</v>
      </c>
      <c r="E22" s="15">
        <f>10*1000</f>
        <v>10000</v>
      </c>
      <c r="F22" s="15" t="s">
        <v>52</v>
      </c>
      <c r="G22" s="15">
        <v>3672</v>
      </c>
      <c r="H22" s="15">
        <f>10*1000</f>
        <v>10000</v>
      </c>
      <c r="I22" s="15" t="s">
        <v>52</v>
      </c>
      <c r="J22" s="15">
        <f>(59.22)/3*8</f>
        <v>157.91999999999999</v>
      </c>
      <c r="K22" s="15" t="s">
        <v>52</v>
      </c>
      <c r="L22" s="15">
        <f t="shared" si="4"/>
        <v>0.10281249999999999</v>
      </c>
      <c r="M22" s="15" t="str">
        <f t="shared" si="1"/>
        <v>uL</v>
      </c>
      <c r="N22" s="3">
        <f t="shared" si="0"/>
        <v>3.7752749999999995E-2</v>
      </c>
      <c r="O22" s="1">
        <f t="shared" si="2"/>
        <v>3.3409513274336276E-4</v>
      </c>
      <c r="P22" s="1">
        <f t="shared" si="3"/>
        <v>2.8818893129770989E-4</v>
      </c>
    </row>
    <row r="23" spans="1:16" ht="60">
      <c r="A23" s="15" t="s">
        <v>29</v>
      </c>
      <c r="B23" s="20" t="s">
        <v>56</v>
      </c>
      <c r="C23" s="15" t="s">
        <v>55</v>
      </c>
      <c r="D23" s="21" t="s">
        <v>58</v>
      </c>
      <c r="E23" s="15">
        <v>2</v>
      </c>
      <c r="F23" s="15" t="s">
        <v>15</v>
      </c>
      <c r="G23" s="15"/>
      <c r="H23" s="15"/>
      <c r="I23" s="15" t="s">
        <v>131</v>
      </c>
      <c r="J23" s="15">
        <f>300.48/3*8</f>
        <v>801.28000000000009</v>
      </c>
      <c r="K23" s="15" t="s">
        <v>131</v>
      </c>
      <c r="L23" s="15">
        <f t="shared" si="4"/>
        <v>0.52166666666666672</v>
      </c>
      <c r="M23" s="15" t="str">
        <f t="shared" si="1"/>
        <v>uL</v>
      </c>
      <c r="N23" s="3"/>
    </row>
    <row r="24" spans="1:16" ht="60">
      <c r="A24" s="15" t="s">
        <v>29</v>
      </c>
      <c r="B24" s="20" t="s">
        <v>59</v>
      </c>
      <c r="C24" s="15" t="s">
        <v>55</v>
      </c>
      <c r="D24" s="21" t="s">
        <v>58</v>
      </c>
      <c r="E24" s="15">
        <v>1.25</v>
      </c>
      <c r="F24" s="15" t="s">
        <v>57</v>
      </c>
      <c r="G24" s="15">
        <v>92718</v>
      </c>
      <c r="H24" s="15">
        <v>1000</v>
      </c>
      <c r="I24" s="15" t="s">
        <v>131</v>
      </c>
      <c r="J24" s="15">
        <f>24/3*8</f>
        <v>64</v>
      </c>
      <c r="K24" s="15" t="s">
        <v>131</v>
      </c>
      <c r="L24" s="15">
        <f t="shared" si="4"/>
        <v>4.1666666666666664E-2</v>
      </c>
      <c r="M24" s="15" t="str">
        <f t="shared" si="1"/>
        <v>uL</v>
      </c>
      <c r="N24" s="3">
        <f>G24/H24*L24</f>
        <v>3.8632499999999999</v>
      </c>
      <c r="O24" s="1">
        <f>N24/$S$2</f>
        <v>3.4188053097345128E-2</v>
      </c>
      <c r="P24" s="1">
        <f t="shared" si="3"/>
        <v>2.9490458015267174E-2</v>
      </c>
    </row>
    <row r="25" spans="1:16">
      <c r="A25" s="15" t="s">
        <v>29</v>
      </c>
      <c r="B25" s="20" t="s">
        <v>32</v>
      </c>
      <c r="C25" s="15" t="s">
        <v>94</v>
      </c>
      <c r="D25" s="21"/>
      <c r="E25" s="15">
        <v>10</v>
      </c>
      <c r="F25" s="15" t="s">
        <v>8</v>
      </c>
      <c r="G25" s="15">
        <f>25747</f>
        <v>25747</v>
      </c>
      <c r="H25" s="15">
        <v>4750</v>
      </c>
      <c r="I25" s="15" t="s">
        <v>131</v>
      </c>
      <c r="J25" s="15">
        <f>(3.84)/3*8</f>
        <v>10.24</v>
      </c>
      <c r="K25" s="15" t="s">
        <v>131</v>
      </c>
      <c r="L25" s="15">
        <f t="shared" si="4"/>
        <v>6.6666666666666671E-3</v>
      </c>
      <c r="M25" s="15" t="str">
        <f t="shared" si="1"/>
        <v>uL</v>
      </c>
      <c r="N25" s="3">
        <f>G25/H25*L25</f>
        <v>3.6136140350877199E-2</v>
      </c>
      <c r="O25" s="1">
        <f>N25/$S$2</f>
        <v>3.1978885266263006E-4</v>
      </c>
      <c r="P25" s="1">
        <f t="shared" si="3"/>
        <v>2.7584839962501681E-4</v>
      </c>
    </row>
    <row r="26" spans="1:16">
      <c r="A26" s="15" t="s">
        <v>29</v>
      </c>
      <c r="B26" s="20" t="s">
        <v>11</v>
      </c>
      <c r="C26" s="15" t="s">
        <v>55</v>
      </c>
      <c r="D26" s="21">
        <v>9012</v>
      </c>
      <c r="E26" s="15">
        <f>10*1000</f>
        <v>10000</v>
      </c>
      <c r="F26" s="15" t="s">
        <v>52</v>
      </c>
      <c r="G26" s="15">
        <v>3672</v>
      </c>
      <c r="H26" s="15">
        <f>10*1000</f>
        <v>10000</v>
      </c>
      <c r="I26" s="15" t="s">
        <v>52</v>
      </c>
      <c r="J26" s="15">
        <f>(225.6)/3*8</f>
        <v>601.6</v>
      </c>
      <c r="K26" s="15" t="s">
        <v>52</v>
      </c>
      <c r="L26" s="15">
        <f t="shared" si="4"/>
        <v>0.39166666666666666</v>
      </c>
      <c r="M26" s="15" t="str">
        <f t="shared" si="1"/>
        <v>uL</v>
      </c>
      <c r="N26" s="3">
        <f>G26/H26*L26</f>
        <v>0.14382</v>
      </c>
      <c r="O26" s="1">
        <f>N26/$S$2</f>
        <v>1.2727433628318585E-3</v>
      </c>
      <c r="P26" s="1">
        <f t="shared" si="3"/>
        <v>1.0978625954198473E-3</v>
      </c>
    </row>
    <row r="27" spans="1:16" ht="60">
      <c r="A27" s="15" t="s">
        <v>35</v>
      </c>
      <c r="B27" s="20" t="s">
        <v>56</v>
      </c>
      <c r="C27" s="15" t="s">
        <v>55</v>
      </c>
      <c r="D27" s="21" t="s">
        <v>58</v>
      </c>
      <c r="E27" s="15">
        <v>2</v>
      </c>
      <c r="F27" s="15" t="s">
        <v>15</v>
      </c>
      <c r="G27" s="15"/>
      <c r="H27" s="15"/>
      <c r="I27" s="15" t="s">
        <v>131</v>
      </c>
      <c r="J27" s="15">
        <f>(300.48)/3*8</f>
        <v>801.28000000000009</v>
      </c>
      <c r="K27" s="15" t="s">
        <v>131</v>
      </c>
      <c r="L27" s="15">
        <f t="shared" si="4"/>
        <v>0.52166666666666672</v>
      </c>
      <c r="M27" s="15" t="str">
        <f t="shared" si="1"/>
        <v>uL</v>
      </c>
      <c r="N27" s="3"/>
    </row>
    <row r="28" spans="1:16">
      <c r="A28" s="15" t="s">
        <v>35</v>
      </c>
      <c r="B28" s="20" t="s">
        <v>34</v>
      </c>
      <c r="C28" s="15" t="s">
        <v>94</v>
      </c>
      <c r="D28" s="21"/>
      <c r="E28" s="15">
        <v>100</v>
      </c>
      <c r="F28" s="15" t="s">
        <v>8</v>
      </c>
      <c r="G28" s="15">
        <f>21470</f>
        <v>21470</v>
      </c>
      <c r="H28" s="15">
        <v>820</v>
      </c>
      <c r="I28" s="15" t="s">
        <v>131</v>
      </c>
      <c r="J28" s="15">
        <f>(11.424)/3*8</f>
        <v>30.463999999999999</v>
      </c>
      <c r="K28" s="15" t="s">
        <v>131</v>
      </c>
      <c r="L28" s="15">
        <f t="shared" si="4"/>
        <v>1.9833333333333331E-2</v>
      </c>
      <c r="M28" s="15" t="str">
        <f t="shared" si="1"/>
        <v>uL</v>
      </c>
      <c r="N28" s="3">
        <f t="shared" ref="N28:N52" si="5">G28/H28*L28</f>
        <v>0.51929471544715444</v>
      </c>
      <c r="O28" s="5">
        <f>N28/$S$2</f>
        <v>4.5955284552845529E-3</v>
      </c>
      <c r="P28" s="1">
        <f t="shared" si="3"/>
        <v>3.9640817973065224E-3</v>
      </c>
    </row>
    <row r="29" spans="1:16">
      <c r="A29" s="15" t="s">
        <v>35</v>
      </c>
      <c r="B29" s="20" t="s">
        <v>11</v>
      </c>
      <c r="C29" s="15" t="s">
        <v>55</v>
      </c>
      <c r="D29" s="21">
        <v>9012</v>
      </c>
      <c r="E29" s="15">
        <f>10*1000</f>
        <v>10000</v>
      </c>
      <c r="F29" s="15" t="s">
        <v>52</v>
      </c>
      <c r="G29" s="15">
        <v>3672</v>
      </c>
      <c r="H29" s="15">
        <f>10*1000</f>
        <v>10000</v>
      </c>
      <c r="I29" s="15" t="s">
        <v>52</v>
      </c>
      <c r="J29" s="15">
        <f>(290.88)/3*8</f>
        <v>775.68</v>
      </c>
      <c r="K29" s="15" t="s">
        <v>52</v>
      </c>
      <c r="L29" s="15">
        <f t="shared" si="4"/>
        <v>0.505</v>
      </c>
      <c r="M29" s="15" t="str">
        <f t="shared" si="1"/>
        <v>uL</v>
      </c>
      <c r="N29" s="3">
        <f t="shared" si="5"/>
        <v>0.18543600000000002</v>
      </c>
      <c r="O29" s="5">
        <f t="shared" ref="O29:O61" si="6">N29/$S$2</f>
        <v>1.6410265486725664E-3</v>
      </c>
      <c r="P29" s="1">
        <f t="shared" si="3"/>
        <v>1.4155419847328246E-3</v>
      </c>
    </row>
    <row r="30" spans="1:16">
      <c r="A30" s="8" t="s">
        <v>38</v>
      </c>
      <c r="B30" s="17" t="s">
        <v>54</v>
      </c>
      <c r="C30" s="8" t="s">
        <v>39</v>
      </c>
      <c r="D30" s="9">
        <v>28006</v>
      </c>
      <c r="E30" s="8">
        <v>250</v>
      </c>
      <c r="F30" s="8" t="s">
        <v>40</v>
      </c>
      <c r="G30" s="8">
        <v>64000</v>
      </c>
      <c r="H30" s="8">
        <v>250</v>
      </c>
      <c r="I30" s="8" t="s">
        <v>40</v>
      </c>
      <c r="J30" s="8">
        <v>3</v>
      </c>
      <c r="K30" s="8" t="s">
        <v>40</v>
      </c>
      <c r="L30" s="8">
        <f t="shared" si="4"/>
        <v>1.953125E-3</v>
      </c>
      <c r="M30" s="8" t="str">
        <f t="shared" si="1"/>
        <v>column</v>
      </c>
      <c r="N30" s="3">
        <f t="shared" si="5"/>
        <v>0.5</v>
      </c>
      <c r="O30" s="5">
        <f t="shared" si="6"/>
        <v>4.4247787610619468E-3</v>
      </c>
      <c r="P30" s="1">
        <f t="shared" si="3"/>
        <v>3.8167938931297708E-3</v>
      </c>
    </row>
    <row r="31" spans="1:16">
      <c r="A31" s="8" t="s">
        <v>38</v>
      </c>
      <c r="B31" s="17" t="s">
        <v>11</v>
      </c>
      <c r="C31" s="8" t="s">
        <v>55</v>
      </c>
      <c r="D31" s="9">
        <v>9012</v>
      </c>
      <c r="E31" s="8">
        <f>10*1000</f>
        <v>10000</v>
      </c>
      <c r="F31" s="8" t="s">
        <v>52</v>
      </c>
      <c r="G31" s="8">
        <v>3672</v>
      </c>
      <c r="H31" s="8">
        <f>10*1000</f>
        <v>10000</v>
      </c>
      <c r="I31" s="8" t="s">
        <v>52</v>
      </c>
      <c r="J31" s="8">
        <f>32*3</f>
        <v>96</v>
      </c>
      <c r="K31" s="8" t="s">
        <v>52</v>
      </c>
      <c r="L31" s="8">
        <f t="shared" si="4"/>
        <v>6.25E-2</v>
      </c>
      <c r="M31" s="8" t="str">
        <f t="shared" si="1"/>
        <v>uL</v>
      </c>
      <c r="N31" s="3">
        <f t="shared" si="5"/>
        <v>2.2950000000000002E-2</v>
      </c>
      <c r="O31" s="5">
        <f t="shared" si="6"/>
        <v>2.0309734513274339E-4</v>
      </c>
      <c r="P31" s="1">
        <f t="shared" si="3"/>
        <v>1.7519083969465651E-4</v>
      </c>
    </row>
    <row r="32" spans="1:16">
      <c r="A32" s="8" t="s">
        <v>38</v>
      </c>
      <c r="B32" s="17" t="s">
        <v>50</v>
      </c>
      <c r="C32" s="8" t="s">
        <v>51</v>
      </c>
      <c r="D32" s="9" t="s">
        <v>53</v>
      </c>
      <c r="E32" s="8">
        <f>60*1000</f>
        <v>60000</v>
      </c>
      <c r="F32" s="8" t="s">
        <v>52</v>
      </c>
      <c r="G32" s="22">
        <v>100980</v>
      </c>
      <c r="H32" s="8">
        <f>60*1000</f>
        <v>60000</v>
      </c>
      <c r="I32" s="8" t="s">
        <v>52</v>
      </c>
      <c r="J32" s="8">
        <v>72</v>
      </c>
      <c r="K32" s="8" t="s">
        <v>52</v>
      </c>
      <c r="L32" s="8">
        <f t="shared" si="4"/>
        <v>4.6875E-2</v>
      </c>
      <c r="M32" s="8" t="str">
        <f t="shared" si="1"/>
        <v>uL</v>
      </c>
      <c r="N32" s="3">
        <f t="shared" si="5"/>
        <v>7.8890625000000006E-2</v>
      </c>
      <c r="O32" s="5">
        <f t="shared" si="6"/>
        <v>6.9814712389380535E-4</v>
      </c>
      <c r="P32" s="1">
        <f t="shared" si="3"/>
        <v>6.0221851145038168E-4</v>
      </c>
    </row>
    <row r="33" spans="1:16">
      <c r="A33" s="8" t="s">
        <v>44</v>
      </c>
      <c r="B33" s="17" t="s">
        <v>43</v>
      </c>
      <c r="C33" s="8" t="s">
        <v>91</v>
      </c>
      <c r="D33" s="9" t="s">
        <v>92</v>
      </c>
      <c r="E33" s="8">
        <f>10*11</f>
        <v>110</v>
      </c>
      <c r="F33" s="8" t="s">
        <v>45</v>
      </c>
      <c r="G33" s="8">
        <v>61560</v>
      </c>
      <c r="H33" s="8">
        <v>110</v>
      </c>
      <c r="I33" s="8" t="s">
        <v>45</v>
      </c>
      <c r="J33" s="8">
        <v>1</v>
      </c>
      <c r="K33" s="8" t="s">
        <v>45</v>
      </c>
      <c r="L33" s="8">
        <f t="shared" si="4"/>
        <v>6.5104166666666663E-4</v>
      </c>
      <c r="M33" s="8" t="str">
        <f t="shared" si="1"/>
        <v>well</v>
      </c>
      <c r="N33" s="3">
        <f t="shared" si="5"/>
        <v>0.36434659090909088</v>
      </c>
      <c r="O33" s="5">
        <f t="shared" si="6"/>
        <v>3.2243061142397424E-3</v>
      </c>
      <c r="P33" s="1">
        <f t="shared" si="3"/>
        <v>2.7812716863289382E-3</v>
      </c>
    </row>
    <row r="34" spans="1:16">
      <c r="A34" s="8" t="s">
        <v>141</v>
      </c>
      <c r="B34" s="17" t="s">
        <v>145</v>
      </c>
      <c r="C34" s="8" t="s">
        <v>144</v>
      </c>
      <c r="D34" s="9" t="s">
        <v>143</v>
      </c>
      <c r="E34" s="8">
        <v>1000</v>
      </c>
      <c r="F34" s="8" t="s">
        <v>75</v>
      </c>
      <c r="G34" s="8">
        <f>1000*175</f>
        <v>175000</v>
      </c>
      <c r="H34" s="8">
        <v>1000</v>
      </c>
      <c r="I34" s="8" t="s">
        <v>45</v>
      </c>
      <c r="J34" s="8">
        <v>1</v>
      </c>
      <c r="K34" s="8" t="s">
        <v>45</v>
      </c>
      <c r="L34" s="8">
        <f t="shared" si="4"/>
        <v>6.5104166666666663E-4</v>
      </c>
      <c r="M34" s="8" t="str">
        <f t="shared" si="1"/>
        <v>well</v>
      </c>
      <c r="N34" s="3">
        <f t="shared" si="5"/>
        <v>0.11393229166666666</v>
      </c>
      <c r="O34" s="5">
        <f t="shared" si="6"/>
        <v>1.0082503687315633E-3</v>
      </c>
      <c r="P34" s="1">
        <f t="shared" si="3"/>
        <v>8.6971215012722643E-4</v>
      </c>
    </row>
    <row r="35" spans="1:16" ht="30">
      <c r="A35" s="8" t="s">
        <v>46</v>
      </c>
      <c r="B35" s="17" t="s">
        <v>96</v>
      </c>
      <c r="C35" s="8" t="s">
        <v>48</v>
      </c>
      <c r="D35" s="9">
        <v>520091</v>
      </c>
      <c r="E35" s="8">
        <v>250</v>
      </c>
      <c r="F35" s="8" t="s">
        <v>47</v>
      </c>
      <c r="G35" s="8">
        <v>213840</v>
      </c>
      <c r="H35" s="8">
        <v>250</v>
      </c>
      <c r="I35" s="8" t="s">
        <v>47</v>
      </c>
      <c r="J35" s="8">
        <v>1</v>
      </c>
      <c r="K35" s="8" t="s">
        <v>47</v>
      </c>
      <c r="L35" s="8">
        <f t="shared" si="4"/>
        <v>6.5104166666666663E-4</v>
      </c>
      <c r="M35" s="8" t="str">
        <f t="shared" si="1"/>
        <v>tube</v>
      </c>
      <c r="N35" s="3">
        <f t="shared" si="5"/>
        <v>0.55687500000000001</v>
      </c>
      <c r="O35" s="5">
        <f t="shared" si="6"/>
        <v>4.9280973451327438E-3</v>
      </c>
      <c r="P35" s="1">
        <f t="shared" si="3"/>
        <v>4.2509541984732824E-3</v>
      </c>
    </row>
    <row r="36" spans="1:16">
      <c r="A36" s="8" t="s">
        <v>46</v>
      </c>
      <c r="B36" s="17" t="s">
        <v>20</v>
      </c>
      <c r="C36" s="8" t="s">
        <v>21</v>
      </c>
      <c r="D36" s="9" t="s">
        <v>22</v>
      </c>
      <c r="E36" s="8">
        <v>200</v>
      </c>
      <c r="F36" s="8" t="s">
        <v>23</v>
      </c>
      <c r="G36" s="8">
        <v>46820</v>
      </c>
      <c r="H36" s="8">
        <v>200</v>
      </c>
      <c r="I36" s="8" t="s">
        <v>23</v>
      </c>
      <c r="J36" s="8">
        <v>1</v>
      </c>
      <c r="K36" s="8" t="s">
        <v>23</v>
      </c>
      <c r="L36" s="8">
        <f t="shared" si="4"/>
        <v>6.5104166666666663E-4</v>
      </c>
      <c r="M36" s="8" t="str">
        <f t="shared" si="1"/>
        <v>column/time</v>
      </c>
      <c r="N36" s="3">
        <f t="shared" si="5"/>
        <v>0.15240885416666666</v>
      </c>
      <c r="O36" s="5">
        <f t="shared" si="6"/>
        <v>1.3487509218289085E-3</v>
      </c>
      <c r="P36" s="1">
        <f t="shared" si="3"/>
        <v>1.1634263676844783E-3</v>
      </c>
    </row>
    <row r="37" spans="1:16">
      <c r="A37" s="8" t="s">
        <v>46</v>
      </c>
      <c r="B37" s="17" t="s">
        <v>11</v>
      </c>
      <c r="C37" s="8" t="s">
        <v>55</v>
      </c>
      <c r="D37" s="9">
        <v>9012</v>
      </c>
      <c r="E37" s="8">
        <f>10*1000</f>
        <v>10000</v>
      </c>
      <c r="F37" s="8" t="s">
        <v>52</v>
      </c>
      <c r="G37" s="8">
        <v>3672</v>
      </c>
      <c r="H37" s="8">
        <f>10*1000</f>
        <v>10000</v>
      </c>
      <c r="I37" s="8" t="s">
        <v>52</v>
      </c>
      <c r="J37" s="8">
        <v>11</v>
      </c>
      <c r="K37" s="8" t="s">
        <v>52</v>
      </c>
      <c r="L37" s="8">
        <f t="shared" si="4"/>
        <v>7.161458333333333E-3</v>
      </c>
      <c r="M37" s="8" t="str">
        <f t="shared" si="1"/>
        <v>uL</v>
      </c>
      <c r="N37" s="3">
        <f t="shared" si="5"/>
        <v>2.6296875000000001E-3</v>
      </c>
      <c r="O37" s="5">
        <f t="shared" si="6"/>
        <v>2.3271570796460178E-5</v>
      </c>
      <c r="P37" s="1">
        <f t="shared" si="3"/>
        <v>2.007395038167939E-5</v>
      </c>
    </row>
    <row r="38" spans="1:16">
      <c r="A38" s="8" t="s">
        <v>72</v>
      </c>
      <c r="B38" s="17" t="s">
        <v>73</v>
      </c>
      <c r="C38" s="8" t="s">
        <v>74</v>
      </c>
      <c r="D38" s="9"/>
      <c r="E38" s="8">
        <v>24</v>
      </c>
      <c r="F38" s="8" t="s">
        <v>75</v>
      </c>
      <c r="G38" s="23">
        <v>160799</v>
      </c>
      <c r="H38" s="8">
        <v>24</v>
      </c>
      <c r="I38" s="8" t="s">
        <v>75</v>
      </c>
      <c r="J38" s="8">
        <f>1/5</f>
        <v>0.2</v>
      </c>
      <c r="K38" s="8" t="s">
        <v>75</v>
      </c>
      <c r="L38" s="8">
        <f t="shared" si="4"/>
        <v>1.3020833333333333E-4</v>
      </c>
      <c r="M38" s="8" t="str">
        <f t="shared" si="1"/>
        <v>times</v>
      </c>
      <c r="N38" s="3">
        <f t="shared" si="5"/>
        <v>0.87239040798611101</v>
      </c>
      <c r="O38" s="5">
        <f t="shared" si="6"/>
        <v>7.7202690972222217E-3</v>
      </c>
      <c r="P38" s="1">
        <f t="shared" si="3"/>
        <v>6.6594687632527561E-3</v>
      </c>
    </row>
    <row r="39" spans="1:16">
      <c r="A39" s="13" t="s">
        <v>72</v>
      </c>
      <c r="B39" s="16" t="s">
        <v>80</v>
      </c>
      <c r="C39" s="13" t="s">
        <v>74</v>
      </c>
      <c r="D39" s="9" t="s">
        <v>81</v>
      </c>
      <c r="E39" s="8">
        <f>500*25/2</f>
        <v>6250</v>
      </c>
      <c r="F39" s="8" t="s">
        <v>52</v>
      </c>
      <c r="G39" s="8">
        <v>37800</v>
      </c>
      <c r="H39" s="8">
        <f>E39</f>
        <v>6250</v>
      </c>
      <c r="I39" s="8" t="s">
        <v>52</v>
      </c>
      <c r="J39" s="8">
        <v>25</v>
      </c>
      <c r="K39" s="8" t="s">
        <v>52</v>
      </c>
      <c r="L39" s="8">
        <f t="shared" si="4"/>
        <v>1.6276041666666668E-2</v>
      </c>
      <c r="M39" s="8" t="str">
        <f t="shared" si="1"/>
        <v>uL</v>
      </c>
      <c r="N39" s="3">
        <f t="shared" si="5"/>
        <v>9.8437500000000011E-2</v>
      </c>
      <c r="O39" s="5">
        <f t="shared" si="6"/>
        <v>8.7112831858407089E-4</v>
      </c>
      <c r="P39" s="1">
        <f t="shared" si="3"/>
        <v>7.5143129770992377E-4</v>
      </c>
    </row>
    <row r="40" spans="1:16">
      <c r="A40" s="13" t="s">
        <v>72</v>
      </c>
      <c r="B40" s="16" t="s">
        <v>101</v>
      </c>
      <c r="C40" s="13" t="s">
        <v>94</v>
      </c>
      <c r="D40" s="9"/>
      <c r="E40" s="8">
        <v>100</v>
      </c>
      <c r="F40" s="8" t="s">
        <v>8</v>
      </c>
      <c r="G40" s="8">
        <v>20304</v>
      </c>
      <c r="H40" s="8">
        <v>900</v>
      </c>
      <c r="I40" s="8" t="s">
        <v>131</v>
      </c>
      <c r="J40" s="8">
        <f>2*1.5/100</f>
        <v>0.03</v>
      </c>
      <c r="K40" s="8" t="s">
        <v>131</v>
      </c>
      <c r="L40" s="8">
        <f t="shared" si="4"/>
        <v>1.953125E-5</v>
      </c>
      <c r="M40" s="8" t="str">
        <f t="shared" si="1"/>
        <v>uL</v>
      </c>
      <c r="N40" s="3">
        <f t="shared" si="5"/>
        <v>4.4062499999999999E-4</v>
      </c>
      <c r="O40" s="5">
        <f t="shared" si="6"/>
        <v>3.8993362831858404E-6</v>
      </c>
      <c r="P40" s="1">
        <f t="shared" si="3"/>
        <v>3.3635496183206107E-6</v>
      </c>
    </row>
    <row r="41" spans="1:16">
      <c r="A41" s="13" t="s">
        <v>72</v>
      </c>
      <c r="B41" s="16" t="s">
        <v>102</v>
      </c>
      <c r="C41" s="13" t="s">
        <v>94</v>
      </c>
      <c r="D41" s="9"/>
      <c r="E41" s="8">
        <v>100</v>
      </c>
      <c r="F41" s="8" t="s">
        <v>8</v>
      </c>
      <c r="G41" s="8">
        <v>29419</v>
      </c>
      <c r="H41" s="8">
        <v>310</v>
      </c>
      <c r="I41" s="8" t="s">
        <v>131</v>
      </c>
      <c r="J41" s="8">
        <f>2*1.5/100</f>
        <v>0.03</v>
      </c>
      <c r="K41" s="8" t="s">
        <v>131</v>
      </c>
      <c r="L41" s="8">
        <f t="shared" si="4"/>
        <v>1.953125E-5</v>
      </c>
      <c r="M41" s="8" t="str">
        <f t="shared" si="1"/>
        <v>uL</v>
      </c>
      <c r="N41" s="3">
        <f t="shared" si="5"/>
        <v>1.8535156250000001E-3</v>
      </c>
      <c r="O41" s="5">
        <f t="shared" si="6"/>
        <v>1.640279314159292E-5</v>
      </c>
      <c r="P41" s="1">
        <f t="shared" si="3"/>
        <v>1.4148974236641222E-5</v>
      </c>
    </row>
    <row r="42" spans="1:16">
      <c r="A42" s="13" t="s">
        <v>72</v>
      </c>
      <c r="B42" s="16" t="s">
        <v>99</v>
      </c>
      <c r="C42" s="13" t="s">
        <v>94</v>
      </c>
      <c r="D42" s="9"/>
      <c r="E42" s="8">
        <v>100</v>
      </c>
      <c r="F42" s="8" t="s">
        <v>8</v>
      </c>
      <c r="G42" s="8">
        <v>29419</v>
      </c>
      <c r="H42" s="8">
        <v>310</v>
      </c>
      <c r="I42" s="8" t="s">
        <v>131</v>
      </c>
      <c r="J42" s="8">
        <v>0.35</v>
      </c>
      <c r="K42" s="8" t="s">
        <v>131</v>
      </c>
      <c r="L42" s="8">
        <f t="shared" si="4"/>
        <v>2.2786458333333331E-4</v>
      </c>
      <c r="M42" s="8" t="str">
        <f t="shared" si="1"/>
        <v>uL</v>
      </c>
      <c r="N42" s="3">
        <f t="shared" si="5"/>
        <v>2.1624348958333331E-2</v>
      </c>
      <c r="O42" s="5">
        <f t="shared" si="6"/>
        <v>1.9136591998525072E-4</v>
      </c>
      <c r="P42" s="1">
        <f t="shared" si="3"/>
        <v>1.6507136609414757E-4</v>
      </c>
    </row>
    <row r="43" spans="1:16">
      <c r="A43" s="13" t="s">
        <v>72</v>
      </c>
      <c r="B43" s="16" t="s">
        <v>97</v>
      </c>
      <c r="C43" s="13" t="s">
        <v>94</v>
      </c>
      <c r="D43" s="9"/>
      <c r="E43" s="8">
        <v>100</v>
      </c>
      <c r="F43" s="8" t="s">
        <v>8</v>
      </c>
      <c r="G43" s="8">
        <v>21556</v>
      </c>
      <c r="H43" s="8">
        <v>818</v>
      </c>
      <c r="I43" s="8" t="s">
        <v>131</v>
      </c>
      <c r="J43" s="8">
        <v>0.35</v>
      </c>
      <c r="K43" s="8" t="s">
        <v>131</v>
      </c>
      <c r="L43" s="8">
        <f t="shared" si="4"/>
        <v>2.2786458333333331E-4</v>
      </c>
      <c r="M43" s="8" t="str">
        <f t="shared" si="1"/>
        <v>uL</v>
      </c>
      <c r="N43" s="3">
        <f t="shared" si="5"/>
        <v>6.0047053280358588E-3</v>
      </c>
      <c r="O43" s="5">
        <f t="shared" si="6"/>
        <v>5.313898520385716E-5</v>
      </c>
      <c r="P43" s="1">
        <f t="shared" si="3"/>
        <v>4.5837445252182131E-5</v>
      </c>
    </row>
    <row r="44" spans="1:16">
      <c r="A44" s="8" t="s">
        <v>76</v>
      </c>
      <c r="B44" s="17" t="s">
        <v>50</v>
      </c>
      <c r="C44" s="8" t="s">
        <v>51</v>
      </c>
      <c r="D44" s="9" t="s">
        <v>53</v>
      </c>
      <c r="E44" s="8">
        <f>60*1000</f>
        <v>60000</v>
      </c>
      <c r="F44" s="8" t="s">
        <v>52</v>
      </c>
      <c r="G44" s="22">
        <v>100980</v>
      </c>
      <c r="H44" s="8">
        <f>60*1000</f>
        <v>60000</v>
      </c>
      <c r="I44" s="8" t="s">
        <v>52</v>
      </c>
      <c r="J44" s="8">
        <v>40</v>
      </c>
      <c r="K44" s="8" t="s">
        <v>52</v>
      </c>
      <c r="L44" s="8">
        <f t="shared" si="4"/>
        <v>2.6041666666666668E-2</v>
      </c>
      <c r="M44" s="8" t="str">
        <f t="shared" si="1"/>
        <v>uL</v>
      </c>
      <c r="N44" s="3">
        <f t="shared" si="5"/>
        <v>4.3828125000000002E-2</v>
      </c>
      <c r="O44" s="5">
        <f t="shared" si="6"/>
        <v>3.8785951327433628E-4</v>
      </c>
      <c r="P44" s="1">
        <f t="shared" si="3"/>
        <v>3.3456583969465652E-4</v>
      </c>
    </row>
    <row r="45" spans="1:16">
      <c r="A45" s="8" t="s">
        <v>76</v>
      </c>
      <c r="B45" s="17" t="s">
        <v>11</v>
      </c>
      <c r="C45" s="8" t="s">
        <v>55</v>
      </c>
      <c r="D45" s="9">
        <v>9012</v>
      </c>
      <c r="E45" s="8">
        <f>10*1000</f>
        <v>10000</v>
      </c>
      <c r="F45" s="8" t="s">
        <v>52</v>
      </c>
      <c r="G45" s="8">
        <v>3672</v>
      </c>
      <c r="H45" s="8">
        <f>10*1000</f>
        <v>10000</v>
      </c>
      <c r="I45" s="8" t="s">
        <v>52</v>
      </c>
      <c r="J45" s="8">
        <v>25</v>
      </c>
      <c r="K45" s="8" t="s">
        <v>52</v>
      </c>
      <c r="L45" s="8">
        <f t="shared" si="4"/>
        <v>1.6276041666666668E-2</v>
      </c>
      <c r="M45" s="8" t="str">
        <f t="shared" si="1"/>
        <v>uL</v>
      </c>
      <c r="N45" s="3">
        <f t="shared" si="5"/>
        <v>5.976562500000001E-3</v>
      </c>
      <c r="O45" s="5">
        <f t="shared" si="6"/>
        <v>5.2889933628318591E-5</v>
      </c>
      <c r="P45" s="1">
        <f t="shared" si="3"/>
        <v>4.56226145038168E-5</v>
      </c>
    </row>
    <row r="46" spans="1:16">
      <c r="A46" s="13" t="s">
        <v>77</v>
      </c>
      <c r="B46" s="16" t="s">
        <v>43</v>
      </c>
      <c r="C46" s="8" t="s">
        <v>91</v>
      </c>
      <c r="D46" s="9" t="s">
        <v>92</v>
      </c>
      <c r="E46" s="8">
        <f>10*11</f>
        <v>110</v>
      </c>
      <c r="F46" s="8" t="s">
        <v>45</v>
      </c>
      <c r="G46" s="8">
        <v>61560</v>
      </c>
      <c r="H46" s="8">
        <v>110</v>
      </c>
      <c r="I46" s="8" t="s">
        <v>45</v>
      </c>
      <c r="J46" s="8">
        <v>1</v>
      </c>
      <c r="K46" s="8" t="s">
        <v>45</v>
      </c>
      <c r="L46" s="8">
        <f t="shared" si="4"/>
        <v>6.5104166666666663E-4</v>
      </c>
      <c r="M46" s="8" t="str">
        <f t="shared" si="1"/>
        <v>well</v>
      </c>
      <c r="N46" s="3">
        <f t="shared" si="5"/>
        <v>0.36434659090909088</v>
      </c>
      <c r="O46" s="5">
        <f t="shared" si="6"/>
        <v>3.2243061142397424E-3</v>
      </c>
      <c r="P46" s="1">
        <f t="shared" si="3"/>
        <v>2.7812716863289382E-3</v>
      </c>
    </row>
    <row r="47" spans="1:16">
      <c r="A47" s="13" t="s">
        <v>142</v>
      </c>
      <c r="B47" s="17" t="s">
        <v>145</v>
      </c>
      <c r="C47" s="8" t="s">
        <v>144</v>
      </c>
      <c r="D47" s="9" t="s">
        <v>143</v>
      </c>
      <c r="E47" s="8">
        <v>1000</v>
      </c>
      <c r="F47" s="8" t="s">
        <v>75</v>
      </c>
      <c r="G47" s="8">
        <f>1000*175</f>
        <v>175000</v>
      </c>
      <c r="H47" s="8">
        <v>1000</v>
      </c>
      <c r="I47" s="8" t="s">
        <v>45</v>
      </c>
      <c r="J47" s="8">
        <v>1</v>
      </c>
      <c r="K47" s="8" t="s">
        <v>45</v>
      </c>
      <c r="L47" s="8">
        <f t="shared" si="4"/>
        <v>6.5104166666666663E-4</v>
      </c>
      <c r="M47" s="8" t="str">
        <f t="shared" si="1"/>
        <v>well</v>
      </c>
      <c r="N47" s="3">
        <f t="shared" si="5"/>
        <v>0.11393229166666666</v>
      </c>
      <c r="O47" s="5">
        <f t="shared" si="6"/>
        <v>1.0082503687315633E-3</v>
      </c>
      <c r="P47" s="1">
        <f t="shared" si="3"/>
        <v>8.6971215012722643E-4</v>
      </c>
    </row>
    <row r="48" spans="1:16">
      <c r="A48" s="13" t="s">
        <v>124</v>
      </c>
      <c r="B48" s="16" t="s">
        <v>103</v>
      </c>
      <c r="C48" s="8" t="s">
        <v>104</v>
      </c>
      <c r="D48" s="9" t="s">
        <v>105</v>
      </c>
      <c r="E48" s="8">
        <f>96*10*5</f>
        <v>4800</v>
      </c>
      <c r="F48" s="8" t="s">
        <v>106</v>
      </c>
      <c r="G48" s="8">
        <v>57210</v>
      </c>
      <c r="H48" s="8">
        <f>E48</f>
        <v>4800</v>
      </c>
      <c r="I48" s="8" t="s">
        <v>106</v>
      </c>
      <c r="J48" s="8">
        <v>16</v>
      </c>
      <c r="K48" s="8" t="s">
        <v>106</v>
      </c>
      <c r="L48" s="8">
        <f t="shared" si="4"/>
        <v>1.0416666666666666E-2</v>
      </c>
      <c r="M48" s="8" t="str">
        <f t="shared" si="1"/>
        <v>Tip</v>
      </c>
      <c r="N48" s="3">
        <f t="shared" si="5"/>
        <v>0.12415364583333333</v>
      </c>
      <c r="O48" s="5">
        <f t="shared" si="6"/>
        <v>1.0987048303834808E-3</v>
      </c>
      <c r="P48" s="1">
        <f t="shared" si="3"/>
        <v>9.4773775445292617E-4</v>
      </c>
    </row>
    <row r="49" spans="1:16">
      <c r="A49" s="13" t="s">
        <v>124</v>
      </c>
      <c r="B49" s="16" t="s">
        <v>107</v>
      </c>
      <c r="C49" s="8" t="s">
        <v>104</v>
      </c>
      <c r="D49" s="9" t="s">
        <v>108</v>
      </c>
      <c r="E49" s="8">
        <f>96*10*5</f>
        <v>4800</v>
      </c>
      <c r="F49" s="8" t="s">
        <v>106</v>
      </c>
      <c r="G49" s="8">
        <v>60480</v>
      </c>
      <c r="H49" s="8">
        <f t="shared" ref="H49:H56" si="7">E49</f>
        <v>4800</v>
      </c>
      <c r="I49" s="8" t="s">
        <v>106</v>
      </c>
      <c r="J49" s="8">
        <v>36</v>
      </c>
      <c r="K49" s="8" t="s">
        <v>106</v>
      </c>
      <c r="L49" s="8">
        <f t="shared" si="4"/>
        <v>2.34375E-2</v>
      </c>
      <c r="M49" s="8" t="str">
        <f t="shared" si="1"/>
        <v>Tip</v>
      </c>
      <c r="N49" s="3">
        <f t="shared" si="5"/>
        <v>0.29531249999999998</v>
      </c>
      <c r="O49" s="5">
        <f t="shared" si="6"/>
        <v>2.613384955752212E-3</v>
      </c>
      <c r="P49" s="1">
        <f t="shared" si="3"/>
        <v>2.2542938931297708E-3</v>
      </c>
    </row>
    <row r="50" spans="1:16">
      <c r="A50" s="8" t="s">
        <v>124</v>
      </c>
      <c r="B50" s="17" t="s">
        <v>109</v>
      </c>
      <c r="C50" s="8" t="s">
        <v>104</v>
      </c>
      <c r="D50" s="9" t="s">
        <v>110</v>
      </c>
      <c r="E50" s="8">
        <f>96*10*5</f>
        <v>4800</v>
      </c>
      <c r="F50" s="8" t="s">
        <v>106</v>
      </c>
      <c r="G50" s="8">
        <v>60480</v>
      </c>
      <c r="H50" s="8">
        <f t="shared" si="7"/>
        <v>4800</v>
      </c>
      <c r="I50" s="8" t="s">
        <v>106</v>
      </c>
      <c r="J50" s="8">
        <v>20</v>
      </c>
      <c r="K50" s="8" t="s">
        <v>106</v>
      </c>
      <c r="L50" s="8">
        <f t="shared" si="4"/>
        <v>1.3020833333333334E-2</v>
      </c>
      <c r="M50" s="8" t="str">
        <f t="shared" si="1"/>
        <v>Tip</v>
      </c>
      <c r="N50" s="3">
        <f t="shared" si="5"/>
        <v>0.1640625</v>
      </c>
      <c r="O50" s="5">
        <f t="shared" si="6"/>
        <v>1.4518805309734514E-3</v>
      </c>
      <c r="P50" s="1">
        <f t="shared" si="3"/>
        <v>1.252385496183206E-3</v>
      </c>
    </row>
    <row r="51" spans="1:16">
      <c r="A51" s="8" t="s">
        <v>124</v>
      </c>
      <c r="B51" s="17" t="s">
        <v>111</v>
      </c>
      <c r="C51" s="8" t="s">
        <v>112</v>
      </c>
      <c r="D51" s="9">
        <v>1013070</v>
      </c>
      <c r="E51" s="8">
        <f>96*10*5</f>
        <v>4800</v>
      </c>
      <c r="F51" s="8" t="s">
        <v>106</v>
      </c>
      <c r="G51" s="8">
        <v>34560</v>
      </c>
      <c r="H51" s="8">
        <f t="shared" si="7"/>
        <v>4800</v>
      </c>
      <c r="I51" s="8" t="s">
        <v>106</v>
      </c>
      <c r="J51" s="8">
        <v>5</v>
      </c>
      <c r="K51" s="8" t="s">
        <v>106</v>
      </c>
      <c r="L51" s="8">
        <f t="shared" si="4"/>
        <v>3.2552083333333335E-3</v>
      </c>
      <c r="M51" s="8" t="str">
        <f t="shared" si="1"/>
        <v>Tip</v>
      </c>
      <c r="N51" s="3">
        <f t="shared" si="5"/>
        <v>2.34375E-2</v>
      </c>
      <c r="O51" s="5">
        <f t="shared" si="6"/>
        <v>2.0741150442477876E-4</v>
      </c>
      <c r="P51" s="1">
        <f t="shared" si="3"/>
        <v>1.7891221374045802E-4</v>
      </c>
    </row>
    <row r="52" spans="1:16">
      <c r="A52" s="8" t="s">
        <v>124</v>
      </c>
      <c r="B52" s="17" t="s">
        <v>113</v>
      </c>
      <c r="C52" s="8" t="s">
        <v>112</v>
      </c>
      <c r="D52" s="9">
        <v>1013090</v>
      </c>
      <c r="E52" s="8">
        <f>96*10*4</f>
        <v>3840</v>
      </c>
      <c r="F52" s="8" t="s">
        <v>106</v>
      </c>
      <c r="G52" s="8">
        <v>30240</v>
      </c>
      <c r="H52" s="8">
        <f t="shared" si="7"/>
        <v>3840</v>
      </c>
      <c r="I52" s="8" t="s">
        <v>106</v>
      </c>
      <c r="J52" s="8">
        <v>22</v>
      </c>
      <c r="K52" s="8" t="s">
        <v>106</v>
      </c>
      <c r="L52" s="8">
        <f t="shared" si="4"/>
        <v>1.4322916666666666E-2</v>
      </c>
      <c r="M52" s="8" t="str">
        <f t="shared" si="1"/>
        <v>Tip</v>
      </c>
      <c r="N52" s="3">
        <f t="shared" si="5"/>
        <v>0.11279296875</v>
      </c>
      <c r="O52" s="5">
        <f t="shared" si="6"/>
        <v>9.9816786504424771E-4</v>
      </c>
      <c r="P52" s="1">
        <f t="shared" si="3"/>
        <v>8.6101502862595417E-4</v>
      </c>
    </row>
    <row r="53" spans="1:16">
      <c r="A53" s="8" t="s">
        <v>124</v>
      </c>
      <c r="B53" s="17" t="s">
        <v>174</v>
      </c>
      <c r="C53" s="8" t="s">
        <v>176</v>
      </c>
      <c r="D53" s="9" t="s">
        <v>177</v>
      </c>
      <c r="E53" s="8">
        <v>960</v>
      </c>
      <c r="F53" s="8" t="s">
        <v>106</v>
      </c>
      <c r="G53" s="8">
        <v>13651</v>
      </c>
      <c r="H53" s="8">
        <f>E53</f>
        <v>960</v>
      </c>
      <c r="I53" s="8" t="s">
        <v>106</v>
      </c>
      <c r="J53" s="8">
        <v>2</v>
      </c>
      <c r="K53" s="8" t="s">
        <v>106</v>
      </c>
      <c r="L53" s="8">
        <f>J53/1536</f>
        <v>1.3020833333333333E-3</v>
      </c>
      <c r="M53" s="8" t="s">
        <v>106</v>
      </c>
      <c r="N53" s="3"/>
      <c r="O53" s="5">
        <f t="shared" si="6"/>
        <v>0</v>
      </c>
      <c r="P53" s="1">
        <f t="shared" si="3"/>
        <v>0</v>
      </c>
    </row>
    <row r="54" spans="1:16">
      <c r="A54" s="8" t="s">
        <v>124</v>
      </c>
      <c r="B54" s="17" t="s">
        <v>114</v>
      </c>
      <c r="C54" s="8" t="s">
        <v>71</v>
      </c>
      <c r="D54" s="9">
        <v>30108051</v>
      </c>
      <c r="E54" s="8">
        <f>5*50*3</f>
        <v>750</v>
      </c>
      <c r="F54" s="8" t="s">
        <v>116</v>
      </c>
      <c r="G54" s="8">
        <v>6480</v>
      </c>
      <c r="H54" s="8">
        <f t="shared" si="7"/>
        <v>750</v>
      </c>
      <c r="I54" s="8" t="s">
        <v>116</v>
      </c>
      <c r="J54" s="8">
        <v>5</v>
      </c>
      <c r="K54" s="8" t="s">
        <v>116</v>
      </c>
      <c r="L54" s="8">
        <f t="shared" si="4"/>
        <v>3.2552083333333335E-3</v>
      </c>
      <c r="M54" s="8" t="str">
        <f t="shared" si="1"/>
        <v>tube</v>
      </c>
      <c r="N54" s="3">
        <f t="shared" ref="N54:N61" si="8">G54/H54*L54</f>
        <v>2.8125000000000004E-2</v>
      </c>
      <c r="O54" s="5">
        <f t="shared" si="6"/>
        <v>2.4889380530973456E-4</v>
      </c>
      <c r="P54" s="1">
        <f t="shared" si="3"/>
        <v>2.1469465648854964E-4</v>
      </c>
    </row>
    <row r="55" spans="1:16">
      <c r="A55" s="8" t="s">
        <v>124</v>
      </c>
      <c r="B55" s="17" t="s">
        <v>191</v>
      </c>
      <c r="C55" s="8" t="s">
        <v>180</v>
      </c>
      <c r="D55" s="9" t="s">
        <v>182</v>
      </c>
      <c r="E55" s="8">
        <v>480</v>
      </c>
      <c r="F55" s="8" t="s">
        <v>47</v>
      </c>
      <c r="G55" s="8">
        <v>10220</v>
      </c>
      <c r="H55" s="8">
        <v>480</v>
      </c>
      <c r="I55" s="8" t="s">
        <v>47</v>
      </c>
      <c r="J55" s="8">
        <v>1</v>
      </c>
      <c r="K55" s="8" t="s">
        <v>47</v>
      </c>
      <c r="L55" s="8">
        <f>J55/1536</f>
        <v>6.5104166666666663E-4</v>
      </c>
      <c r="M55" s="8" t="str">
        <f t="shared" si="1"/>
        <v>tube</v>
      </c>
      <c r="N55" s="3">
        <f t="shared" si="8"/>
        <v>1.3861762152777778E-2</v>
      </c>
      <c r="O55" s="5">
        <f t="shared" si="6"/>
        <v>1.226704615290069E-4</v>
      </c>
      <c r="P55" s="1">
        <f t="shared" si="3"/>
        <v>1.0581497826547922E-4</v>
      </c>
    </row>
    <row r="56" spans="1:16">
      <c r="A56" s="8" t="s">
        <v>124</v>
      </c>
      <c r="B56" s="17" t="s">
        <v>115</v>
      </c>
      <c r="C56" s="8" t="s">
        <v>71</v>
      </c>
      <c r="D56" s="9">
        <v>30108310</v>
      </c>
      <c r="E56" s="8">
        <f>4*50*2</f>
        <v>400</v>
      </c>
      <c r="F56" s="8" t="s">
        <v>47</v>
      </c>
      <c r="G56" s="8">
        <v>11404</v>
      </c>
      <c r="H56" s="8">
        <f t="shared" si="7"/>
        <v>400</v>
      </c>
      <c r="I56" s="8" t="s">
        <v>47</v>
      </c>
      <c r="J56" s="8">
        <v>5</v>
      </c>
      <c r="K56" s="8" t="s">
        <v>47</v>
      </c>
      <c r="L56" s="8">
        <f t="shared" si="4"/>
        <v>3.2552083333333335E-3</v>
      </c>
      <c r="M56" s="8" t="str">
        <f t="shared" si="1"/>
        <v>tube</v>
      </c>
      <c r="N56" s="3">
        <f t="shared" si="8"/>
        <v>9.2805989583333345E-2</v>
      </c>
      <c r="O56" s="5">
        <f t="shared" si="6"/>
        <v>8.2129194321533931E-4</v>
      </c>
      <c r="P56" s="1">
        <f t="shared" si="3"/>
        <v>7.0844266857506368E-4</v>
      </c>
    </row>
    <row r="57" spans="1:16">
      <c r="A57" s="8" t="s">
        <v>124</v>
      </c>
      <c r="B57" s="17" t="s">
        <v>117</v>
      </c>
      <c r="C57" s="8" t="s">
        <v>55</v>
      </c>
      <c r="D57" s="9" t="s">
        <v>118</v>
      </c>
      <c r="E57" s="8">
        <f>125*8*3</f>
        <v>3000</v>
      </c>
      <c r="F57" s="8" t="s">
        <v>45</v>
      </c>
      <c r="G57" s="8">
        <v>40095</v>
      </c>
      <c r="H57" s="8">
        <f>E57</f>
        <v>3000</v>
      </c>
      <c r="I57" s="8" t="s">
        <v>45</v>
      </c>
      <c r="J57" s="8">
        <v>32</v>
      </c>
      <c r="K57" s="8" t="s">
        <v>45</v>
      </c>
      <c r="L57" s="8">
        <f t="shared" si="4"/>
        <v>2.0833333333333332E-2</v>
      </c>
      <c r="M57" s="8" t="str">
        <f t="shared" si="1"/>
        <v>well</v>
      </c>
      <c r="N57" s="3">
        <f t="shared" si="8"/>
        <v>0.2784375</v>
      </c>
      <c r="O57" s="5">
        <f t="shared" si="6"/>
        <v>2.4640486725663719E-3</v>
      </c>
      <c r="P57" s="1">
        <f t="shared" si="3"/>
        <v>2.1254770992366412E-3</v>
      </c>
    </row>
    <row r="58" spans="1:16" ht="16">
      <c r="A58" s="8" t="s">
        <v>124</v>
      </c>
      <c r="B58" s="17" t="s">
        <v>120</v>
      </c>
      <c r="C58" s="8" t="s">
        <v>55</v>
      </c>
      <c r="D58" s="9" t="s">
        <v>122</v>
      </c>
      <c r="E58" s="8">
        <f>125*8*3</f>
        <v>3000</v>
      </c>
      <c r="F58" s="8" t="s">
        <v>45</v>
      </c>
      <c r="G58" s="24">
        <v>10692</v>
      </c>
      <c r="H58" s="8">
        <f>E58</f>
        <v>3000</v>
      </c>
      <c r="I58" s="8" t="s">
        <v>45</v>
      </c>
      <c r="J58" s="8">
        <v>64</v>
      </c>
      <c r="K58" s="8" t="s">
        <v>45</v>
      </c>
      <c r="L58" s="8">
        <f t="shared" si="4"/>
        <v>4.1666666666666664E-2</v>
      </c>
      <c r="M58" s="8" t="str">
        <f t="shared" si="1"/>
        <v>well</v>
      </c>
      <c r="N58" s="3">
        <f t="shared" si="8"/>
        <v>0.14849999999999999</v>
      </c>
      <c r="O58" s="5">
        <f t="shared" si="6"/>
        <v>1.3141592920353981E-3</v>
      </c>
      <c r="P58" s="1">
        <f t="shared" si="3"/>
        <v>1.133587786259542E-3</v>
      </c>
    </row>
    <row r="59" spans="1:16" ht="16">
      <c r="A59" s="8" t="s">
        <v>124</v>
      </c>
      <c r="B59" s="17" t="s">
        <v>121</v>
      </c>
      <c r="C59" s="8" t="s">
        <v>55</v>
      </c>
      <c r="D59" s="9" t="s">
        <v>123</v>
      </c>
      <c r="E59" s="8">
        <f>1000</f>
        <v>1000</v>
      </c>
      <c r="F59" s="8" t="s">
        <v>45</v>
      </c>
      <c r="G59" s="24">
        <v>7574</v>
      </c>
      <c r="H59" s="8">
        <f t="shared" ref="H59" si="9">E59</f>
        <v>1000</v>
      </c>
      <c r="I59" s="8" t="s">
        <v>45</v>
      </c>
      <c r="J59" s="8">
        <v>4</v>
      </c>
      <c r="K59" s="8" t="s">
        <v>45</v>
      </c>
      <c r="L59" s="8">
        <f t="shared" si="4"/>
        <v>2.6041666666666665E-3</v>
      </c>
      <c r="M59" s="8" t="str">
        <f t="shared" si="1"/>
        <v>well</v>
      </c>
      <c r="N59" s="3">
        <f t="shared" si="8"/>
        <v>1.9723958333333333E-2</v>
      </c>
      <c r="O59" s="5">
        <f t="shared" si="6"/>
        <v>1.7454830383480826E-4</v>
      </c>
      <c r="P59" s="1">
        <f t="shared" si="3"/>
        <v>1.5056456743002544E-4</v>
      </c>
    </row>
    <row r="60" spans="1:16">
      <c r="A60" s="8" t="s">
        <v>128</v>
      </c>
      <c r="B60" s="17" t="s">
        <v>126</v>
      </c>
      <c r="C60" s="8" t="s">
        <v>83</v>
      </c>
      <c r="D60" s="9" t="s">
        <v>127</v>
      </c>
      <c r="E60" s="8">
        <v>2000</v>
      </c>
      <c r="F60" s="8" t="s">
        <v>129</v>
      </c>
      <c r="G60" s="17">
        <v>118584</v>
      </c>
      <c r="H60" s="8">
        <f>E60</f>
        <v>2000</v>
      </c>
      <c r="I60" s="8" t="s">
        <v>129</v>
      </c>
      <c r="J60" s="8">
        <v>3</v>
      </c>
      <c r="K60" s="8" t="s">
        <v>129</v>
      </c>
      <c r="L60" s="8">
        <f t="shared" si="4"/>
        <v>1.953125E-3</v>
      </c>
      <c r="M60" s="8" t="str">
        <f t="shared" si="1"/>
        <v>sheel</v>
      </c>
      <c r="N60" s="3">
        <f t="shared" si="8"/>
        <v>0.1158046875</v>
      </c>
      <c r="O60" s="5">
        <f t="shared" si="6"/>
        <v>1.0248202433628319E-3</v>
      </c>
      <c r="P60" s="1">
        <f t="shared" si="3"/>
        <v>8.8400524809160302E-4</v>
      </c>
    </row>
    <row r="61" spans="1:16">
      <c r="A61" s="8" t="s">
        <v>149</v>
      </c>
      <c r="B61" s="17" t="s">
        <v>147</v>
      </c>
      <c r="C61" s="13" t="s">
        <v>94</v>
      </c>
      <c r="D61" s="9"/>
      <c r="E61" s="8">
        <v>100</v>
      </c>
      <c r="F61" s="8" t="s">
        <v>8</v>
      </c>
      <c r="G61" s="8">
        <v>29419</v>
      </c>
      <c r="H61" s="8">
        <v>310</v>
      </c>
      <c r="I61" s="8" t="s">
        <v>131</v>
      </c>
      <c r="J61" s="8">
        <f>6</f>
        <v>6</v>
      </c>
      <c r="K61" s="8" t="s">
        <v>183</v>
      </c>
      <c r="L61" s="8">
        <f t="shared" si="4"/>
        <v>3.90625E-3</v>
      </c>
      <c r="M61" s="8" t="str">
        <f t="shared" si="1"/>
        <v>uL (for 1set of 1,536 indexes)</v>
      </c>
      <c r="N61" s="4">
        <f t="shared" si="8"/>
        <v>0.37070312500000002</v>
      </c>
      <c r="O61" s="5">
        <f t="shared" si="6"/>
        <v>3.2805586283185841E-3</v>
      </c>
      <c r="P61" s="1">
        <f t="shared" si="3"/>
        <v>2.8297948473282445E-3</v>
      </c>
    </row>
    <row r="63" spans="1:16">
      <c r="M63" s="26" t="s">
        <v>158</v>
      </c>
      <c r="N63" s="29">
        <f>SUM(N3:N61)-N33-N34-N46-N47</f>
        <v>30.785104975772036</v>
      </c>
      <c r="O63" s="1">
        <f>SUM(O3:O61)-O33-O34-O46-O47</f>
        <v>0.27243455730771715</v>
      </c>
      <c r="P63" s="1">
        <f>SUM(P3:P61)-P33-P34-P46-P47</f>
        <v>0.23500080134177131</v>
      </c>
    </row>
    <row r="64" spans="1:16">
      <c r="M64" s="26" t="s">
        <v>159</v>
      </c>
      <c r="N64" s="30">
        <f>N63+N33+N46</f>
        <v>31.513798157590216</v>
      </c>
      <c r="O64" s="1">
        <f>O63+O33+O46</f>
        <v>0.27888316953619663</v>
      </c>
      <c r="P64" s="1">
        <f>P63+P33+P46</f>
        <v>0.24056334471442919</v>
      </c>
    </row>
    <row r="65" spans="13:16">
      <c r="M65" s="26" t="s">
        <v>160</v>
      </c>
      <c r="N65" s="31">
        <f>N63+N34+N47</f>
        <v>31.012969559105372</v>
      </c>
      <c r="O65" s="1">
        <f>O63+O34+O47</f>
        <v>0.27445105804518033</v>
      </c>
      <c r="P65" s="1">
        <f>P63+P34+P47</f>
        <v>0.23674022564202579</v>
      </c>
    </row>
  </sheetData>
  <autoFilter ref="A2:P2"/>
  <phoneticPr fontId="1"/>
  <conditionalFormatting sqref="N3:N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/>
  </sheetPr>
  <dimension ref="A1:S65"/>
  <sheetViews>
    <sheetView workbookViewId="0"/>
  </sheetViews>
  <sheetFormatPr baseColWidth="12" defaultRowHeight="15" x14ac:dyDescent="0"/>
  <cols>
    <col min="1" max="1" width="27.33203125" style="1" customWidth="1"/>
    <col min="2" max="2" width="40.6640625" style="1" bestFit="1" customWidth="1"/>
    <col min="3" max="3" width="23.1640625" style="1" bestFit="1" customWidth="1"/>
    <col min="4" max="4" width="19.83203125" style="7" bestFit="1" customWidth="1"/>
    <col min="5" max="6" width="15" style="1" bestFit="1" customWidth="1"/>
    <col min="7" max="7" width="25.6640625" style="1" bestFit="1" customWidth="1"/>
    <col min="8" max="9" width="21.1640625" style="1" bestFit="1" customWidth="1"/>
    <col min="10" max="10" width="22.6640625" style="1" bestFit="1" customWidth="1"/>
    <col min="11" max="11" width="27.5" style="1" bestFit="1" customWidth="1"/>
    <col min="12" max="12" width="19.1640625" style="1" bestFit="1" customWidth="1"/>
    <col min="13" max="13" width="42.1640625" style="1" bestFit="1" customWidth="1"/>
    <col min="14" max="14" width="23" style="1" bestFit="1" customWidth="1"/>
    <col min="15" max="15" width="25" style="1" bestFit="1" customWidth="1"/>
    <col min="16" max="16" width="23.83203125" style="1" bestFit="1" customWidth="1"/>
    <col min="17" max="17" width="12.83203125" style="1"/>
    <col min="18" max="18" width="26.33203125" style="1" bestFit="1" customWidth="1"/>
    <col min="19" max="19" width="10.1640625" style="1" bestFit="1" customWidth="1"/>
    <col min="20" max="16384" width="12.83203125" style="1"/>
  </cols>
  <sheetData>
    <row r="1" spans="1:19" ht="32" customHeight="1">
      <c r="A1" s="32" t="s">
        <v>171</v>
      </c>
      <c r="S1" s="1" t="s">
        <v>172</v>
      </c>
    </row>
    <row r="2" spans="1:19">
      <c r="A2" s="26" t="s">
        <v>0</v>
      </c>
      <c r="B2" s="26" t="s">
        <v>1</v>
      </c>
      <c r="C2" s="26" t="s">
        <v>2</v>
      </c>
      <c r="D2" s="27" t="s">
        <v>161</v>
      </c>
      <c r="E2" s="26" t="s">
        <v>150</v>
      </c>
      <c r="F2" s="26" t="s">
        <v>151</v>
      </c>
      <c r="G2" s="26" t="s">
        <v>154</v>
      </c>
      <c r="H2" s="26" t="s">
        <v>152</v>
      </c>
      <c r="I2" s="26" t="s">
        <v>153</v>
      </c>
      <c r="J2" s="26" t="s">
        <v>186</v>
      </c>
      <c r="K2" s="26" t="s">
        <v>186</v>
      </c>
      <c r="L2" s="26" t="s">
        <v>140</v>
      </c>
      <c r="M2" s="26" t="s">
        <v>140</v>
      </c>
      <c r="N2" s="26" t="s">
        <v>157</v>
      </c>
      <c r="O2" s="26" t="s">
        <v>156</v>
      </c>
      <c r="P2" s="26" t="s">
        <v>155</v>
      </c>
      <c r="R2" s="28" t="s">
        <v>195</v>
      </c>
      <c r="S2" s="28">
        <v>113</v>
      </c>
    </row>
    <row r="3" spans="1:19">
      <c r="A3" s="13" t="s">
        <v>79</v>
      </c>
      <c r="B3" s="16" t="s">
        <v>69</v>
      </c>
      <c r="C3" s="8" t="s">
        <v>71</v>
      </c>
      <c r="D3" s="9" t="s">
        <v>70</v>
      </c>
      <c r="E3" s="8">
        <v>25</v>
      </c>
      <c r="F3" s="8" t="s">
        <v>68</v>
      </c>
      <c r="G3" s="8">
        <v>23225</v>
      </c>
      <c r="H3" s="8">
        <v>25</v>
      </c>
      <c r="I3" s="8" t="s">
        <v>68</v>
      </c>
      <c r="J3" s="8">
        <v>4</v>
      </c>
      <c r="K3" s="8" t="s">
        <v>68</v>
      </c>
      <c r="L3" s="8">
        <f>J3/1536</f>
        <v>2.6041666666666665E-3</v>
      </c>
      <c r="M3" s="8" t="str">
        <f>K3</f>
        <v>plate</v>
      </c>
      <c r="N3" s="2">
        <f t="shared" ref="N3:N22" si="0">G3/H3*L3</f>
        <v>2.419270833333333</v>
      </c>
      <c r="O3" s="1">
        <f>N3/$S$2</f>
        <v>2.1409476401179937E-2</v>
      </c>
      <c r="P3" s="1">
        <f>N3/$S$3</f>
        <v>1.8467716284987275E-2</v>
      </c>
      <c r="R3" s="28" t="s">
        <v>197</v>
      </c>
      <c r="S3" s="28">
        <v>131</v>
      </c>
    </row>
    <row r="4" spans="1:19" ht="30">
      <c r="A4" s="13" t="s">
        <v>79</v>
      </c>
      <c r="B4" s="16" t="s">
        <v>82</v>
      </c>
      <c r="C4" s="8" t="s">
        <v>83</v>
      </c>
      <c r="D4" s="9" t="s">
        <v>84</v>
      </c>
      <c r="E4" s="8">
        <v>50</v>
      </c>
      <c r="F4" s="8" t="s">
        <v>85</v>
      </c>
      <c r="G4" s="8">
        <v>493506</v>
      </c>
      <c r="H4" s="8">
        <v>50</v>
      </c>
      <c r="I4" s="8" t="s">
        <v>85</v>
      </c>
      <c r="J4" s="8">
        <f>1/30*4</f>
        <v>0.13333333333333333</v>
      </c>
      <c r="K4" s="8" t="s">
        <v>190</v>
      </c>
      <c r="L4" s="8">
        <f>J4/1536</f>
        <v>8.6805555555555559E-5</v>
      </c>
      <c r="M4" s="8" t="str">
        <f t="shared" ref="M4:M61" si="1">K4</f>
        <v>rack (for 30 plates x 4sets)</v>
      </c>
      <c r="N4" s="3">
        <f>G4/H4*L4</f>
        <v>0.85678125000000005</v>
      </c>
      <c r="O4" s="1">
        <f t="shared" ref="O4:O22" si="2">N4/$S$2</f>
        <v>7.5821349557522125E-3</v>
      </c>
      <c r="P4" s="1">
        <f t="shared" ref="P4:P61" si="3">N4/$S$3</f>
        <v>1.6350787213740459E-3</v>
      </c>
    </row>
    <row r="5" spans="1:19">
      <c r="A5" s="8" t="s">
        <v>18</v>
      </c>
      <c r="B5" s="17" t="s">
        <v>30</v>
      </c>
      <c r="C5" s="8" t="s">
        <v>125</v>
      </c>
      <c r="D5" s="9"/>
      <c r="E5" s="8">
        <v>100</v>
      </c>
      <c r="F5" s="8" t="s">
        <v>8</v>
      </c>
      <c r="G5" s="8">
        <f>74*13</f>
        <v>962</v>
      </c>
      <c r="H5" s="8">
        <v>100</v>
      </c>
      <c r="I5" s="8" t="s">
        <v>131</v>
      </c>
      <c r="J5" s="8">
        <f>384*0.000625*4</f>
        <v>0.96</v>
      </c>
      <c r="K5" s="8" t="s">
        <v>131</v>
      </c>
      <c r="L5" s="8">
        <f t="shared" ref="L5:L61" si="4">J5/1536</f>
        <v>6.2500000000000001E-4</v>
      </c>
      <c r="M5" s="8" t="str">
        <f t="shared" si="1"/>
        <v>uL</v>
      </c>
      <c r="N5" s="3">
        <f t="shared" si="0"/>
        <v>6.0124999999999996E-3</v>
      </c>
      <c r="O5" s="1">
        <f t="shared" si="2"/>
        <v>5.3207964601769906E-5</v>
      </c>
      <c r="P5" s="1">
        <f t="shared" si="3"/>
        <v>4.589694656488549E-5</v>
      </c>
    </row>
    <row r="6" spans="1:19">
      <c r="A6" s="8" t="s">
        <v>5</v>
      </c>
      <c r="B6" s="17" t="s">
        <v>37</v>
      </c>
      <c r="C6" s="8" t="s">
        <v>17</v>
      </c>
      <c r="D6" s="9">
        <v>28324</v>
      </c>
      <c r="E6" s="8">
        <v>10</v>
      </c>
      <c r="F6" s="8" t="s">
        <v>6</v>
      </c>
      <c r="G6" s="8">
        <v>16050</v>
      </c>
      <c r="H6" s="8">
        <f>6*10*1000</f>
        <v>60000</v>
      </c>
      <c r="I6" s="8" t="s">
        <v>132</v>
      </c>
      <c r="J6" s="8">
        <f>0.03*384*4</f>
        <v>46.08</v>
      </c>
      <c r="K6" s="8" t="s">
        <v>132</v>
      </c>
      <c r="L6" s="8">
        <f t="shared" si="4"/>
        <v>0.03</v>
      </c>
      <c r="M6" s="8" t="str">
        <f t="shared" si="1"/>
        <v>uL</v>
      </c>
      <c r="N6" s="3">
        <f t="shared" si="0"/>
        <v>8.0250000000000009E-3</v>
      </c>
      <c r="O6" s="1">
        <f t="shared" si="2"/>
        <v>7.1017699115044259E-5</v>
      </c>
      <c r="P6" s="1">
        <f t="shared" si="3"/>
        <v>6.1259541984732828E-5</v>
      </c>
    </row>
    <row r="7" spans="1:19">
      <c r="A7" s="8" t="s">
        <v>5</v>
      </c>
      <c r="B7" s="17" t="s">
        <v>4</v>
      </c>
      <c r="C7" s="8" t="s">
        <v>17</v>
      </c>
      <c r="D7" s="9">
        <v>18427088</v>
      </c>
      <c r="E7" s="8">
        <v>10</v>
      </c>
      <c r="F7" s="8" t="s">
        <v>3</v>
      </c>
      <c r="G7" s="8">
        <v>83721</v>
      </c>
      <c r="H7" s="8">
        <v>1000</v>
      </c>
      <c r="I7" s="8" t="s">
        <v>133</v>
      </c>
      <c r="J7" s="8">
        <f>0.04/3.3*384*4</f>
        <v>18.618181818181821</v>
      </c>
      <c r="K7" s="8" t="s">
        <v>133</v>
      </c>
      <c r="L7" s="8">
        <f t="shared" si="4"/>
        <v>1.2121212121212123E-2</v>
      </c>
      <c r="M7" s="8" t="str">
        <f t="shared" si="1"/>
        <v>uL</v>
      </c>
      <c r="N7" s="3">
        <f t="shared" si="0"/>
        <v>1.0148000000000001</v>
      </c>
      <c r="O7" s="1">
        <f t="shared" si="2"/>
        <v>8.9805309734513287E-3</v>
      </c>
      <c r="P7" s="1">
        <f t="shared" si="3"/>
        <v>7.7465648854961842E-3</v>
      </c>
    </row>
    <row r="8" spans="1:19">
      <c r="A8" s="8" t="s">
        <v>5</v>
      </c>
      <c r="B8" s="17" t="s">
        <v>10</v>
      </c>
      <c r="C8" s="8" t="s">
        <v>78</v>
      </c>
      <c r="D8" s="9" t="s">
        <v>93</v>
      </c>
      <c r="E8" s="8">
        <v>40</v>
      </c>
      <c r="F8" s="8" t="s">
        <v>7</v>
      </c>
      <c r="G8" s="8">
        <v>41040</v>
      </c>
      <c r="H8" s="8">
        <v>250</v>
      </c>
      <c r="I8" s="8" t="s">
        <v>134</v>
      </c>
      <c r="J8" s="8">
        <f>0.025*384*4</f>
        <v>38.400000000000006</v>
      </c>
      <c r="K8" s="8" t="s">
        <v>134</v>
      </c>
      <c r="L8" s="8">
        <f t="shared" si="4"/>
        <v>2.5000000000000005E-2</v>
      </c>
      <c r="M8" s="8" t="str">
        <f t="shared" si="1"/>
        <v>uL</v>
      </c>
      <c r="N8" s="3">
        <f t="shared" si="0"/>
        <v>4.104000000000001</v>
      </c>
      <c r="O8" s="1">
        <f t="shared" si="2"/>
        <v>3.6318584070796467E-2</v>
      </c>
      <c r="P8" s="1">
        <f t="shared" si="3"/>
        <v>3.1328244274809167E-2</v>
      </c>
    </row>
    <row r="9" spans="1:19">
      <c r="A9" s="8" t="s">
        <v>5</v>
      </c>
      <c r="B9" s="17" t="s">
        <v>11</v>
      </c>
      <c r="C9" s="8" t="s">
        <v>55</v>
      </c>
      <c r="D9" s="9">
        <v>9012</v>
      </c>
      <c r="E9" s="8">
        <f>10*1000</f>
        <v>10000</v>
      </c>
      <c r="F9" s="8" t="s">
        <v>52</v>
      </c>
      <c r="G9" s="8">
        <v>3672</v>
      </c>
      <c r="H9" s="8">
        <f>10*1000</f>
        <v>10000</v>
      </c>
      <c r="I9" s="8" t="s">
        <v>52</v>
      </c>
      <c r="J9" s="8">
        <f>(0.5*384*4)-SUM(J5:J8)</f>
        <v>663.94181818181823</v>
      </c>
      <c r="K9" s="8" t="s">
        <v>52</v>
      </c>
      <c r="L9" s="8">
        <f t="shared" si="4"/>
        <v>0.43225378787878793</v>
      </c>
      <c r="M9" s="8" t="str">
        <f t="shared" si="1"/>
        <v>uL</v>
      </c>
      <c r="N9" s="3">
        <f t="shared" si="0"/>
        <v>0.15872359090909094</v>
      </c>
      <c r="O9" s="1">
        <f>N9/$S$2</f>
        <v>1.4046335478680614E-3</v>
      </c>
      <c r="P9" s="1">
        <f t="shared" si="3"/>
        <v>1.2116304649548927E-3</v>
      </c>
    </row>
    <row r="10" spans="1:19">
      <c r="A10" s="8" t="s">
        <v>14</v>
      </c>
      <c r="B10" s="17" t="s">
        <v>88</v>
      </c>
      <c r="C10" s="8" t="s">
        <v>90</v>
      </c>
      <c r="D10" s="9" t="s">
        <v>89</v>
      </c>
      <c r="E10" s="8">
        <v>10</v>
      </c>
      <c r="F10" s="8" t="s">
        <v>15</v>
      </c>
      <c r="G10" s="8">
        <v>3110</v>
      </c>
      <c r="H10" s="8">
        <f>6*1000</f>
        <v>6000</v>
      </c>
      <c r="I10" s="8" t="s">
        <v>135</v>
      </c>
      <c r="J10" s="8">
        <f>0.2*384*4</f>
        <v>307.20000000000005</v>
      </c>
      <c r="K10" s="8" t="s">
        <v>135</v>
      </c>
      <c r="L10" s="8">
        <f t="shared" si="4"/>
        <v>0.20000000000000004</v>
      </c>
      <c r="M10" s="8" t="str">
        <f t="shared" si="1"/>
        <v>uL</v>
      </c>
      <c r="N10" s="3">
        <f t="shared" si="0"/>
        <v>0.10366666666666668</v>
      </c>
      <c r="O10" s="1">
        <f t="shared" si="2"/>
        <v>9.1740412979351049E-4</v>
      </c>
      <c r="P10" s="1">
        <f t="shared" si="3"/>
        <v>7.9134860050890604E-4</v>
      </c>
    </row>
    <row r="11" spans="1:19" s="6" customFormat="1">
      <c r="A11" s="14" t="s">
        <v>14</v>
      </c>
      <c r="B11" s="18" t="s">
        <v>13</v>
      </c>
      <c r="C11" s="14" t="s">
        <v>17</v>
      </c>
      <c r="D11" s="19">
        <v>18080085</v>
      </c>
      <c r="E11" s="14">
        <v>200</v>
      </c>
      <c r="F11" s="14" t="s">
        <v>16</v>
      </c>
      <c r="G11" s="14">
        <v>139200</v>
      </c>
      <c r="H11" s="14">
        <v>200</v>
      </c>
      <c r="I11" s="14" t="s">
        <v>139</v>
      </c>
      <c r="J11" s="14">
        <f>0.025*384*4/4</f>
        <v>9.6000000000000014</v>
      </c>
      <c r="K11" s="14" t="s">
        <v>139</v>
      </c>
      <c r="L11" s="25">
        <f t="shared" si="4"/>
        <v>6.2500000000000012E-3</v>
      </c>
      <c r="M11" s="14" t="str">
        <f t="shared" si="1"/>
        <v>uL</v>
      </c>
      <c r="N11" s="6">
        <f t="shared" si="0"/>
        <v>4.3500000000000005</v>
      </c>
      <c r="O11" s="6">
        <f t="shared" si="2"/>
        <v>3.8495575221238941E-2</v>
      </c>
      <c r="P11" s="6">
        <f t="shared" si="3"/>
        <v>3.3206106870229013E-2</v>
      </c>
    </row>
    <row r="12" spans="1:19" s="6" customFormat="1">
      <c r="A12" s="14" t="s">
        <v>14</v>
      </c>
      <c r="B12" s="18" t="s">
        <v>9</v>
      </c>
      <c r="C12" s="14" t="s">
        <v>78</v>
      </c>
      <c r="D12" s="19" t="s">
        <v>93</v>
      </c>
      <c r="E12" s="14">
        <v>40</v>
      </c>
      <c r="F12" s="14" t="s">
        <v>16</v>
      </c>
      <c r="G12" s="14">
        <v>41040</v>
      </c>
      <c r="H12" s="14">
        <v>250</v>
      </c>
      <c r="I12" s="14" t="s">
        <v>134</v>
      </c>
      <c r="J12" s="14">
        <f>0.01375*384*4/4</f>
        <v>5.28</v>
      </c>
      <c r="K12" s="14" t="s">
        <v>134</v>
      </c>
      <c r="L12" s="25">
        <f t="shared" si="4"/>
        <v>3.4375E-3</v>
      </c>
      <c r="M12" s="14" t="str">
        <f t="shared" si="1"/>
        <v>uL</v>
      </c>
      <c r="N12" s="6">
        <f t="shared" si="0"/>
        <v>0.56430000000000002</v>
      </c>
      <c r="O12" s="6">
        <f>N12/$S$2</f>
        <v>4.9938053097345137E-3</v>
      </c>
      <c r="P12" s="6">
        <f t="shared" si="3"/>
        <v>4.3076335877862597E-3</v>
      </c>
    </row>
    <row r="13" spans="1:19">
      <c r="A13" s="8" t="s">
        <v>14</v>
      </c>
      <c r="B13" s="17" t="s">
        <v>11</v>
      </c>
      <c r="C13" s="8" t="s">
        <v>55</v>
      </c>
      <c r="D13" s="9">
        <v>9012</v>
      </c>
      <c r="E13" s="8">
        <f>10*1000</f>
        <v>10000</v>
      </c>
      <c r="F13" s="8" t="s">
        <v>52</v>
      </c>
      <c r="G13" s="8">
        <v>3672</v>
      </c>
      <c r="H13" s="8">
        <f>10*1000</f>
        <v>10000</v>
      </c>
      <c r="I13" s="8" t="s">
        <v>52</v>
      </c>
      <c r="J13" s="8">
        <f>(4*384)-SUM(J10:J12)</f>
        <v>1213.92</v>
      </c>
      <c r="K13" s="8" t="s">
        <v>52</v>
      </c>
      <c r="L13" s="8">
        <f t="shared" si="4"/>
        <v>0.79031250000000008</v>
      </c>
      <c r="M13" s="8" t="str">
        <f t="shared" si="1"/>
        <v>uL</v>
      </c>
      <c r="N13" s="3">
        <f t="shared" si="0"/>
        <v>0.29020275000000006</v>
      </c>
      <c r="O13" s="1">
        <f t="shared" si="2"/>
        <v>2.5681659292035404E-3</v>
      </c>
      <c r="P13" s="1">
        <f t="shared" si="3"/>
        <v>2.2152881679389316E-3</v>
      </c>
    </row>
    <row r="14" spans="1:19">
      <c r="A14" s="8" t="s">
        <v>49</v>
      </c>
      <c r="B14" s="17" t="s">
        <v>64</v>
      </c>
      <c r="C14" s="8" t="s">
        <v>66</v>
      </c>
      <c r="D14" s="9" t="s">
        <v>65</v>
      </c>
      <c r="E14" s="8">
        <v>40</v>
      </c>
      <c r="F14" s="8" t="s">
        <v>67</v>
      </c>
      <c r="G14" s="8">
        <v>32319</v>
      </c>
      <c r="H14" s="8">
        <v>40</v>
      </c>
      <c r="I14" s="8" t="s">
        <v>67</v>
      </c>
      <c r="J14" s="8">
        <f>1*2</f>
        <v>2</v>
      </c>
      <c r="K14" s="8" t="s">
        <v>67</v>
      </c>
      <c r="L14" s="8">
        <f t="shared" si="4"/>
        <v>1.3020833333333333E-3</v>
      </c>
      <c r="M14" s="8" t="str">
        <f t="shared" si="1"/>
        <v>reservoir</v>
      </c>
      <c r="N14" s="3">
        <f t="shared" si="0"/>
        <v>1.05205078125</v>
      </c>
      <c r="O14" s="1">
        <f>N14/$S$2</f>
        <v>9.3101839048672554E-3</v>
      </c>
      <c r="P14" s="1">
        <f t="shared" si="3"/>
        <v>8.0309219942748082E-3</v>
      </c>
    </row>
    <row r="15" spans="1:19">
      <c r="A15" s="8" t="s">
        <v>49</v>
      </c>
      <c r="B15" s="17" t="s">
        <v>61</v>
      </c>
      <c r="C15" s="8" t="s">
        <v>60</v>
      </c>
      <c r="D15" s="9" t="s">
        <v>62</v>
      </c>
      <c r="E15" s="8">
        <f>250*0.3048</f>
        <v>76.2</v>
      </c>
      <c r="F15" s="8" t="s">
        <v>63</v>
      </c>
      <c r="G15" s="8">
        <v>3600</v>
      </c>
      <c r="H15" s="8">
        <f>250*0.3048</f>
        <v>76.2</v>
      </c>
      <c r="I15" s="8" t="s">
        <v>136</v>
      </c>
      <c r="J15" s="8">
        <f>0.43*2</f>
        <v>0.86</v>
      </c>
      <c r="K15" s="8" t="s">
        <v>136</v>
      </c>
      <c r="L15" s="8">
        <f t="shared" si="4"/>
        <v>5.5989583333333336E-4</v>
      </c>
      <c r="M15" s="8" t="str">
        <f t="shared" si="1"/>
        <v>meter</v>
      </c>
      <c r="N15" s="3">
        <f t="shared" si="0"/>
        <v>2.6451771653543309E-2</v>
      </c>
      <c r="O15" s="1">
        <f t="shared" si="2"/>
        <v>2.3408647481011779E-4</v>
      </c>
      <c r="P15" s="1">
        <f t="shared" si="3"/>
        <v>2.0192192101941458E-4</v>
      </c>
    </row>
    <row r="16" spans="1:19">
      <c r="A16" s="15" t="s">
        <v>19</v>
      </c>
      <c r="B16" s="20" t="s">
        <v>20</v>
      </c>
      <c r="C16" s="15" t="s">
        <v>21</v>
      </c>
      <c r="D16" s="21" t="s">
        <v>22</v>
      </c>
      <c r="E16" s="15">
        <v>200</v>
      </c>
      <c r="F16" s="15" t="s">
        <v>23</v>
      </c>
      <c r="G16" s="15">
        <v>46820</v>
      </c>
      <c r="H16" s="15">
        <v>200</v>
      </c>
      <c r="I16" s="15" t="s">
        <v>23</v>
      </c>
      <c r="J16" s="15">
        <f>3/3*8/8*3</f>
        <v>3</v>
      </c>
      <c r="K16" s="15" t="s">
        <v>23</v>
      </c>
      <c r="L16" s="15">
        <f t="shared" si="4"/>
        <v>1.953125E-3</v>
      </c>
      <c r="M16" s="15" t="str">
        <f t="shared" si="1"/>
        <v>column/time</v>
      </c>
      <c r="N16" s="3">
        <f t="shared" si="0"/>
        <v>0.45722656249999999</v>
      </c>
      <c r="O16" s="1">
        <f t="shared" si="2"/>
        <v>4.0462527654867254E-3</v>
      </c>
      <c r="P16" s="1">
        <f t="shared" si="3"/>
        <v>3.4902791030534349E-3</v>
      </c>
    </row>
    <row r="17" spans="1:16">
      <c r="A17" s="15" t="s">
        <v>19</v>
      </c>
      <c r="B17" s="20" t="s">
        <v>11</v>
      </c>
      <c r="C17" s="15" t="s">
        <v>55</v>
      </c>
      <c r="D17" s="21">
        <v>9012</v>
      </c>
      <c r="E17" s="15">
        <f>10*1000</f>
        <v>10000</v>
      </c>
      <c r="F17" s="15" t="s">
        <v>52</v>
      </c>
      <c r="G17" s="15">
        <v>3672</v>
      </c>
      <c r="H17" s="15">
        <f>10*1000</f>
        <v>10000</v>
      </c>
      <c r="I17" s="15" t="s">
        <v>52</v>
      </c>
      <c r="J17" s="15">
        <f>63/3*8/8*3</f>
        <v>63</v>
      </c>
      <c r="K17" s="15" t="s">
        <v>52</v>
      </c>
      <c r="L17" s="15">
        <f t="shared" si="4"/>
        <v>4.1015625E-2</v>
      </c>
      <c r="M17" s="15" t="str">
        <f t="shared" si="1"/>
        <v>uL</v>
      </c>
      <c r="N17" s="3">
        <f t="shared" si="0"/>
        <v>1.5060937500000001E-2</v>
      </c>
      <c r="O17" s="1">
        <f t="shared" si="2"/>
        <v>1.3328263274336283E-4</v>
      </c>
      <c r="P17" s="1">
        <f t="shared" si="3"/>
        <v>1.1496898854961833E-4</v>
      </c>
    </row>
    <row r="18" spans="1:16">
      <c r="A18" s="15" t="s">
        <v>24</v>
      </c>
      <c r="B18" s="20" t="s">
        <v>12</v>
      </c>
      <c r="C18" s="15" t="s">
        <v>90</v>
      </c>
      <c r="D18" s="21" t="s">
        <v>89</v>
      </c>
      <c r="E18" s="15">
        <v>10</v>
      </c>
      <c r="F18" s="15" t="s">
        <v>26</v>
      </c>
      <c r="G18" s="15">
        <v>3110</v>
      </c>
      <c r="H18" s="15">
        <f>6*1000</f>
        <v>6000</v>
      </c>
      <c r="I18" s="15" t="s">
        <v>135</v>
      </c>
      <c r="J18" s="15">
        <f>7.5/3*8/8*3</f>
        <v>7.5</v>
      </c>
      <c r="K18" s="15" t="s">
        <v>135</v>
      </c>
      <c r="L18" s="15">
        <f t="shared" si="4"/>
        <v>4.8828125E-3</v>
      </c>
      <c r="M18" s="15" t="str">
        <f t="shared" si="1"/>
        <v>uL</v>
      </c>
      <c r="N18" s="3">
        <f t="shared" si="0"/>
        <v>2.5309244791666668E-3</v>
      </c>
      <c r="O18" s="1">
        <f t="shared" si="2"/>
        <v>2.2397561762536875E-5</v>
      </c>
      <c r="P18" s="1">
        <f t="shared" si="3"/>
        <v>1.9320034192111959E-5</v>
      </c>
    </row>
    <row r="19" spans="1:16">
      <c r="A19" s="15" t="s">
        <v>24</v>
      </c>
      <c r="B19" s="20" t="s">
        <v>25</v>
      </c>
      <c r="C19" s="15" t="s">
        <v>17</v>
      </c>
      <c r="D19" s="21">
        <v>10216018</v>
      </c>
      <c r="E19" s="15">
        <v>100</v>
      </c>
      <c r="F19" s="15" t="s">
        <v>3</v>
      </c>
      <c r="G19" s="15">
        <v>8920</v>
      </c>
      <c r="H19" s="15">
        <v>250</v>
      </c>
      <c r="I19" s="15" t="s">
        <v>133</v>
      </c>
      <c r="J19" s="15">
        <f>(1.8)/3*8/8*3</f>
        <v>1.7999999999999998</v>
      </c>
      <c r="K19" s="15" t="s">
        <v>133</v>
      </c>
      <c r="L19" s="15">
        <f t="shared" si="4"/>
        <v>1.171875E-3</v>
      </c>
      <c r="M19" s="15" t="str">
        <f t="shared" si="1"/>
        <v>uL</v>
      </c>
      <c r="N19" s="3">
        <f t="shared" si="0"/>
        <v>4.1812499999999996E-2</v>
      </c>
      <c r="O19" s="1">
        <f t="shared" si="2"/>
        <v>3.7002212389380528E-4</v>
      </c>
      <c r="P19" s="1">
        <f t="shared" si="3"/>
        <v>3.1917938931297704E-4</v>
      </c>
    </row>
    <row r="20" spans="1:16">
      <c r="A20" s="15" t="s">
        <v>24</v>
      </c>
      <c r="B20" s="20" t="s">
        <v>162</v>
      </c>
      <c r="C20" s="15" t="s">
        <v>28</v>
      </c>
      <c r="D20" s="21" t="s">
        <v>163</v>
      </c>
      <c r="E20" s="15">
        <v>2</v>
      </c>
      <c r="F20" s="15" t="s">
        <v>27</v>
      </c>
      <c r="G20" s="15">
        <v>33320</v>
      </c>
      <c r="H20" s="15">
        <v>60</v>
      </c>
      <c r="I20" s="15" t="s">
        <v>134</v>
      </c>
      <c r="J20" s="15">
        <f>(1.44)/3*8/8*3</f>
        <v>1.44</v>
      </c>
      <c r="K20" s="15" t="s">
        <v>134</v>
      </c>
      <c r="L20" s="15">
        <f t="shared" si="4"/>
        <v>9.3749999999999997E-4</v>
      </c>
      <c r="M20" s="15" t="str">
        <f t="shared" si="1"/>
        <v>uL</v>
      </c>
      <c r="N20" s="3">
        <f t="shared" si="0"/>
        <v>0.520625</v>
      </c>
      <c r="O20" s="1">
        <f t="shared" si="2"/>
        <v>4.6073008849557518E-3</v>
      </c>
      <c r="P20" s="1">
        <f t="shared" si="3"/>
        <v>3.9742366412213737E-3</v>
      </c>
    </row>
    <row r="21" spans="1:16">
      <c r="A21" s="15" t="s">
        <v>24</v>
      </c>
      <c r="B21" s="20" t="s">
        <v>86</v>
      </c>
      <c r="C21" s="15" t="s">
        <v>87</v>
      </c>
      <c r="D21" s="21">
        <v>3333574001</v>
      </c>
      <c r="E21" s="15">
        <v>400</v>
      </c>
      <c r="F21" s="15" t="s">
        <v>7</v>
      </c>
      <c r="G21" s="15">
        <v>28300</v>
      </c>
      <c r="H21" s="15">
        <v>60</v>
      </c>
      <c r="I21" s="15" t="s">
        <v>134</v>
      </c>
      <c r="J21" s="15">
        <f>(5.04)/3*8/8*3</f>
        <v>5.04</v>
      </c>
      <c r="K21" s="15" t="s">
        <v>134</v>
      </c>
      <c r="L21" s="15">
        <f t="shared" si="4"/>
        <v>3.2812499999999999E-3</v>
      </c>
      <c r="M21" s="15" t="str">
        <f t="shared" si="1"/>
        <v>uL</v>
      </c>
      <c r="N21" s="3">
        <f t="shared" si="0"/>
        <v>1.54765625</v>
      </c>
      <c r="O21" s="1">
        <f t="shared" si="2"/>
        <v>1.3696073008849558E-2</v>
      </c>
      <c r="P21" s="1">
        <f t="shared" si="3"/>
        <v>1.1814169847328243E-2</v>
      </c>
    </row>
    <row r="22" spans="1:16">
      <c r="A22" s="15" t="s">
        <v>24</v>
      </c>
      <c r="B22" s="20" t="s">
        <v>11</v>
      </c>
      <c r="C22" s="15" t="s">
        <v>55</v>
      </c>
      <c r="D22" s="21">
        <v>9012</v>
      </c>
      <c r="E22" s="15">
        <f>10*1000</f>
        <v>10000</v>
      </c>
      <c r="F22" s="15" t="s">
        <v>52</v>
      </c>
      <c r="G22" s="15">
        <v>3672</v>
      </c>
      <c r="H22" s="15">
        <f>10*1000</f>
        <v>10000</v>
      </c>
      <c r="I22" s="15" t="s">
        <v>52</v>
      </c>
      <c r="J22" s="15">
        <f>(59.22)/3*8/8*3</f>
        <v>59.22</v>
      </c>
      <c r="K22" s="15" t="s">
        <v>52</v>
      </c>
      <c r="L22" s="15">
        <f t="shared" si="4"/>
        <v>3.8554687499999997E-2</v>
      </c>
      <c r="M22" s="15" t="str">
        <f t="shared" si="1"/>
        <v>uL</v>
      </c>
      <c r="N22" s="3">
        <f t="shared" si="0"/>
        <v>1.4157281250000001E-2</v>
      </c>
      <c r="O22" s="1">
        <f t="shared" si="2"/>
        <v>1.2528567477876107E-4</v>
      </c>
      <c r="P22" s="1">
        <f t="shared" si="3"/>
        <v>1.0807084923664123E-4</v>
      </c>
    </row>
    <row r="23" spans="1:16" ht="60">
      <c r="A23" s="15" t="s">
        <v>29</v>
      </c>
      <c r="B23" s="20" t="s">
        <v>56</v>
      </c>
      <c r="C23" s="15" t="s">
        <v>55</v>
      </c>
      <c r="D23" s="21" t="s">
        <v>58</v>
      </c>
      <c r="E23" s="15">
        <v>2</v>
      </c>
      <c r="F23" s="15" t="s">
        <v>15</v>
      </c>
      <c r="G23" s="15"/>
      <c r="H23" s="15"/>
      <c r="I23" s="15" t="s">
        <v>135</v>
      </c>
      <c r="J23" s="15">
        <f>300.48/3*8/8*3</f>
        <v>300.48</v>
      </c>
      <c r="K23" s="15" t="s">
        <v>135</v>
      </c>
      <c r="L23" s="15">
        <f t="shared" si="4"/>
        <v>0.19562500000000002</v>
      </c>
      <c r="M23" s="15" t="str">
        <f t="shared" si="1"/>
        <v>uL</v>
      </c>
      <c r="N23" s="3"/>
    </row>
    <row r="24" spans="1:16" ht="60">
      <c r="A24" s="15" t="s">
        <v>29</v>
      </c>
      <c r="B24" s="20" t="s">
        <v>59</v>
      </c>
      <c r="C24" s="15" t="s">
        <v>55</v>
      </c>
      <c r="D24" s="21" t="s">
        <v>58</v>
      </c>
      <c r="E24" s="15">
        <v>1.25</v>
      </c>
      <c r="F24" s="15" t="s">
        <v>57</v>
      </c>
      <c r="G24" s="15">
        <v>92718</v>
      </c>
      <c r="H24" s="15">
        <v>1000</v>
      </c>
      <c r="I24" s="15" t="s">
        <v>137</v>
      </c>
      <c r="J24" s="15">
        <f>24/3*8/8*3</f>
        <v>24</v>
      </c>
      <c r="K24" s="15" t="s">
        <v>137</v>
      </c>
      <c r="L24" s="15">
        <f t="shared" si="4"/>
        <v>1.5625E-2</v>
      </c>
      <c r="M24" s="15" t="str">
        <f t="shared" si="1"/>
        <v>uL</v>
      </c>
      <c r="N24" s="3">
        <f>G24/H24*L24</f>
        <v>1.4487187500000001</v>
      </c>
      <c r="O24" s="1">
        <f>N24/$S$2</f>
        <v>1.2820519911504425E-2</v>
      </c>
      <c r="P24" s="1">
        <f t="shared" si="3"/>
        <v>1.1058921755725192E-2</v>
      </c>
    </row>
    <row r="25" spans="1:16">
      <c r="A25" s="15" t="s">
        <v>29</v>
      </c>
      <c r="B25" s="20" t="s">
        <v>32</v>
      </c>
      <c r="C25" s="15" t="s">
        <v>94</v>
      </c>
      <c r="D25" s="21"/>
      <c r="E25" s="15">
        <v>10</v>
      </c>
      <c r="F25" s="15" t="s">
        <v>31</v>
      </c>
      <c r="G25" s="15">
        <f>25747</f>
        <v>25747</v>
      </c>
      <c r="H25" s="15">
        <v>4750</v>
      </c>
      <c r="I25" s="15" t="s">
        <v>131</v>
      </c>
      <c r="J25" s="15">
        <f>(3.84)/3*8/8*3</f>
        <v>3.84</v>
      </c>
      <c r="K25" s="15" t="s">
        <v>131</v>
      </c>
      <c r="L25" s="15">
        <f t="shared" si="4"/>
        <v>2.5000000000000001E-3</v>
      </c>
      <c r="M25" s="15" t="str">
        <f t="shared" si="1"/>
        <v>uL</v>
      </c>
      <c r="N25" s="3">
        <f>G25/H25*L25</f>
        <v>1.3551052631578948E-2</v>
      </c>
      <c r="O25" s="1">
        <f>N25/$S$2</f>
        <v>1.1992081974848627E-4</v>
      </c>
      <c r="P25" s="1">
        <f t="shared" si="3"/>
        <v>1.0344314985938128E-4</v>
      </c>
    </row>
    <row r="26" spans="1:16">
      <c r="A26" s="15" t="s">
        <v>33</v>
      </c>
      <c r="B26" s="20" t="s">
        <v>11</v>
      </c>
      <c r="C26" s="15" t="s">
        <v>55</v>
      </c>
      <c r="D26" s="21">
        <v>9012</v>
      </c>
      <c r="E26" s="15">
        <f>10*1000</f>
        <v>10000</v>
      </c>
      <c r="F26" s="15" t="s">
        <v>52</v>
      </c>
      <c r="G26" s="15">
        <v>3672</v>
      </c>
      <c r="H26" s="15">
        <f>10*1000</f>
        <v>10000</v>
      </c>
      <c r="I26" s="15" t="s">
        <v>52</v>
      </c>
      <c r="J26" s="15">
        <f>(225.6)/3*8/8*3</f>
        <v>225.60000000000002</v>
      </c>
      <c r="K26" s="15" t="s">
        <v>52</v>
      </c>
      <c r="L26" s="15">
        <f t="shared" si="4"/>
        <v>0.14687500000000001</v>
      </c>
      <c r="M26" s="15" t="str">
        <f t="shared" si="1"/>
        <v>uL</v>
      </c>
      <c r="N26" s="3">
        <f>G26/H26*L26</f>
        <v>5.3932500000000008E-2</v>
      </c>
      <c r="O26" s="1">
        <f>N26/$S$2</f>
        <v>4.7727876106194695E-4</v>
      </c>
      <c r="P26" s="1">
        <f t="shared" si="3"/>
        <v>4.1169847328244281E-4</v>
      </c>
    </row>
    <row r="27" spans="1:16" ht="60">
      <c r="A27" s="15" t="s">
        <v>35</v>
      </c>
      <c r="B27" s="20" t="s">
        <v>56</v>
      </c>
      <c r="C27" s="15" t="s">
        <v>55</v>
      </c>
      <c r="D27" s="21" t="s">
        <v>58</v>
      </c>
      <c r="E27" s="15">
        <v>2</v>
      </c>
      <c r="F27" s="15" t="s">
        <v>15</v>
      </c>
      <c r="G27" s="15"/>
      <c r="H27" s="15"/>
      <c r="I27" s="15" t="s">
        <v>135</v>
      </c>
      <c r="J27" s="15">
        <f>(300.48)/3*8/8*3</f>
        <v>300.48</v>
      </c>
      <c r="K27" s="15" t="s">
        <v>135</v>
      </c>
      <c r="L27" s="15">
        <f t="shared" si="4"/>
        <v>0.19562500000000002</v>
      </c>
      <c r="M27" s="15" t="str">
        <f t="shared" si="1"/>
        <v>uL</v>
      </c>
      <c r="N27" s="3"/>
    </row>
    <row r="28" spans="1:16">
      <c r="A28" s="15" t="s">
        <v>35</v>
      </c>
      <c r="B28" s="20" t="s">
        <v>34</v>
      </c>
      <c r="C28" s="15" t="s">
        <v>95</v>
      </c>
      <c r="D28" s="21"/>
      <c r="E28" s="15">
        <v>100</v>
      </c>
      <c r="F28" s="15" t="s">
        <v>31</v>
      </c>
      <c r="G28" s="15">
        <f>21470</f>
        <v>21470</v>
      </c>
      <c r="H28" s="15">
        <v>820</v>
      </c>
      <c r="I28" s="15" t="s">
        <v>131</v>
      </c>
      <c r="J28" s="15">
        <f>(11.424)/3*8/8*3</f>
        <v>11.423999999999999</v>
      </c>
      <c r="K28" s="15" t="s">
        <v>131</v>
      </c>
      <c r="L28" s="15">
        <f t="shared" si="4"/>
        <v>7.4374999999999997E-3</v>
      </c>
      <c r="M28" s="15" t="str">
        <f t="shared" si="1"/>
        <v>uL</v>
      </c>
      <c r="N28" s="3">
        <f t="shared" ref="N28:N52" si="5">G28/H28*L28</f>
        <v>0.19473551829268293</v>
      </c>
      <c r="O28" s="5">
        <f>N28/$S$2</f>
        <v>1.7233231707317073E-3</v>
      </c>
      <c r="P28" s="1">
        <f t="shared" si="3"/>
        <v>1.4865306739899461E-3</v>
      </c>
    </row>
    <row r="29" spans="1:16">
      <c r="A29" s="15" t="s">
        <v>36</v>
      </c>
      <c r="B29" s="20" t="s">
        <v>11</v>
      </c>
      <c r="C29" s="15" t="s">
        <v>55</v>
      </c>
      <c r="D29" s="21">
        <v>9012</v>
      </c>
      <c r="E29" s="15">
        <f>10*1000</f>
        <v>10000</v>
      </c>
      <c r="F29" s="15" t="s">
        <v>52</v>
      </c>
      <c r="G29" s="15">
        <v>3672</v>
      </c>
      <c r="H29" s="15">
        <f>10*1000</f>
        <v>10000</v>
      </c>
      <c r="I29" s="15" t="s">
        <v>52</v>
      </c>
      <c r="J29" s="15">
        <f>(290.88)/3*8/8*3</f>
        <v>290.88</v>
      </c>
      <c r="K29" s="15" t="s">
        <v>52</v>
      </c>
      <c r="L29" s="15">
        <f t="shared" si="4"/>
        <v>0.18937499999999999</v>
      </c>
      <c r="M29" s="15" t="str">
        <f t="shared" si="1"/>
        <v>uL</v>
      </c>
      <c r="N29" s="3">
        <f t="shared" si="5"/>
        <v>6.9538500000000003E-2</v>
      </c>
      <c r="O29" s="5">
        <f t="shared" ref="O29:O61" si="6">N29/$S$2</f>
        <v>6.1538495575221247E-4</v>
      </c>
      <c r="P29" s="1">
        <f t="shared" si="3"/>
        <v>5.3082824427480915E-4</v>
      </c>
    </row>
    <row r="30" spans="1:16">
      <c r="A30" s="8" t="s">
        <v>38</v>
      </c>
      <c r="B30" s="17" t="s">
        <v>54</v>
      </c>
      <c r="C30" s="8" t="s">
        <v>39</v>
      </c>
      <c r="D30" s="9">
        <v>28006</v>
      </c>
      <c r="E30" s="8">
        <v>250</v>
      </c>
      <c r="F30" s="8" t="s">
        <v>40</v>
      </c>
      <c r="G30" s="8">
        <v>64000</v>
      </c>
      <c r="H30" s="8">
        <v>250</v>
      </c>
      <c r="I30" s="8" t="s">
        <v>40</v>
      </c>
      <c r="J30" s="8">
        <f>3/3</f>
        <v>1</v>
      </c>
      <c r="K30" s="8" t="s">
        <v>40</v>
      </c>
      <c r="L30" s="8">
        <f>J30/1536</f>
        <v>6.5104166666666663E-4</v>
      </c>
      <c r="M30" s="8" t="str">
        <f t="shared" si="1"/>
        <v>column</v>
      </c>
      <c r="N30" s="3">
        <f t="shared" si="5"/>
        <v>0.16666666666666666</v>
      </c>
      <c r="O30" s="5">
        <f t="shared" si="6"/>
        <v>1.4749262536873156E-3</v>
      </c>
      <c r="P30" s="1">
        <f t="shared" si="3"/>
        <v>1.2722646310432569E-3</v>
      </c>
    </row>
    <row r="31" spans="1:16">
      <c r="A31" s="8" t="s">
        <v>41</v>
      </c>
      <c r="B31" s="17" t="s">
        <v>11</v>
      </c>
      <c r="C31" s="8" t="s">
        <v>55</v>
      </c>
      <c r="D31" s="9">
        <v>9012</v>
      </c>
      <c r="E31" s="8">
        <f>10*1000</f>
        <v>10000</v>
      </c>
      <c r="F31" s="8" t="s">
        <v>52</v>
      </c>
      <c r="G31" s="8">
        <v>3672</v>
      </c>
      <c r="H31" s="8">
        <f>10*1000</f>
        <v>10000</v>
      </c>
      <c r="I31" s="8" t="s">
        <v>52</v>
      </c>
      <c r="J31" s="8">
        <f>32*3/3</f>
        <v>32</v>
      </c>
      <c r="K31" s="8" t="s">
        <v>52</v>
      </c>
      <c r="L31" s="8">
        <f t="shared" si="4"/>
        <v>2.0833333333333332E-2</v>
      </c>
      <c r="M31" s="8" t="str">
        <f t="shared" si="1"/>
        <v>uL</v>
      </c>
      <c r="N31" s="3">
        <f t="shared" si="5"/>
        <v>7.6500000000000005E-3</v>
      </c>
      <c r="O31" s="5">
        <f t="shared" si="6"/>
        <v>6.7699115044247786E-5</v>
      </c>
      <c r="P31" s="1">
        <f t="shared" si="3"/>
        <v>5.8396946564885502E-5</v>
      </c>
    </row>
    <row r="32" spans="1:16">
      <c r="A32" s="8" t="s">
        <v>42</v>
      </c>
      <c r="B32" s="17" t="s">
        <v>50</v>
      </c>
      <c r="C32" s="8" t="s">
        <v>51</v>
      </c>
      <c r="D32" s="9" t="s">
        <v>53</v>
      </c>
      <c r="E32" s="8">
        <f>60*1000</f>
        <v>60000</v>
      </c>
      <c r="F32" s="8" t="s">
        <v>52</v>
      </c>
      <c r="G32" s="22">
        <v>100980</v>
      </c>
      <c r="H32" s="8">
        <f>60*1000</f>
        <v>60000</v>
      </c>
      <c r="I32" s="8" t="s">
        <v>52</v>
      </c>
      <c r="J32" s="8">
        <f>72/3</f>
        <v>24</v>
      </c>
      <c r="K32" s="8" t="s">
        <v>52</v>
      </c>
      <c r="L32" s="8">
        <f t="shared" si="4"/>
        <v>1.5625E-2</v>
      </c>
      <c r="M32" s="8" t="str">
        <f t="shared" si="1"/>
        <v>uL</v>
      </c>
      <c r="N32" s="3">
        <f t="shared" si="5"/>
        <v>2.6296875000000001E-2</v>
      </c>
      <c r="O32" s="5">
        <f t="shared" si="6"/>
        <v>2.3271570796460178E-4</v>
      </c>
      <c r="P32" s="1">
        <f t="shared" si="3"/>
        <v>2.0073950381679391E-4</v>
      </c>
    </row>
    <row r="33" spans="1:16">
      <c r="A33" s="8" t="s">
        <v>44</v>
      </c>
      <c r="B33" s="17" t="s">
        <v>43</v>
      </c>
      <c r="C33" s="8" t="s">
        <v>91</v>
      </c>
      <c r="D33" s="9" t="s">
        <v>92</v>
      </c>
      <c r="E33" s="8">
        <f>10*11</f>
        <v>110</v>
      </c>
      <c r="F33" s="8" t="s">
        <v>45</v>
      </c>
      <c r="G33" s="8">
        <v>61560</v>
      </c>
      <c r="H33" s="8">
        <v>110</v>
      </c>
      <c r="I33" s="8" t="s">
        <v>45</v>
      </c>
      <c r="J33" s="8">
        <v>1</v>
      </c>
      <c r="K33" s="8" t="s">
        <v>45</v>
      </c>
      <c r="L33" s="8">
        <f t="shared" si="4"/>
        <v>6.5104166666666663E-4</v>
      </c>
      <c r="M33" s="8" t="str">
        <f t="shared" si="1"/>
        <v>well</v>
      </c>
      <c r="N33" s="3">
        <f t="shared" si="5"/>
        <v>0.36434659090909088</v>
      </c>
      <c r="O33" s="5">
        <f t="shared" si="6"/>
        <v>3.2243061142397424E-3</v>
      </c>
      <c r="P33" s="1">
        <f t="shared" si="3"/>
        <v>2.7812716863289382E-3</v>
      </c>
    </row>
    <row r="34" spans="1:16">
      <c r="A34" s="8" t="s">
        <v>141</v>
      </c>
      <c r="B34" s="17" t="s">
        <v>145</v>
      </c>
      <c r="C34" s="8" t="s">
        <v>144</v>
      </c>
      <c r="D34" s="9" t="s">
        <v>143</v>
      </c>
      <c r="E34" s="8">
        <v>1000</v>
      </c>
      <c r="F34" s="8" t="s">
        <v>75</v>
      </c>
      <c r="G34" s="8">
        <f>1000*175</f>
        <v>175000</v>
      </c>
      <c r="H34" s="8">
        <v>1000</v>
      </c>
      <c r="I34" s="8" t="s">
        <v>119</v>
      </c>
      <c r="J34" s="8">
        <v>1</v>
      </c>
      <c r="K34" s="8" t="s">
        <v>119</v>
      </c>
      <c r="L34" s="8">
        <f t="shared" si="4"/>
        <v>6.5104166666666663E-4</v>
      </c>
      <c r="M34" s="8" t="str">
        <f t="shared" si="1"/>
        <v>well</v>
      </c>
      <c r="N34" s="3">
        <f t="shared" si="5"/>
        <v>0.11393229166666666</v>
      </c>
      <c r="O34" s="5">
        <f t="shared" si="6"/>
        <v>1.0082503687315633E-3</v>
      </c>
      <c r="P34" s="1">
        <f t="shared" si="3"/>
        <v>8.6971215012722643E-4</v>
      </c>
    </row>
    <row r="35" spans="1:16" ht="30">
      <c r="A35" s="8" t="s">
        <v>46</v>
      </c>
      <c r="B35" s="17" t="s">
        <v>96</v>
      </c>
      <c r="C35" s="8" t="s">
        <v>48</v>
      </c>
      <c r="D35" s="9">
        <v>520091</v>
      </c>
      <c r="E35" s="8">
        <v>250</v>
      </c>
      <c r="F35" s="8" t="s">
        <v>47</v>
      </c>
      <c r="G35" s="8">
        <v>213840</v>
      </c>
      <c r="H35" s="8">
        <v>250</v>
      </c>
      <c r="I35" s="8" t="s">
        <v>47</v>
      </c>
      <c r="J35" s="8">
        <v>1</v>
      </c>
      <c r="K35" s="8" t="s">
        <v>47</v>
      </c>
      <c r="L35" s="8">
        <f t="shared" si="4"/>
        <v>6.5104166666666663E-4</v>
      </c>
      <c r="M35" s="8" t="str">
        <f t="shared" si="1"/>
        <v>tube</v>
      </c>
      <c r="N35" s="3">
        <f t="shared" si="5"/>
        <v>0.55687500000000001</v>
      </c>
      <c r="O35" s="5">
        <f t="shared" si="6"/>
        <v>4.9280973451327438E-3</v>
      </c>
      <c r="P35" s="1">
        <f t="shared" si="3"/>
        <v>4.2509541984732824E-3</v>
      </c>
    </row>
    <row r="36" spans="1:16">
      <c r="A36" s="8" t="s">
        <v>46</v>
      </c>
      <c r="B36" s="17" t="s">
        <v>20</v>
      </c>
      <c r="C36" s="8" t="s">
        <v>21</v>
      </c>
      <c r="D36" s="9" t="s">
        <v>22</v>
      </c>
      <c r="E36" s="8">
        <v>200</v>
      </c>
      <c r="F36" s="8" t="s">
        <v>23</v>
      </c>
      <c r="G36" s="8">
        <v>46820</v>
      </c>
      <c r="H36" s="8">
        <v>200</v>
      </c>
      <c r="I36" s="8" t="s">
        <v>23</v>
      </c>
      <c r="J36" s="8">
        <v>1</v>
      </c>
      <c r="K36" s="8" t="s">
        <v>23</v>
      </c>
      <c r="L36" s="8">
        <f t="shared" si="4"/>
        <v>6.5104166666666663E-4</v>
      </c>
      <c r="M36" s="8" t="str">
        <f t="shared" si="1"/>
        <v>column/time</v>
      </c>
      <c r="N36" s="3">
        <f t="shared" si="5"/>
        <v>0.15240885416666666</v>
      </c>
      <c r="O36" s="5">
        <f t="shared" si="6"/>
        <v>1.3487509218289085E-3</v>
      </c>
      <c r="P36" s="1">
        <f t="shared" si="3"/>
        <v>1.1634263676844783E-3</v>
      </c>
    </row>
    <row r="37" spans="1:16">
      <c r="A37" s="8" t="s">
        <v>46</v>
      </c>
      <c r="B37" s="17" t="s">
        <v>11</v>
      </c>
      <c r="C37" s="8" t="s">
        <v>55</v>
      </c>
      <c r="D37" s="9">
        <v>9012</v>
      </c>
      <c r="E37" s="8">
        <f>10*1000</f>
        <v>10000</v>
      </c>
      <c r="F37" s="8" t="s">
        <v>52</v>
      </c>
      <c r="G37" s="8">
        <v>3672</v>
      </c>
      <c r="H37" s="8">
        <f>10*1000</f>
        <v>10000</v>
      </c>
      <c r="I37" s="8" t="s">
        <v>52</v>
      </c>
      <c r="J37" s="8">
        <v>11</v>
      </c>
      <c r="K37" s="8" t="s">
        <v>52</v>
      </c>
      <c r="L37" s="8">
        <f t="shared" si="4"/>
        <v>7.161458333333333E-3</v>
      </c>
      <c r="M37" s="8" t="str">
        <f t="shared" si="1"/>
        <v>uL</v>
      </c>
      <c r="N37" s="3">
        <f t="shared" si="5"/>
        <v>2.6296875000000001E-3</v>
      </c>
      <c r="O37" s="5">
        <f t="shared" si="6"/>
        <v>2.3271570796460178E-5</v>
      </c>
      <c r="P37" s="1">
        <f t="shared" si="3"/>
        <v>2.007395038167939E-5</v>
      </c>
    </row>
    <row r="38" spans="1:16">
      <c r="A38" s="8" t="s">
        <v>72</v>
      </c>
      <c r="B38" s="17" t="s">
        <v>73</v>
      </c>
      <c r="C38" s="8" t="s">
        <v>74</v>
      </c>
      <c r="D38" s="9"/>
      <c r="E38" s="8">
        <v>24</v>
      </c>
      <c r="F38" s="8" t="s">
        <v>75</v>
      </c>
      <c r="G38" s="23">
        <v>160799</v>
      </c>
      <c r="H38" s="8">
        <v>24</v>
      </c>
      <c r="I38" s="8" t="s">
        <v>75</v>
      </c>
      <c r="J38" s="8">
        <f>1/5</f>
        <v>0.2</v>
      </c>
      <c r="K38" s="8" t="s">
        <v>75</v>
      </c>
      <c r="L38" s="8">
        <f t="shared" si="4"/>
        <v>1.3020833333333333E-4</v>
      </c>
      <c r="M38" s="8" t="str">
        <f t="shared" si="1"/>
        <v>times</v>
      </c>
      <c r="N38" s="3">
        <f t="shared" si="5"/>
        <v>0.87239040798611101</v>
      </c>
      <c r="O38" s="5">
        <f t="shared" si="6"/>
        <v>7.7202690972222217E-3</v>
      </c>
      <c r="P38" s="1">
        <f t="shared" si="3"/>
        <v>6.6594687632527561E-3</v>
      </c>
    </row>
    <row r="39" spans="1:16">
      <c r="A39" s="13" t="s">
        <v>72</v>
      </c>
      <c r="B39" s="16" t="s">
        <v>80</v>
      </c>
      <c r="C39" s="13" t="s">
        <v>74</v>
      </c>
      <c r="D39" s="9" t="s">
        <v>81</v>
      </c>
      <c r="E39" s="8">
        <f>500*25/2</f>
        <v>6250</v>
      </c>
      <c r="F39" s="8" t="s">
        <v>52</v>
      </c>
      <c r="G39" s="8">
        <v>37800</v>
      </c>
      <c r="H39" s="8">
        <f>E39</f>
        <v>6250</v>
      </c>
      <c r="I39" s="8" t="s">
        <v>52</v>
      </c>
      <c r="J39" s="8">
        <v>25</v>
      </c>
      <c r="K39" s="8" t="s">
        <v>52</v>
      </c>
      <c r="L39" s="8">
        <f t="shared" si="4"/>
        <v>1.6276041666666668E-2</v>
      </c>
      <c r="M39" s="8" t="str">
        <f t="shared" si="1"/>
        <v>uL</v>
      </c>
      <c r="N39" s="3">
        <f t="shared" si="5"/>
        <v>9.8437500000000011E-2</v>
      </c>
      <c r="O39" s="5">
        <f t="shared" si="6"/>
        <v>8.7112831858407089E-4</v>
      </c>
      <c r="P39" s="1">
        <f t="shared" si="3"/>
        <v>7.5143129770992377E-4</v>
      </c>
    </row>
    <row r="40" spans="1:16">
      <c r="A40" s="13" t="s">
        <v>72</v>
      </c>
      <c r="B40" s="16" t="s">
        <v>101</v>
      </c>
      <c r="C40" s="13" t="s">
        <v>95</v>
      </c>
      <c r="D40" s="9"/>
      <c r="E40" s="8">
        <v>100</v>
      </c>
      <c r="F40" s="8" t="s">
        <v>100</v>
      </c>
      <c r="G40" s="8">
        <v>20304</v>
      </c>
      <c r="H40" s="8">
        <v>900</v>
      </c>
      <c r="I40" s="8" t="s">
        <v>131</v>
      </c>
      <c r="J40" s="8">
        <f>2*1.5/100</f>
        <v>0.03</v>
      </c>
      <c r="K40" s="8" t="s">
        <v>131</v>
      </c>
      <c r="L40" s="8">
        <f t="shared" si="4"/>
        <v>1.953125E-5</v>
      </c>
      <c r="M40" s="8" t="str">
        <f t="shared" si="1"/>
        <v>uL</v>
      </c>
      <c r="N40" s="3">
        <f t="shared" si="5"/>
        <v>4.4062499999999999E-4</v>
      </c>
      <c r="O40" s="5">
        <f t="shared" si="6"/>
        <v>3.8993362831858404E-6</v>
      </c>
      <c r="P40" s="1">
        <f t="shared" si="3"/>
        <v>3.3635496183206107E-6</v>
      </c>
    </row>
    <row r="41" spans="1:16">
      <c r="A41" s="13" t="s">
        <v>72</v>
      </c>
      <c r="B41" s="16" t="s">
        <v>102</v>
      </c>
      <c r="C41" s="13" t="s">
        <v>95</v>
      </c>
      <c r="D41" s="9"/>
      <c r="E41" s="8">
        <v>100</v>
      </c>
      <c r="F41" s="8" t="s">
        <v>98</v>
      </c>
      <c r="G41" s="8">
        <v>29419</v>
      </c>
      <c r="H41" s="8">
        <v>310</v>
      </c>
      <c r="I41" s="8" t="s">
        <v>131</v>
      </c>
      <c r="J41" s="8">
        <f>2*1.5/100</f>
        <v>0.03</v>
      </c>
      <c r="K41" s="8" t="s">
        <v>131</v>
      </c>
      <c r="L41" s="8">
        <f t="shared" si="4"/>
        <v>1.953125E-5</v>
      </c>
      <c r="M41" s="8" t="str">
        <f t="shared" si="1"/>
        <v>uL</v>
      </c>
      <c r="N41" s="3">
        <f t="shared" si="5"/>
        <v>1.8535156250000001E-3</v>
      </c>
      <c r="O41" s="5">
        <f t="shared" si="6"/>
        <v>1.640279314159292E-5</v>
      </c>
      <c r="P41" s="1">
        <f t="shared" si="3"/>
        <v>1.4148974236641222E-5</v>
      </c>
    </row>
    <row r="42" spans="1:16">
      <c r="A42" s="13" t="s">
        <v>72</v>
      </c>
      <c r="B42" s="16" t="s">
        <v>99</v>
      </c>
      <c r="C42" s="13" t="s">
        <v>95</v>
      </c>
      <c r="D42" s="9"/>
      <c r="E42" s="8">
        <v>100</v>
      </c>
      <c r="F42" s="8" t="s">
        <v>98</v>
      </c>
      <c r="G42" s="8">
        <v>29419</v>
      </c>
      <c r="H42" s="8">
        <v>310</v>
      </c>
      <c r="I42" s="8" t="s">
        <v>131</v>
      </c>
      <c r="J42" s="8">
        <v>0.35</v>
      </c>
      <c r="K42" s="8" t="s">
        <v>131</v>
      </c>
      <c r="L42" s="8">
        <f t="shared" si="4"/>
        <v>2.2786458333333331E-4</v>
      </c>
      <c r="M42" s="8" t="str">
        <f t="shared" si="1"/>
        <v>uL</v>
      </c>
      <c r="N42" s="3">
        <f t="shared" si="5"/>
        <v>2.1624348958333331E-2</v>
      </c>
      <c r="O42" s="5">
        <f t="shared" si="6"/>
        <v>1.9136591998525072E-4</v>
      </c>
      <c r="P42" s="1">
        <f t="shared" si="3"/>
        <v>1.6507136609414757E-4</v>
      </c>
    </row>
    <row r="43" spans="1:16">
      <c r="A43" s="13" t="s">
        <v>72</v>
      </c>
      <c r="B43" s="16" t="s">
        <v>97</v>
      </c>
      <c r="C43" s="13" t="s">
        <v>95</v>
      </c>
      <c r="D43" s="9"/>
      <c r="E43" s="8">
        <v>100</v>
      </c>
      <c r="F43" s="8" t="s">
        <v>8</v>
      </c>
      <c r="G43" s="8">
        <v>21556</v>
      </c>
      <c r="H43" s="8">
        <v>818</v>
      </c>
      <c r="I43" s="8" t="s">
        <v>131</v>
      </c>
      <c r="J43" s="8">
        <v>0.35</v>
      </c>
      <c r="K43" s="8" t="s">
        <v>131</v>
      </c>
      <c r="L43" s="8">
        <f t="shared" si="4"/>
        <v>2.2786458333333331E-4</v>
      </c>
      <c r="M43" s="8" t="str">
        <f t="shared" si="1"/>
        <v>uL</v>
      </c>
      <c r="N43" s="3">
        <f t="shared" si="5"/>
        <v>6.0047053280358588E-3</v>
      </c>
      <c r="O43" s="5">
        <f t="shared" si="6"/>
        <v>5.313898520385716E-5</v>
      </c>
      <c r="P43" s="1">
        <f t="shared" si="3"/>
        <v>4.5837445252182131E-5</v>
      </c>
    </row>
    <row r="44" spans="1:16">
      <c r="A44" s="8" t="s">
        <v>76</v>
      </c>
      <c r="B44" s="17" t="s">
        <v>50</v>
      </c>
      <c r="C44" s="8" t="s">
        <v>51</v>
      </c>
      <c r="D44" s="9" t="s">
        <v>53</v>
      </c>
      <c r="E44" s="8">
        <f>60*1000</f>
        <v>60000</v>
      </c>
      <c r="F44" s="8" t="s">
        <v>52</v>
      </c>
      <c r="G44" s="22">
        <v>100980</v>
      </c>
      <c r="H44" s="8">
        <f>60*1000</f>
        <v>60000</v>
      </c>
      <c r="I44" s="8" t="s">
        <v>52</v>
      </c>
      <c r="J44" s="8">
        <v>40</v>
      </c>
      <c r="K44" s="8" t="s">
        <v>52</v>
      </c>
      <c r="L44" s="8">
        <f t="shared" si="4"/>
        <v>2.6041666666666668E-2</v>
      </c>
      <c r="M44" s="8" t="str">
        <f t="shared" si="1"/>
        <v>uL</v>
      </c>
      <c r="N44" s="3">
        <f t="shared" si="5"/>
        <v>4.3828125000000002E-2</v>
      </c>
      <c r="O44" s="5">
        <f t="shared" si="6"/>
        <v>3.8785951327433628E-4</v>
      </c>
      <c r="P44" s="1">
        <f t="shared" si="3"/>
        <v>3.3456583969465652E-4</v>
      </c>
    </row>
    <row r="45" spans="1:16">
      <c r="A45" s="8" t="s">
        <v>76</v>
      </c>
      <c r="B45" s="17" t="s">
        <v>11</v>
      </c>
      <c r="C45" s="8" t="s">
        <v>55</v>
      </c>
      <c r="D45" s="9">
        <v>9012</v>
      </c>
      <c r="E45" s="8">
        <f>10*1000</f>
        <v>10000</v>
      </c>
      <c r="F45" s="8" t="s">
        <v>52</v>
      </c>
      <c r="G45" s="8">
        <v>3672</v>
      </c>
      <c r="H45" s="8">
        <f>10*1000</f>
        <v>10000</v>
      </c>
      <c r="I45" s="8" t="s">
        <v>52</v>
      </c>
      <c r="J45" s="8">
        <v>25</v>
      </c>
      <c r="K45" s="8" t="s">
        <v>52</v>
      </c>
      <c r="L45" s="8">
        <f t="shared" si="4"/>
        <v>1.6276041666666668E-2</v>
      </c>
      <c r="M45" s="8" t="str">
        <f t="shared" si="1"/>
        <v>uL</v>
      </c>
      <c r="N45" s="3">
        <f t="shared" si="5"/>
        <v>5.976562500000001E-3</v>
      </c>
      <c r="O45" s="5">
        <f t="shared" si="6"/>
        <v>5.2889933628318591E-5</v>
      </c>
      <c r="P45" s="1">
        <f t="shared" si="3"/>
        <v>4.56226145038168E-5</v>
      </c>
    </row>
    <row r="46" spans="1:16">
      <c r="A46" s="13" t="s">
        <v>77</v>
      </c>
      <c r="B46" s="16" t="s">
        <v>43</v>
      </c>
      <c r="C46" s="8" t="s">
        <v>91</v>
      </c>
      <c r="D46" s="9" t="s">
        <v>92</v>
      </c>
      <c r="E46" s="8">
        <f>10*11</f>
        <v>110</v>
      </c>
      <c r="F46" s="8" t="s">
        <v>45</v>
      </c>
      <c r="G46" s="8">
        <v>61560</v>
      </c>
      <c r="H46" s="8">
        <v>110</v>
      </c>
      <c r="I46" s="8" t="s">
        <v>45</v>
      </c>
      <c r="J46" s="8">
        <v>1</v>
      </c>
      <c r="K46" s="8" t="s">
        <v>45</v>
      </c>
      <c r="L46" s="8">
        <f t="shared" si="4"/>
        <v>6.5104166666666663E-4</v>
      </c>
      <c r="M46" s="8" t="str">
        <f t="shared" si="1"/>
        <v>well</v>
      </c>
      <c r="N46" s="3">
        <f t="shared" si="5"/>
        <v>0.36434659090909088</v>
      </c>
      <c r="O46" s="5">
        <f t="shared" si="6"/>
        <v>3.2243061142397424E-3</v>
      </c>
      <c r="P46" s="1">
        <f t="shared" si="3"/>
        <v>2.7812716863289382E-3</v>
      </c>
    </row>
    <row r="47" spans="1:16">
      <c r="A47" s="13" t="s">
        <v>142</v>
      </c>
      <c r="B47" s="17" t="s">
        <v>145</v>
      </c>
      <c r="C47" s="8" t="s">
        <v>144</v>
      </c>
      <c r="D47" s="9" t="s">
        <v>143</v>
      </c>
      <c r="E47" s="8">
        <v>1000</v>
      </c>
      <c r="F47" s="8" t="s">
        <v>75</v>
      </c>
      <c r="G47" s="8">
        <f>1000*175</f>
        <v>175000</v>
      </c>
      <c r="H47" s="8">
        <v>1000</v>
      </c>
      <c r="I47" s="8" t="s">
        <v>119</v>
      </c>
      <c r="J47" s="8">
        <v>1</v>
      </c>
      <c r="K47" s="8" t="s">
        <v>119</v>
      </c>
      <c r="L47" s="8">
        <f t="shared" si="4"/>
        <v>6.5104166666666663E-4</v>
      </c>
      <c r="M47" s="8" t="str">
        <f t="shared" si="1"/>
        <v>well</v>
      </c>
      <c r="N47" s="3">
        <f t="shared" si="5"/>
        <v>0.11393229166666666</v>
      </c>
      <c r="O47" s="5">
        <f t="shared" si="6"/>
        <v>1.0082503687315633E-3</v>
      </c>
      <c r="P47" s="1">
        <f t="shared" si="3"/>
        <v>8.6971215012722643E-4</v>
      </c>
    </row>
    <row r="48" spans="1:16">
      <c r="A48" s="13" t="s">
        <v>124</v>
      </c>
      <c r="B48" s="16" t="s">
        <v>103</v>
      </c>
      <c r="C48" s="8" t="s">
        <v>104</v>
      </c>
      <c r="D48" s="9" t="s">
        <v>105</v>
      </c>
      <c r="E48" s="8">
        <f>96*10*5</f>
        <v>4800</v>
      </c>
      <c r="F48" s="8" t="s">
        <v>106</v>
      </c>
      <c r="G48" s="8">
        <v>57210</v>
      </c>
      <c r="H48" s="8">
        <f>E48</f>
        <v>4800</v>
      </c>
      <c r="I48" s="8" t="s">
        <v>106</v>
      </c>
      <c r="J48" s="8">
        <v>16</v>
      </c>
      <c r="K48" s="8" t="s">
        <v>106</v>
      </c>
      <c r="L48" s="8">
        <f t="shared" si="4"/>
        <v>1.0416666666666666E-2</v>
      </c>
      <c r="M48" s="8" t="str">
        <f t="shared" si="1"/>
        <v>Tip</v>
      </c>
      <c r="N48" s="3">
        <f t="shared" si="5"/>
        <v>0.12415364583333333</v>
      </c>
      <c r="O48" s="5">
        <f t="shared" si="6"/>
        <v>1.0987048303834808E-3</v>
      </c>
      <c r="P48" s="1">
        <f t="shared" si="3"/>
        <v>9.4773775445292617E-4</v>
      </c>
    </row>
    <row r="49" spans="1:16">
      <c r="A49" s="13" t="s">
        <v>124</v>
      </c>
      <c r="B49" s="16" t="s">
        <v>107</v>
      </c>
      <c r="C49" s="8" t="s">
        <v>104</v>
      </c>
      <c r="D49" s="9" t="s">
        <v>108</v>
      </c>
      <c r="E49" s="8">
        <f>96*10*5</f>
        <v>4800</v>
      </c>
      <c r="F49" s="8" t="s">
        <v>106</v>
      </c>
      <c r="G49" s="8">
        <v>60480</v>
      </c>
      <c r="H49" s="8">
        <f t="shared" ref="H49:H56" si="7">E49</f>
        <v>4800</v>
      </c>
      <c r="I49" s="8" t="s">
        <v>106</v>
      </c>
      <c r="J49" s="8">
        <v>36</v>
      </c>
      <c r="K49" s="8" t="s">
        <v>106</v>
      </c>
      <c r="L49" s="8">
        <f t="shared" si="4"/>
        <v>2.34375E-2</v>
      </c>
      <c r="M49" s="8" t="str">
        <f t="shared" si="1"/>
        <v>Tip</v>
      </c>
      <c r="N49" s="3">
        <f t="shared" si="5"/>
        <v>0.29531249999999998</v>
      </c>
      <c r="O49" s="5">
        <f t="shared" si="6"/>
        <v>2.613384955752212E-3</v>
      </c>
      <c r="P49" s="1">
        <f t="shared" si="3"/>
        <v>2.2542938931297708E-3</v>
      </c>
    </row>
    <row r="50" spans="1:16">
      <c r="A50" s="8" t="s">
        <v>124</v>
      </c>
      <c r="B50" s="17" t="s">
        <v>109</v>
      </c>
      <c r="C50" s="8" t="s">
        <v>104</v>
      </c>
      <c r="D50" s="9" t="s">
        <v>110</v>
      </c>
      <c r="E50" s="8">
        <f>96*10*5</f>
        <v>4800</v>
      </c>
      <c r="F50" s="8" t="s">
        <v>106</v>
      </c>
      <c r="G50" s="8">
        <v>60480</v>
      </c>
      <c r="H50" s="8">
        <f t="shared" si="7"/>
        <v>4800</v>
      </c>
      <c r="I50" s="8" t="s">
        <v>106</v>
      </c>
      <c r="J50" s="8">
        <v>20</v>
      </c>
      <c r="K50" s="8" t="s">
        <v>106</v>
      </c>
      <c r="L50" s="8">
        <f t="shared" si="4"/>
        <v>1.3020833333333334E-2</v>
      </c>
      <c r="M50" s="8" t="str">
        <f t="shared" si="1"/>
        <v>Tip</v>
      </c>
      <c r="N50" s="3">
        <f t="shared" si="5"/>
        <v>0.1640625</v>
      </c>
      <c r="O50" s="5">
        <f t="shared" si="6"/>
        <v>1.4518805309734514E-3</v>
      </c>
      <c r="P50" s="1">
        <f t="shared" si="3"/>
        <v>1.252385496183206E-3</v>
      </c>
    </row>
    <row r="51" spans="1:16">
      <c r="A51" s="8" t="s">
        <v>124</v>
      </c>
      <c r="B51" s="17" t="s">
        <v>111</v>
      </c>
      <c r="C51" s="8" t="s">
        <v>112</v>
      </c>
      <c r="D51" s="9">
        <v>1013070</v>
      </c>
      <c r="E51" s="8">
        <f>96*10*5</f>
        <v>4800</v>
      </c>
      <c r="F51" s="8" t="s">
        <v>106</v>
      </c>
      <c r="G51" s="8">
        <v>34560</v>
      </c>
      <c r="H51" s="8">
        <f t="shared" si="7"/>
        <v>4800</v>
      </c>
      <c r="I51" s="8" t="s">
        <v>106</v>
      </c>
      <c r="J51" s="8">
        <v>5</v>
      </c>
      <c r="K51" s="8" t="s">
        <v>106</v>
      </c>
      <c r="L51" s="8">
        <f t="shared" si="4"/>
        <v>3.2552083333333335E-3</v>
      </c>
      <c r="M51" s="8" t="str">
        <f t="shared" si="1"/>
        <v>Tip</v>
      </c>
      <c r="N51" s="3">
        <f t="shared" si="5"/>
        <v>2.34375E-2</v>
      </c>
      <c r="O51" s="5">
        <f t="shared" si="6"/>
        <v>2.0741150442477876E-4</v>
      </c>
      <c r="P51" s="1">
        <f t="shared" si="3"/>
        <v>1.7891221374045802E-4</v>
      </c>
    </row>
    <row r="52" spans="1:16">
      <c r="A52" s="8" t="s">
        <v>124</v>
      </c>
      <c r="B52" s="17" t="s">
        <v>113</v>
      </c>
      <c r="C52" s="8" t="s">
        <v>112</v>
      </c>
      <c r="D52" s="9">
        <v>1013090</v>
      </c>
      <c r="E52" s="8">
        <f>96*10*4</f>
        <v>3840</v>
      </c>
      <c r="F52" s="8" t="s">
        <v>106</v>
      </c>
      <c r="G52" s="8">
        <v>30240</v>
      </c>
      <c r="H52" s="8">
        <f t="shared" si="7"/>
        <v>3840</v>
      </c>
      <c r="I52" s="8" t="s">
        <v>106</v>
      </c>
      <c r="J52" s="8">
        <v>22</v>
      </c>
      <c r="K52" s="8" t="s">
        <v>106</v>
      </c>
      <c r="L52" s="8">
        <f t="shared" si="4"/>
        <v>1.4322916666666666E-2</v>
      </c>
      <c r="M52" s="8" t="str">
        <f t="shared" si="1"/>
        <v>Tip</v>
      </c>
      <c r="N52" s="3">
        <f t="shared" si="5"/>
        <v>0.11279296875</v>
      </c>
      <c r="O52" s="5">
        <f t="shared" si="6"/>
        <v>9.9816786504424771E-4</v>
      </c>
      <c r="P52" s="1">
        <f t="shared" si="3"/>
        <v>8.6101502862595417E-4</v>
      </c>
    </row>
    <row r="53" spans="1:16">
      <c r="A53" s="8" t="s">
        <v>146</v>
      </c>
      <c r="B53" s="17" t="s">
        <v>174</v>
      </c>
      <c r="C53" s="8" t="s">
        <v>176</v>
      </c>
      <c r="D53" s="9" t="s">
        <v>177</v>
      </c>
      <c r="E53" s="8">
        <v>960</v>
      </c>
      <c r="F53" s="8" t="s">
        <v>175</v>
      </c>
      <c r="G53" s="8">
        <v>13651</v>
      </c>
      <c r="H53" s="8">
        <f>E53</f>
        <v>960</v>
      </c>
      <c r="I53" s="8" t="s">
        <v>175</v>
      </c>
      <c r="J53" s="8">
        <v>2</v>
      </c>
      <c r="K53" s="8" t="s">
        <v>175</v>
      </c>
      <c r="L53" s="8">
        <f>J53/1536</f>
        <v>1.3020833333333333E-3</v>
      </c>
      <c r="M53" s="8" t="s">
        <v>178</v>
      </c>
      <c r="N53" s="3"/>
      <c r="O53" s="5">
        <f t="shared" si="6"/>
        <v>0</v>
      </c>
      <c r="P53" s="1">
        <f t="shared" si="3"/>
        <v>0</v>
      </c>
    </row>
    <row r="54" spans="1:16">
      <c r="A54" s="8" t="s">
        <v>124</v>
      </c>
      <c r="B54" s="17" t="s">
        <v>114</v>
      </c>
      <c r="C54" s="8" t="s">
        <v>71</v>
      </c>
      <c r="D54" s="9">
        <v>30108051</v>
      </c>
      <c r="E54" s="8">
        <f>5*50*3</f>
        <v>750</v>
      </c>
      <c r="F54" s="8" t="s">
        <v>116</v>
      </c>
      <c r="G54" s="8">
        <v>6480</v>
      </c>
      <c r="H54" s="8">
        <f t="shared" si="7"/>
        <v>750</v>
      </c>
      <c r="I54" s="8" t="s">
        <v>116</v>
      </c>
      <c r="J54" s="8">
        <v>5</v>
      </c>
      <c r="K54" s="8" t="s">
        <v>116</v>
      </c>
      <c r="L54" s="8">
        <f t="shared" si="4"/>
        <v>3.2552083333333335E-3</v>
      </c>
      <c r="M54" s="8" t="str">
        <f t="shared" si="1"/>
        <v>tube</v>
      </c>
      <c r="N54" s="3">
        <f t="shared" ref="N54:N61" si="8">G54/H54*L54</f>
        <v>2.8125000000000004E-2</v>
      </c>
      <c r="O54" s="5">
        <f t="shared" si="6"/>
        <v>2.4889380530973456E-4</v>
      </c>
      <c r="P54" s="1">
        <f t="shared" si="3"/>
        <v>2.1469465648854964E-4</v>
      </c>
    </row>
    <row r="55" spans="1:16">
      <c r="A55" s="8" t="s">
        <v>124</v>
      </c>
      <c r="B55" s="17" t="s">
        <v>191</v>
      </c>
      <c r="C55" s="8" t="s">
        <v>180</v>
      </c>
      <c r="D55" s="9" t="s">
        <v>182</v>
      </c>
      <c r="E55" s="8">
        <v>480</v>
      </c>
      <c r="F55" s="8" t="s">
        <v>47</v>
      </c>
      <c r="G55" s="8">
        <v>10220</v>
      </c>
      <c r="H55" s="8">
        <v>480</v>
      </c>
      <c r="I55" s="8" t="s">
        <v>47</v>
      </c>
      <c r="J55" s="8">
        <v>1</v>
      </c>
      <c r="K55" s="8" t="s">
        <v>47</v>
      </c>
      <c r="L55" s="8">
        <f>J55/1536</f>
        <v>6.5104166666666663E-4</v>
      </c>
      <c r="M55" s="8" t="str">
        <f t="shared" si="1"/>
        <v>tube</v>
      </c>
      <c r="N55" s="3">
        <f t="shared" si="8"/>
        <v>1.3861762152777778E-2</v>
      </c>
      <c r="O55" s="5">
        <f t="shared" si="6"/>
        <v>1.226704615290069E-4</v>
      </c>
      <c r="P55" s="1">
        <f t="shared" si="3"/>
        <v>1.0581497826547922E-4</v>
      </c>
    </row>
    <row r="56" spans="1:16">
      <c r="A56" s="8" t="s">
        <v>124</v>
      </c>
      <c r="B56" s="17" t="s">
        <v>115</v>
      </c>
      <c r="C56" s="8" t="s">
        <v>71</v>
      </c>
      <c r="D56" s="9">
        <v>30108310</v>
      </c>
      <c r="E56" s="8">
        <f>4*50*2</f>
        <v>400</v>
      </c>
      <c r="F56" s="8" t="s">
        <v>47</v>
      </c>
      <c r="G56" s="8">
        <v>11404</v>
      </c>
      <c r="H56" s="8">
        <f t="shared" si="7"/>
        <v>400</v>
      </c>
      <c r="I56" s="8" t="s">
        <v>47</v>
      </c>
      <c r="J56" s="8">
        <v>5</v>
      </c>
      <c r="K56" s="8" t="s">
        <v>47</v>
      </c>
      <c r="L56" s="8">
        <f t="shared" si="4"/>
        <v>3.2552083333333335E-3</v>
      </c>
      <c r="M56" s="8" t="str">
        <f t="shared" si="1"/>
        <v>tube</v>
      </c>
      <c r="N56" s="3">
        <f t="shared" si="8"/>
        <v>9.2805989583333345E-2</v>
      </c>
      <c r="O56" s="5">
        <f t="shared" si="6"/>
        <v>8.2129194321533931E-4</v>
      </c>
      <c r="P56" s="1">
        <f t="shared" si="3"/>
        <v>7.0844266857506368E-4</v>
      </c>
    </row>
    <row r="57" spans="1:16">
      <c r="A57" s="8" t="s">
        <v>124</v>
      </c>
      <c r="B57" s="17" t="s">
        <v>117</v>
      </c>
      <c r="C57" s="8" t="s">
        <v>55</v>
      </c>
      <c r="D57" s="9" t="s">
        <v>118</v>
      </c>
      <c r="E57" s="8">
        <f>125*8*3</f>
        <v>3000</v>
      </c>
      <c r="F57" s="8" t="s">
        <v>119</v>
      </c>
      <c r="G57" s="8">
        <v>40095</v>
      </c>
      <c r="H57" s="8">
        <f>E57</f>
        <v>3000</v>
      </c>
      <c r="I57" s="8" t="s">
        <v>119</v>
      </c>
      <c r="J57" s="8">
        <v>32</v>
      </c>
      <c r="K57" s="8" t="s">
        <v>119</v>
      </c>
      <c r="L57" s="8">
        <f t="shared" si="4"/>
        <v>2.0833333333333332E-2</v>
      </c>
      <c r="M57" s="8" t="str">
        <f t="shared" si="1"/>
        <v>well</v>
      </c>
      <c r="N57" s="3">
        <f t="shared" si="8"/>
        <v>0.2784375</v>
      </c>
      <c r="O57" s="5">
        <f t="shared" si="6"/>
        <v>2.4640486725663719E-3</v>
      </c>
      <c r="P57" s="1">
        <f t="shared" si="3"/>
        <v>2.1254770992366412E-3</v>
      </c>
    </row>
    <row r="58" spans="1:16" ht="16">
      <c r="A58" s="8" t="s">
        <v>124</v>
      </c>
      <c r="B58" s="17" t="s">
        <v>120</v>
      </c>
      <c r="C58" s="8" t="s">
        <v>55</v>
      </c>
      <c r="D58" s="9" t="s">
        <v>122</v>
      </c>
      <c r="E58" s="8">
        <f>125*8*3</f>
        <v>3000</v>
      </c>
      <c r="F58" s="8" t="s">
        <v>119</v>
      </c>
      <c r="G58" s="24">
        <v>10692</v>
      </c>
      <c r="H58" s="8">
        <f>E58</f>
        <v>3000</v>
      </c>
      <c r="I58" s="8" t="s">
        <v>119</v>
      </c>
      <c r="J58" s="8">
        <v>64</v>
      </c>
      <c r="K58" s="8" t="s">
        <v>119</v>
      </c>
      <c r="L58" s="8">
        <f t="shared" si="4"/>
        <v>4.1666666666666664E-2</v>
      </c>
      <c r="M58" s="8" t="str">
        <f t="shared" si="1"/>
        <v>well</v>
      </c>
      <c r="N58" s="3">
        <f t="shared" si="8"/>
        <v>0.14849999999999999</v>
      </c>
      <c r="O58" s="5">
        <f t="shared" si="6"/>
        <v>1.3141592920353981E-3</v>
      </c>
      <c r="P58" s="1">
        <f t="shared" si="3"/>
        <v>1.133587786259542E-3</v>
      </c>
    </row>
    <row r="59" spans="1:16" ht="16">
      <c r="A59" s="8" t="s">
        <v>124</v>
      </c>
      <c r="B59" s="17" t="s">
        <v>121</v>
      </c>
      <c r="C59" s="8" t="s">
        <v>55</v>
      </c>
      <c r="D59" s="9" t="s">
        <v>123</v>
      </c>
      <c r="E59" s="8">
        <f>1000</f>
        <v>1000</v>
      </c>
      <c r="F59" s="8" t="s">
        <v>119</v>
      </c>
      <c r="G59" s="24">
        <v>7574</v>
      </c>
      <c r="H59" s="8">
        <f t="shared" ref="H59" si="9">E59</f>
        <v>1000</v>
      </c>
      <c r="I59" s="8" t="s">
        <v>119</v>
      </c>
      <c r="J59" s="8">
        <v>4</v>
      </c>
      <c r="K59" s="8" t="s">
        <v>119</v>
      </c>
      <c r="L59" s="8">
        <f t="shared" si="4"/>
        <v>2.6041666666666665E-3</v>
      </c>
      <c r="M59" s="8" t="str">
        <f t="shared" si="1"/>
        <v>well</v>
      </c>
      <c r="N59" s="3">
        <f t="shared" si="8"/>
        <v>1.9723958333333333E-2</v>
      </c>
      <c r="O59" s="5">
        <f t="shared" si="6"/>
        <v>1.7454830383480826E-4</v>
      </c>
      <c r="P59" s="1">
        <f t="shared" si="3"/>
        <v>1.5056456743002544E-4</v>
      </c>
    </row>
    <row r="60" spans="1:16">
      <c r="A60" s="8" t="s">
        <v>128</v>
      </c>
      <c r="B60" s="17" t="s">
        <v>126</v>
      </c>
      <c r="C60" s="8" t="s">
        <v>83</v>
      </c>
      <c r="D60" s="9" t="s">
        <v>127</v>
      </c>
      <c r="E60" s="8">
        <v>2000</v>
      </c>
      <c r="F60" s="8" t="s">
        <v>129</v>
      </c>
      <c r="G60" s="17">
        <v>118584</v>
      </c>
      <c r="H60" s="8">
        <f>E60</f>
        <v>2000</v>
      </c>
      <c r="I60" s="8" t="s">
        <v>129</v>
      </c>
      <c r="J60" s="8">
        <v>3</v>
      </c>
      <c r="K60" s="8" t="s">
        <v>129</v>
      </c>
      <c r="L60" s="8">
        <f t="shared" si="4"/>
        <v>1.953125E-3</v>
      </c>
      <c r="M60" s="8" t="str">
        <f t="shared" si="1"/>
        <v>sheel</v>
      </c>
      <c r="N60" s="3">
        <f t="shared" si="8"/>
        <v>0.1158046875</v>
      </c>
      <c r="O60" s="5">
        <f t="shared" si="6"/>
        <v>1.0248202433628319E-3</v>
      </c>
      <c r="P60" s="1">
        <f t="shared" si="3"/>
        <v>8.8400524809160302E-4</v>
      </c>
    </row>
    <row r="61" spans="1:16">
      <c r="A61" s="8" t="s">
        <v>149</v>
      </c>
      <c r="B61" s="17" t="s">
        <v>147</v>
      </c>
      <c r="C61" s="13" t="s">
        <v>95</v>
      </c>
      <c r="D61" s="9"/>
      <c r="E61" s="8">
        <v>100</v>
      </c>
      <c r="F61" s="8" t="s">
        <v>98</v>
      </c>
      <c r="G61" s="8">
        <v>29419</v>
      </c>
      <c r="H61" s="8">
        <v>310</v>
      </c>
      <c r="I61" s="8" t="s">
        <v>148</v>
      </c>
      <c r="J61" s="8">
        <f>6</f>
        <v>6</v>
      </c>
      <c r="K61" s="8" t="s">
        <v>184</v>
      </c>
      <c r="L61" s="8">
        <f t="shared" si="4"/>
        <v>3.90625E-3</v>
      </c>
      <c r="M61" s="8" t="str">
        <f t="shared" si="1"/>
        <v>uL (for 1set of 1,536 indexes)</v>
      </c>
      <c r="N61" s="4">
        <f t="shared" si="8"/>
        <v>0.37070312500000002</v>
      </c>
      <c r="O61" s="5">
        <f t="shared" si="6"/>
        <v>3.2805586283185841E-3</v>
      </c>
      <c r="P61" s="1">
        <f t="shared" si="3"/>
        <v>2.8297948473282445E-3</v>
      </c>
    </row>
    <row r="63" spans="1:16">
      <c r="M63" s="26" t="s">
        <v>158</v>
      </c>
      <c r="N63" s="29">
        <f>SUM(N3:N61)-N33-N34-N46-N47</f>
        <v>22.442048993849657</v>
      </c>
      <c r="O63" s="1">
        <f>SUM(O3:O61)-O33-O34-O46-O47</f>
        <v>0.20428880470220942</v>
      </c>
      <c r="P63" s="1">
        <f>SUM(P3:P61)-P33-P34-P46-P47</f>
        <v>0.17131335109808898</v>
      </c>
    </row>
    <row r="64" spans="1:16">
      <c r="M64" s="26" t="s">
        <v>159</v>
      </c>
      <c r="N64" s="30">
        <f>N63+N33+N46</f>
        <v>23.170742175667836</v>
      </c>
      <c r="O64" s="1">
        <f>O63+O33+O46</f>
        <v>0.2107374169306889</v>
      </c>
      <c r="P64" s="1">
        <f>P63+P33+P46</f>
        <v>0.17687589447074686</v>
      </c>
    </row>
    <row r="65" spans="13:16">
      <c r="M65" s="26" t="s">
        <v>160</v>
      </c>
      <c r="N65" s="31">
        <f>N63+N34+N47</f>
        <v>22.669913577182992</v>
      </c>
      <c r="O65" s="1">
        <f>O63+O34+O47</f>
        <v>0.20630530543967254</v>
      </c>
      <c r="P65" s="1">
        <f>P63+P34+P47</f>
        <v>0.17305277539834346</v>
      </c>
    </row>
  </sheetData>
  <autoFilter ref="A2:P2"/>
  <phoneticPr fontId="1"/>
  <conditionalFormatting sqref="N3:N6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v3.1 RT25_Column3 (Default)</vt:lpstr>
      <vt:lpstr>v3.1 RT6.25_Column1 (Cheapest)</vt:lpstr>
      <vt:lpstr>v3.1 RT6.25_Column3 (option)</vt:lpstr>
      <vt:lpstr>v3.1 RT100_Column3discon</vt:lpstr>
      <vt:lpstr>v3.2 RT25_Column8 (Default)</vt:lpstr>
      <vt:lpstr>v3.2 RT6.25_Column8</vt:lpstr>
      <vt:lpstr>v3.2 RT6.25_Column3 (Cheapest)</vt:lpstr>
    </vt:vector>
  </TitlesOfParts>
  <Company>2012SASAGAWA HOUGA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SASAGAWA YOHEI</dc:creator>
  <cp:lastModifiedBy>SASAGAWA YOHEI</cp:lastModifiedBy>
  <dcterms:created xsi:type="dcterms:W3CDTF">2017-09-12T06:03:34Z</dcterms:created>
  <dcterms:modified xsi:type="dcterms:W3CDTF">2017-12-13T05:17:57Z</dcterms:modified>
</cp:coreProperties>
</file>