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5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GoogleDrive/.shortcut-targets-by-id/1d_j1Tf4OiVPDuCK-USLzJ1a_6O7Ep1f7/MS_pangolin/figures/supp/"/>
    </mc:Choice>
  </mc:AlternateContent>
  <xr:revisionPtr revIDLastSave="0" documentId="13_ncr:1_{19229B84-B5A5-2C4C-9B61-E8F9BB890D7B}" xr6:coauthVersionLast="47" xr6:coauthVersionMax="47" xr10:uidLastSave="{00000000-0000-0000-0000-000000000000}"/>
  <bookViews>
    <workbookView xWindow="0" yWindow="500" windowWidth="30720" windowHeight="18020" activeTab="1" xr2:uid="{EFD8D5E2-E871-C94D-85E8-9D0E00BA9071}"/>
  </bookViews>
  <sheets>
    <sheet name="Table S1" sheetId="1" r:id="rId1"/>
    <sheet name="Table S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0" i="2" l="1"/>
  <c r="D6" i="2"/>
  <c r="D7" i="2"/>
  <c r="D8" i="2"/>
  <c r="D9" i="2"/>
  <c r="D5" i="2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5" i="1"/>
  <c r="D92" i="1"/>
  <c r="F92" i="1"/>
  <c r="D91" i="1"/>
  <c r="F91" i="1"/>
  <c r="D90" i="1"/>
  <c r="F90" i="1"/>
  <c r="D89" i="1"/>
  <c r="F89" i="1"/>
  <c r="D88" i="1"/>
  <c r="F88" i="1"/>
  <c r="D87" i="1"/>
  <c r="F87" i="1"/>
  <c r="D86" i="1"/>
  <c r="F86" i="1"/>
  <c r="D85" i="1"/>
  <c r="F85" i="1"/>
  <c r="D84" i="1"/>
  <c r="F84" i="1"/>
  <c r="D83" i="1"/>
  <c r="F83" i="1"/>
  <c r="D82" i="1"/>
  <c r="F82" i="1"/>
  <c r="D81" i="1"/>
  <c r="F81" i="1"/>
  <c r="D80" i="1"/>
  <c r="F80" i="1"/>
  <c r="D79" i="1"/>
  <c r="F79" i="1"/>
  <c r="D78" i="1"/>
  <c r="F78" i="1"/>
  <c r="D77" i="1"/>
  <c r="F77" i="1"/>
  <c r="D76" i="1"/>
  <c r="F76" i="1"/>
  <c r="D75" i="1"/>
  <c r="F75" i="1"/>
  <c r="D74" i="1"/>
  <c r="F74" i="1"/>
  <c r="D73" i="1"/>
  <c r="F73" i="1"/>
  <c r="D72" i="1"/>
  <c r="F72" i="1"/>
  <c r="D71" i="1"/>
  <c r="F71" i="1"/>
  <c r="D70" i="1"/>
  <c r="F70" i="1"/>
  <c r="D69" i="1"/>
  <c r="F69" i="1"/>
  <c r="D68" i="1"/>
  <c r="F68" i="1"/>
  <c r="D67" i="1"/>
  <c r="F67" i="1"/>
  <c r="D66" i="1"/>
  <c r="F66" i="1"/>
  <c r="D65" i="1"/>
  <c r="F65" i="1"/>
  <c r="D120" i="1"/>
  <c r="F120" i="1"/>
  <c r="D119" i="1"/>
  <c r="F119" i="1"/>
  <c r="D118" i="1"/>
  <c r="F118" i="1"/>
  <c r="D117" i="1"/>
  <c r="F117" i="1"/>
  <c r="D116" i="1"/>
  <c r="F116" i="1"/>
  <c r="D115" i="1"/>
  <c r="F115" i="1"/>
  <c r="D114" i="1"/>
  <c r="F114" i="1"/>
  <c r="D113" i="1"/>
  <c r="F113" i="1"/>
  <c r="D112" i="1"/>
  <c r="F112" i="1"/>
  <c r="D111" i="1"/>
  <c r="F111" i="1"/>
  <c r="D110" i="1"/>
  <c r="F110" i="1"/>
  <c r="D109" i="1"/>
  <c r="F109" i="1"/>
  <c r="D108" i="1"/>
  <c r="F108" i="1"/>
  <c r="D107" i="1"/>
  <c r="F107" i="1"/>
  <c r="D106" i="1"/>
  <c r="F106" i="1"/>
  <c r="D105" i="1"/>
  <c r="F105" i="1"/>
  <c r="D104" i="1"/>
  <c r="F104" i="1"/>
  <c r="D103" i="1"/>
  <c r="F103" i="1"/>
  <c r="D102" i="1"/>
  <c r="F102" i="1"/>
  <c r="D101" i="1"/>
  <c r="F101" i="1"/>
  <c r="D100" i="1"/>
  <c r="F100" i="1"/>
  <c r="D99" i="1"/>
  <c r="F99" i="1"/>
  <c r="D98" i="1"/>
  <c r="F98" i="1"/>
  <c r="D97" i="1"/>
  <c r="F97" i="1"/>
  <c r="D96" i="1"/>
  <c r="F96" i="1"/>
  <c r="D95" i="1"/>
  <c r="F95" i="1"/>
  <c r="D94" i="1"/>
  <c r="F94" i="1"/>
  <c r="D93" i="1"/>
  <c r="F93" i="1"/>
  <c r="D64" i="1"/>
  <c r="F64" i="1"/>
  <c r="D63" i="1"/>
  <c r="F63" i="1"/>
  <c r="D62" i="1"/>
  <c r="F62" i="1"/>
  <c r="D61" i="1"/>
  <c r="F61" i="1"/>
  <c r="D60" i="1"/>
  <c r="F60" i="1"/>
  <c r="D59" i="1"/>
  <c r="F59" i="1"/>
  <c r="D58" i="1"/>
  <c r="F58" i="1"/>
  <c r="D57" i="1"/>
  <c r="F57" i="1"/>
  <c r="D56" i="1"/>
  <c r="F56" i="1"/>
  <c r="D55" i="1"/>
  <c r="F55" i="1"/>
  <c r="D54" i="1"/>
  <c r="F54" i="1"/>
  <c r="D53" i="1"/>
  <c r="F53" i="1"/>
  <c r="D52" i="1"/>
  <c r="F52" i="1"/>
  <c r="D51" i="1"/>
  <c r="F51" i="1"/>
  <c r="D50" i="1"/>
  <c r="F50" i="1"/>
  <c r="D49" i="1"/>
  <c r="F49" i="1"/>
  <c r="D48" i="1"/>
  <c r="F48" i="1"/>
  <c r="D47" i="1"/>
  <c r="F47" i="1"/>
  <c r="D46" i="1"/>
  <c r="F46" i="1"/>
  <c r="D45" i="1"/>
  <c r="F45" i="1"/>
  <c r="D44" i="1"/>
  <c r="F44" i="1"/>
  <c r="D43" i="1"/>
  <c r="F43" i="1"/>
  <c r="D42" i="1"/>
  <c r="F42" i="1"/>
  <c r="D41" i="1"/>
  <c r="F41" i="1"/>
  <c r="D40" i="1"/>
  <c r="F40" i="1"/>
  <c r="D39" i="1"/>
  <c r="F39" i="1"/>
  <c r="D38" i="1"/>
  <c r="F38" i="1"/>
  <c r="D37" i="1"/>
  <c r="F37" i="1"/>
  <c r="D36" i="1"/>
  <c r="F36" i="1"/>
  <c r="D35" i="1"/>
  <c r="F35" i="1"/>
  <c r="D34" i="1"/>
  <c r="F34" i="1"/>
  <c r="D33" i="1"/>
  <c r="F33" i="1"/>
  <c r="D32" i="1"/>
  <c r="F32" i="1"/>
  <c r="D31" i="1"/>
  <c r="F31" i="1"/>
  <c r="D30" i="1"/>
  <c r="F30" i="1"/>
  <c r="D29" i="1"/>
  <c r="F29" i="1"/>
  <c r="D28" i="1"/>
  <c r="F28" i="1"/>
  <c r="D27" i="1"/>
  <c r="F27" i="1"/>
  <c r="D26" i="1"/>
  <c r="F26" i="1"/>
  <c r="D25" i="1"/>
  <c r="F25" i="1"/>
  <c r="D24" i="1"/>
  <c r="F24" i="1"/>
  <c r="D23" i="1"/>
  <c r="F23" i="1"/>
  <c r="D22" i="1"/>
  <c r="F22" i="1"/>
  <c r="D21" i="1"/>
  <c r="F21" i="1"/>
  <c r="D20" i="1"/>
  <c r="F20" i="1"/>
  <c r="D19" i="1"/>
  <c r="F19" i="1"/>
  <c r="D18" i="1"/>
  <c r="F18" i="1"/>
  <c r="D17" i="1"/>
  <c r="F17" i="1"/>
  <c r="D16" i="1"/>
  <c r="F16" i="1"/>
  <c r="D15" i="1"/>
  <c r="F15" i="1"/>
  <c r="D14" i="1"/>
  <c r="F14" i="1"/>
  <c r="D13" i="1"/>
  <c r="F13" i="1"/>
  <c r="D12" i="1"/>
  <c r="F12" i="1"/>
  <c r="D11" i="1"/>
  <c r="F11" i="1"/>
  <c r="D10" i="1"/>
  <c r="F10" i="1"/>
  <c r="D9" i="1"/>
  <c r="F9" i="1"/>
  <c r="D8" i="1"/>
  <c r="F8" i="1"/>
  <c r="D7" i="1"/>
  <c r="F7" i="1"/>
  <c r="D6" i="1"/>
  <c r="F6" i="1"/>
  <c r="D5" i="1"/>
  <c r="F5" i="1"/>
</calcChain>
</file>

<file path=xl/sharedStrings.xml><?xml version="1.0" encoding="utf-8"?>
<sst xmlns="http://schemas.openxmlformats.org/spreadsheetml/2006/main" count="138" uniqueCount="133">
  <si>
    <t>5512sTS.Human.Liver.58ypb.Male</t>
  </si>
  <si>
    <t>5513sTS.Human.Liver.7ypb.Male</t>
  </si>
  <si>
    <t>5518sTS.Human.Testis.55ypb.Male</t>
  </si>
  <si>
    <t>5524sTS.Human.Brain.58ypb.Male</t>
  </si>
  <si>
    <t>5526sTS.Human.Testis.16ypb.Male</t>
  </si>
  <si>
    <t>5531sTS.Human.Brain.29ypb.Male</t>
  </si>
  <si>
    <t>5532sTS.Human.Brain.16ypb.Male</t>
  </si>
  <si>
    <t>5533sTS.Human.Brain.39ypb.Male</t>
  </si>
  <si>
    <t>5535sTS.Human.Testis.29ypb.Male</t>
  </si>
  <si>
    <t>5536sTS.Human.Liver.29ypb.Male</t>
  </si>
  <si>
    <t>5537sTS.Human.Brain.8ypb.Male</t>
  </si>
  <si>
    <t>5546sTS.Human.Testis.17ypb.Male</t>
  </si>
  <si>
    <t>5550sTS.Human.Testis.39ypb.Male</t>
  </si>
  <si>
    <t>5551sTS.Human.Liver.39ypb.Male</t>
  </si>
  <si>
    <t>5563sTS.Human.Liver.39ypb.Male</t>
  </si>
  <si>
    <t>5566sTS.Human.Testis.29ypb.Male</t>
  </si>
  <si>
    <t>5571sTS.Human.Liver.58ypb.Male</t>
  </si>
  <si>
    <t>5574sTS.Human.Brain.39ypb.Male</t>
  </si>
  <si>
    <t>5575sTS.Human.Liver.17ypb.Male</t>
  </si>
  <si>
    <t>5818sTS.Human.Heart.226dpb.Male</t>
  </si>
  <si>
    <t>5822sTS.Human.Heart.13ypb.Male</t>
  </si>
  <si>
    <t>5836sTS.Human.Heart.127dpb.Male</t>
  </si>
  <si>
    <t>5843sTS.Human.Heart.0dpb.Female</t>
  </si>
  <si>
    <t>5905sTS.Human.Heart.94dpb.Male</t>
  </si>
  <si>
    <t>5908sTS.Human.Brain.29ypb.Male</t>
  </si>
  <si>
    <t>6042sTS.Human.Heart.25ypb.Male</t>
  </si>
  <si>
    <t>6043sTS.Human.Heart.54ypb.Male</t>
  </si>
  <si>
    <t>6048sTS.Human.Brain.28ypb.Male</t>
  </si>
  <si>
    <t>6095sTS.Human.Testis.46ypb.Male</t>
  </si>
  <si>
    <t>6100sTS.Human.Heart.4ypb.Female</t>
  </si>
  <si>
    <t>6106sTS.Human.Liver.55ypb.Male</t>
  </si>
  <si>
    <t>6107sTS.Human.Testis.28ypb.Male</t>
  </si>
  <si>
    <t>5373sTS.Macaque.Testis.9ypb.Male</t>
  </si>
  <si>
    <t>5396sTS.Macaque.Heart.14ypb.Male</t>
  </si>
  <si>
    <t>5410sTS.Macaque.Testis.15ypb.Male</t>
  </si>
  <si>
    <t>5413sTS.Macaque.Brain.21ypb.Male</t>
  </si>
  <si>
    <t>5414sTS.Macaque.Testis.9ypb.Male</t>
  </si>
  <si>
    <t>5420sTS.Macaque.Heart.9ypb.Male</t>
  </si>
  <si>
    <t>5422sTS.Macaque.Heart.3ypb.Male</t>
  </si>
  <si>
    <t>5425sTS.Macaque.Liver.9ypb.Male</t>
  </si>
  <si>
    <t>5435sTS.Macaque.Testis.14ypb.Male</t>
  </si>
  <si>
    <t>5436sTS.Macaque.Heart.3ypb.Male</t>
  </si>
  <si>
    <t>5450sTS.Macaque.Heart.9ypb.Male</t>
  </si>
  <si>
    <t>5454sTS.Macaque.Liver.3ypb.Male</t>
  </si>
  <si>
    <t>5461sTS.Macaque.Brain.22ypb.Male</t>
  </si>
  <si>
    <t>5482sTSm.Macaque.Liver.14ypb.Male</t>
  </si>
  <si>
    <t>5501sTS.Macaque.Brain.9ypb.Male</t>
  </si>
  <si>
    <t>5988sTS.Macaque.Brain.9ypb.Male</t>
  </si>
  <si>
    <t>5993sTS.Macaque.Liver.9ypb.Male</t>
  </si>
  <si>
    <t>6076sTS.Macaque.Brain.3ypb.Male</t>
  </si>
  <si>
    <t>6077sTS.Macaque.Liver.3ypb.Male</t>
  </si>
  <si>
    <t>6084sTS.Macaque.Brain.3ypb.Male</t>
  </si>
  <si>
    <t>6085sTS.Macaque.Heart.8ypb.Female</t>
  </si>
  <si>
    <t>6086sTS.Macaque.Liver.8ypb.Female</t>
  </si>
  <si>
    <t>6089sTS.Macaque.Liver.9ypb.Female</t>
  </si>
  <si>
    <t>6110sTS.Macaque.Brain.14ypb.Male</t>
  </si>
  <si>
    <t>6111sTS.Macaque.Brain.15ypb.Male</t>
  </si>
  <si>
    <t>6114sTS.Macaque.Liver.14ypb.Male</t>
  </si>
  <si>
    <t>6120sTS.Macaque.Heart.15ypb.Male</t>
  </si>
  <si>
    <t>6121sTS.Macaque.Heart.20ypb.Male</t>
  </si>
  <si>
    <t>1892sTS.Mouse.Brain.4wpb.Male</t>
  </si>
  <si>
    <t>1894sTS.Mouse.Liver.4wpb.Male</t>
  </si>
  <si>
    <t>1895sTS.Mouse.Testis.4wpb.Male</t>
  </si>
  <si>
    <t>1896sTS.Mouse.Brain.4wpb.Male</t>
  </si>
  <si>
    <t>1898sTS.Mouse.Liver.4wpb.Male</t>
  </si>
  <si>
    <t>1899sTS.Mouse.Testis.4wpb.Male</t>
  </si>
  <si>
    <t>1936sTS.Mouse.Brain.4wpb.Female</t>
  </si>
  <si>
    <t>1938sTS.Mouse.Liver.4wpb.Female</t>
  </si>
  <si>
    <t>1940sTS.Mouse.Brain.4wpb.Female</t>
  </si>
  <si>
    <t>1942sTS.Mouse.Liver.4wpb.Female</t>
  </si>
  <si>
    <t>1944sTS.Mouse.Brain.9wpb.Male</t>
  </si>
  <si>
    <t>1946sTS.Mouse.Liver.9wpb.Male</t>
  </si>
  <si>
    <t>1947sTS.Mouse.Testis.9wpb.Male</t>
  </si>
  <si>
    <t>1948sTS.Mouse.Brain.9wpb.Female</t>
  </si>
  <si>
    <t>1950sTS.Mouse.Heart.9wpb.Female</t>
  </si>
  <si>
    <t>1952sTS.Mouse.Liver.9wpb.Female</t>
  </si>
  <si>
    <t>1954sTS.Mouse.Brain.9wpb.Male</t>
  </si>
  <si>
    <t>1956sTS.Mouse.Heart.9wpb.Male</t>
  </si>
  <si>
    <t>1958sTS.Mouse.Liver.9wpb.Male</t>
  </si>
  <si>
    <t>1959sTS.Mouse.Testis.9wpb.Male</t>
  </si>
  <si>
    <t>1960sTS.Mouse.Brain.9wpb.Female</t>
  </si>
  <si>
    <t>1962sTS.Mouse.Liver.9wpb.Female</t>
  </si>
  <si>
    <t>2655sTS.Mouse.Heart.4wpb.Female</t>
  </si>
  <si>
    <t>2657sTS.Mouse.Heart.4wpb.Female</t>
  </si>
  <si>
    <t>2659sTS.Mouse.Heart.4wpb.Male</t>
  </si>
  <si>
    <t>2661sTS.Mouse.Heart.4wpb.Male</t>
  </si>
  <si>
    <t>2663sTS.Mouse.Heart.9wpb.Male</t>
  </si>
  <si>
    <t>2669sTS.Mouse.Heart.9wpb.Female</t>
  </si>
  <si>
    <t>1875sTS.Rat.Brain.6wpb.Male</t>
  </si>
  <si>
    <t>1969sTS.Rat.Liver.6wpb.Male</t>
  </si>
  <si>
    <t>1970sTS.Rat.Testis.6wpb.Male</t>
  </si>
  <si>
    <t>1971sTS.Rat.Brain.6wpb.Male</t>
  </si>
  <si>
    <t>1973sTS.Rat.Liver.6wpb.Male</t>
  </si>
  <si>
    <t>1974sTS.Rat.Testis.6wpb.Male</t>
  </si>
  <si>
    <t>1975sTS.Rat.Brain.6wpb.Female</t>
  </si>
  <si>
    <t>2287sTS.Rat.Liver.6wpb.Female</t>
  </si>
  <si>
    <t>2348sTS.Rat.Brain.16wpb.Female</t>
  </si>
  <si>
    <t>2351sTS.Rat.Liver.16wpb.Female</t>
  </si>
  <si>
    <t>2352sTS.Rat.Brain.16wpb.Female</t>
  </si>
  <si>
    <t>2355sTS.Rat.Liver.16wpb.Female</t>
  </si>
  <si>
    <t>2356sTS.Rat.Brain.16wpb.Male</t>
  </si>
  <si>
    <t>2358sTS.Rat.Testis.16wpb.Male</t>
  </si>
  <si>
    <t>2359sTS.Rat.Liver.16wpb.Male</t>
  </si>
  <si>
    <t>2363sTS.Rat.Brain.6wpb.Female</t>
  </si>
  <si>
    <t>2366sTS.Rat.Liver.6wpb.Female</t>
  </si>
  <si>
    <t>2367sTS.Rat.Brain.16wpb.Male</t>
  </si>
  <si>
    <t>2369sTS.Rat.Testis.16wpb.Male</t>
  </si>
  <si>
    <t>2370sTS.Rat.Liver.16wpb.Male</t>
  </si>
  <si>
    <t>2738sTS.Rat.Heart.6wpb.Female</t>
  </si>
  <si>
    <t>2740sTS.Rat.Heart.6wpb.Female</t>
  </si>
  <si>
    <t>2742sTS.Rat.Heart.6wpb.Male</t>
  </si>
  <si>
    <t>2746sTS.Rat.Heart.16wpb.Female</t>
  </si>
  <si>
    <t>2747sTS.Rat.Heart.16wpb.Male</t>
  </si>
  <si>
    <t>2749sTS.Rat.Heart.16wpb.Male</t>
  </si>
  <si>
    <t>2751sTS.Rat.Heart.6wpb.Male</t>
  </si>
  <si>
    <t>2853sTS.Rat.Heart.16wpb.Female</t>
  </si>
  <si>
    <t>% uniquely mapped</t>
  </si>
  <si>
    <t>number of uniquely mapped reads</t>
  </si>
  <si>
    <t>total number of mapped reads</t>
  </si>
  <si>
    <t>total % mapped</t>
  </si>
  <si>
    <t>total number of reads</t>
  </si>
  <si>
    <t>number of splice junctions</t>
  </si>
  <si>
    <t>Sample ID</t>
  </si>
  <si>
    <t xml:space="preserve">Notes:
ypb = years past birth
dpb = days past birth
splice junctions are exon-exon junctions extracted using regtools junctions extract -a 6 -o {output.juncs} -s 0 {input.bam} </t>
  </si>
  <si>
    <t>Notes:
Only uniquely mapped reads were considered</t>
  </si>
  <si>
    <t>HC1 (Human)</t>
  </si>
  <si>
    <t>HE1 (Human)</t>
  </si>
  <si>
    <t>CHD2 (Chimp)</t>
  </si>
  <si>
    <t>CHF3 (Chimp)</t>
  </si>
  <si>
    <t>MG2 (Macaque)</t>
  </si>
  <si>
    <t>MH1 (Macaque)</t>
  </si>
  <si>
    <t>Table S1: Mapping statistics for RNA-seq datasets from Cardoso-Moreira et al., 2019 used for Pangolin training and testing</t>
  </si>
  <si>
    <t>Table S2: Mapping statistics for RNA-seq datasets from Kanton et al., 2019 used in the chimp-human splice site divergence analysis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</si>
</sst>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Font="1"/>
    <xf numFmtId="0" fontId="0" fillId="0" borderId="0" xfId="0" applyAlignment="1">
      <alignment wrapText="1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2B2081-1408-904C-8946-7F69540892D0}">
  <dimension ref="A1:L120"/>
  <sheetViews>
    <sheetView zoomScale="75" workbookViewId="0">
      <selection activeCell="A3" sqref="A3"/>
    </sheetView>
  </sheetViews>
  <sheetFormatPr baseColWidth="10" defaultRowHeight="16" x14ac:dyDescent="0.2"/>
  <cols>
    <col min="1" max="1" width="35.5" customWidth="1"/>
    <col min="2" max="2" width="13.5" customWidth="1"/>
    <col min="3" max="3" width="29.33203125" customWidth="1"/>
    <col min="4" max="4" width="26.5" customWidth="1"/>
    <col min="5" max="5" width="18.6640625" customWidth="1"/>
    <col min="6" max="6" width="14" customWidth="1"/>
    <col min="7" max="7" width="23.33203125" customWidth="1"/>
    <col min="14" max="14" width="10.83203125" customWidth="1"/>
  </cols>
  <sheetData>
    <row r="1" spans="1:12" ht="102" x14ac:dyDescent="0.2">
      <c r="A1" s="3" t="s">
        <v>123</v>
      </c>
    </row>
    <row r="3" spans="1:12" x14ac:dyDescent="0.2">
      <c r="A3" s="1" t="s">
        <v>131</v>
      </c>
    </row>
    <row r="4" spans="1:12" x14ac:dyDescent="0.2">
      <c r="A4" s="2" t="s">
        <v>122</v>
      </c>
      <c r="B4" s="2" t="s">
        <v>120</v>
      </c>
      <c r="C4" s="2" t="s">
        <v>117</v>
      </c>
      <c r="D4" s="2" t="s">
        <v>118</v>
      </c>
      <c r="E4" s="2" t="s">
        <v>116</v>
      </c>
      <c r="F4" s="2" t="s">
        <v>119</v>
      </c>
      <c r="G4" s="2" t="s">
        <v>121</v>
      </c>
    </row>
    <row r="5" spans="1:12" x14ac:dyDescent="0.2">
      <c r="A5" t="s">
        <v>0</v>
      </c>
      <c r="B5">
        <v>28444601</v>
      </c>
      <c r="C5">
        <v>25148431</v>
      </c>
      <c r="D5">
        <f>C5+2568425</f>
        <v>27716856</v>
      </c>
      <c r="E5">
        <f>ROUND(C5/B5,4)*100</f>
        <v>88.41</v>
      </c>
      <c r="F5">
        <f t="shared" ref="F5:F36" si="0">ROUND(D5/B5,4)*100</f>
        <v>97.44</v>
      </c>
      <c r="G5">
        <v>145091</v>
      </c>
    </row>
    <row r="6" spans="1:12" x14ac:dyDescent="0.2">
      <c r="A6" t="s">
        <v>1</v>
      </c>
      <c r="B6">
        <v>24644517</v>
      </c>
      <c r="C6">
        <v>22048770</v>
      </c>
      <c r="D6">
        <f>C6+1971488</f>
        <v>24020258</v>
      </c>
      <c r="E6">
        <f t="shared" ref="E6:E69" si="1">ROUND(C6/B6,4)*100</f>
        <v>89.47</v>
      </c>
      <c r="F6">
        <f t="shared" si="0"/>
        <v>97.47</v>
      </c>
      <c r="G6">
        <v>160996</v>
      </c>
    </row>
    <row r="7" spans="1:12" x14ac:dyDescent="0.2">
      <c r="A7" t="s">
        <v>2</v>
      </c>
      <c r="B7">
        <v>25989887</v>
      </c>
      <c r="C7">
        <v>23755985</v>
      </c>
      <c r="D7">
        <f>C7+1446773</f>
        <v>25202758</v>
      </c>
      <c r="E7">
        <f t="shared" si="1"/>
        <v>91.4</v>
      </c>
      <c r="F7">
        <f t="shared" si="0"/>
        <v>96.97</v>
      </c>
      <c r="G7">
        <v>347315</v>
      </c>
    </row>
    <row r="8" spans="1:12" x14ac:dyDescent="0.2">
      <c r="A8" t="s">
        <v>3</v>
      </c>
      <c r="B8">
        <v>41548509</v>
      </c>
      <c r="C8">
        <v>37946242</v>
      </c>
      <c r="D8">
        <f>C8+2366720</f>
        <v>40312962</v>
      </c>
      <c r="E8">
        <f t="shared" si="1"/>
        <v>91.33</v>
      </c>
      <c r="F8">
        <f t="shared" si="0"/>
        <v>97.03</v>
      </c>
      <c r="G8">
        <v>222508</v>
      </c>
    </row>
    <row r="9" spans="1:12" x14ac:dyDescent="0.2">
      <c r="A9" t="s">
        <v>4</v>
      </c>
      <c r="B9">
        <v>28086888</v>
      </c>
      <c r="C9">
        <v>25460832</v>
      </c>
      <c r="D9">
        <f>C9+1710338</f>
        <v>27171170</v>
      </c>
      <c r="E9">
        <f t="shared" si="1"/>
        <v>90.649999999999991</v>
      </c>
      <c r="F9">
        <f t="shared" si="0"/>
        <v>96.740000000000009</v>
      </c>
      <c r="G9">
        <v>324438</v>
      </c>
      <c r="L9" s="1"/>
    </row>
    <row r="10" spans="1:12" x14ac:dyDescent="0.2">
      <c r="A10" t="s">
        <v>5</v>
      </c>
      <c r="B10">
        <v>53053623</v>
      </c>
      <c r="C10">
        <v>48789225</v>
      </c>
      <c r="D10">
        <f>C10+2697866</f>
        <v>51487091</v>
      </c>
      <c r="E10">
        <f t="shared" si="1"/>
        <v>91.96</v>
      </c>
      <c r="F10">
        <f t="shared" si="0"/>
        <v>97.05</v>
      </c>
      <c r="G10">
        <v>261718</v>
      </c>
    </row>
    <row r="11" spans="1:12" x14ac:dyDescent="0.2">
      <c r="A11" t="s">
        <v>6</v>
      </c>
      <c r="B11">
        <v>44823680</v>
      </c>
      <c r="C11">
        <v>40949956</v>
      </c>
      <c r="D11">
        <f>C11+2570835</f>
        <v>43520791</v>
      </c>
      <c r="E11">
        <f t="shared" si="1"/>
        <v>91.36</v>
      </c>
      <c r="F11">
        <f t="shared" si="0"/>
        <v>97.09</v>
      </c>
      <c r="G11">
        <v>239563</v>
      </c>
    </row>
    <row r="12" spans="1:12" x14ac:dyDescent="0.2">
      <c r="A12" t="s">
        <v>7</v>
      </c>
      <c r="B12">
        <v>24763031</v>
      </c>
      <c r="C12">
        <v>21014687</v>
      </c>
      <c r="D12">
        <f>C12+2819898</f>
        <v>23834585</v>
      </c>
      <c r="E12">
        <f t="shared" si="1"/>
        <v>84.86</v>
      </c>
      <c r="F12">
        <f t="shared" si="0"/>
        <v>96.25</v>
      </c>
      <c r="G12">
        <v>188767</v>
      </c>
    </row>
    <row r="13" spans="1:12" x14ac:dyDescent="0.2">
      <c r="A13" t="s">
        <v>8</v>
      </c>
      <c r="B13">
        <v>57721711</v>
      </c>
      <c r="C13">
        <v>51247413</v>
      </c>
      <c r="D13">
        <f>C13+4471446</f>
        <v>55718859</v>
      </c>
      <c r="E13">
        <f t="shared" si="1"/>
        <v>88.78</v>
      </c>
      <c r="F13">
        <f t="shared" si="0"/>
        <v>96.53</v>
      </c>
      <c r="G13">
        <v>521480</v>
      </c>
    </row>
    <row r="14" spans="1:12" x14ac:dyDescent="0.2">
      <c r="A14" t="s">
        <v>9</v>
      </c>
      <c r="B14">
        <v>30896448</v>
      </c>
      <c r="C14">
        <v>27118044</v>
      </c>
      <c r="D14">
        <f>C14+2777507</f>
        <v>29895551</v>
      </c>
      <c r="E14">
        <f t="shared" si="1"/>
        <v>87.77000000000001</v>
      </c>
      <c r="F14">
        <f t="shared" si="0"/>
        <v>96.76</v>
      </c>
      <c r="G14">
        <v>173014</v>
      </c>
    </row>
    <row r="15" spans="1:12" x14ac:dyDescent="0.2">
      <c r="A15" t="s">
        <v>10</v>
      </c>
      <c r="B15">
        <v>23687506</v>
      </c>
      <c r="C15">
        <v>21652007</v>
      </c>
      <c r="D15">
        <f>C15+1319570</f>
        <v>22971577</v>
      </c>
      <c r="E15">
        <f t="shared" si="1"/>
        <v>91.41</v>
      </c>
      <c r="F15">
        <f t="shared" si="0"/>
        <v>96.98</v>
      </c>
      <c r="G15">
        <v>130317</v>
      </c>
    </row>
    <row r="16" spans="1:12" x14ac:dyDescent="0.2">
      <c r="A16" t="s">
        <v>11</v>
      </c>
      <c r="B16">
        <v>75829169</v>
      </c>
      <c r="C16">
        <v>69203944</v>
      </c>
      <c r="D16">
        <f>C16+4248907</f>
        <v>73452851</v>
      </c>
      <c r="E16">
        <f t="shared" si="1"/>
        <v>91.259999999999991</v>
      </c>
      <c r="F16">
        <f t="shared" si="0"/>
        <v>96.87</v>
      </c>
      <c r="G16">
        <v>524935</v>
      </c>
    </row>
    <row r="17" spans="1:7" x14ac:dyDescent="0.2">
      <c r="A17" t="s">
        <v>12</v>
      </c>
      <c r="B17">
        <v>41199601</v>
      </c>
      <c r="C17">
        <v>37348863</v>
      </c>
      <c r="D17">
        <f>C17+2426375</f>
        <v>39775238</v>
      </c>
      <c r="E17">
        <f t="shared" si="1"/>
        <v>90.649999999999991</v>
      </c>
      <c r="F17">
        <f t="shared" si="0"/>
        <v>96.54</v>
      </c>
      <c r="G17">
        <v>354361</v>
      </c>
    </row>
    <row r="18" spans="1:7" x14ac:dyDescent="0.2">
      <c r="A18" t="s">
        <v>13</v>
      </c>
      <c r="B18">
        <v>27123189</v>
      </c>
      <c r="C18">
        <v>24034792</v>
      </c>
      <c r="D18">
        <f>C18+2188706</f>
        <v>26223498</v>
      </c>
      <c r="E18">
        <f t="shared" si="1"/>
        <v>88.61</v>
      </c>
      <c r="F18">
        <f t="shared" si="0"/>
        <v>96.679999999999993</v>
      </c>
      <c r="G18">
        <v>151045</v>
      </c>
    </row>
    <row r="19" spans="1:7" x14ac:dyDescent="0.2">
      <c r="A19" t="s">
        <v>14</v>
      </c>
      <c r="B19">
        <v>33044165</v>
      </c>
      <c r="C19">
        <v>29950162</v>
      </c>
      <c r="D19">
        <f>C19+2386174</f>
        <v>32336336</v>
      </c>
      <c r="E19">
        <f t="shared" si="1"/>
        <v>90.64</v>
      </c>
      <c r="F19">
        <f t="shared" si="0"/>
        <v>97.86</v>
      </c>
      <c r="G19">
        <v>153088</v>
      </c>
    </row>
    <row r="20" spans="1:7" x14ac:dyDescent="0.2">
      <c r="A20" t="s">
        <v>15</v>
      </c>
      <c r="B20">
        <v>31821758</v>
      </c>
      <c r="C20">
        <v>27383893</v>
      </c>
      <c r="D20">
        <f>C20+3651317</f>
        <v>31035210</v>
      </c>
      <c r="E20">
        <f t="shared" si="1"/>
        <v>86.050000000000011</v>
      </c>
      <c r="F20">
        <f t="shared" si="0"/>
        <v>97.53</v>
      </c>
      <c r="G20">
        <v>416864</v>
      </c>
    </row>
    <row r="21" spans="1:7" x14ac:dyDescent="0.2">
      <c r="A21" t="s">
        <v>16</v>
      </c>
      <c r="B21">
        <v>25529516</v>
      </c>
      <c r="C21">
        <v>16389163</v>
      </c>
      <c r="D21">
        <f>C21+8472140</f>
        <v>24861303</v>
      </c>
      <c r="E21">
        <f t="shared" si="1"/>
        <v>64.2</v>
      </c>
      <c r="F21">
        <f t="shared" si="0"/>
        <v>97.38</v>
      </c>
      <c r="G21">
        <v>137655</v>
      </c>
    </row>
    <row r="22" spans="1:7" x14ac:dyDescent="0.2">
      <c r="A22" t="s">
        <v>17</v>
      </c>
      <c r="B22">
        <v>57191632</v>
      </c>
      <c r="C22">
        <v>48058226</v>
      </c>
      <c r="D22">
        <f>C22+5470027</f>
        <v>53528253</v>
      </c>
      <c r="E22">
        <f t="shared" si="1"/>
        <v>84.03</v>
      </c>
      <c r="F22">
        <f t="shared" si="0"/>
        <v>93.589999999999989</v>
      </c>
      <c r="G22">
        <v>251208</v>
      </c>
    </row>
    <row r="23" spans="1:7" x14ac:dyDescent="0.2">
      <c r="A23" t="s">
        <v>18</v>
      </c>
      <c r="B23">
        <v>35257951</v>
      </c>
      <c r="C23">
        <v>30043905</v>
      </c>
      <c r="D23">
        <f>C23+3245607</f>
        <v>33289512</v>
      </c>
      <c r="E23">
        <f t="shared" si="1"/>
        <v>85.21</v>
      </c>
      <c r="F23">
        <f t="shared" si="0"/>
        <v>94.42</v>
      </c>
      <c r="G23">
        <v>118006</v>
      </c>
    </row>
    <row r="24" spans="1:7" x14ac:dyDescent="0.2">
      <c r="A24" t="s">
        <v>19</v>
      </c>
      <c r="B24">
        <v>35637616</v>
      </c>
      <c r="C24">
        <v>29597015</v>
      </c>
      <c r="D24">
        <f>C24+3789292</f>
        <v>33386307</v>
      </c>
      <c r="E24">
        <f t="shared" si="1"/>
        <v>83.05</v>
      </c>
      <c r="F24">
        <f t="shared" si="0"/>
        <v>93.679999999999993</v>
      </c>
      <c r="G24">
        <v>135629</v>
      </c>
    </row>
    <row r="25" spans="1:7" x14ac:dyDescent="0.2">
      <c r="A25" t="s">
        <v>20</v>
      </c>
      <c r="B25">
        <v>22150161</v>
      </c>
      <c r="C25">
        <v>19371615</v>
      </c>
      <c r="D25">
        <f>C25+1570275</f>
        <v>20941890</v>
      </c>
      <c r="E25">
        <f t="shared" si="1"/>
        <v>87.460000000000008</v>
      </c>
      <c r="F25">
        <f t="shared" si="0"/>
        <v>94.55</v>
      </c>
      <c r="G25">
        <v>123344</v>
      </c>
    </row>
    <row r="26" spans="1:7" x14ac:dyDescent="0.2">
      <c r="A26" t="s">
        <v>21</v>
      </c>
      <c r="B26">
        <v>26562452</v>
      </c>
      <c r="C26">
        <v>22174694</v>
      </c>
      <c r="D26">
        <f>C26+1404945</f>
        <v>23579639</v>
      </c>
      <c r="E26">
        <f t="shared" si="1"/>
        <v>83.48</v>
      </c>
      <c r="F26">
        <f t="shared" si="0"/>
        <v>88.77000000000001</v>
      </c>
      <c r="G26">
        <v>153311</v>
      </c>
    </row>
    <row r="27" spans="1:7" x14ac:dyDescent="0.2">
      <c r="A27" t="s">
        <v>22</v>
      </c>
      <c r="B27">
        <v>40894245</v>
      </c>
      <c r="C27">
        <v>34916985</v>
      </c>
      <c r="D27">
        <f>C27+3354792</f>
        <v>38271777</v>
      </c>
      <c r="E27">
        <f t="shared" si="1"/>
        <v>85.38</v>
      </c>
      <c r="F27">
        <f t="shared" si="0"/>
        <v>93.589999999999989</v>
      </c>
      <c r="G27">
        <v>199088</v>
      </c>
    </row>
    <row r="28" spans="1:7" x14ac:dyDescent="0.2">
      <c r="A28" t="s">
        <v>23</v>
      </c>
      <c r="B28">
        <v>26983321</v>
      </c>
      <c r="C28">
        <v>23850956</v>
      </c>
      <c r="D28">
        <f>C28+2138957</f>
        <v>25989913</v>
      </c>
      <c r="E28">
        <f t="shared" si="1"/>
        <v>88.39</v>
      </c>
      <c r="F28">
        <f t="shared" si="0"/>
        <v>96.32</v>
      </c>
      <c r="G28">
        <v>123070</v>
      </c>
    </row>
    <row r="29" spans="1:7" x14ac:dyDescent="0.2">
      <c r="A29" t="s">
        <v>24</v>
      </c>
      <c r="B29">
        <v>55270908</v>
      </c>
      <c r="C29">
        <v>49996989</v>
      </c>
      <c r="D29">
        <f>C29+2657525</f>
        <v>52654514</v>
      </c>
      <c r="E29">
        <f t="shared" si="1"/>
        <v>90.46</v>
      </c>
      <c r="F29">
        <f t="shared" si="0"/>
        <v>95.27</v>
      </c>
      <c r="G29">
        <v>231877</v>
      </c>
    </row>
    <row r="30" spans="1:7" x14ac:dyDescent="0.2">
      <c r="A30" t="s">
        <v>25</v>
      </c>
      <c r="B30">
        <v>29787570</v>
      </c>
      <c r="C30">
        <v>26777902</v>
      </c>
      <c r="D30">
        <f>C30+2054346</f>
        <v>28832248</v>
      </c>
      <c r="E30">
        <f t="shared" si="1"/>
        <v>89.9</v>
      </c>
      <c r="F30">
        <f t="shared" si="0"/>
        <v>96.789999999999992</v>
      </c>
      <c r="G30">
        <v>145746</v>
      </c>
    </row>
    <row r="31" spans="1:7" x14ac:dyDescent="0.2">
      <c r="A31" t="s">
        <v>26</v>
      </c>
      <c r="B31">
        <v>33098616</v>
      </c>
      <c r="C31">
        <v>26320701</v>
      </c>
      <c r="D31">
        <f>C31+2258555</f>
        <v>28579256</v>
      </c>
      <c r="E31">
        <f t="shared" si="1"/>
        <v>79.52</v>
      </c>
      <c r="F31">
        <f t="shared" si="0"/>
        <v>86.350000000000009</v>
      </c>
      <c r="G31">
        <v>170569</v>
      </c>
    </row>
    <row r="32" spans="1:7" x14ac:dyDescent="0.2">
      <c r="A32" t="s">
        <v>27</v>
      </c>
      <c r="B32">
        <v>41078692</v>
      </c>
      <c r="C32">
        <v>36867900</v>
      </c>
      <c r="D32">
        <f>C32+2957485</f>
        <v>39825385</v>
      </c>
      <c r="E32">
        <f t="shared" si="1"/>
        <v>89.75</v>
      </c>
      <c r="F32">
        <f t="shared" si="0"/>
        <v>96.95</v>
      </c>
      <c r="G32">
        <v>230674</v>
      </c>
    </row>
    <row r="33" spans="1:7" x14ac:dyDescent="0.2">
      <c r="A33" t="s">
        <v>28</v>
      </c>
      <c r="B33">
        <v>44534931</v>
      </c>
      <c r="C33">
        <v>40305653</v>
      </c>
      <c r="D33">
        <f>C33+2786178</f>
        <v>43091831</v>
      </c>
      <c r="E33">
        <f t="shared" si="1"/>
        <v>90.5</v>
      </c>
      <c r="F33">
        <f t="shared" si="0"/>
        <v>96.76</v>
      </c>
      <c r="G33">
        <v>432499</v>
      </c>
    </row>
    <row r="34" spans="1:7" x14ac:dyDescent="0.2">
      <c r="A34" t="s">
        <v>29</v>
      </c>
      <c r="B34">
        <v>23967791</v>
      </c>
      <c r="C34">
        <v>15134578</v>
      </c>
      <c r="D34">
        <f>C34+1585240</f>
        <v>16719818</v>
      </c>
      <c r="E34">
        <f t="shared" si="1"/>
        <v>63.149999999999991</v>
      </c>
      <c r="F34">
        <f t="shared" si="0"/>
        <v>69.760000000000005</v>
      </c>
      <c r="G34">
        <v>126161</v>
      </c>
    </row>
    <row r="35" spans="1:7" x14ac:dyDescent="0.2">
      <c r="A35" t="s">
        <v>30</v>
      </c>
      <c r="B35">
        <v>36843814</v>
      </c>
      <c r="C35">
        <v>31991346</v>
      </c>
      <c r="D35">
        <f>C35+3264601</f>
        <v>35255947</v>
      </c>
      <c r="E35">
        <f t="shared" si="1"/>
        <v>86.83</v>
      </c>
      <c r="F35">
        <f t="shared" si="0"/>
        <v>95.69</v>
      </c>
      <c r="G35">
        <v>164397</v>
      </c>
    </row>
    <row r="36" spans="1:7" x14ac:dyDescent="0.2">
      <c r="A36" t="s">
        <v>31</v>
      </c>
      <c r="B36">
        <v>35544053</v>
      </c>
      <c r="C36">
        <v>28726872</v>
      </c>
      <c r="D36">
        <f>C36+1893577</f>
        <v>30620449</v>
      </c>
      <c r="E36">
        <f t="shared" si="1"/>
        <v>80.820000000000007</v>
      </c>
      <c r="F36">
        <f t="shared" si="0"/>
        <v>86.15</v>
      </c>
      <c r="G36">
        <v>372109</v>
      </c>
    </row>
    <row r="37" spans="1:7" x14ac:dyDescent="0.2">
      <c r="A37" t="s">
        <v>32</v>
      </c>
      <c r="B37">
        <v>30076709</v>
      </c>
      <c r="C37">
        <v>27197484</v>
      </c>
      <c r="D37">
        <f>C37+1539573</f>
        <v>28737057</v>
      </c>
      <c r="E37">
        <f t="shared" si="1"/>
        <v>90.429999999999993</v>
      </c>
      <c r="F37">
        <f t="shared" ref="F37:F64" si="2">ROUND(D37/B37,4)*100</f>
        <v>95.55</v>
      </c>
      <c r="G37">
        <v>342813</v>
      </c>
    </row>
    <row r="38" spans="1:7" x14ac:dyDescent="0.2">
      <c r="A38" t="s">
        <v>33</v>
      </c>
      <c r="B38">
        <v>42224382</v>
      </c>
      <c r="C38">
        <v>28440341</v>
      </c>
      <c r="D38">
        <f>C38+11150710</f>
        <v>39591051</v>
      </c>
      <c r="E38">
        <f t="shared" si="1"/>
        <v>67.36</v>
      </c>
      <c r="F38">
        <f t="shared" si="2"/>
        <v>93.76</v>
      </c>
      <c r="G38">
        <v>161390</v>
      </c>
    </row>
    <row r="39" spans="1:7" x14ac:dyDescent="0.2">
      <c r="A39" s="2" t="s">
        <v>34</v>
      </c>
      <c r="B39">
        <v>33185695</v>
      </c>
      <c r="C39">
        <v>29394486</v>
      </c>
      <c r="D39">
        <f>C39+2397225</f>
        <v>31791711</v>
      </c>
      <c r="E39">
        <f t="shared" si="1"/>
        <v>88.58</v>
      </c>
      <c r="F39">
        <f t="shared" si="2"/>
        <v>95.8</v>
      </c>
      <c r="G39">
        <v>347094</v>
      </c>
    </row>
    <row r="40" spans="1:7" x14ac:dyDescent="0.2">
      <c r="A40" t="s">
        <v>35</v>
      </c>
      <c r="B40">
        <v>44609464</v>
      </c>
      <c r="C40">
        <v>38451103</v>
      </c>
      <c r="D40">
        <f>C40+4324878</f>
        <v>42775981</v>
      </c>
      <c r="E40">
        <f t="shared" si="1"/>
        <v>86.19</v>
      </c>
      <c r="F40">
        <f t="shared" si="2"/>
        <v>95.89</v>
      </c>
      <c r="G40">
        <v>248291</v>
      </c>
    </row>
    <row r="41" spans="1:7" x14ac:dyDescent="0.2">
      <c r="A41" t="s">
        <v>36</v>
      </c>
      <c r="B41">
        <v>70232604</v>
      </c>
      <c r="C41">
        <v>62754819</v>
      </c>
      <c r="D41">
        <f>C41+4890626</f>
        <v>67645445</v>
      </c>
      <c r="E41">
        <f t="shared" si="1"/>
        <v>89.35</v>
      </c>
      <c r="F41">
        <f t="shared" si="2"/>
        <v>96.32</v>
      </c>
      <c r="G41">
        <v>458313</v>
      </c>
    </row>
    <row r="42" spans="1:7" x14ac:dyDescent="0.2">
      <c r="A42" t="s">
        <v>37</v>
      </c>
      <c r="B42">
        <v>25091542</v>
      </c>
      <c r="C42">
        <v>18448415</v>
      </c>
      <c r="D42">
        <f>C42+5440520</f>
        <v>23888935</v>
      </c>
      <c r="E42">
        <f t="shared" si="1"/>
        <v>73.52</v>
      </c>
      <c r="F42">
        <f t="shared" si="2"/>
        <v>95.21</v>
      </c>
      <c r="G42">
        <v>161633</v>
      </c>
    </row>
    <row r="43" spans="1:7" x14ac:dyDescent="0.2">
      <c r="A43" t="s">
        <v>38</v>
      </c>
      <c r="B43">
        <v>41803634</v>
      </c>
      <c r="C43">
        <v>33455601</v>
      </c>
      <c r="D43">
        <f>C43+6692861</f>
        <v>40148462</v>
      </c>
      <c r="E43">
        <f t="shared" si="1"/>
        <v>80.03</v>
      </c>
      <c r="F43">
        <f t="shared" si="2"/>
        <v>96.04</v>
      </c>
      <c r="G43">
        <v>216457</v>
      </c>
    </row>
    <row r="44" spans="1:7" x14ac:dyDescent="0.2">
      <c r="A44" t="s">
        <v>39</v>
      </c>
      <c r="B44">
        <v>39885337</v>
      </c>
      <c r="C44">
        <v>33954815</v>
      </c>
      <c r="D44">
        <f>C44+3374951</f>
        <v>37329766</v>
      </c>
      <c r="E44">
        <f t="shared" si="1"/>
        <v>85.13</v>
      </c>
      <c r="F44">
        <f t="shared" si="2"/>
        <v>93.589999999999989</v>
      </c>
      <c r="G44">
        <v>189924</v>
      </c>
    </row>
    <row r="45" spans="1:7" x14ac:dyDescent="0.2">
      <c r="A45" t="s">
        <v>40</v>
      </c>
      <c r="B45">
        <v>30893682</v>
      </c>
      <c r="C45">
        <v>27739187</v>
      </c>
      <c r="D45">
        <f>C45+1976109</f>
        <v>29715296</v>
      </c>
      <c r="E45">
        <f t="shared" si="1"/>
        <v>89.79</v>
      </c>
      <c r="F45">
        <f t="shared" si="2"/>
        <v>96.19</v>
      </c>
      <c r="G45">
        <v>363199</v>
      </c>
    </row>
    <row r="46" spans="1:7" x14ac:dyDescent="0.2">
      <c r="A46" t="s">
        <v>41</v>
      </c>
      <c r="B46">
        <v>29043769</v>
      </c>
      <c r="C46">
        <v>23698530</v>
      </c>
      <c r="D46">
        <f>C46+4231785</f>
        <v>27930315</v>
      </c>
      <c r="E46">
        <f t="shared" si="1"/>
        <v>81.599999999999994</v>
      </c>
      <c r="F46">
        <f t="shared" si="2"/>
        <v>96.17</v>
      </c>
      <c r="G46">
        <v>191882</v>
      </c>
    </row>
    <row r="47" spans="1:7" x14ac:dyDescent="0.2">
      <c r="A47" t="s">
        <v>42</v>
      </c>
      <c r="B47">
        <v>42196163</v>
      </c>
      <c r="C47">
        <v>31466620</v>
      </c>
      <c r="D47">
        <f>C47+8464400</f>
        <v>39931020</v>
      </c>
      <c r="E47">
        <f t="shared" si="1"/>
        <v>74.570000000000007</v>
      </c>
      <c r="F47">
        <f t="shared" si="2"/>
        <v>94.63000000000001</v>
      </c>
      <c r="G47">
        <v>187479</v>
      </c>
    </row>
    <row r="48" spans="1:7" x14ac:dyDescent="0.2">
      <c r="A48" t="s">
        <v>43</v>
      </c>
      <c r="B48">
        <v>63518702</v>
      </c>
      <c r="C48">
        <v>56044240</v>
      </c>
      <c r="D48">
        <f>C48+5132197</f>
        <v>61176437</v>
      </c>
      <c r="E48">
        <f t="shared" si="1"/>
        <v>88.23</v>
      </c>
      <c r="F48">
        <f t="shared" si="2"/>
        <v>96.31</v>
      </c>
      <c r="G48">
        <v>231520</v>
      </c>
    </row>
    <row r="49" spans="1:7" x14ac:dyDescent="0.2">
      <c r="A49" t="s">
        <v>44</v>
      </c>
      <c r="B49">
        <v>32221651</v>
      </c>
      <c r="C49">
        <v>28337889</v>
      </c>
      <c r="D49">
        <f>C49+2559018</f>
        <v>30896907</v>
      </c>
      <c r="E49">
        <f t="shared" si="1"/>
        <v>87.949999999999989</v>
      </c>
      <c r="F49">
        <f t="shared" si="2"/>
        <v>95.89</v>
      </c>
      <c r="G49">
        <v>225550</v>
      </c>
    </row>
    <row r="50" spans="1:7" x14ac:dyDescent="0.2">
      <c r="A50" t="s">
        <v>45</v>
      </c>
      <c r="B50">
        <v>37510214</v>
      </c>
      <c r="C50">
        <v>33350799</v>
      </c>
      <c r="D50">
        <f>C50+3202455</f>
        <v>36553254</v>
      </c>
      <c r="E50">
        <f t="shared" si="1"/>
        <v>88.91</v>
      </c>
      <c r="F50">
        <f t="shared" si="2"/>
        <v>97.45</v>
      </c>
      <c r="G50">
        <v>190434</v>
      </c>
    </row>
    <row r="51" spans="1:7" x14ac:dyDescent="0.2">
      <c r="A51" t="s">
        <v>46</v>
      </c>
      <c r="B51">
        <v>34710132</v>
      </c>
      <c r="C51">
        <v>29408271</v>
      </c>
      <c r="D51">
        <f>C51+3961380</f>
        <v>33369651</v>
      </c>
      <c r="E51">
        <f t="shared" si="1"/>
        <v>84.73</v>
      </c>
      <c r="F51">
        <f t="shared" si="2"/>
        <v>96.14</v>
      </c>
      <c r="G51">
        <v>225166</v>
      </c>
    </row>
    <row r="52" spans="1:7" x14ac:dyDescent="0.2">
      <c r="A52" t="s">
        <v>47</v>
      </c>
      <c r="B52">
        <v>49604490</v>
      </c>
      <c r="C52">
        <v>41307804</v>
      </c>
      <c r="D52">
        <f>C52+5018856</f>
        <v>46326660</v>
      </c>
      <c r="E52">
        <f t="shared" si="1"/>
        <v>83.27</v>
      </c>
      <c r="F52">
        <f t="shared" si="2"/>
        <v>93.39</v>
      </c>
      <c r="G52">
        <v>236490</v>
      </c>
    </row>
    <row r="53" spans="1:7" x14ac:dyDescent="0.2">
      <c r="A53" t="s">
        <v>48</v>
      </c>
      <c r="B53">
        <v>40720863</v>
      </c>
      <c r="C53">
        <v>34499134</v>
      </c>
      <c r="D53">
        <f>C53+4369080</f>
        <v>38868214</v>
      </c>
      <c r="E53">
        <f t="shared" si="1"/>
        <v>84.72</v>
      </c>
      <c r="F53">
        <f t="shared" si="2"/>
        <v>95.45</v>
      </c>
      <c r="G53">
        <v>175307</v>
      </c>
    </row>
    <row r="54" spans="1:7" x14ac:dyDescent="0.2">
      <c r="A54" t="s">
        <v>49</v>
      </c>
      <c r="B54">
        <v>28376895</v>
      </c>
      <c r="C54">
        <v>21970267</v>
      </c>
      <c r="D54">
        <f>C54+3355918</f>
        <v>25326185</v>
      </c>
      <c r="E54">
        <f t="shared" si="1"/>
        <v>77.42</v>
      </c>
      <c r="F54">
        <f t="shared" si="2"/>
        <v>89.25</v>
      </c>
      <c r="G54">
        <v>142192</v>
      </c>
    </row>
    <row r="55" spans="1:7" x14ac:dyDescent="0.2">
      <c r="A55" t="s">
        <v>50</v>
      </c>
      <c r="B55">
        <v>24359055</v>
      </c>
      <c r="C55">
        <v>20905394</v>
      </c>
      <c r="D55">
        <f>C55+2334166</f>
        <v>23239560</v>
      </c>
      <c r="E55">
        <f t="shared" si="1"/>
        <v>85.82</v>
      </c>
      <c r="F55">
        <f t="shared" si="2"/>
        <v>95.399999999999991</v>
      </c>
      <c r="G55">
        <v>143363</v>
      </c>
    </row>
    <row r="56" spans="1:7" x14ac:dyDescent="0.2">
      <c r="A56" t="s">
        <v>51</v>
      </c>
      <c r="B56">
        <v>38943626</v>
      </c>
      <c r="C56">
        <v>31698874</v>
      </c>
      <c r="D56">
        <f>C56+4561316</f>
        <v>36260190</v>
      </c>
      <c r="E56">
        <f t="shared" si="1"/>
        <v>81.399999999999991</v>
      </c>
      <c r="F56">
        <f t="shared" si="2"/>
        <v>93.11</v>
      </c>
      <c r="G56">
        <v>167174</v>
      </c>
    </row>
    <row r="57" spans="1:7" x14ac:dyDescent="0.2">
      <c r="A57" t="s">
        <v>52</v>
      </c>
      <c r="B57">
        <v>36882082</v>
      </c>
      <c r="C57">
        <v>26476529</v>
      </c>
      <c r="D57">
        <f>C57+8738549</f>
        <v>35215078</v>
      </c>
      <c r="E57">
        <f t="shared" si="1"/>
        <v>71.789999999999992</v>
      </c>
      <c r="F57">
        <f t="shared" si="2"/>
        <v>95.48</v>
      </c>
      <c r="G57">
        <v>163864</v>
      </c>
    </row>
    <row r="58" spans="1:7" x14ac:dyDescent="0.2">
      <c r="A58" t="s">
        <v>53</v>
      </c>
      <c r="B58">
        <v>34529428</v>
      </c>
      <c r="C58">
        <v>29848550</v>
      </c>
      <c r="D58">
        <f>C58+3460268</f>
        <v>33308818</v>
      </c>
      <c r="E58">
        <f t="shared" si="1"/>
        <v>86.44</v>
      </c>
      <c r="F58">
        <f t="shared" si="2"/>
        <v>96.47</v>
      </c>
      <c r="G58">
        <v>171442</v>
      </c>
    </row>
    <row r="59" spans="1:7" x14ac:dyDescent="0.2">
      <c r="A59" t="s">
        <v>54</v>
      </c>
      <c r="B59">
        <v>36825778</v>
      </c>
      <c r="C59">
        <v>32515189</v>
      </c>
      <c r="D59">
        <f>C59+2999772</f>
        <v>35514961</v>
      </c>
      <c r="E59">
        <f t="shared" si="1"/>
        <v>88.29</v>
      </c>
      <c r="F59">
        <f t="shared" si="2"/>
        <v>96.44</v>
      </c>
      <c r="G59">
        <v>182940</v>
      </c>
    </row>
    <row r="60" spans="1:7" x14ac:dyDescent="0.2">
      <c r="A60" t="s">
        <v>55</v>
      </c>
      <c r="B60">
        <v>30513647</v>
      </c>
      <c r="C60">
        <v>25889833</v>
      </c>
      <c r="D60">
        <f>C60+3023496</f>
        <v>28913329</v>
      </c>
      <c r="E60">
        <f t="shared" si="1"/>
        <v>84.850000000000009</v>
      </c>
      <c r="F60">
        <f t="shared" si="2"/>
        <v>94.76</v>
      </c>
      <c r="G60">
        <v>202450</v>
      </c>
    </row>
    <row r="61" spans="1:7" x14ac:dyDescent="0.2">
      <c r="A61" t="s">
        <v>56</v>
      </c>
      <c r="B61">
        <v>37208267</v>
      </c>
      <c r="C61">
        <v>31301327</v>
      </c>
      <c r="D61">
        <f>C61+3703811</f>
        <v>35005138</v>
      </c>
      <c r="E61">
        <f t="shared" si="1"/>
        <v>84.11999999999999</v>
      </c>
      <c r="F61">
        <f t="shared" si="2"/>
        <v>94.08</v>
      </c>
      <c r="G61">
        <v>216199</v>
      </c>
    </row>
    <row r="62" spans="1:7" x14ac:dyDescent="0.2">
      <c r="A62" t="s">
        <v>57</v>
      </c>
      <c r="B62">
        <v>45417291</v>
      </c>
      <c r="C62">
        <v>39348925</v>
      </c>
      <c r="D62">
        <f>C62+4116443</f>
        <v>43465368</v>
      </c>
      <c r="E62">
        <f t="shared" si="1"/>
        <v>86.64</v>
      </c>
      <c r="F62">
        <f t="shared" si="2"/>
        <v>95.7</v>
      </c>
      <c r="G62">
        <v>167290</v>
      </c>
    </row>
    <row r="63" spans="1:7" x14ac:dyDescent="0.2">
      <c r="A63" t="s">
        <v>58</v>
      </c>
      <c r="B63">
        <v>39730424</v>
      </c>
      <c r="C63">
        <v>29348697</v>
      </c>
      <c r="D63">
        <f>C63+8027696</f>
        <v>37376393</v>
      </c>
      <c r="E63">
        <f t="shared" si="1"/>
        <v>73.87</v>
      </c>
      <c r="F63">
        <f t="shared" si="2"/>
        <v>94.07</v>
      </c>
      <c r="G63">
        <v>171529</v>
      </c>
    </row>
    <row r="64" spans="1:7" x14ac:dyDescent="0.2">
      <c r="A64" t="s">
        <v>59</v>
      </c>
      <c r="B64">
        <v>34995959</v>
      </c>
      <c r="C64">
        <v>26224475</v>
      </c>
      <c r="D64">
        <f>C64+6961880</f>
        <v>33186355</v>
      </c>
      <c r="E64">
        <f t="shared" si="1"/>
        <v>74.94</v>
      </c>
      <c r="F64">
        <f t="shared" si="2"/>
        <v>94.83</v>
      </c>
      <c r="G64">
        <v>185241</v>
      </c>
    </row>
    <row r="65" spans="1:7" x14ac:dyDescent="0.2">
      <c r="A65" s="2" t="s">
        <v>60</v>
      </c>
      <c r="B65">
        <v>21275419</v>
      </c>
      <c r="C65">
        <v>19009628</v>
      </c>
      <c r="D65">
        <f>C65+1593355</f>
        <v>20602983</v>
      </c>
      <c r="E65">
        <f t="shared" si="1"/>
        <v>89.35</v>
      </c>
      <c r="F65">
        <f t="shared" ref="F65:F120" si="3">ROUND(D65/B65,4)*100</f>
        <v>96.84</v>
      </c>
      <c r="G65">
        <v>185433</v>
      </c>
    </row>
    <row r="66" spans="1:7" x14ac:dyDescent="0.2">
      <c r="A66" s="2" t="s">
        <v>61</v>
      </c>
      <c r="B66">
        <v>21747013</v>
      </c>
      <c r="C66">
        <v>17780884</v>
      </c>
      <c r="D66">
        <f>C66+3019274</f>
        <v>20800158</v>
      </c>
      <c r="E66">
        <f t="shared" si="1"/>
        <v>81.760000000000005</v>
      </c>
      <c r="F66">
        <f t="shared" si="3"/>
        <v>95.65</v>
      </c>
      <c r="G66">
        <v>147146</v>
      </c>
    </row>
    <row r="67" spans="1:7" x14ac:dyDescent="0.2">
      <c r="A67" t="s">
        <v>62</v>
      </c>
      <c r="B67">
        <v>26169012</v>
      </c>
      <c r="C67">
        <v>23571771</v>
      </c>
      <c r="D67">
        <f>C67+1646528</f>
        <v>25218299</v>
      </c>
      <c r="E67">
        <f t="shared" si="1"/>
        <v>90.08</v>
      </c>
      <c r="F67">
        <f t="shared" si="3"/>
        <v>96.37</v>
      </c>
      <c r="G67">
        <v>255957</v>
      </c>
    </row>
    <row r="68" spans="1:7" x14ac:dyDescent="0.2">
      <c r="A68" t="s">
        <v>63</v>
      </c>
      <c r="B68">
        <v>19032489</v>
      </c>
      <c r="C68">
        <v>16774714</v>
      </c>
      <c r="D68">
        <f>C68+1624975</f>
        <v>18399689</v>
      </c>
      <c r="E68">
        <f t="shared" si="1"/>
        <v>88.14</v>
      </c>
      <c r="F68">
        <f t="shared" si="3"/>
        <v>96.679999999999993</v>
      </c>
      <c r="G68">
        <v>176124</v>
      </c>
    </row>
    <row r="69" spans="1:7" x14ac:dyDescent="0.2">
      <c r="A69" t="s">
        <v>64</v>
      </c>
      <c r="B69">
        <v>32126490</v>
      </c>
      <c r="C69">
        <v>26459828</v>
      </c>
      <c r="D69">
        <f>C69+4463811</f>
        <v>30923639</v>
      </c>
      <c r="E69">
        <f t="shared" si="1"/>
        <v>82.36</v>
      </c>
      <c r="F69">
        <f t="shared" si="3"/>
        <v>96.26</v>
      </c>
      <c r="G69">
        <v>148390</v>
      </c>
    </row>
    <row r="70" spans="1:7" x14ac:dyDescent="0.2">
      <c r="A70" t="s">
        <v>65</v>
      </c>
      <c r="B70">
        <v>20757592</v>
      </c>
      <c r="C70">
        <v>18644054</v>
      </c>
      <c r="D70">
        <f>C70+1320316</f>
        <v>19964370</v>
      </c>
      <c r="E70">
        <f t="shared" ref="E70:E100" si="4">ROUND(C70/B70,4)*100</f>
        <v>89.82</v>
      </c>
      <c r="F70">
        <f t="shared" si="3"/>
        <v>96.179999999999993</v>
      </c>
      <c r="G70">
        <v>242409</v>
      </c>
    </row>
    <row r="71" spans="1:7" x14ac:dyDescent="0.2">
      <c r="A71" t="s">
        <v>66</v>
      </c>
      <c r="B71">
        <v>20331764</v>
      </c>
      <c r="C71">
        <v>17951333</v>
      </c>
      <c r="D71">
        <f>C71+1656991</f>
        <v>19608324</v>
      </c>
      <c r="E71">
        <f t="shared" si="4"/>
        <v>88.29</v>
      </c>
      <c r="F71">
        <f t="shared" si="3"/>
        <v>96.44</v>
      </c>
      <c r="G71">
        <v>185108</v>
      </c>
    </row>
    <row r="72" spans="1:7" x14ac:dyDescent="0.2">
      <c r="A72" t="s">
        <v>67</v>
      </c>
      <c r="B72">
        <v>19660087</v>
      </c>
      <c r="C72">
        <v>16296611</v>
      </c>
      <c r="D72">
        <f>C72+2715862</f>
        <v>19012473</v>
      </c>
      <c r="E72">
        <f t="shared" si="4"/>
        <v>82.89</v>
      </c>
      <c r="F72">
        <f t="shared" si="3"/>
        <v>96.71</v>
      </c>
      <c r="G72">
        <v>137186</v>
      </c>
    </row>
    <row r="73" spans="1:7" x14ac:dyDescent="0.2">
      <c r="A73" t="s">
        <v>68</v>
      </c>
      <c r="B73">
        <v>30377508</v>
      </c>
      <c r="C73">
        <v>26710730</v>
      </c>
      <c r="D73">
        <f>C73+2486125</f>
        <v>29196855</v>
      </c>
      <c r="E73">
        <f t="shared" si="4"/>
        <v>87.929999999999993</v>
      </c>
      <c r="F73">
        <f t="shared" si="3"/>
        <v>96.11</v>
      </c>
      <c r="G73">
        <v>199165</v>
      </c>
    </row>
    <row r="74" spans="1:7" x14ac:dyDescent="0.2">
      <c r="A74" t="s">
        <v>69</v>
      </c>
      <c r="B74">
        <v>20294606</v>
      </c>
      <c r="C74">
        <v>17075105</v>
      </c>
      <c r="D74">
        <f>C74+2702366</f>
        <v>19777471</v>
      </c>
      <c r="E74">
        <f t="shared" si="4"/>
        <v>84.14</v>
      </c>
      <c r="F74">
        <f t="shared" si="3"/>
        <v>97.45</v>
      </c>
      <c r="G74">
        <v>137186</v>
      </c>
    </row>
    <row r="75" spans="1:7" x14ac:dyDescent="0.2">
      <c r="A75" t="s">
        <v>70</v>
      </c>
      <c r="B75">
        <v>20425066</v>
      </c>
      <c r="C75">
        <v>18282998</v>
      </c>
      <c r="D75">
        <f>C75+1606091</f>
        <v>19889089</v>
      </c>
      <c r="E75">
        <f t="shared" si="4"/>
        <v>89.51</v>
      </c>
      <c r="F75">
        <f t="shared" si="3"/>
        <v>97.38</v>
      </c>
      <c r="G75">
        <v>187755</v>
      </c>
    </row>
    <row r="76" spans="1:7" x14ac:dyDescent="0.2">
      <c r="A76" t="s">
        <v>71</v>
      </c>
      <c r="B76">
        <v>29472470</v>
      </c>
      <c r="C76">
        <v>21186884</v>
      </c>
      <c r="D76">
        <f>C76+6353564</f>
        <v>27540448</v>
      </c>
      <c r="E76">
        <f t="shared" si="4"/>
        <v>71.89</v>
      </c>
      <c r="F76">
        <f t="shared" si="3"/>
        <v>93.44</v>
      </c>
      <c r="G76">
        <v>147539</v>
      </c>
    </row>
    <row r="77" spans="1:7" x14ac:dyDescent="0.2">
      <c r="A77" t="s">
        <v>72</v>
      </c>
      <c r="B77">
        <v>20426331</v>
      </c>
      <c r="C77">
        <v>18522599</v>
      </c>
      <c r="D77">
        <f>C77+1252290</f>
        <v>19774889</v>
      </c>
      <c r="E77">
        <f t="shared" si="4"/>
        <v>90.68</v>
      </c>
      <c r="F77">
        <f t="shared" si="3"/>
        <v>96.81</v>
      </c>
      <c r="G77">
        <v>240121</v>
      </c>
    </row>
    <row r="78" spans="1:7" x14ac:dyDescent="0.2">
      <c r="A78" t="s">
        <v>73</v>
      </c>
      <c r="B78">
        <v>19519743</v>
      </c>
      <c r="C78">
        <v>17286211</v>
      </c>
      <c r="D78">
        <f>C78+1612933</f>
        <v>18899144</v>
      </c>
      <c r="E78">
        <f t="shared" si="4"/>
        <v>88.56</v>
      </c>
      <c r="F78">
        <f t="shared" si="3"/>
        <v>96.82</v>
      </c>
      <c r="G78">
        <v>191024</v>
      </c>
    </row>
    <row r="79" spans="1:7" x14ac:dyDescent="0.2">
      <c r="A79" t="s">
        <v>74</v>
      </c>
      <c r="B79">
        <v>33233041</v>
      </c>
      <c r="C79">
        <v>24078101</v>
      </c>
      <c r="D79">
        <f>C79+7543171</f>
        <v>31621272</v>
      </c>
      <c r="E79">
        <f t="shared" si="4"/>
        <v>72.45</v>
      </c>
      <c r="F79">
        <f t="shared" si="3"/>
        <v>95.15</v>
      </c>
      <c r="G79">
        <v>166615</v>
      </c>
    </row>
    <row r="80" spans="1:7" x14ac:dyDescent="0.2">
      <c r="A80" t="s">
        <v>75</v>
      </c>
      <c r="B80">
        <v>24122997</v>
      </c>
      <c r="C80">
        <v>19684037</v>
      </c>
      <c r="D80">
        <f>C80+3430226</f>
        <v>23114263</v>
      </c>
      <c r="E80">
        <f t="shared" si="4"/>
        <v>81.599999999999994</v>
      </c>
      <c r="F80">
        <f t="shared" si="3"/>
        <v>95.820000000000007</v>
      </c>
      <c r="G80">
        <v>146014</v>
      </c>
    </row>
    <row r="81" spans="1:7" x14ac:dyDescent="0.2">
      <c r="A81" t="s">
        <v>76</v>
      </c>
      <c r="B81">
        <v>33768896</v>
      </c>
      <c r="C81">
        <v>30013165</v>
      </c>
      <c r="D81">
        <f>C81+2611945</f>
        <v>32625110</v>
      </c>
      <c r="E81">
        <f t="shared" si="4"/>
        <v>88.88000000000001</v>
      </c>
      <c r="F81">
        <f t="shared" si="3"/>
        <v>96.61</v>
      </c>
      <c r="G81">
        <v>206199</v>
      </c>
    </row>
    <row r="82" spans="1:7" x14ac:dyDescent="0.2">
      <c r="A82" t="s">
        <v>77</v>
      </c>
      <c r="B82">
        <v>41056894</v>
      </c>
      <c r="C82">
        <v>29118902</v>
      </c>
      <c r="D82">
        <f>C82+8520198</f>
        <v>37639100</v>
      </c>
      <c r="E82">
        <f t="shared" si="4"/>
        <v>70.92</v>
      </c>
      <c r="F82">
        <f t="shared" si="3"/>
        <v>91.679999999999993</v>
      </c>
      <c r="G82">
        <v>168625</v>
      </c>
    </row>
    <row r="83" spans="1:7" x14ac:dyDescent="0.2">
      <c r="A83" t="s">
        <v>78</v>
      </c>
      <c r="B83">
        <v>46469733</v>
      </c>
      <c r="C83">
        <v>33969976</v>
      </c>
      <c r="D83">
        <f>C83+9843806</f>
        <v>43813782</v>
      </c>
      <c r="E83">
        <f t="shared" si="4"/>
        <v>73.099999999999994</v>
      </c>
      <c r="F83">
        <f t="shared" si="3"/>
        <v>94.28</v>
      </c>
      <c r="G83">
        <v>163781</v>
      </c>
    </row>
    <row r="84" spans="1:7" x14ac:dyDescent="0.2">
      <c r="A84" t="s">
        <v>79</v>
      </c>
      <c r="B84">
        <v>35370086</v>
      </c>
      <c r="C84">
        <v>31796541</v>
      </c>
      <c r="D84">
        <f>C84+2257805</f>
        <v>34054346</v>
      </c>
      <c r="E84">
        <f t="shared" si="4"/>
        <v>89.9</v>
      </c>
      <c r="F84">
        <f t="shared" si="3"/>
        <v>96.28</v>
      </c>
      <c r="G84">
        <v>285782</v>
      </c>
    </row>
    <row r="85" spans="1:7" x14ac:dyDescent="0.2">
      <c r="A85" t="s">
        <v>80</v>
      </c>
      <c r="B85">
        <v>26475510</v>
      </c>
      <c r="C85">
        <v>23352792</v>
      </c>
      <c r="D85">
        <f>C85+2076058</f>
        <v>25428850</v>
      </c>
      <c r="E85">
        <f t="shared" si="4"/>
        <v>88.21</v>
      </c>
      <c r="F85">
        <f t="shared" si="3"/>
        <v>96.05</v>
      </c>
      <c r="G85">
        <v>192566</v>
      </c>
    </row>
    <row r="86" spans="1:7" x14ac:dyDescent="0.2">
      <c r="A86" t="s">
        <v>81</v>
      </c>
      <c r="B86">
        <v>19914756</v>
      </c>
      <c r="C86">
        <v>16947735</v>
      </c>
      <c r="D86">
        <f>C86+2443024</f>
        <v>19390759</v>
      </c>
      <c r="E86">
        <f t="shared" si="4"/>
        <v>85.1</v>
      </c>
      <c r="F86">
        <f t="shared" si="3"/>
        <v>97.37</v>
      </c>
      <c r="G86">
        <v>134264</v>
      </c>
    </row>
    <row r="87" spans="1:7" x14ac:dyDescent="0.2">
      <c r="A87" t="s">
        <v>82</v>
      </c>
      <c r="B87">
        <v>38337984</v>
      </c>
      <c r="C87">
        <v>29233760</v>
      </c>
      <c r="D87">
        <f>C87+7985343</f>
        <v>37219103</v>
      </c>
      <c r="E87">
        <f t="shared" si="4"/>
        <v>76.25</v>
      </c>
      <c r="F87">
        <f t="shared" si="3"/>
        <v>97.08</v>
      </c>
      <c r="G87">
        <v>176635</v>
      </c>
    </row>
    <row r="88" spans="1:7" x14ac:dyDescent="0.2">
      <c r="A88" t="s">
        <v>83</v>
      </c>
      <c r="B88">
        <v>28701450</v>
      </c>
      <c r="C88">
        <v>21369931</v>
      </c>
      <c r="D88">
        <f>C88+6445767</f>
        <v>27815698</v>
      </c>
      <c r="E88">
        <f t="shared" si="4"/>
        <v>74.460000000000008</v>
      </c>
      <c r="F88">
        <f t="shared" si="3"/>
        <v>96.91</v>
      </c>
      <c r="G88">
        <v>154821</v>
      </c>
    </row>
    <row r="89" spans="1:7" x14ac:dyDescent="0.2">
      <c r="A89" t="s">
        <v>84</v>
      </c>
      <c r="B89">
        <v>20958151</v>
      </c>
      <c r="C89">
        <v>16275967</v>
      </c>
      <c r="D89">
        <f>C89+4194794</f>
        <v>20470761</v>
      </c>
      <c r="E89">
        <f t="shared" si="4"/>
        <v>77.66</v>
      </c>
      <c r="F89">
        <f t="shared" si="3"/>
        <v>97.67</v>
      </c>
      <c r="G89">
        <v>149628</v>
      </c>
    </row>
    <row r="90" spans="1:7" x14ac:dyDescent="0.2">
      <c r="A90" t="s">
        <v>85</v>
      </c>
      <c r="B90">
        <v>35465489</v>
      </c>
      <c r="C90">
        <v>26090233</v>
      </c>
      <c r="D90">
        <f>C90+8497608</f>
        <v>34587841</v>
      </c>
      <c r="E90">
        <f t="shared" si="4"/>
        <v>73.570000000000007</v>
      </c>
      <c r="F90">
        <f t="shared" si="3"/>
        <v>97.53</v>
      </c>
      <c r="G90">
        <v>162630</v>
      </c>
    </row>
    <row r="91" spans="1:7" x14ac:dyDescent="0.2">
      <c r="A91" t="s">
        <v>86</v>
      </c>
      <c r="B91">
        <v>58066902</v>
      </c>
      <c r="C91">
        <v>40507048</v>
      </c>
      <c r="D91">
        <f>C91+12058198</f>
        <v>52565246</v>
      </c>
      <c r="E91">
        <f t="shared" si="4"/>
        <v>69.760000000000005</v>
      </c>
      <c r="F91">
        <f t="shared" si="3"/>
        <v>90.53</v>
      </c>
      <c r="G91">
        <v>183006</v>
      </c>
    </row>
    <row r="92" spans="1:7" x14ac:dyDescent="0.2">
      <c r="A92" t="s">
        <v>87</v>
      </c>
      <c r="B92">
        <v>56159283</v>
      </c>
      <c r="C92">
        <v>41109953</v>
      </c>
      <c r="D92">
        <f>C92+10637664</f>
        <v>51747617</v>
      </c>
      <c r="E92">
        <f t="shared" si="4"/>
        <v>73.2</v>
      </c>
      <c r="F92">
        <f t="shared" si="3"/>
        <v>92.14</v>
      </c>
      <c r="G92">
        <v>188568</v>
      </c>
    </row>
    <row r="93" spans="1:7" x14ac:dyDescent="0.2">
      <c r="A93" t="s">
        <v>88</v>
      </c>
      <c r="B93">
        <v>31815993</v>
      </c>
      <c r="C93">
        <v>27887885</v>
      </c>
      <c r="D93">
        <f>C93+2227237</f>
        <v>30115122</v>
      </c>
      <c r="E93">
        <f t="shared" si="4"/>
        <v>87.649999999999991</v>
      </c>
      <c r="F93">
        <f t="shared" si="3"/>
        <v>94.65</v>
      </c>
      <c r="G93">
        <v>200693</v>
      </c>
    </row>
    <row r="94" spans="1:7" x14ac:dyDescent="0.2">
      <c r="A94" t="s">
        <v>89</v>
      </c>
      <c r="B94">
        <v>30730476</v>
      </c>
      <c r="C94">
        <v>27272485</v>
      </c>
      <c r="D94">
        <f>C94+2401551</f>
        <v>29674036</v>
      </c>
      <c r="E94">
        <f t="shared" si="4"/>
        <v>88.75</v>
      </c>
      <c r="F94">
        <f t="shared" si="3"/>
        <v>96.56</v>
      </c>
      <c r="G94">
        <v>157444</v>
      </c>
    </row>
    <row r="95" spans="1:7" x14ac:dyDescent="0.2">
      <c r="A95" t="s">
        <v>90</v>
      </c>
      <c r="B95">
        <v>28999291</v>
      </c>
      <c r="C95">
        <v>25446814</v>
      </c>
      <c r="D95">
        <f>C95+2281597</f>
        <v>27728411</v>
      </c>
      <c r="E95">
        <f t="shared" si="4"/>
        <v>87.75</v>
      </c>
      <c r="F95">
        <f t="shared" si="3"/>
        <v>95.62</v>
      </c>
      <c r="G95">
        <v>274632</v>
      </c>
    </row>
    <row r="96" spans="1:7" x14ac:dyDescent="0.2">
      <c r="A96" t="s">
        <v>91</v>
      </c>
      <c r="B96">
        <v>37935977</v>
      </c>
      <c r="C96">
        <v>33377015</v>
      </c>
      <c r="D96">
        <f>C96+2687535</f>
        <v>36064550</v>
      </c>
      <c r="E96">
        <f t="shared" si="4"/>
        <v>87.98</v>
      </c>
      <c r="F96">
        <f t="shared" si="3"/>
        <v>95.07</v>
      </c>
      <c r="G96">
        <v>212517</v>
      </c>
    </row>
    <row r="97" spans="1:7" x14ac:dyDescent="0.2">
      <c r="A97" t="s">
        <v>92</v>
      </c>
      <c r="B97">
        <v>40753892</v>
      </c>
      <c r="C97">
        <v>35604023</v>
      </c>
      <c r="D97">
        <f>C97+3304022</f>
        <v>38908045</v>
      </c>
      <c r="E97">
        <f t="shared" si="4"/>
        <v>87.36</v>
      </c>
      <c r="F97">
        <f t="shared" si="3"/>
        <v>95.47</v>
      </c>
      <c r="G97">
        <v>165703</v>
      </c>
    </row>
    <row r="98" spans="1:7" x14ac:dyDescent="0.2">
      <c r="A98" t="s">
        <v>93</v>
      </c>
      <c r="B98">
        <v>46110522</v>
      </c>
      <c r="C98">
        <v>40014308</v>
      </c>
      <c r="D98">
        <f>C98+3733826</f>
        <v>43748134</v>
      </c>
      <c r="E98">
        <f t="shared" si="4"/>
        <v>86.78</v>
      </c>
      <c r="F98">
        <f t="shared" si="3"/>
        <v>94.88</v>
      </c>
      <c r="G98">
        <v>316007</v>
      </c>
    </row>
    <row r="99" spans="1:7" x14ac:dyDescent="0.2">
      <c r="A99" t="s">
        <v>94</v>
      </c>
      <c r="B99">
        <v>29724514</v>
      </c>
      <c r="C99">
        <v>26289744</v>
      </c>
      <c r="D99">
        <f>C99+2108632</f>
        <v>28398376</v>
      </c>
      <c r="E99">
        <f t="shared" si="4"/>
        <v>88.44</v>
      </c>
      <c r="F99">
        <f t="shared" si="3"/>
        <v>95.54</v>
      </c>
      <c r="G99">
        <v>196603</v>
      </c>
    </row>
    <row r="100" spans="1:7" x14ac:dyDescent="0.2">
      <c r="A100" t="s">
        <v>95</v>
      </c>
      <c r="B100">
        <v>30634809</v>
      </c>
      <c r="C100">
        <v>27255937</v>
      </c>
      <c r="D100">
        <f>C100+2261747</f>
        <v>29517684</v>
      </c>
      <c r="E100">
        <f t="shared" si="4"/>
        <v>88.97</v>
      </c>
      <c r="F100">
        <f t="shared" si="3"/>
        <v>96.350000000000009</v>
      </c>
      <c r="G100">
        <v>164724</v>
      </c>
    </row>
    <row r="101" spans="1:7" x14ac:dyDescent="0.2">
      <c r="A101" t="s">
        <v>96</v>
      </c>
      <c r="B101">
        <v>28105814</v>
      </c>
      <c r="C101">
        <v>23030579</v>
      </c>
      <c r="D101">
        <f>C101+1914240</f>
        <v>24944819</v>
      </c>
      <c r="E101">
        <f>ROUND(C101/B101,4)*100</f>
        <v>81.94</v>
      </c>
      <c r="F101">
        <f t="shared" si="3"/>
        <v>88.75</v>
      </c>
      <c r="G101">
        <v>193480</v>
      </c>
    </row>
    <row r="102" spans="1:7" x14ac:dyDescent="0.2">
      <c r="A102" t="s">
        <v>97</v>
      </c>
      <c r="B102">
        <v>25871508</v>
      </c>
      <c r="C102">
        <v>23108876</v>
      </c>
      <c r="D102">
        <f>C102+2056291</f>
        <v>25165167</v>
      </c>
      <c r="E102">
        <f t="shared" ref="E102:E120" si="5">ROUND(C102/B102,4)*100</f>
        <v>89.32</v>
      </c>
      <c r="F102">
        <f t="shared" si="3"/>
        <v>97.27</v>
      </c>
      <c r="G102">
        <v>154849</v>
      </c>
    </row>
    <row r="103" spans="1:7" x14ac:dyDescent="0.2">
      <c r="A103" t="s">
        <v>98</v>
      </c>
      <c r="B103">
        <v>45627611</v>
      </c>
      <c r="C103">
        <v>40059067</v>
      </c>
      <c r="D103">
        <f>C103+3395681</f>
        <v>43454748</v>
      </c>
      <c r="E103">
        <f t="shared" si="5"/>
        <v>87.8</v>
      </c>
      <c r="F103">
        <f t="shared" si="3"/>
        <v>95.240000000000009</v>
      </c>
      <c r="G103">
        <v>222972</v>
      </c>
    </row>
    <row r="104" spans="1:7" x14ac:dyDescent="0.2">
      <c r="A104" t="s">
        <v>99</v>
      </c>
      <c r="B104">
        <v>40011322</v>
      </c>
      <c r="C104">
        <v>34862879</v>
      </c>
      <c r="D104">
        <f>C104+3168359</f>
        <v>38031238</v>
      </c>
      <c r="E104">
        <f t="shared" si="5"/>
        <v>87.13</v>
      </c>
      <c r="F104">
        <f t="shared" si="3"/>
        <v>95.05</v>
      </c>
      <c r="G104">
        <v>170085</v>
      </c>
    </row>
    <row r="105" spans="1:7" x14ac:dyDescent="0.2">
      <c r="A105" t="s">
        <v>100</v>
      </c>
      <c r="B105">
        <v>34441710</v>
      </c>
      <c r="C105">
        <v>28165237</v>
      </c>
      <c r="D105">
        <f>C105+2403042</f>
        <v>30568279</v>
      </c>
      <c r="E105">
        <f t="shared" si="5"/>
        <v>81.78</v>
      </c>
      <c r="F105">
        <f t="shared" si="3"/>
        <v>88.75</v>
      </c>
      <c r="G105">
        <v>204062</v>
      </c>
    </row>
    <row r="106" spans="1:7" x14ac:dyDescent="0.2">
      <c r="A106" t="s">
        <v>101</v>
      </c>
      <c r="B106">
        <v>35650831</v>
      </c>
      <c r="C106">
        <v>31268973</v>
      </c>
      <c r="D106">
        <f>C106+2741457</f>
        <v>34010430</v>
      </c>
      <c r="E106">
        <f t="shared" si="5"/>
        <v>87.71</v>
      </c>
      <c r="F106">
        <f t="shared" si="3"/>
        <v>95.399999999999991</v>
      </c>
      <c r="G106">
        <v>299074</v>
      </c>
    </row>
    <row r="107" spans="1:7" x14ac:dyDescent="0.2">
      <c r="A107" t="s">
        <v>102</v>
      </c>
      <c r="B107">
        <v>29338454</v>
      </c>
      <c r="C107">
        <v>25181699</v>
      </c>
      <c r="D107">
        <f>C107+2848399</f>
        <v>28030098</v>
      </c>
      <c r="E107">
        <f t="shared" si="5"/>
        <v>85.83</v>
      </c>
      <c r="F107">
        <f t="shared" si="3"/>
        <v>95.54</v>
      </c>
      <c r="G107">
        <v>163275</v>
      </c>
    </row>
    <row r="108" spans="1:7" x14ac:dyDescent="0.2">
      <c r="A108" t="s">
        <v>103</v>
      </c>
      <c r="B108">
        <v>45874409</v>
      </c>
      <c r="C108">
        <v>40547662</v>
      </c>
      <c r="D108">
        <f>C108+3351681</f>
        <v>43899343</v>
      </c>
      <c r="E108">
        <f t="shared" si="5"/>
        <v>88.39</v>
      </c>
      <c r="F108">
        <f t="shared" si="3"/>
        <v>95.69</v>
      </c>
      <c r="G108">
        <v>218161</v>
      </c>
    </row>
    <row r="109" spans="1:7" x14ac:dyDescent="0.2">
      <c r="A109" t="s">
        <v>104</v>
      </c>
      <c r="B109">
        <v>45289331</v>
      </c>
      <c r="C109">
        <v>39298806</v>
      </c>
      <c r="D109">
        <f>C109+3479405</f>
        <v>42778211</v>
      </c>
      <c r="E109">
        <f t="shared" si="5"/>
        <v>86.77</v>
      </c>
      <c r="F109">
        <f t="shared" si="3"/>
        <v>94.46</v>
      </c>
      <c r="G109">
        <v>176483</v>
      </c>
    </row>
    <row r="110" spans="1:7" x14ac:dyDescent="0.2">
      <c r="A110" t="s">
        <v>105</v>
      </c>
      <c r="B110">
        <v>47743419</v>
      </c>
      <c r="C110">
        <v>41140228</v>
      </c>
      <c r="D110">
        <f>C110+3335040</f>
        <v>44475268</v>
      </c>
      <c r="E110">
        <f t="shared" si="5"/>
        <v>86.17</v>
      </c>
      <c r="F110">
        <f t="shared" si="3"/>
        <v>93.15</v>
      </c>
      <c r="G110">
        <v>223495</v>
      </c>
    </row>
    <row r="111" spans="1:7" x14ac:dyDescent="0.2">
      <c r="A111" t="s">
        <v>106</v>
      </c>
      <c r="B111">
        <v>37719141</v>
      </c>
      <c r="C111">
        <v>32701117</v>
      </c>
      <c r="D111">
        <f>C111+3082068</f>
        <v>35783185</v>
      </c>
      <c r="E111">
        <f t="shared" si="5"/>
        <v>86.7</v>
      </c>
      <c r="F111">
        <f t="shared" si="3"/>
        <v>94.87</v>
      </c>
      <c r="G111">
        <v>264557</v>
      </c>
    </row>
    <row r="112" spans="1:7" x14ac:dyDescent="0.2">
      <c r="A112" t="s">
        <v>107</v>
      </c>
      <c r="B112">
        <v>39698149</v>
      </c>
      <c r="C112">
        <v>33933902</v>
      </c>
      <c r="D112">
        <f>C112+3793770</f>
        <v>37727672</v>
      </c>
      <c r="E112">
        <f t="shared" si="5"/>
        <v>85.48</v>
      </c>
      <c r="F112">
        <f t="shared" si="3"/>
        <v>95.04</v>
      </c>
      <c r="G112">
        <v>157881</v>
      </c>
    </row>
    <row r="113" spans="1:7" x14ac:dyDescent="0.2">
      <c r="A113" t="s">
        <v>108</v>
      </c>
      <c r="B113">
        <v>36572774</v>
      </c>
      <c r="C113">
        <v>31229163</v>
      </c>
      <c r="D113">
        <f>C113+3874637</f>
        <v>35103800</v>
      </c>
      <c r="E113">
        <f t="shared" si="5"/>
        <v>85.39</v>
      </c>
      <c r="F113">
        <f t="shared" si="3"/>
        <v>95.98</v>
      </c>
      <c r="G113">
        <v>188477</v>
      </c>
    </row>
    <row r="114" spans="1:7" x14ac:dyDescent="0.2">
      <c r="A114" t="s">
        <v>109</v>
      </c>
      <c r="B114">
        <v>26924984</v>
      </c>
      <c r="C114">
        <v>23409650</v>
      </c>
      <c r="D114">
        <f>C114+2893938</f>
        <v>26303588</v>
      </c>
      <c r="E114">
        <f t="shared" si="5"/>
        <v>86.94</v>
      </c>
      <c r="F114">
        <f t="shared" si="3"/>
        <v>97.69</v>
      </c>
      <c r="G114">
        <v>168212</v>
      </c>
    </row>
    <row r="115" spans="1:7" x14ac:dyDescent="0.2">
      <c r="A115" t="s">
        <v>110</v>
      </c>
      <c r="B115">
        <v>27360682</v>
      </c>
      <c r="C115">
        <v>24012906</v>
      </c>
      <c r="D115">
        <f>C115+2698631</f>
        <v>26711537</v>
      </c>
      <c r="E115">
        <f t="shared" si="5"/>
        <v>87.76</v>
      </c>
      <c r="F115">
        <f t="shared" si="3"/>
        <v>97.63</v>
      </c>
      <c r="G115">
        <v>171091</v>
      </c>
    </row>
    <row r="116" spans="1:7" x14ac:dyDescent="0.2">
      <c r="A116" t="s">
        <v>111</v>
      </c>
      <c r="B116">
        <v>27813800</v>
      </c>
      <c r="C116">
        <v>23940459</v>
      </c>
      <c r="D116">
        <f>C116+2711272</f>
        <v>26651731</v>
      </c>
      <c r="E116">
        <f t="shared" si="5"/>
        <v>86.070000000000007</v>
      </c>
      <c r="F116">
        <f t="shared" si="3"/>
        <v>95.820000000000007</v>
      </c>
      <c r="G116">
        <v>177332</v>
      </c>
    </row>
    <row r="117" spans="1:7" x14ac:dyDescent="0.2">
      <c r="A117" t="s">
        <v>112</v>
      </c>
      <c r="B117">
        <v>27585164</v>
      </c>
      <c r="C117">
        <v>23592432</v>
      </c>
      <c r="D117">
        <f>C117+2924966</f>
        <v>26517398</v>
      </c>
      <c r="E117">
        <f t="shared" si="5"/>
        <v>85.53</v>
      </c>
      <c r="F117">
        <f t="shared" si="3"/>
        <v>96.13000000000001</v>
      </c>
      <c r="G117">
        <v>161953</v>
      </c>
    </row>
    <row r="118" spans="1:7" x14ac:dyDescent="0.2">
      <c r="A118" t="s">
        <v>113</v>
      </c>
      <c r="B118">
        <v>23007264</v>
      </c>
      <c r="C118">
        <v>20101062</v>
      </c>
      <c r="D118">
        <f>C118+2381099</f>
        <v>22482161</v>
      </c>
      <c r="E118">
        <f t="shared" si="5"/>
        <v>87.37</v>
      </c>
      <c r="F118">
        <f t="shared" si="3"/>
        <v>97.72</v>
      </c>
      <c r="G118">
        <v>166583</v>
      </c>
    </row>
    <row r="119" spans="1:7" x14ac:dyDescent="0.2">
      <c r="A119" t="s">
        <v>114</v>
      </c>
      <c r="B119">
        <v>26404675</v>
      </c>
      <c r="C119">
        <v>23009116</v>
      </c>
      <c r="D119">
        <f>C119+2857192</f>
        <v>25866308</v>
      </c>
      <c r="E119">
        <f t="shared" si="5"/>
        <v>87.14</v>
      </c>
      <c r="F119">
        <f t="shared" si="3"/>
        <v>97.960000000000008</v>
      </c>
      <c r="G119">
        <v>168433</v>
      </c>
    </row>
    <row r="120" spans="1:7" x14ac:dyDescent="0.2">
      <c r="A120" t="s">
        <v>115</v>
      </c>
      <c r="B120">
        <v>24165861</v>
      </c>
      <c r="C120">
        <v>20926892</v>
      </c>
      <c r="D120">
        <f>C120+2688794</f>
        <v>23615686</v>
      </c>
      <c r="E120">
        <f t="shared" si="5"/>
        <v>86.6</v>
      </c>
      <c r="F120">
        <f t="shared" si="3"/>
        <v>97.72</v>
      </c>
      <c r="G120">
        <v>161407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2209D7-EF05-B649-A9A0-0BBDC47BF2E6}">
  <dimension ref="A1:E10"/>
  <sheetViews>
    <sheetView tabSelected="1" workbookViewId="0">
      <selection activeCell="C18" sqref="C18"/>
    </sheetView>
  </sheetViews>
  <sheetFormatPr baseColWidth="10" defaultRowHeight="16" x14ac:dyDescent="0.2"/>
  <cols>
    <col min="1" max="1" width="20.5" customWidth="1"/>
    <col min="2" max="2" width="20.33203125" customWidth="1"/>
    <col min="3" max="3" width="29.5" customWidth="1"/>
    <col min="4" max="4" width="14.6640625" customWidth="1"/>
    <col min="5" max="5" width="22.5" customWidth="1"/>
  </cols>
  <sheetData>
    <row r="1" spans="1:5" ht="51" x14ac:dyDescent="0.2">
      <c r="A1" s="3" t="s">
        <v>124</v>
      </c>
    </row>
    <row r="3" spans="1:5" x14ac:dyDescent="0.2">
      <c r="A3" s="4" t="s">
        <v>132</v>
      </c>
    </row>
    <row r="4" spans="1:5" x14ac:dyDescent="0.2">
      <c r="A4" t="s">
        <v>122</v>
      </c>
      <c r="B4" s="2" t="s">
        <v>120</v>
      </c>
      <c r="C4" s="2" t="s">
        <v>117</v>
      </c>
      <c r="D4" s="2" t="s">
        <v>119</v>
      </c>
      <c r="E4" s="2" t="s">
        <v>121</v>
      </c>
    </row>
    <row r="5" spans="1:5" x14ac:dyDescent="0.2">
      <c r="A5" t="s">
        <v>125</v>
      </c>
      <c r="B5">
        <v>181661533</v>
      </c>
      <c r="C5">
        <v>162610905</v>
      </c>
      <c r="D5">
        <f>ROUND(C5/B5,4)*100</f>
        <v>89.51</v>
      </c>
      <c r="E5">
        <v>386974</v>
      </c>
    </row>
    <row r="6" spans="1:5" x14ac:dyDescent="0.2">
      <c r="A6" t="s">
        <v>126</v>
      </c>
      <c r="B6">
        <v>196034401</v>
      </c>
      <c r="C6">
        <v>179086927</v>
      </c>
      <c r="D6">
        <f t="shared" ref="D6:D9" si="0">ROUND(C6/B6,4)*100</f>
        <v>91.35</v>
      </c>
      <c r="E6">
        <v>417310</v>
      </c>
    </row>
    <row r="7" spans="1:5" x14ac:dyDescent="0.2">
      <c r="A7" t="s">
        <v>127</v>
      </c>
      <c r="B7">
        <v>171014321</v>
      </c>
      <c r="C7">
        <v>144554739</v>
      </c>
      <c r="D7">
        <f t="shared" si="0"/>
        <v>84.53</v>
      </c>
      <c r="E7">
        <v>540835</v>
      </c>
    </row>
    <row r="8" spans="1:5" x14ac:dyDescent="0.2">
      <c r="A8" t="s">
        <v>128</v>
      </c>
      <c r="B8">
        <v>168483815</v>
      </c>
      <c r="C8">
        <v>140269956</v>
      </c>
      <c r="D8">
        <f t="shared" si="0"/>
        <v>83.25</v>
      </c>
      <c r="E8">
        <v>399943</v>
      </c>
    </row>
    <row r="9" spans="1:5" x14ac:dyDescent="0.2">
      <c r="A9" t="s">
        <v>129</v>
      </c>
      <c r="B9">
        <v>190733334</v>
      </c>
      <c r="C9">
        <v>172048107</v>
      </c>
      <c r="D9">
        <f t="shared" si="0"/>
        <v>90.2</v>
      </c>
      <c r="E9">
        <v>433716</v>
      </c>
    </row>
    <row r="10" spans="1:5" x14ac:dyDescent="0.2">
      <c r="A10" t="s">
        <v>130</v>
      </c>
      <c r="B10">
        <v>159560914</v>
      </c>
      <c r="C10">
        <v>141357289</v>
      </c>
      <c r="D10">
        <f>ROUND(C10/B10,4)*100</f>
        <v>88.59</v>
      </c>
      <c r="E10">
        <v>440177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S1</vt:lpstr>
      <vt:lpstr>Table 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2021-06-24T19:30:40Z</dcterms:created>
  <dcterms:modified xsi:type="dcterms:W3CDTF">2022-03-08T05:01:17Z</dcterms:modified>
</cp:coreProperties>
</file>