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0323\M\2BioSystem\Project\LABSseq\Manuscript\"/>
    </mc:Choice>
  </mc:AlternateContent>
  <xr:revisionPtr revIDLastSave="0" documentId="13_ncr:1_{3DA50A84-5A14-44D5-9595-B0620D5DDBCB}" xr6:coauthVersionLast="47" xr6:coauthVersionMax="47" xr10:uidLastSave="{00000000-0000-0000-0000-000000000000}"/>
  <bookViews>
    <workbookView xWindow="-120" yWindow="-120" windowWidth="29040" windowHeight="15720" tabRatio="992" xr2:uid="{00000000-000D-0000-FFFF-FFFF00000000}"/>
  </bookViews>
  <sheets>
    <sheet name="mESC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35" i="1" l="1"/>
  <c r="L35" i="1"/>
  <c r="Q34" i="1"/>
  <c r="L34" i="1"/>
  <c r="Q33" i="1"/>
  <c r="L33" i="1"/>
  <c r="Q32" i="1"/>
  <c r="L32" i="1"/>
  <c r="Q31" i="1"/>
  <c r="L31" i="1"/>
  <c r="Q30" i="1"/>
  <c r="L30" i="1"/>
  <c r="Q29" i="1"/>
  <c r="L29" i="1"/>
  <c r="Q28" i="1"/>
  <c r="L28" i="1"/>
  <c r="Q27" i="1"/>
  <c r="L27" i="1"/>
  <c r="Q26" i="1"/>
  <c r="L26" i="1"/>
  <c r="Q25" i="1"/>
  <c r="L25" i="1"/>
  <c r="Q24" i="1"/>
  <c r="L24" i="1"/>
  <c r="Q23" i="1"/>
  <c r="L23" i="1"/>
  <c r="Q22" i="1"/>
  <c r="L22" i="1"/>
  <c r="Q21" i="1"/>
  <c r="L21" i="1"/>
  <c r="Q20" i="1"/>
  <c r="L20" i="1"/>
  <c r="Q19" i="1"/>
  <c r="L19" i="1"/>
  <c r="Q18" i="1"/>
  <c r="L18" i="1"/>
  <c r="Q17" i="1"/>
  <c r="L17" i="1"/>
  <c r="Q16" i="1"/>
  <c r="L16" i="1"/>
  <c r="Q15" i="1"/>
  <c r="L15" i="1"/>
  <c r="Q14" i="1"/>
  <c r="L14" i="1"/>
  <c r="Q13" i="1"/>
  <c r="L13" i="1"/>
  <c r="Q12" i="1"/>
  <c r="L12" i="1"/>
  <c r="Q11" i="1"/>
  <c r="L11" i="1"/>
  <c r="Q10" i="1"/>
  <c r="L10" i="1"/>
  <c r="Q9" i="1"/>
  <c r="L9" i="1"/>
  <c r="Q8" i="1"/>
  <c r="L8" i="1"/>
  <c r="Q7" i="1"/>
  <c r="L7" i="1"/>
  <c r="Q6" i="1"/>
  <c r="L6" i="1"/>
  <c r="Q5" i="1"/>
  <c r="L5" i="1"/>
  <c r="Q4" i="1"/>
  <c r="L4" i="1"/>
  <c r="Q3" i="1"/>
  <c r="L3" i="1"/>
  <c r="Q2" i="1"/>
  <c r="L2" i="1"/>
</calcChain>
</file>

<file path=xl/sharedStrings.xml><?xml version="1.0" encoding="utf-8"?>
<sst xmlns="http://schemas.openxmlformats.org/spreadsheetml/2006/main" count="162" uniqueCount="33">
  <si>
    <t>category</t>
  </si>
  <si>
    <t>method</t>
  </si>
  <si>
    <t>annotation</t>
  </si>
  <si>
    <t>species</t>
  </si>
  <si>
    <t>sequencing paras</t>
  </si>
  <si>
    <t>reads</t>
  </si>
  <si>
    <t>mapping ratio</t>
  </si>
  <si>
    <t>duplication</t>
  </si>
  <si>
    <t>genomic mCpG%</t>
  </si>
  <si>
    <t>genomic mCHG%</t>
  </si>
  <si>
    <t>genomic mCHH%</t>
  </si>
  <si>
    <t>genomic coverage</t>
  </si>
  <si>
    <t>CpGs covered</t>
  </si>
  <si>
    <t>Sampling</t>
  </si>
  <si>
    <t>mapped reads</t>
  </si>
  <si>
    <t>Comparison on Genomic DNA</t>
  </si>
  <si>
    <t xml:space="preserve"> 100 ng</t>
  </si>
  <si>
    <t>Mouse</t>
  </si>
  <si>
    <t>15M</t>
  </si>
  <si>
    <t>10 ng</t>
  </si>
  <si>
    <t>1 ng</t>
  </si>
  <si>
    <t>0.1 ng</t>
  </si>
  <si>
    <t>50 pg</t>
  </si>
  <si>
    <t>20 pg</t>
  </si>
  <si>
    <t>10 pg</t>
  </si>
  <si>
    <t>100 ng</t>
  </si>
  <si>
    <t>Comparison on cfDNA</t>
  </si>
  <si>
    <t>Human</t>
  </si>
  <si>
    <t>SE75</t>
  </si>
  <si>
    <t>8M</t>
  </si>
  <si>
    <t>LABS</t>
  </si>
  <si>
    <t>EpiGnome</t>
  </si>
  <si>
    <t>MethylC-seq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</si>
</sst>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7" x14ac:knownFonts="1">
    <font>
      <sz val="11"/>
      <color rgb="FF000000"/>
      <name val="宋体"/>
      <family val="2"/>
      <charset val="1"/>
    </font>
    <font>
      <b/>
      <sz val="10"/>
      <color rgb="FF0070C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宋体"/>
      <family val="2"/>
      <charset val="1"/>
    </font>
    <font>
      <sz val="11"/>
      <color rgb="FF000000"/>
      <name val="宋体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/>
    </xf>
    <xf numFmtId="0" fontId="4" fillId="0" borderId="0" xfId="0" applyFont="1"/>
    <xf numFmtId="10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zoomScaleNormal="100" workbookViewId="0"/>
  </sheetViews>
  <sheetFormatPr defaultRowHeight="13.5" x14ac:dyDescent="0.15"/>
  <cols>
    <col min="1" max="1" width="10.375"/>
    <col min="2" max="4" width="8.625"/>
    <col min="5" max="5" width="15.125"/>
    <col min="6" max="6" width="12.125" bestFit="1" customWidth="1"/>
    <col min="7" max="7" width="13.5"/>
    <col min="8" max="8" width="8.625"/>
    <col min="9" max="9" width="15.875"/>
    <col min="10" max="10" width="14"/>
    <col min="11" max="11" width="15.375"/>
    <col min="12" max="12" width="16.125"/>
    <col min="13" max="13" width="12.375"/>
    <col min="14" max="14" width="10.75"/>
    <col min="15" max="15" width="13.125"/>
    <col min="16" max="16" width="12.875"/>
    <col min="17" max="17" width="15.625"/>
    <col min="18" max="19" width="12.875"/>
    <col min="20" max="1022" width="8.625"/>
  </cols>
  <sheetData>
    <row r="1" spans="1:18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3" t="s">
        <v>13</v>
      </c>
      <c r="O1" s="1" t="s">
        <v>14</v>
      </c>
      <c r="P1" s="1" t="s">
        <v>7</v>
      </c>
      <c r="Q1" s="1" t="s">
        <v>11</v>
      </c>
      <c r="R1" s="1" t="s">
        <v>12</v>
      </c>
    </row>
    <row r="2" spans="1:18" ht="14.25" customHeight="1" x14ac:dyDescent="0.2">
      <c r="A2" s="10" t="s">
        <v>15</v>
      </c>
      <c r="B2" s="10" t="s">
        <v>30</v>
      </c>
      <c r="C2" s="3" t="s">
        <v>16</v>
      </c>
      <c r="D2" s="3" t="s">
        <v>17</v>
      </c>
      <c r="E2" s="4" t="s">
        <v>28</v>
      </c>
      <c r="F2" s="14">
        <v>42500566</v>
      </c>
      <c r="G2" s="5">
        <v>0.58899999999999997</v>
      </c>
      <c r="H2" s="5">
        <v>0.105</v>
      </c>
      <c r="I2" s="6">
        <v>0.441</v>
      </c>
      <c r="J2" s="7">
        <v>8.9999999999999993E-3</v>
      </c>
      <c r="K2" s="7">
        <v>8.0000000000000002E-3</v>
      </c>
      <c r="L2" s="7">
        <f>1-0.575911</f>
        <v>0.42408900000000005</v>
      </c>
      <c r="M2" s="16">
        <v>12625992</v>
      </c>
      <c r="N2" s="13"/>
      <c r="O2" s="8" t="s">
        <v>18</v>
      </c>
      <c r="P2" s="7">
        <v>7.6499999999999999E-2</v>
      </c>
      <c r="Q2" s="7">
        <f>1-0.692799</f>
        <v>0.30720099999999995</v>
      </c>
      <c r="R2" s="16">
        <v>8716911</v>
      </c>
    </row>
    <row r="3" spans="1:18" ht="14.25" x14ac:dyDescent="0.2">
      <c r="A3" s="10"/>
      <c r="B3" s="10"/>
      <c r="C3" s="3" t="s">
        <v>16</v>
      </c>
      <c r="D3" s="3" t="s">
        <v>17</v>
      </c>
      <c r="E3" s="4" t="s">
        <v>28</v>
      </c>
      <c r="F3" s="14">
        <v>30698810</v>
      </c>
      <c r="G3" s="5">
        <v>0.57399999999999995</v>
      </c>
      <c r="H3" s="5">
        <v>0.107</v>
      </c>
      <c r="I3" s="6">
        <v>0.434</v>
      </c>
      <c r="J3" s="7">
        <v>8.9999999999999993E-3</v>
      </c>
      <c r="K3" s="7">
        <v>8.0000000000000002E-3</v>
      </c>
      <c r="L3" s="7">
        <f>1-0.66574</f>
        <v>0.33426</v>
      </c>
      <c r="M3" s="16">
        <v>9524788</v>
      </c>
      <c r="N3" s="13"/>
      <c r="O3" s="8" t="s">
        <v>18</v>
      </c>
      <c r="P3" s="7">
        <v>9.6299999999999997E-2</v>
      </c>
      <c r="Q3" s="7">
        <f>1-0.699404</f>
        <v>0.30059599999999997</v>
      </c>
      <c r="R3" s="16">
        <v>8449875</v>
      </c>
    </row>
    <row r="4" spans="1:18" ht="14.25" x14ac:dyDescent="0.2">
      <c r="A4" s="10"/>
      <c r="B4" s="10"/>
      <c r="C4" s="3" t="s">
        <v>19</v>
      </c>
      <c r="D4" s="3" t="s">
        <v>17</v>
      </c>
      <c r="E4" s="4" t="s">
        <v>28</v>
      </c>
      <c r="F4" s="14">
        <v>36884320</v>
      </c>
      <c r="G4" s="5">
        <v>0.60699999999999998</v>
      </c>
      <c r="H4" s="5">
        <v>8.6999999999999994E-2</v>
      </c>
      <c r="I4" s="6">
        <v>0.44</v>
      </c>
      <c r="J4" s="7">
        <v>8.9999999999999993E-3</v>
      </c>
      <c r="K4" s="7">
        <v>8.0000000000000002E-3</v>
      </c>
      <c r="L4" s="7">
        <f>1-0.595034</f>
        <v>0.40496600000000005</v>
      </c>
      <c r="M4" s="16">
        <v>12341973</v>
      </c>
      <c r="N4" s="13"/>
      <c r="O4" s="8" t="s">
        <v>18</v>
      </c>
      <c r="P4" s="7">
        <v>6.7100000000000007E-2</v>
      </c>
      <c r="Q4" s="7">
        <f>1-0.686675</f>
        <v>0.31332499999999996</v>
      </c>
      <c r="R4" s="16">
        <v>9202899</v>
      </c>
    </row>
    <row r="5" spans="1:18" ht="14.25" x14ac:dyDescent="0.2">
      <c r="A5" s="10"/>
      <c r="B5" s="10"/>
      <c r="C5" s="3" t="s">
        <v>19</v>
      </c>
      <c r="D5" s="3" t="s">
        <v>17</v>
      </c>
      <c r="E5" s="4" t="s">
        <v>28</v>
      </c>
      <c r="F5" s="14">
        <v>29848357</v>
      </c>
      <c r="G5" s="5">
        <v>0.58199999999999996</v>
      </c>
      <c r="H5" s="5">
        <v>7.2999999999999995E-2</v>
      </c>
      <c r="I5" s="6">
        <v>0.435</v>
      </c>
      <c r="J5" s="7">
        <v>8.9999999999999993E-3</v>
      </c>
      <c r="K5" s="7">
        <v>8.0000000000000002E-3</v>
      </c>
      <c r="L5" s="7">
        <f>1-0.656003</f>
        <v>0.343997</v>
      </c>
      <c r="M5" s="16">
        <v>10404948</v>
      </c>
      <c r="N5" s="13"/>
      <c r="O5" s="8" t="s">
        <v>18</v>
      </c>
      <c r="P5" s="7">
        <v>6.6699999999999995E-2</v>
      </c>
      <c r="Q5" s="7">
        <f>1-0.688411</f>
        <v>0.311589</v>
      </c>
      <c r="R5" s="16">
        <v>9310130</v>
      </c>
    </row>
    <row r="6" spans="1:18" ht="14.25" x14ac:dyDescent="0.2">
      <c r="A6" s="10"/>
      <c r="B6" s="10"/>
      <c r="C6" s="4" t="s">
        <v>20</v>
      </c>
      <c r="D6" s="4" t="s">
        <v>17</v>
      </c>
      <c r="E6" s="4" t="s">
        <v>28</v>
      </c>
      <c r="F6" s="15">
        <v>24599680</v>
      </c>
      <c r="G6" s="5">
        <v>0.63200000000000001</v>
      </c>
      <c r="H6" s="5">
        <v>0.08</v>
      </c>
      <c r="I6" s="6">
        <v>0.42799999999999999</v>
      </c>
      <c r="J6" s="7">
        <v>7.0000000000000001E-3</v>
      </c>
      <c r="K6" s="7">
        <v>6.0000000000000001E-3</v>
      </c>
      <c r="L6" s="7">
        <f>1-0.687401</f>
        <v>0.31259899999999996</v>
      </c>
      <c r="M6" s="16">
        <v>9108248</v>
      </c>
      <c r="N6" s="13"/>
      <c r="O6" s="8" t="s">
        <v>18</v>
      </c>
      <c r="P6" s="7">
        <v>7.8E-2</v>
      </c>
      <c r="Q6" s="7">
        <f>1-0.694816</f>
        <v>0.30518400000000001</v>
      </c>
      <c r="R6" s="16">
        <v>8865826</v>
      </c>
    </row>
    <row r="7" spans="1:18" ht="14.25" x14ac:dyDescent="0.2">
      <c r="A7" s="10"/>
      <c r="B7" s="10"/>
      <c r="C7" s="4" t="s">
        <v>20</v>
      </c>
      <c r="D7" s="4" t="s">
        <v>17</v>
      </c>
      <c r="E7" s="4" t="s">
        <v>28</v>
      </c>
      <c r="F7" s="15">
        <v>26523950</v>
      </c>
      <c r="G7" s="5">
        <v>0.63400000000000001</v>
      </c>
      <c r="H7" s="5">
        <v>7.2999999999999995E-2</v>
      </c>
      <c r="I7" s="6">
        <v>0.42899999999999999</v>
      </c>
      <c r="J7" s="7">
        <v>7.0000000000000001E-3</v>
      </c>
      <c r="K7" s="7">
        <v>7.0000000000000001E-3</v>
      </c>
      <c r="L7" s="7">
        <f>1-0.668868</f>
        <v>0.33113199999999998</v>
      </c>
      <c r="M7" s="16">
        <v>9656481</v>
      </c>
      <c r="N7" s="13"/>
      <c r="O7" s="8" t="s">
        <v>18</v>
      </c>
      <c r="P7" s="7">
        <v>6.7599999999999993E-2</v>
      </c>
      <c r="Q7" s="7">
        <f>1-0.692793</f>
        <v>0.30720700000000001</v>
      </c>
      <c r="R7" s="16">
        <v>8876659</v>
      </c>
    </row>
    <row r="8" spans="1:18" ht="14.25" x14ac:dyDescent="0.2">
      <c r="A8" s="10"/>
      <c r="B8" s="10"/>
      <c r="C8" s="4" t="s">
        <v>21</v>
      </c>
      <c r="D8" s="4" t="s">
        <v>17</v>
      </c>
      <c r="E8" s="4" t="s">
        <v>28</v>
      </c>
      <c r="F8" s="15">
        <v>34532380</v>
      </c>
      <c r="G8" s="5">
        <v>0.63300000000000001</v>
      </c>
      <c r="H8" s="5">
        <v>0.13300000000000001</v>
      </c>
      <c r="I8" s="6">
        <v>0.42499999999999999</v>
      </c>
      <c r="J8" s="7">
        <v>8.9999999999999993E-3</v>
      </c>
      <c r="K8" s="7">
        <v>8.0000000000000002E-3</v>
      </c>
      <c r="L8" s="7">
        <f>1-0.704386</f>
        <v>0.29561400000000004</v>
      </c>
      <c r="M8" s="16">
        <v>8446169</v>
      </c>
      <c r="N8" s="13"/>
      <c r="O8" s="8" t="s">
        <v>18</v>
      </c>
      <c r="P8" s="7">
        <v>0.1019</v>
      </c>
      <c r="Q8" s="7">
        <f>1-0.757926</f>
        <v>0.24207400000000001</v>
      </c>
      <c r="R8" s="16">
        <v>6851511</v>
      </c>
    </row>
    <row r="9" spans="1:18" ht="14.25" x14ac:dyDescent="0.2">
      <c r="A9" s="10"/>
      <c r="B9" s="10"/>
      <c r="C9" s="4" t="s">
        <v>21</v>
      </c>
      <c r="D9" s="4" t="s">
        <v>17</v>
      </c>
      <c r="E9" s="4" t="s">
        <v>28</v>
      </c>
      <c r="F9" s="15">
        <v>20111821</v>
      </c>
      <c r="G9" s="5">
        <v>0.624</v>
      </c>
      <c r="H9" s="5">
        <v>9.2999999999999999E-2</v>
      </c>
      <c r="I9" s="6">
        <v>0.41799999999999998</v>
      </c>
      <c r="J9" s="7">
        <v>8.9999999999999993E-3</v>
      </c>
      <c r="K9" s="7">
        <v>8.0000000000000002E-3</v>
      </c>
      <c r="L9" s="7">
        <f>1-0.77502</f>
        <v>0.22497999999999996</v>
      </c>
      <c r="M9" s="16">
        <v>6404066</v>
      </c>
      <c r="N9" s="13"/>
      <c r="O9" s="8" t="s">
        <v>18</v>
      </c>
      <c r="P9" s="7">
        <v>9.2499999999999999E-2</v>
      </c>
      <c r="Q9" s="7">
        <f>1-0.77502</f>
        <v>0.22497999999999996</v>
      </c>
      <c r="R9" s="16">
        <v>6404066</v>
      </c>
    </row>
    <row r="10" spans="1:18" ht="14.25" x14ac:dyDescent="0.2">
      <c r="A10" s="10"/>
      <c r="B10" s="10"/>
      <c r="C10" s="4" t="s">
        <v>22</v>
      </c>
      <c r="D10" s="4" t="s">
        <v>17</v>
      </c>
      <c r="E10" s="4" t="s">
        <v>28</v>
      </c>
      <c r="F10" s="15">
        <v>26325269</v>
      </c>
      <c r="G10" s="5">
        <v>0.60399999999999998</v>
      </c>
      <c r="H10" s="5">
        <v>0.23</v>
      </c>
      <c r="I10" s="6">
        <v>0.42099999999999999</v>
      </c>
      <c r="J10" s="7">
        <v>8.0000000000000002E-3</v>
      </c>
      <c r="K10" s="7">
        <v>7.0000000000000001E-3</v>
      </c>
      <c r="L10" s="7">
        <f>1-0.81987</f>
        <v>0.18013000000000001</v>
      </c>
      <c r="M10" s="16">
        <v>4708744</v>
      </c>
      <c r="N10" s="13"/>
      <c r="O10" s="8" t="s">
        <v>18</v>
      </c>
      <c r="P10" s="7">
        <v>0.22140000000000001</v>
      </c>
      <c r="Q10" s="7">
        <f>1-0.824614</f>
        <v>0.17538600000000004</v>
      </c>
      <c r="R10" s="16">
        <v>4585700</v>
      </c>
    </row>
    <row r="11" spans="1:18" ht="14.25" x14ac:dyDescent="0.2">
      <c r="A11" s="10"/>
      <c r="B11" s="10"/>
      <c r="C11" s="4" t="s">
        <v>22</v>
      </c>
      <c r="D11" s="4" t="s">
        <v>17</v>
      </c>
      <c r="E11" s="4" t="s">
        <v>28</v>
      </c>
      <c r="F11" s="15">
        <v>41241792</v>
      </c>
      <c r="G11" s="5">
        <v>0.61699999999999999</v>
      </c>
      <c r="H11" s="5">
        <v>0.224</v>
      </c>
      <c r="I11" s="6">
        <v>0.41899999999999998</v>
      </c>
      <c r="J11" s="7">
        <v>8.0000000000000002E-3</v>
      </c>
      <c r="K11" s="7">
        <v>7.0000000000000001E-3</v>
      </c>
      <c r="L11" s="7">
        <f>1-0.737897</f>
        <v>0.26210299999999997</v>
      </c>
      <c r="M11" s="16">
        <v>7276896</v>
      </c>
      <c r="N11" s="13"/>
      <c r="O11" s="8" t="s">
        <v>18</v>
      </c>
      <c r="P11" s="7">
        <v>0.1573</v>
      </c>
      <c r="Q11" s="7">
        <f>1-0.795729</f>
        <v>0.20427099999999998</v>
      </c>
      <c r="R11" s="16">
        <v>5665271</v>
      </c>
    </row>
    <row r="12" spans="1:18" ht="14.25" x14ac:dyDescent="0.2">
      <c r="A12" s="10"/>
      <c r="B12" s="10"/>
      <c r="C12" s="4" t="s">
        <v>23</v>
      </c>
      <c r="D12" s="4" t="s">
        <v>17</v>
      </c>
      <c r="E12" s="4" t="s">
        <v>28</v>
      </c>
      <c r="F12" s="15">
        <v>32075947</v>
      </c>
      <c r="G12" s="5">
        <v>0.60199999999999998</v>
      </c>
      <c r="H12" s="5">
        <v>0.35499999999999998</v>
      </c>
      <c r="I12" s="6">
        <v>0.42199999999999999</v>
      </c>
      <c r="J12" s="7">
        <v>7.0000000000000001E-3</v>
      </c>
      <c r="K12" s="7">
        <v>6.0000000000000001E-3</v>
      </c>
      <c r="L12" s="7">
        <f>1-0.86549</f>
        <v>0.13451000000000002</v>
      </c>
      <c r="M12" s="16">
        <v>3232043</v>
      </c>
      <c r="N12" s="13"/>
      <c r="O12" s="8" t="s">
        <v>18</v>
      </c>
      <c r="P12" s="7">
        <v>0.31030000000000002</v>
      </c>
      <c r="Q12" s="7">
        <f>1-0.87807</f>
        <v>0.12192999999999998</v>
      </c>
      <c r="R12" s="16">
        <v>2945710</v>
      </c>
    </row>
    <row r="13" spans="1:18" ht="14.25" x14ac:dyDescent="0.2">
      <c r="A13" s="10"/>
      <c r="B13" s="10"/>
      <c r="C13" s="4" t="s">
        <v>23</v>
      </c>
      <c r="D13" s="4" t="s">
        <v>17</v>
      </c>
      <c r="E13" s="4" t="s">
        <v>28</v>
      </c>
      <c r="F13" s="15">
        <v>28259554</v>
      </c>
      <c r="G13" s="5">
        <v>0.58699999999999997</v>
      </c>
      <c r="H13" s="5">
        <v>0.33300000000000002</v>
      </c>
      <c r="I13" s="6">
        <v>0.42399999999999999</v>
      </c>
      <c r="J13" s="7">
        <v>7.0000000000000001E-3</v>
      </c>
      <c r="K13" s="7">
        <v>6.0000000000000001E-3</v>
      </c>
      <c r="L13" s="7">
        <f>1-0.871684</f>
        <v>0.12831599999999999</v>
      </c>
      <c r="M13" s="16">
        <v>3096535</v>
      </c>
      <c r="N13" s="13"/>
      <c r="O13" s="8" t="s">
        <v>18</v>
      </c>
      <c r="P13" s="7">
        <v>0.31480000000000002</v>
      </c>
      <c r="Q13" s="7">
        <f>1-0.876561</f>
        <v>0.12343899999999997</v>
      </c>
      <c r="R13" s="16">
        <v>2983598</v>
      </c>
    </row>
    <row r="14" spans="1:18" ht="14.25" x14ac:dyDescent="0.2">
      <c r="A14" s="10"/>
      <c r="B14" s="10"/>
      <c r="C14" s="4" t="s">
        <v>24</v>
      </c>
      <c r="D14" s="4" t="s">
        <v>17</v>
      </c>
      <c r="E14" s="4" t="s">
        <v>28</v>
      </c>
      <c r="F14" s="15">
        <v>31778526</v>
      </c>
      <c r="G14" s="5">
        <v>0.55500000000000005</v>
      </c>
      <c r="H14" s="5">
        <v>0.45300000000000001</v>
      </c>
      <c r="I14" s="6">
        <v>0.41699999999999998</v>
      </c>
      <c r="J14" s="7">
        <v>8.0000000000000002E-3</v>
      </c>
      <c r="K14" s="7">
        <v>7.0000000000000001E-3</v>
      </c>
      <c r="L14" s="7">
        <f>1-0.910384</f>
        <v>8.9616000000000029E-2</v>
      </c>
      <c r="M14" s="16">
        <v>2153888</v>
      </c>
      <c r="N14" s="13"/>
      <c r="O14" s="8" t="s">
        <v>18</v>
      </c>
      <c r="P14" s="7">
        <v>0.42099999999999999</v>
      </c>
      <c r="Q14" s="7">
        <f>1-0.914989</f>
        <v>8.5010999999999948E-2</v>
      </c>
      <c r="R14" s="16">
        <v>2049924</v>
      </c>
    </row>
    <row r="15" spans="1:18" ht="14.25" x14ac:dyDescent="0.2">
      <c r="A15" s="10"/>
      <c r="B15" s="10"/>
      <c r="C15" s="4" t="s">
        <v>24</v>
      </c>
      <c r="D15" s="4" t="s">
        <v>17</v>
      </c>
      <c r="E15" s="4" t="s">
        <v>28</v>
      </c>
      <c r="F15" s="15">
        <v>33152260</v>
      </c>
      <c r="G15" s="5">
        <v>0.60199999999999998</v>
      </c>
      <c r="H15" s="5">
        <v>0.44800000000000001</v>
      </c>
      <c r="I15" s="6">
        <v>0.42199999999999999</v>
      </c>
      <c r="J15" s="7">
        <v>8.0000000000000002E-3</v>
      </c>
      <c r="K15" s="7">
        <v>7.0000000000000001E-3</v>
      </c>
      <c r="L15" s="7">
        <f>1-0.906555</f>
        <v>9.3445E-2</v>
      </c>
      <c r="M15" s="16">
        <v>2302387</v>
      </c>
      <c r="N15" s="13"/>
      <c r="O15" s="8" t="s">
        <v>18</v>
      </c>
      <c r="P15" s="7">
        <v>0.39439999999999997</v>
      </c>
      <c r="Q15" s="7">
        <f>1-0.915203</f>
        <v>8.4797000000000011E-2</v>
      </c>
      <c r="R15" s="16">
        <v>2103500</v>
      </c>
    </row>
    <row r="16" spans="1:18" ht="13.9" customHeight="1" x14ac:dyDescent="0.2">
      <c r="A16" s="10"/>
      <c r="B16" s="10" t="s">
        <v>32</v>
      </c>
      <c r="C16" s="3" t="s">
        <v>25</v>
      </c>
      <c r="D16" s="3" t="s">
        <v>17</v>
      </c>
      <c r="E16" s="4" t="s">
        <v>28</v>
      </c>
      <c r="F16" s="14">
        <v>47430234</v>
      </c>
      <c r="G16" s="5">
        <v>0.746</v>
      </c>
      <c r="H16" s="5">
        <v>9.1999999999999998E-2</v>
      </c>
      <c r="I16" s="6">
        <v>0.42799999999999999</v>
      </c>
      <c r="J16" s="7">
        <v>8.0000000000000002E-3</v>
      </c>
      <c r="K16" s="7">
        <v>8.0000000000000002E-3</v>
      </c>
      <c r="L16" s="7">
        <f>1-0.424804</f>
        <v>0.57519600000000004</v>
      </c>
      <c r="M16" s="16">
        <v>14774424</v>
      </c>
      <c r="N16" s="13"/>
      <c r="O16" s="8" t="s">
        <v>18</v>
      </c>
      <c r="P16" s="7">
        <v>6.4000000000000001E-2</v>
      </c>
      <c r="Q16" s="7">
        <f>1-0.664639</f>
        <v>0.33536100000000002</v>
      </c>
      <c r="R16" s="16">
        <v>7522158</v>
      </c>
    </row>
    <row r="17" spans="1:18" ht="14.25" x14ac:dyDescent="0.2">
      <c r="A17" s="10"/>
      <c r="B17" s="10"/>
      <c r="C17" s="3" t="s">
        <v>19</v>
      </c>
      <c r="D17" s="3" t="s">
        <v>17</v>
      </c>
      <c r="E17" s="4" t="s">
        <v>28</v>
      </c>
      <c r="F17" s="14">
        <v>39506184</v>
      </c>
      <c r="G17" s="5">
        <v>0.746</v>
      </c>
      <c r="H17" s="5">
        <v>0.49099999999999999</v>
      </c>
      <c r="I17" s="6">
        <v>0.42599999999999999</v>
      </c>
      <c r="J17" s="7">
        <v>1.0999999999999999E-2</v>
      </c>
      <c r="K17" s="7">
        <v>1.0999999999999999E-2</v>
      </c>
      <c r="L17" s="7">
        <f>1-0.647755</f>
        <v>0.35224500000000003</v>
      </c>
      <c r="M17" s="16">
        <v>8135325</v>
      </c>
      <c r="N17" s="13"/>
      <c r="O17" s="8" t="s">
        <v>18</v>
      </c>
      <c r="P17" s="7">
        <v>0.32719999999999999</v>
      </c>
      <c r="Q17" s="7">
        <f>1-0.741962</f>
        <v>0.25803799999999999</v>
      </c>
      <c r="R17" s="16">
        <v>5701497</v>
      </c>
    </row>
    <row r="18" spans="1:18" ht="14.25" x14ac:dyDescent="0.2">
      <c r="A18" s="10"/>
      <c r="B18" s="10"/>
      <c r="C18" s="3" t="s">
        <v>20</v>
      </c>
      <c r="D18" s="3" t="s">
        <v>17</v>
      </c>
      <c r="E18" s="4" t="s">
        <v>28</v>
      </c>
      <c r="F18" s="14">
        <v>52430674</v>
      </c>
      <c r="G18" s="5">
        <v>0.74399999999999999</v>
      </c>
      <c r="H18" s="5">
        <v>0.875</v>
      </c>
      <c r="I18" s="6">
        <v>0.42299999999999999</v>
      </c>
      <c r="J18" s="7">
        <v>1.4E-2</v>
      </c>
      <c r="K18" s="7">
        <v>1.2999999999999999E-2</v>
      </c>
      <c r="L18" s="7">
        <f>1-0.864802</f>
        <v>0.13519800000000004</v>
      </c>
      <c r="M18" s="16">
        <v>2971855</v>
      </c>
      <c r="N18" s="13"/>
      <c r="O18" s="8" t="s">
        <v>18</v>
      </c>
      <c r="P18" s="7">
        <v>0.71340000000000003</v>
      </c>
      <c r="Q18" s="7">
        <f>1-0.87853</f>
        <v>0.12146999999999997</v>
      </c>
      <c r="R18" s="16">
        <v>2653565</v>
      </c>
    </row>
    <row r="19" spans="1:18" ht="14.25" x14ac:dyDescent="0.2">
      <c r="A19" s="10"/>
      <c r="B19" s="10"/>
      <c r="C19" s="3" t="s">
        <v>21</v>
      </c>
      <c r="D19" s="3" t="s">
        <v>17</v>
      </c>
      <c r="E19" s="4" t="s">
        <v>28</v>
      </c>
      <c r="F19" s="14">
        <v>43894384</v>
      </c>
      <c r="G19" s="5">
        <v>0.73899999999999999</v>
      </c>
      <c r="H19" s="5">
        <v>0.98399999999999999</v>
      </c>
      <c r="I19" s="6">
        <v>0.42599999999999999</v>
      </c>
      <c r="J19" s="7">
        <v>1.2E-2</v>
      </c>
      <c r="K19" s="7">
        <v>1.0999999999999999E-2</v>
      </c>
      <c r="L19" s="7">
        <f>1-0.985675</f>
        <v>1.4325000000000032E-2</v>
      </c>
      <c r="M19" s="16">
        <v>298558</v>
      </c>
      <c r="N19" s="13"/>
      <c r="O19" s="8" t="s">
        <v>18</v>
      </c>
      <c r="P19" s="7">
        <v>0.96870000000000001</v>
      </c>
      <c r="Q19" s="7">
        <f>1-0.986409</f>
        <v>1.359100000000002E-2</v>
      </c>
      <c r="R19" s="16">
        <v>283567</v>
      </c>
    </row>
    <row r="20" spans="1:18" ht="13.9" customHeight="1" x14ac:dyDescent="0.2">
      <c r="A20" s="10"/>
      <c r="B20" s="10" t="s">
        <v>31</v>
      </c>
      <c r="C20" s="2" t="s">
        <v>25</v>
      </c>
      <c r="D20" s="2" t="s">
        <v>17</v>
      </c>
      <c r="E20" s="4" t="s">
        <v>28</v>
      </c>
      <c r="F20" s="14">
        <v>35894931</v>
      </c>
      <c r="G20" s="5">
        <v>0.73299999999999998</v>
      </c>
      <c r="H20" s="5">
        <v>0.13600000000000001</v>
      </c>
      <c r="I20" s="6">
        <v>0.441</v>
      </c>
      <c r="J20" s="7">
        <v>0.02</v>
      </c>
      <c r="K20" s="7">
        <v>1.0999999999999999E-2</v>
      </c>
      <c r="L20" s="7">
        <f>1-0.649105</f>
        <v>0.35089499999999996</v>
      </c>
      <c r="M20" s="16">
        <v>12928519</v>
      </c>
      <c r="N20" s="13"/>
      <c r="O20" s="8" t="s">
        <v>18</v>
      </c>
      <c r="P20" s="7">
        <v>8.7599999999999997E-2</v>
      </c>
      <c r="Q20" s="7">
        <f>1-0.742535</f>
        <v>0.25746500000000005</v>
      </c>
      <c r="R20" s="16">
        <v>9317504</v>
      </c>
    </row>
    <row r="21" spans="1:18" ht="14.25" x14ac:dyDescent="0.2">
      <c r="A21" s="10"/>
      <c r="B21" s="10"/>
      <c r="C21" s="2" t="s">
        <v>19</v>
      </c>
      <c r="D21" s="2" t="s">
        <v>17</v>
      </c>
      <c r="E21" s="4" t="s">
        <v>28</v>
      </c>
      <c r="F21" s="14">
        <v>37856572</v>
      </c>
      <c r="G21" s="5">
        <v>0.72099999999999997</v>
      </c>
      <c r="H21" s="5">
        <v>0.29599999999999999</v>
      </c>
      <c r="I21" s="6">
        <v>0.42499999999999999</v>
      </c>
      <c r="J21" s="7">
        <v>2.1999999999999999E-2</v>
      </c>
      <c r="K21" s="7">
        <v>1.2E-2</v>
      </c>
      <c r="L21" s="7">
        <f>1-0.670882</f>
        <v>0.32911800000000002</v>
      </c>
      <c r="M21" s="16">
        <v>11992666</v>
      </c>
      <c r="N21" s="13"/>
      <c r="O21" s="8" t="s">
        <v>18</v>
      </c>
      <c r="P21" s="7">
        <v>0.19109999999999999</v>
      </c>
      <c r="Q21" s="7">
        <f>1-0.755474</f>
        <v>0.24452600000000002</v>
      </c>
      <c r="R21" s="16">
        <v>8711820</v>
      </c>
    </row>
    <row r="22" spans="1:18" ht="14.25" x14ac:dyDescent="0.2">
      <c r="A22" s="10"/>
      <c r="B22" s="10"/>
      <c r="C22" s="2" t="s">
        <v>20</v>
      </c>
      <c r="D22" s="2" t="s">
        <v>17</v>
      </c>
      <c r="E22" s="4" t="s">
        <v>28</v>
      </c>
      <c r="F22" s="14">
        <v>36178643</v>
      </c>
      <c r="G22" s="5">
        <v>0.69299999999999995</v>
      </c>
      <c r="H22" s="5">
        <v>0.82799999999999996</v>
      </c>
      <c r="I22" s="6">
        <v>0.37</v>
      </c>
      <c r="J22" s="7">
        <v>2.5999999999999999E-2</v>
      </c>
      <c r="K22" s="7">
        <v>1.4E-2</v>
      </c>
      <c r="L22" s="7">
        <f>1-0.90235</f>
        <v>9.7650000000000015E-2</v>
      </c>
      <c r="M22" s="16">
        <v>3948762</v>
      </c>
      <c r="N22" s="13"/>
      <c r="O22" s="8" t="s">
        <v>18</v>
      </c>
      <c r="P22" s="7">
        <v>0.74319999999999997</v>
      </c>
      <c r="Q22" s="7">
        <f>1-0.908768</f>
        <v>9.123199999999998E-2</v>
      </c>
      <c r="R22" s="16">
        <v>3664067</v>
      </c>
    </row>
    <row r="23" spans="1:18" ht="14.25" x14ac:dyDescent="0.2">
      <c r="A23" s="10"/>
      <c r="B23" s="10"/>
      <c r="C23" s="2" t="s">
        <v>21</v>
      </c>
      <c r="D23" s="2" t="s">
        <v>17</v>
      </c>
      <c r="E23" s="4" t="s">
        <v>28</v>
      </c>
      <c r="F23" s="14">
        <v>66014936</v>
      </c>
      <c r="G23" s="5">
        <v>0.49399999999999999</v>
      </c>
      <c r="H23" s="5">
        <v>0.98499999999999999</v>
      </c>
      <c r="I23" s="6">
        <v>0.35699999999999998</v>
      </c>
      <c r="J23" s="7">
        <v>2.5999999999999999E-2</v>
      </c>
      <c r="K23" s="7">
        <v>1.7999999999999999E-2</v>
      </c>
      <c r="L23" s="7">
        <f>1-0.989374</f>
        <v>1.0626000000000024E-2</v>
      </c>
      <c r="M23" s="16">
        <v>432649</v>
      </c>
      <c r="N23" s="13"/>
      <c r="O23" s="8" t="s">
        <v>18</v>
      </c>
      <c r="P23" s="7">
        <v>0.97470000000000001</v>
      </c>
      <c r="Q23" s="7">
        <f>1-0.989891</f>
        <v>1.0109000000000035E-2</v>
      </c>
      <c r="R23" s="16">
        <v>412783</v>
      </c>
    </row>
    <row r="24" spans="1:18" ht="13.5" customHeight="1" x14ac:dyDescent="0.2">
      <c r="A24" s="11" t="s">
        <v>26</v>
      </c>
      <c r="B24" s="12" t="s">
        <v>30</v>
      </c>
      <c r="C24" s="3" t="s">
        <v>20</v>
      </c>
      <c r="D24" s="3" t="s">
        <v>27</v>
      </c>
      <c r="E24" s="3" t="s">
        <v>28</v>
      </c>
      <c r="F24" s="14">
        <v>13556975</v>
      </c>
      <c r="G24" s="5">
        <v>0.67300000000000004</v>
      </c>
      <c r="H24" s="5">
        <v>5.0299999999999997E-2</v>
      </c>
      <c r="I24" s="6">
        <v>0.70299999999999996</v>
      </c>
      <c r="J24" s="6">
        <v>6.0000000000000001E-3</v>
      </c>
      <c r="K24" s="6">
        <v>7.0000000000000001E-3</v>
      </c>
      <c r="L24" s="6">
        <f>1-0.825439</f>
        <v>0.17456099999999997</v>
      </c>
      <c r="M24" s="16">
        <v>6526136</v>
      </c>
      <c r="N24" s="13"/>
      <c r="O24" s="8" t="s">
        <v>29</v>
      </c>
      <c r="P24" s="7">
        <v>4.4499999999999998E-2</v>
      </c>
      <c r="Q24" s="7">
        <f>1-0.842984</f>
        <v>0.15701600000000004</v>
      </c>
      <c r="R24" s="16">
        <v>5837720</v>
      </c>
    </row>
    <row r="25" spans="1:18" ht="14.25" x14ac:dyDescent="0.2">
      <c r="A25" s="11"/>
      <c r="B25" s="12"/>
      <c r="C25" s="3" t="s">
        <v>20</v>
      </c>
      <c r="D25" s="3" t="s">
        <v>27</v>
      </c>
      <c r="E25" s="3" t="s">
        <v>28</v>
      </c>
      <c r="F25" s="14">
        <v>13398948</v>
      </c>
      <c r="G25" s="5">
        <v>0.67700000000000005</v>
      </c>
      <c r="H25" s="5">
        <v>5.1499999999999997E-2</v>
      </c>
      <c r="I25" s="6">
        <v>0.69799999999999995</v>
      </c>
      <c r="J25" s="6">
        <v>6.0000000000000001E-3</v>
      </c>
      <c r="K25" s="6">
        <v>6.0000000000000001E-3</v>
      </c>
      <c r="L25" s="6">
        <f>1-0.825683</f>
        <v>0.17431700000000006</v>
      </c>
      <c r="M25" s="16">
        <v>6699919</v>
      </c>
      <c r="N25" s="13"/>
      <c r="O25" s="8" t="s">
        <v>29</v>
      </c>
      <c r="P25" s="7">
        <v>4.5999999999999999E-2</v>
      </c>
      <c r="Q25" s="7">
        <f>1-0.842555</f>
        <v>0.15744499999999995</v>
      </c>
      <c r="R25" s="16">
        <v>6019516</v>
      </c>
    </row>
    <row r="26" spans="1:18" ht="14.25" x14ac:dyDescent="0.2">
      <c r="A26" s="11"/>
      <c r="B26" s="12"/>
      <c r="C26" s="3" t="s">
        <v>21</v>
      </c>
      <c r="D26" s="3" t="s">
        <v>27</v>
      </c>
      <c r="E26" s="3" t="s">
        <v>28</v>
      </c>
      <c r="F26" s="14">
        <v>13073579</v>
      </c>
      <c r="G26" s="5">
        <v>0.68400000000000005</v>
      </c>
      <c r="H26" s="5">
        <v>7.51E-2</v>
      </c>
      <c r="I26" s="6">
        <v>0.72399999999999998</v>
      </c>
      <c r="J26" s="6">
        <v>6.0000000000000001E-3</v>
      </c>
      <c r="K26" s="6">
        <v>7.0000000000000001E-3</v>
      </c>
      <c r="L26" s="6">
        <f>1-0.848884</f>
        <v>0.15111600000000003</v>
      </c>
      <c r="M26" s="16">
        <v>5549924</v>
      </c>
      <c r="N26" s="13"/>
      <c r="O26" s="8" t="s">
        <v>29</v>
      </c>
      <c r="P26" s="7">
        <v>6.8000000000000005E-2</v>
      </c>
      <c r="Q26" s="7">
        <f>1-0.860583</f>
        <v>0.13941700000000001</v>
      </c>
      <c r="R26" s="16">
        <v>5105586</v>
      </c>
    </row>
    <row r="27" spans="1:18" ht="14.25" x14ac:dyDescent="0.2">
      <c r="A27" s="11"/>
      <c r="B27" s="12"/>
      <c r="C27" s="3" t="s">
        <v>21</v>
      </c>
      <c r="D27" s="3" t="s">
        <v>27</v>
      </c>
      <c r="E27" s="3" t="s">
        <v>28</v>
      </c>
      <c r="F27" s="14">
        <v>14933380</v>
      </c>
      <c r="G27" s="5">
        <v>0.67800000000000005</v>
      </c>
      <c r="H27" s="5">
        <v>8.4199999999999997E-2</v>
      </c>
      <c r="I27" s="6">
        <v>0.72499999999999998</v>
      </c>
      <c r="J27" s="6">
        <v>7.0000000000000001E-3</v>
      </c>
      <c r="K27" s="6">
        <v>7.0000000000000001E-3</v>
      </c>
      <c r="L27" s="6">
        <f>1-0.842232</f>
        <v>0.15776800000000002</v>
      </c>
      <c r="M27" s="16">
        <v>6012999</v>
      </c>
      <c r="N27" s="13"/>
      <c r="O27" s="8" t="s">
        <v>29</v>
      </c>
      <c r="P27" s="7">
        <v>6.83E-2</v>
      </c>
      <c r="Q27" s="7">
        <f>1-0.865923</f>
        <v>0.134077</v>
      </c>
      <c r="R27" s="16">
        <v>5084931</v>
      </c>
    </row>
    <row r="28" spans="1:18" ht="14.25" x14ac:dyDescent="0.2">
      <c r="A28" s="11"/>
      <c r="B28" s="12" t="s">
        <v>32</v>
      </c>
      <c r="C28" s="3" t="s">
        <v>20</v>
      </c>
      <c r="D28" s="3" t="s">
        <v>27</v>
      </c>
      <c r="E28" s="3" t="s">
        <v>28</v>
      </c>
      <c r="F28" s="14">
        <v>16217154</v>
      </c>
      <c r="G28" s="5">
        <v>0.82499999999999996</v>
      </c>
      <c r="H28" s="5">
        <v>0.61240000000000006</v>
      </c>
      <c r="I28" s="6">
        <v>0.81499999999999995</v>
      </c>
      <c r="J28" s="6">
        <v>8.0000000000000002E-3</v>
      </c>
      <c r="K28" s="6">
        <v>0.01</v>
      </c>
      <c r="L28" s="6">
        <f>1-0.883914</f>
        <v>0.11608600000000002</v>
      </c>
      <c r="M28" s="16">
        <v>3070249</v>
      </c>
      <c r="N28" s="13"/>
      <c r="O28" s="8" t="s">
        <v>29</v>
      </c>
      <c r="P28" s="7">
        <v>0.46870000000000001</v>
      </c>
      <c r="Q28" s="7">
        <f>1-0.903388</f>
        <v>9.6612000000000031E-2</v>
      </c>
      <c r="R28" s="16">
        <v>2516276</v>
      </c>
    </row>
    <row r="29" spans="1:18" ht="14.25" x14ac:dyDescent="0.2">
      <c r="A29" s="11"/>
      <c r="B29" s="12"/>
      <c r="C29" s="3" t="s">
        <v>20</v>
      </c>
      <c r="D29" s="3" t="s">
        <v>27</v>
      </c>
      <c r="E29" s="3" t="s">
        <v>28</v>
      </c>
      <c r="F29" s="14">
        <v>17075156</v>
      </c>
      <c r="G29" s="5">
        <v>0.81899999999999995</v>
      </c>
      <c r="H29" s="5">
        <v>0.59519999999999995</v>
      </c>
      <c r="I29" s="6">
        <v>0.81399999999999995</v>
      </c>
      <c r="J29" s="6">
        <v>8.9999999999999993E-3</v>
      </c>
      <c r="K29" s="6">
        <v>1.0999999999999999E-2</v>
      </c>
      <c r="L29" s="6">
        <f>1-0.87405</f>
        <v>0.12595000000000001</v>
      </c>
      <c r="M29" s="16">
        <v>3340000</v>
      </c>
      <c r="N29" s="13"/>
      <c r="O29" s="8" t="s">
        <v>29</v>
      </c>
      <c r="P29" s="7">
        <v>0.439</v>
      </c>
      <c r="Q29" s="7">
        <f>1-0.898311</f>
        <v>0.10168900000000003</v>
      </c>
      <c r="R29" s="16">
        <v>2649627</v>
      </c>
    </row>
    <row r="30" spans="1:18" ht="14.25" x14ac:dyDescent="0.2">
      <c r="A30" s="11"/>
      <c r="B30" s="12"/>
      <c r="C30" s="3" t="s">
        <v>21</v>
      </c>
      <c r="D30" s="3" t="s">
        <v>27</v>
      </c>
      <c r="E30" s="3" t="s">
        <v>28</v>
      </c>
      <c r="F30" s="14">
        <v>18328627</v>
      </c>
      <c r="G30" s="5">
        <v>0.82299999999999995</v>
      </c>
      <c r="H30" s="5">
        <v>0.96640000000000004</v>
      </c>
      <c r="I30" s="6">
        <v>0.79200000000000004</v>
      </c>
      <c r="J30" s="6">
        <v>8.9999999999999993E-3</v>
      </c>
      <c r="K30" s="6">
        <v>2.1999999999999999E-2</v>
      </c>
      <c r="L30" s="6">
        <f>1-0.988454</f>
        <v>1.1545999999999945E-2</v>
      </c>
      <c r="M30" s="16">
        <v>318349</v>
      </c>
      <c r="N30" s="13"/>
      <c r="O30" s="8" t="s">
        <v>29</v>
      </c>
      <c r="P30" s="7">
        <v>0.93979999999999997</v>
      </c>
      <c r="Q30" s="7">
        <f>1-0.988833</f>
        <v>1.1167000000000038E-2</v>
      </c>
      <c r="R30" s="16">
        <v>304794</v>
      </c>
    </row>
    <row r="31" spans="1:18" ht="14.25" x14ac:dyDescent="0.2">
      <c r="A31" s="11"/>
      <c r="B31" s="12"/>
      <c r="C31" s="3" t="s">
        <v>21</v>
      </c>
      <c r="D31" s="3" t="s">
        <v>27</v>
      </c>
      <c r="E31" s="3" t="s">
        <v>28</v>
      </c>
      <c r="F31" s="14">
        <v>18210362</v>
      </c>
      <c r="G31" s="5">
        <v>0.82399999999999995</v>
      </c>
      <c r="H31" s="5">
        <v>0.96970000000000001</v>
      </c>
      <c r="I31" s="6">
        <v>0.79700000000000004</v>
      </c>
      <c r="J31" s="6">
        <v>0.01</v>
      </c>
      <c r="K31" s="6">
        <v>2.5000000000000001E-2</v>
      </c>
      <c r="L31" s="6">
        <f>1-0.989638</f>
        <v>1.0361999999999982E-2</v>
      </c>
      <c r="M31" s="16">
        <v>275524</v>
      </c>
      <c r="N31" s="13"/>
      <c r="O31" s="8" t="s">
        <v>29</v>
      </c>
      <c r="P31" s="7">
        <v>0.94589999999999996</v>
      </c>
      <c r="Q31" s="7">
        <f>1-0.98999</f>
        <v>1.0009999999999963E-2</v>
      </c>
      <c r="R31" s="16">
        <v>263398</v>
      </c>
    </row>
    <row r="32" spans="1:18" ht="14.25" x14ac:dyDescent="0.2">
      <c r="A32" s="11"/>
      <c r="B32" s="12" t="s">
        <v>31</v>
      </c>
      <c r="C32" s="3" t="s">
        <v>20</v>
      </c>
      <c r="D32" s="3" t="s">
        <v>27</v>
      </c>
      <c r="E32" s="3" t="s">
        <v>28</v>
      </c>
      <c r="F32" s="14">
        <v>27345444</v>
      </c>
      <c r="G32" s="5">
        <v>0.74299999999999999</v>
      </c>
      <c r="H32" s="5">
        <v>0.52229999999999999</v>
      </c>
      <c r="I32" s="6">
        <v>0.79200000000000004</v>
      </c>
      <c r="J32" s="6">
        <v>1.4E-2</v>
      </c>
      <c r="K32" s="6">
        <v>1.4E-2</v>
      </c>
      <c r="L32" s="6">
        <f>1-0.824393</f>
        <v>0.17560699999999996</v>
      </c>
      <c r="M32" s="16">
        <v>7924444</v>
      </c>
      <c r="N32" s="13"/>
      <c r="O32" s="8" t="s">
        <v>29</v>
      </c>
      <c r="P32" s="7">
        <v>0.28970000000000001</v>
      </c>
      <c r="Q32" s="7">
        <f>1-0.887695</f>
        <v>0.11230499999999999</v>
      </c>
      <c r="R32" s="16">
        <v>4936245</v>
      </c>
    </row>
    <row r="33" spans="1:18" ht="14.25" x14ac:dyDescent="0.2">
      <c r="A33" s="11"/>
      <c r="B33" s="12"/>
      <c r="C33" s="3" t="s">
        <v>20</v>
      </c>
      <c r="D33" s="3" t="s">
        <v>27</v>
      </c>
      <c r="E33" s="3" t="s">
        <v>28</v>
      </c>
      <c r="F33" s="14">
        <v>25528256</v>
      </c>
      <c r="G33" s="5">
        <v>0.746</v>
      </c>
      <c r="H33" s="5">
        <v>0.4919</v>
      </c>
      <c r="I33" s="6">
        <v>0.77900000000000003</v>
      </c>
      <c r="J33" s="6">
        <v>1.2999999999999999E-2</v>
      </c>
      <c r="K33" s="6">
        <v>1.2999999999999999E-2</v>
      </c>
      <c r="L33" s="6">
        <f>1-0.824415</f>
        <v>0.17558499999999999</v>
      </c>
      <c r="M33" s="16">
        <v>8096192</v>
      </c>
      <c r="N33" s="13"/>
      <c r="O33" s="8" t="s">
        <v>29</v>
      </c>
      <c r="P33" s="7">
        <v>0.2792</v>
      </c>
      <c r="Q33" s="7">
        <f>1-0.8859</f>
        <v>0.11409999999999998</v>
      </c>
      <c r="R33" s="16">
        <v>5114328</v>
      </c>
    </row>
    <row r="34" spans="1:18" ht="14.25" x14ac:dyDescent="0.2">
      <c r="A34" s="11"/>
      <c r="B34" s="12"/>
      <c r="C34" s="3" t="s">
        <v>21</v>
      </c>
      <c r="D34" s="3" t="s">
        <v>27</v>
      </c>
      <c r="E34" s="3" t="s">
        <v>28</v>
      </c>
      <c r="F34" s="14">
        <v>25528256</v>
      </c>
      <c r="G34" s="5">
        <v>0.47499999999999998</v>
      </c>
      <c r="H34" s="5">
        <v>0.89739999999999998</v>
      </c>
      <c r="I34" s="6">
        <v>0.75600000000000001</v>
      </c>
      <c r="J34" s="6">
        <v>3.5999999999999997E-2</v>
      </c>
      <c r="K34" s="6">
        <v>4.7E-2</v>
      </c>
      <c r="L34" s="6">
        <f>1-0.974088</f>
        <v>2.5912000000000046E-2</v>
      </c>
      <c r="M34" s="16">
        <v>1261354</v>
      </c>
      <c r="N34" s="13"/>
      <c r="O34" s="8" t="s">
        <v>29</v>
      </c>
      <c r="P34" s="7">
        <v>0.85599999999999998</v>
      </c>
      <c r="Q34" s="7">
        <f>1-0.974897</f>
        <v>2.5102999999999986E-2</v>
      </c>
      <c r="R34" s="16">
        <v>1213459</v>
      </c>
    </row>
    <row r="35" spans="1:18" ht="14.25" x14ac:dyDescent="0.2">
      <c r="A35" s="11"/>
      <c r="B35" s="12"/>
      <c r="C35" s="3" t="s">
        <v>21</v>
      </c>
      <c r="D35" s="3" t="s">
        <v>27</v>
      </c>
      <c r="E35" s="3" t="s">
        <v>28</v>
      </c>
      <c r="F35" s="14">
        <v>28832115</v>
      </c>
      <c r="G35" s="5">
        <v>0.50700000000000001</v>
      </c>
      <c r="H35" s="5">
        <v>0.92889999999999995</v>
      </c>
      <c r="I35" s="6">
        <v>0.77</v>
      </c>
      <c r="J35" s="6">
        <v>0.123</v>
      </c>
      <c r="K35" s="6">
        <v>0.16300000000000001</v>
      </c>
      <c r="L35" s="6">
        <f>1-0.978613</f>
        <v>2.1387000000000045E-2</v>
      </c>
      <c r="M35" s="16">
        <v>1047541</v>
      </c>
      <c r="N35" s="13"/>
      <c r="O35" s="8" t="s">
        <v>29</v>
      </c>
      <c r="P35" s="7">
        <v>0.88019999999999998</v>
      </c>
      <c r="Q35" s="7">
        <f>1-0.979663</f>
        <v>2.0337000000000049E-2</v>
      </c>
      <c r="R35" s="16">
        <v>984216</v>
      </c>
    </row>
    <row r="40" spans="1:18" x14ac:dyDescent="0.15">
      <c r="G40" s="9"/>
      <c r="H40" s="9"/>
    </row>
  </sheetData>
  <mergeCells count="9">
    <mergeCell ref="N1:N35"/>
    <mergeCell ref="A2:A23"/>
    <mergeCell ref="B2:B15"/>
    <mergeCell ref="B16:B19"/>
    <mergeCell ref="B20:B23"/>
    <mergeCell ref="A24:A35"/>
    <mergeCell ref="B24:B27"/>
    <mergeCell ref="B28:B31"/>
    <mergeCell ref="B32:B35"/>
  </mergeCells>
  <phoneticPr fontId="5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xlcui</cp:lastModifiedBy>
  <cp:revision>2</cp:revision>
  <dcterms:created xsi:type="dcterms:W3CDTF">2006-09-16T00:00:00Z</dcterms:created>
  <dcterms:modified xsi:type="dcterms:W3CDTF">2023-05-23T03:51:28Z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