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UDH\Paper Selene\Biotechnology for biofuels and bioproducts\Revisión\"/>
    </mc:Choice>
  </mc:AlternateContent>
  <xr:revisionPtr revIDLastSave="0" documentId="13_ncr:1_{EBDF0B3D-5020-4EAC-BD1F-03A4A21562BD}" xr6:coauthVersionLast="47" xr6:coauthVersionMax="47" xr10:uidLastSave="{00000000-0000-0000-0000-000000000000}"/>
  <bookViews>
    <workbookView xWindow="-120" yWindow="-120" windowWidth="29040" windowHeight="15990" xr2:uid="{17BE3834-593C-472E-9A90-CAEC72B4B73D}"/>
  </bookViews>
  <sheets>
    <sheet name="Energetic analysi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4" i="2" l="1"/>
  <c r="C66" i="2"/>
  <c r="C65" i="2"/>
  <c r="M64" i="2"/>
  <c r="N64" i="2"/>
  <c r="N11" i="2"/>
  <c r="N9" i="2"/>
  <c r="O11" i="2"/>
  <c r="R64" i="2" s="1"/>
  <c r="O9" i="2"/>
  <c r="R68" i="2" l="1"/>
  <c r="D64" i="2"/>
  <c r="E64" i="2" s="1"/>
  <c r="H64" i="2"/>
  <c r="C28" i="2"/>
  <c r="E28" i="2" s="1"/>
  <c r="C38" i="2" s="1"/>
  <c r="C40" i="2" l="1"/>
  <c r="C48" i="2" s="1"/>
  <c r="G64" i="2" s="1"/>
  <c r="H65" i="2"/>
  <c r="H66" i="2"/>
  <c r="H67" i="2"/>
  <c r="H68" i="2"/>
  <c r="N66" i="2"/>
  <c r="M66" i="2"/>
  <c r="N65" i="2"/>
  <c r="M65" i="2"/>
  <c r="N67" i="2"/>
  <c r="M67" i="2"/>
  <c r="N68" i="2"/>
  <c r="M68" i="2"/>
  <c r="D65" i="2" l="1"/>
  <c r="G65" i="2"/>
  <c r="D66" i="2"/>
  <c r="D67" i="2"/>
  <c r="D68" i="2"/>
  <c r="K64" i="2"/>
  <c r="G68" i="2"/>
  <c r="G67" i="2"/>
  <c r="G66" i="2"/>
  <c r="J64" i="2" l="1"/>
  <c r="Q68" i="2"/>
  <c r="L68" i="2" s="1"/>
  <c r="C68" i="2" s="1"/>
  <c r="E68" i="2" s="1"/>
  <c r="I68" i="2" s="1"/>
  <c r="Q67" i="2"/>
  <c r="L67" i="2" s="1"/>
  <c r="C67" i="2" s="1"/>
  <c r="E67" i="2" s="1"/>
  <c r="I67" i="2" s="1"/>
  <c r="Q66" i="2"/>
  <c r="L66" i="2" s="1"/>
  <c r="E66" i="2" s="1"/>
  <c r="I66" i="2" s="1"/>
  <c r="Q65" i="2"/>
  <c r="L65" i="2" s="1"/>
  <c r="E65" i="2" s="1"/>
  <c r="I65" i="2" s="1"/>
  <c r="K65" i="2" l="1"/>
  <c r="J65" i="2"/>
  <c r="J66" i="2"/>
  <c r="K66" i="2"/>
  <c r="J67" i="2"/>
  <c r="K67" i="2"/>
  <c r="J68" i="2"/>
  <c r="K68" i="2"/>
</calcChain>
</file>

<file path=xl/sharedStrings.xml><?xml version="1.0" encoding="utf-8"?>
<sst xmlns="http://schemas.openxmlformats.org/spreadsheetml/2006/main" count="120" uniqueCount="105">
  <si>
    <t>WPS</t>
  </si>
  <si>
    <t>Pretreatment</t>
  </si>
  <si>
    <t>* Electric energy</t>
  </si>
  <si>
    <t>** Electric and thermal energy</t>
  </si>
  <si>
    <t>Time (h)</t>
  </si>
  <si>
    <t>V (W/A)</t>
  </si>
  <si>
    <t>A (A)</t>
  </si>
  <si>
    <t>VS (kg )</t>
  </si>
  <si>
    <t>Total solids (g/L)</t>
  </si>
  <si>
    <t>Mixed energy* (kWh/kg VS)</t>
  </si>
  <si>
    <t>g/L</t>
  </si>
  <si>
    <t>kg</t>
  </si>
  <si>
    <t>%</t>
  </si>
  <si>
    <t>Mixed (Barrios et al., 2021)</t>
  </si>
  <si>
    <t>Heating (Barrios et al., 2021)</t>
  </si>
  <si>
    <t>PT</t>
  </si>
  <si>
    <t>PCI biogas</t>
  </si>
  <si>
    <t>L</t>
  </si>
  <si>
    <t>Thermal energy</t>
  </si>
  <si>
    <t>Electric energy</t>
  </si>
  <si>
    <t>mol =</t>
  </si>
  <si>
    <t>L  (standard conditions)</t>
  </si>
  <si>
    <t>g/mol</t>
  </si>
  <si>
    <t>mol</t>
  </si>
  <si>
    <t>conversion by ideal gases equation</t>
  </si>
  <si>
    <t>kJ/mol</t>
  </si>
  <si>
    <t>kCal</t>
  </si>
  <si>
    <t>kCal =</t>
  </si>
  <si>
    <t>=</t>
  </si>
  <si>
    <t>standard conditions</t>
  </si>
  <si>
    <t>kWh =</t>
  </si>
  <si>
    <t>Recovered energy</t>
  </si>
  <si>
    <t>Expended energy</t>
  </si>
  <si>
    <t>Destination</t>
  </si>
  <si>
    <t>AD</t>
  </si>
  <si>
    <t>Net balance</t>
  </si>
  <si>
    <t xml:space="preserve">Where: </t>
  </si>
  <si>
    <r>
      <t>A</t>
    </r>
    <r>
      <rPr>
        <vertAlign val="subscript"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= Amps (A)</t>
    </r>
  </si>
  <si>
    <t>t = Operational time (h)</t>
  </si>
  <si>
    <t>[VS] = Initial volatile solids mass (kg)</t>
  </si>
  <si>
    <r>
      <t xml:space="preserve">ΔH </t>
    </r>
    <r>
      <rPr>
        <vertAlign val="subscript"/>
        <sz val="11"/>
        <color theme="1"/>
        <rFont val="Arial"/>
        <family val="2"/>
      </rPr>
      <t>CH4</t>
    </r>
    <r>
      <rPr>
        <sz val="11"/>
        <color theme="1"/>
        <rFont val="Arial"/>
        <family val="2"/>
      </rPr>
      <t xml:space="preserve"> =</t>
    </r>
  </si>
  <si>
    <r>
      <t xml:space="preserve">ΔH </t>
    </r>
    <r>
      <rPr>
        <vertAlign val="subscript"/>
        <sz val="11"/>
        <color theme="1"/>
        <rFont val="Arial"/>
        <family val="2"/>
      </rPr>
      <t>O2</t>
    </r>
    <r>
      <rPr>
        <sz val="11"/>
        <color theme="1"/>
        <rFont val="Arial"/>
        <family val="2"/>
      </rPr>
      <t xml:space="preserve"> =</t>
    </r>
  </si>
  <si>
    <r>
      <t xml:space="preserve">ΔH </t>
    </r>
    <r>
      <rPr>
        <vertAlign val="subscript"/>
        <sz val="11"/>
        <color theme="1"/>
        <rFont val="Arial"/>
        <family val="2"/>
      </rPr>
      <t>CO2</t>
    </r>
    <r>
      <rPr>
        <sz val="11"/>
        <color theme="1"/>
        <rFont val="Arial"/>
        <family val="2"/>
      </rPr>
      <t xml:space="preserve"> =</t>
    </r>
  </si>
  <si>
    <r>
      <t xml:space="preserve">ΔH </t>
    </r>
    <r>
      <rPr>
        <vertAlign val="subscript"/>
        <sz val="11"/>
        <color theme="1"/>
        <rFont val="Arial"/>
        <family val="2"/>
      </rPr>
      <t>H2O</t>
    </r>
    <r>
      <rPr>
        <sz val="11"/>
        <color theme="1"/>
        <rFont val="Arial"/>
        <family val="2"/>
      </rPr>
      <t xml:space="preserve"> =</t>
    </r>
  </si>
  <si>
    <r>
      <t xml:space="preserve">ΔH </t>
    </r>
    <r>
      <rPr>
        <vertAlign val="subscript"/>
        <sz val="11"/>
        <color theme="1"/>
        <rFont val="Arial"/>
        <family val="2"/>
      </rPr>
      <t>combustion</t>
    </r>
    <r>
      <rPr>
        <sz val="11"/>
        <color theme="1"/>
        <rFont val="Arial"/>
        <family val="2"/>
      </rPr>
      <t xml:space="preserve"> =</t>
    </r>
  </si>
  <si>
    <r>
      <t xml:space="preserve">MW </t>
    </r>
    <r>
      <rPr>
        <vertAlign val="subscript"/>
        <sz val="11"/>
        <color theme="1"/>
        <rFont val="Arial"/>
        <family val="2"/>
      </rPr>
      <t>CH4</t>
    </r>
    <r>
      <rPr>
        <sz val="11"/>
        <color theme="1"/>
        <rFont val="Arial"/>
        <family val="2"/>
      </rPr>
      <t xml:space="preserve"> =</t>
    </r>
  </si>
  <si>
    <r>
      <t>28.6 mA/cm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(30 min, BDD)</t>
    </r>
  </si>
  <si>
    <r>
      <t>125 mA/cm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(40 min, Ti/RuO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</t>
    </r>
  </si>
  <si>
    <r>
      <t>25 mA/cm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(120 min, Fe)</t>
    </r>
  </si>
  <si>
    <r>
      <t>10 mA/cm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(30 min, Ti/RuZrSb)</t>
    </r>
  </si>
  <si>
    <r>
      <t>m</t>
    </r>
    <r>
      <rPr>
        <vertAlign val="superscript"/>
        <sz val="11"/>
        <color theme="1"/>
        <rFont val="Arial"/>
        <family val="2"/>
      </rPr>
      <t>3</t>
    </r>
  </si>
  <si>
    <r>
      <t>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=</t>
    </r>
  </si>
  <si>
    <r>
      <t>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CH</t>
    </r>
    <r>
      <rPr>
        <vertAlign val="subscript"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 xml:space="preserve"> =</t>
    </r>
  </si>
  <si>
    <r>
      <t>mol CH</t>
    </r>
    <r>
      <rPr>
        <vertAlign val="subscript"/>
        <sz val="11"/>
        <color theme="1"/>
        <rFont val="Arial"/>
        <family val="2"/>
      </rPr>
      <t>4</t>
    </r>
  </si>
  <si>
    <r>
      <t>kCal/m</t>
    </r>
    <r>
      <rPr>
        <vertAlign val="superscript"/>
        <sz val="11"/>
        <color theme="1"/>
        <rFont val="Arial"/>
        <family val="2"/>
      </rPr>
      <t xml:space="preserve">3 </t>
    </r>
    <r>
      <rPr>
        <sz val="11"/>
        <color theme="1"/>
        <rFont val="Arial"/>
        <family val="2"/>
      </rPr>
      <t>CH</t>
    </r>
    <r>
      <rPr>
        <vertAlign val="subscript"/>
        <sz val="11"/>
        <color theme="1"/>
        <rFont val="Arial"/>
        <family val="2"/>
      </rPr>
      <t>4</t>
    </r>
  </si>
  <si>
    <r>
      <t>CH</t>
    </r>
    <r>
      <rPr>
        <vertAlign val="subscript"/>
        <sz val="11"/>
        <color theme="1"/>
        <rFont val="Arial"/>
        <family val="2"/>
      </rPr>
      <t>4</t>
    </r>
  </si>
  <si>
    <r>
      <t>CO</t>
    </r>
    <r>
      <rPr>
        <vertAlign val="subscript"/>
        <sz val="11"/>
        <color theme="1"/>
        <rFont val="Arial"/>
        <family val="2"/>
      </rPr>
      <t>2</t>
    </r>
  </si>
  <si>
    <t>The electrical energy supplied during EC pretreatment was calculated from the voltage, current and application time, according to the operating parameters used during electrolysis.</t>
  </si>
  <si>
    <t>Values for voltage, amperage, pretreatment time ando VS data were obtained from the referenced papers.</t>
  </si>
  <si>
    <t>Energy consumption during AD was also estimated, considering both thermal and electrical energy associated with reactor agitation and heating.</t>
  </si>
  <si>
    <t>To calculate the expended energy:</t>
  </si>
  <si>
    <t>To calculate the recovered energy:</t>
  </si>
  <si>
    <r>
      <t xml:space="preserve">For calculation purposes, the absolute value of the </t>
    </r>
    <r>
      <rPr>
        <sz val="11"/>
        <color theme="1"/>
        <rFont val="Aptos Narrow"/>
        <family val="2"/>
      </rPr>
      <t>Δ</t>
    </r>
    <r>
      <rPr>
        <sz val="11"/>
        <color theme="1"/>
        <rFont val="Arial"/>
        <family val="2"/>
      </rPr>
      <t>H was considered.</t>
    </r>
  </si>
  <si>
    <t>Methane reaction combustion considered.</t>
  </si>
  <si>
    <t>Energy released =</t>
  </si>
  <si>
    <t>Multiplied by the days on which BMP assays were carried out.</t>
  </si>
  <si>
    <t>These values were obtained from the referenced papers.</t>
  </si>
  <si>
    <t>The net energy balance was determined as the difference between the energy consumed (pretreatment + AD) and the energy recovered as methane.</t>
  </si>
  <si>
    <t>Considered the use that can be given to the energy obtained, either thermal or electrical, according to the percentage reported by Barrios et al. (2021).</t>
  </si>
  <si>
    <t>This work</t>
  </si>
  <si>
    <t>Barrios et al., 2021</t>
  </si>
  <si>
    <t>Ye, et al., 2016</t>
  </si>
  <si>
    <t>Feki et al., 2015</t>
  </si>
  <si>
    <t>The following formula was used to estimate the [VS]:</t>
  </si>
  <si>
    <r>
      <t>Through the ideal gas equation, the number of moles of methane produced was determined, subsequently the energy obtained in kCal/m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 xml:space="preserve"> of CH</t>
    </r>
    <r>
      <rPr>
        <vertAlign val="sub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 xml:space="preserve"> was calculated and, the lower calorific value (LCV) of methane was obtained.</t>
    </r>
  </si>
  <si>
    <t>Finally, this LCV was multiplied by the total volume of methane generated (in L), thus obtaining energy recovered.</t>
  </si>
  <si>
    <t>kW-h/kg VS/d</t>
  </si>
  <si>
    <t>kW-h/L</t>
  </si>
  <si>
    <t>Energy expenditure during pretreatment* (kW-h/kg VS)</t>
  </si>
  <si>
    <t>Energy expenditure during AD (kW-h/kg VS)</t>
  </si>
  <si>
    <t>Total (kW-h/kg VS)</t>
  </si>
  <si>
    <t>BMP (kW-h/kg VS)</t>
  </si>
  <si>
    <t>Electrical energy (kW-h/kg VS)</t>
  </si>
  <si>
    <t>Thermal energy (kW-h/kg VS)</t>
  </si>
  <si>
    <t>Power source* (kW-h/kg VS)</t>
  </si>
  <si>
    <t>Incubator** (kW-h/kg VS)</t>
  </si>
  <si>
    <r>
      <t>H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S</t>
    </r>
  </si>
  <si>
    <t>V = Average supplied voltage (V)</t>
  </si>
  <si>
    <r>
      <t>CH</t>
    </r>
    <r>
      <rPr>
        <b/>
        <vertAlign val="subscript"/>
        <sz val="11"/>
        <color theme="1"/>
        <rFont val="Arial"/>
        <family val="2"/>
      </rPr>
      <t>4</t>
    </r>
    <r>
      <rPr>
        <b/>
        <sz val="11"/>
        <color theme="1"/>
        <rFont val="Arial"/>
        <family val="2"/>
      </rPr>
      <t xml:space="preserve"> + 2O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  =  CO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 + 2H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O</t>
    </r>
  </si>
  <si>
    <r>
      <t xml:space="preserve">ΔH </t>
    </r>
    <r>
      <rPr>
        <b/>
        <vertAlign val="subscript"/>
        <sz val="11"/>
        <color theme="1"/>
        <rFont val="Arial"/>
        <family val="2"/>
      </rPr>
      <t>combustion</t>
    </r>
    <r>
      <rPr>
        <b/>
        <sz val="11"/>
        <color theme="1"/>
        <rFont val="Arial"/>
        <family val="2"/>
      </rPr>
      <t xml:space="preserve"> =</t>
    </r>
  </si>
  <si>
    <r>
      <t xml:space="preserve">LCV </t>
    </r>
    <r>
      <rPr>
        <b/>
        <vertAlign val="subscript"/>
        <sz val="11"/>
        <color theme="1"/>
        <rFont val="Arial"/>
        <family val="2"/>
      </rPr>
      <t>CH4</t>
    </r>
    <r>
      <rPr>
        <b/>
        <sz val="11"/>
        <color theme="1"/>
        <rFont val="Arial"/>
        <family val="2"/>
      </rPr>
      <t xml:space="preserve"> =</t>
    </r>
  </si>
  <si>
    <r>
      <t>kW-h/m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 xml:space="preserve"> CH</t>
    </r>
    <r>
      <rPr>
        <b/>
        <vertAlign val="subscript"/>
        <sz val="11"/>
        <color theme="1"/>
        <rFont val="Arial"/>
        <family val="2"/>
      </rPr>
      <t>4</t>
    </r>
  </si>
  <si>
    <t>v/v</t>
  </si>
  <si>
    <t>This value multiplied by the composition of methane present in the biogas mixture to calculate the specific volume of the methane.</t>
  </si>
  <si>
    <t>Volatile solid (g/L)</t>
  </si>
  <si>
    <t>Sluge</t>
  </si>
  <si>
    <t>Mass of treated sludge =</t>
  </si>
  <si>
    <t>LPRuZrSb (%)</t>
  </si>
  <si>
    <t>LPRuZrSb (g/L)</t>
  </si>
  <si>
    <t>WPS (%)</t>
  </si>
  <si>
    <t>WPS (g/L)</t>
  </si>
  <si>
    <r>
      <t>BMP (N-L CH</t>
    </r>
    <r>
      <rPr>
        <b/>
        <vertAlign val="subscript"/>
        <sz val="11"/>
        <color theme="1"/>
        <rFont val="Arial"/>
        <family val="2"/>
      </rPr>
      <t>4</t>
    </r>
    <r>
      <rPr>
        <b/>
        <sz val="11"/>
        <color theme="1"/>
        <rFont val="Arial"/>
        <family val="2"/>
      </rPr>
      <t>/kg VS)</t>
    </r>
  </si>
  <si>
    <r>
      <t>BMP (moles CH</t>
    </r>
    <r>
      <rPr>
        <b/>
        <vertAlign val="subscript"/>
        <sz val="11"/>
        <color theme="1"/>
        <rFont val="Arial"/>
        <family val="2"/>
      </rPr>
      <t>4</t>
    </r>
    <r>
      <rPr>
        <b/>
        <sz val="11"/>
        <color theme="1"/>
        <rFont val="Arial"/>
        <family val="2"/>
      </rPr>
      <t>/kg VS)</t>
    </r>
  </si>
  <si>
    <t>References</t>
  </si>
  <si>
    <t>Fractions of gases in biogas for this work: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</si>
</sst>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000"/>
    <numFmt numFmtId="166" formatCode="0.000"/>
    <numFmt numFmtId="168" formatCode="0.000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2"/>
      <color theme="1"/>
      <name val="Arial"/>
      <family val="2"/>
    </font>
    <font>
      <vertAlign val="subscript"/>
      <sz val="12"/>
      <color theme="1"/>
      <name val="Arial"/>
      <family val="2"/>
    </font>
    <font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vertAlign val="superscript"/>
      <sz val="12"/>
      <color theme="1"/>
      <name val="Arial"/>
      <family val="2"/>
    </font>
    <font>
      <b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6" xfId="0" applyFont="1" applyBorder="1"/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6" fontId="4" fillId="0" borderId="9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166" fontId="4" fillId="0" borderId="6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166" fontId="4" fillId="0" borderId="11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166" fontId="4" fillId="0" borderId="12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16" xfId="0" applyNumberFormat="1" applyFont="1" applyBorder="1" applyAlignment="1">
      <alignment horizontal="center" vertical="center"/>
    </xf>
    <xf numFmtId="166" fontId="4" fillId="0" borderId="16" xfId="0" applyNumberFormat="1" applyFont="1" applyBorder="1" applyAlignment="1">
      <alignment horizontal="center" vertical="center"/>
    </xf>
    <xf numFmtId="165" fontId="4" fillId="0" borderId="16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166" fontId="8" fillId="0" borderId="0" xfId="0" applyNumberFormat="1" applyFont="1"/>
    <xf numFmtId="2" fontId="4" fillId="0" borderId="1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166" fontId="4" fillId="0" borderId="6" xfId="0" applyNumberFormat="1" applyFont="1" applyBorder="1" applyAlignment="1">
      <alignment horizontal="center"/>
    </xf>
    <xf numFmtId="166" fontId="4" fillId="0" borderId="16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168" fontId="4" fillId="0" borderId="13" xfId="0" applyNumberFormat="1" applyFont="1" applyBorder="1" applyAlignment="1">
      <alignment horizontal="center" vertical="center"/>
    </xf>
    <xf numFmtId="168" fontId="4" fillId="0" borderId="5" xfId="0" applyNumberFormat="1" applyFont="1" applyBorder="1" applyAlignment="1">
      <alignment horizontal="center"/>
    </xf>
    <xf numFmtId="168" fontId="4" fillId="0" borderId="15" xfId="0" applyNumberFormat="1" applyFont="1" applyBorder="1" applyAlignment="1">
      <alignment horizontal="center"/>
    </xf>
    <xf numFmtId="168" fontId="4" fillId="0" borderId="15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Border="1"/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68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emf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</xdr:row>
      <xdr:rowOff>0</xdr:rowOff>
    </xdr:from>
    <xdr:to>
      <xdr:col>19</xdr:col>
      <xdr:colOff>76200</xdr:colOff>
      <xdr:row>4</xdr:row>
      <xdr:rowOff>175260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A5C9532-1682-1EC5-345C-504ED504F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66080" y="579120"/>
          <a:ext cx="3063240" cy="373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1196340</xdr:colOff>
      <xdr:row>11</xdr:row>
      <xdr:rowOff>0</xdr:rowOff>
    </xdr:from>
    <xdr:to>
      <xdr:col>6</xdr:col>
      <xdr:colOff>373380</xdr:colOff>
      <xdr:row>12</xdr:row>
      <xdr:rowOff>45720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3D6CC9D-6469-E854-7656-077E2995B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3140" y="2141220"/>
          <a:ext cx="158496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1188720</xdr:colOff>
      <xdr:row>12</xdr:row>
      <xdr:rowOff>7620</xdr:rowOff>
    </xdr:from>
    <xdr:to>
      <xdr:col>6</xdr:col>
      <xdr:colOff>403860</xdr:colOff>
      <xdr:row>13</xdr:row>
      <xdr:rowOff>53340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8F21CC41-FB86-9FB2-359D-A996F4208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5520" y="2331720"/>
          <a:ext cx="162306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922020</xdr:colOff>
      <xdr:row>17</xdr:row>
      <xdr:rowOff>15240</xdr:rowOff>
    </xdr:from>
    <xdr:to>
      <xdr:col>4</xdr:col>
      <xdr:colOff>281940</xdr:colOff>
      <xdr:row>18</xdr:row>
      <xdr:rowOff>45720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BAC94E66-2E7A-217E-7A44-43F5AC6DE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7580" y="3253740"/>
          <a:ext cx="166116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457200</xdr:colOff>
      <xdr:row>5</xdr:row>
      <xdr:rowOff>28575</xdr:rowOff>
    </xdr:from>
    <xdr:to>
      <xdr:col>2</xdr:col>
      <xdr:colOff>923925</xdr:colOff>
      <xdr:row>6</xdr:row>
      <xdr:rowOff>9525</xdr:rowOff>
    </xdr:to>
    <xdr:sp macro="" textlink="">
      <xdr:nvSpPr>
        <xdr:cNvPr id="2" name="Flecha: a la derecha 1">
          <a:extLst>
            <a:ext uri="{FF2B5EF4-FFF2-40B4-BE49-F238E27FC236}">
              <a16:creationId xmlns:a16="http://schemas.microsoft.com/office/drawing/2014/main" id="{378CDAA5-A4B2-838F-35A7-BC51A398BB85}"/>
            </a:ext>
          </a:extLst>
        </xdr:cNvPr>
        <xdr:cNvSpPr/>
      </xdr:nvSpPr>
      <xdr:spPr>
        <a:xfrm>
          <a:off x="2962275" y="1009650"/>
          <a:ext cx="466725" cy="228600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295275</xdr:colOff>
      <xdr:row>11</xdr:row>
      <xdr:rowOff>28575</xdr:rowOff>
    </xdr:from>
    <xdr:to>
      <xdr:col>4</xdr:col>
      <xdr:colOff>762000</xdr:colOff>
      <xdr:row>12</xdr:row>
      <xdr:rowOff>66675</xdr:rowOff>
    </xdr:to>
    <xdr:sp macro="" textlink="">
      <xdr:nvSpPr>
        <xdr:cNvPr id="4" name="Flecha: a la derecha 3">
          <a:extLst>
            <a:ext uri="{FF2B5EF4-FFF2-40B4-BE49-F238E27FC236}">
              <a16:creationId xmlns:a16="http://schemas.microsoft.com/office/drawing/2014/main" id="{9D7119B4-124B-45FA-A234-04757B5F789F}"/>
            </a:ext>
          </a:extLst>
        </xdr:cNvPr>
        <xdr:cNvSpPr/>
      </xdr:nvSpPr>
      <xdr:spPr>
        <a:xfrm>
          <a:off x="5038725" y="2209800"/>
          <a:ext cx="466725" cy="228600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66675</xdr:colOff>
      <xdr:row>3</xdr:row>
      <xdr:rowOff>123825</xdr:rowOff>
    </xdr:from>
    <xdr:to>
      <xdr:col>2</xdr:col>
      <xdr:colOff>0</xdr:colOff>
      <xdr:row>7</xdr:row>
      <xdr:rowOff>81156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A18EC20-838C-E377-7C8A-DD7FB8715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714375"/>
          <a:ext cx="1933575" cy="786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1619250</xdr:colOff>
      <xdr:row>50</xdr:row>
      <xdr:rowOff>142875</xdr:rowOff>
    </xdr:from>
    <xdr:to>
      <xdr:col>3</xdr:col>
      <xdr:colOff>1038225</xdr:colOff>
      <xdr:row>53</xdr:row>
      <xdr:rowOff>95250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A79A7C44-3E2D-DC83-40B6-4F52DB805BB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120" r="36404"/>
        <a:stretch>
          <a:fillRect/>
        </a:stretch>
      </xdr:blipFill>
      <xdr:spPr bwMode="auto">
        <a:xfrm>
          <a:off x="2247900" y="10515600"/>
          <a:ext cx="2543175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600075</xdr:colOff>
      <xdr:row>43</xdr:row>
      <xdr:rowOff>152400</xdr:rowOff>
    </xdr:from>
    <xdr:to>
      <xdr:col>3</xdr:col>
      <xdr:colOff>777446</xdr:colOff>
      <xdr:row>46</xdr:row>
      <xdr:rowOff>28575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70D371-10CC-01A6-6AE9-969138A7F7F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152" r="32712" b="-5715"/>
        <a:stretch>
          <a:fillRect/>
        </a:stretch>
      </xdr:blipFill>
      <xdr:spPr bwMode="auto">
        <a:xfrm>
          <a:off x="1228725" y="9039225"/>
          <a:ext cx="3301571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35581-559A-4061-BB41-565F908F377D}">
  <dimension ref="A1:S88"/>
  <sheetViews>
    <sheetView tabSelected="1" workbookViewId="0">
      <selection activeCell="K46" sqref="K46"/>
    </sheetView>
  </sheetViews>
  <sheetFormatPr baseColWidth="10" defaultRowHeight="15" x14ac:dyDescent="0.25"/>
  <cols>
    <col min="1" max="1" width="9.42578125" customWidth="1"/>
    <col min="2" max="2" width="30" customWidth="1"/>
    <col min="3" max="3" width="16.85546875" customWidth="1"/>
    <col min="4" max="4" width="16.7109375" customWidth="1"/>
    <col min="5" max="5" width="17.7109375" customWidth="1"/>
    <col min="6" max="6" width="17.28515625" customWidth="1"/>
    <col min="7" max="8" width="14.85546875" customWidth="1"/>
    <col min="9" max="12" width="16" customWidth="1"/>
    <col min="13" max="13" width="23.7109375" customWidth="1"/>
    <col min="14" max="14" width="18" customWidth="1"/>
    <col min="15" max="15" width="18.7109375" customWidth="1"/>
    <col min="19" max="19" width="20.42578125" customWidth="1"/>
  </cols>
  <sheetData>
    <row r="1" spans="1:19" ht="15.75" x14ac:dyDescent="0.25">
      <c r="B1" s="1" t="s">
        <v>60</v>
      </c>
    </row>
    <row r="2" spans="1:19" ht="15.75" x14ac:dyDescent="0.25">
      <c r="B2" s="1" t="s">
        <v>57</v>
      </c>
    </row>
    <row r="4" spans="1:19" ht="15.75" x14ac:dyDescent="0.25">
      <c r="A4" s="4"/>
      <c r="B4" s="4"/>
      <c r="C4" s="4"/>
      <c r="D4" s="2" t="s">
        <v>36</v>
      </c>
      <c r="E4" s="4" t="s">
        <v>58</v>
      </c>
      <c r="F4" s="4"/>
      <c r="G4" s="4"/>
      <c r="H4" s="4"/>
      <c r="I4" s="4"/>
      <c r="J4" s="4"/>
      <c r="K4" s="4"/>
      <c r="L4" s="4"/>
      <c r="M4" s="1" t="s">
        <v>73</v>
      </c>
      <c r="R4" s="4"/>
      <c r="S4" s="4"/>
    </row>
    <row r="5" spans="1:19" x14ac:dyDescent="0.25">
      <c r="A5" s="4"/>
      <c r="C5" s="4"/>
      <c r="D5" s="3" t="s">
        <v>87</v>
      </c>
      <c r="E5" s="4"/>
      <c r="F5" s="4"/>
      <c r="G5" s="4"/>
      <c r="I5" s="4"/>
      <c r="J5" s="4"/>
      <c r="K5" s="4"/>
      <c r="L5" s="4"/>
      <c r="Q5" s="4"/>
      <c r="R5" s="4"/>
      <c r="S5" s="4"/>
    </row>
    <row r="6" spans="1:19" ht="19.5" x14ac:dyDescent="0.25">
      <c r="A6" s="4"/>
      <c r="C6" s="4"/>
      <c r="D6" s="2" t="s">
        <v>37</v>
      </c>
      <c r="E6" s="4"/>
      <c r="F6" s="4"/>
      <c r="G6" s="4"/>
      <c r="H6" s="4"/>
      <c r="I6" s="4"/>
      <c r="J6" s="4"/>
      <c r="K6" s="4"/>
      <c r="L6" s="4"/>
      <c r="M6" s="4" t="s">
        <v>96</v>
      </c>
      <c r="N6" s="4">
        <v>8.1199999999999994E-2</v>
      </c>
      <c r="O6" s="4" t="s">
        <v>11</v>
      </c>
      <c r="Q6" s="4"/>
      <c r="R6" s="4"/>
      <c r="S6" s="4"/>
    </row>
    <row r="7" spans="1:19" x14ac:dyDescent="0.25">
      <c r="A7" s="4"/>
      <c r="B7" s="4"/>
      <c r="C7" s="4"/>
      <c r="D7" s="3" t="s">
        <v>38</v>
      </c>
      <c r="E7" s="4"/>
      <c r="F7" s="4"/>
      <c r="G7" s="4"/>
      <c r="H7" s="4"/>
      <c r="I7" s="4"/>
      <c r="J7" s="4"/>
      <c r="K7" s="4"/>
      <c r="L7" s="4"/>
      <c r="Q7" s="4"/>
      <c r="R7" s="4"/>
      <c r="S7" s="4"/>
    </row>
    <row r="8" spans="1:19" x14ac:dyDescent="0.25">
      <c r="A8" s="4"/>
      <c r="B8" s="4"/>
      <c r="C8" s="4"/>
      <c r="D8" s="3" t="s">
        <v>39</v>
      </c>
      <c r="E8" s="4"/>
      <c r="F8" s="4"/>
      <c r="G8" s="4"/>
      <c r="H8" s="4"/>
      <c r="I8" s="4"/>
      <c r="J8" s="4"/>
      <c r="K8" s="4"/>
      <c r="L8" s="4"/>
      <c r="M8" s="51" t="s">
        <v>95</v>
      </c>
      <c r="N8" s="51" t="s">
        <v>8</v>
      </c>
      <c r="O8" s="51" t="s">
        <v>94</v>
      </c>
      <c r="P8" s="4"/>
      <c r="Q8" s="4"/>
      <c r="R8" s="4"/>
      <c r="S8" s="4"/>
    </row>
    <row r="9" spans="1:19" x14ac:dyDescent="0.25">
      <c r="A9" s="4"/>
      <c r="B9" s="4"/>
      <c r="C9" s="4"/>
      <c r="D9" s="4"/>
      <c r="E9" s="4"/>
      <c r="F9" s="4"/>
      <c r="G9" s="4"/>
      <c r="H9" s="2"/>
      <c r="I9" s="4"/>
      <c r="J9" s="4"/>
      <c r="K9" s="4"/>
      <c r="L9" s="4"/>
      <c r="M9" s="4" t="s">
        <v>97</v>
      </c>
      <c r="N9" s="52">
        <f>(0.077/5.075)*100</f>
        <v>1.5172413793103448</v>
      </c>
      <c r="O9" s="52">
        <f>(O10/N10)*100</f>
        <v>27.662337662337659</v>
      </c>
      <c r="P9" s="4" t="s">
        <v>12</v>
      </c>
      <c r="Q9" s="4"/>
      <c r="R9" s="4"/>
      <c r="S9" s="4"/>
    </row>
    <row r="10" spans="1:19" x14ac:dyDescent="0.25">
      <c r="A10" s="4"/>
      <c r="B10" s="4" t="s">
        <v>59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 t="s">
        <v>98</v>
      </c>
      <c r="N10" s="38">
        <v>15.4</v>
      </c>
      <c r="O10" s="38">
        <v>4.26</v>
      </c>
      <c r="P10" s="4" t="s">
        <v>10</v>
      </c>
      <c r="Q10" s="4"/>
      <c r="R10" s="4"/>
      <c r="S10" s="4"/>
    </row>
    <row r="11" spans="1:19" x14ac:dyDescent="0.25">
      <c r="A11" s="4"/>
      <c r="E11" s="4"/>
      <c r="F11" s="4"/>
      <c r="G11" s="4"/>
      <c r="H11" s="4"/>
      <c r="I11" s="4"/>
      <c r="J11" s="4"/>
      <c r="K11" s="4"/>
      <c r="L11" s="4"/>
      <c r="M11" s="4" t="s">
        <v>99</v>
      </c>
      <c r="N11" s="52">
        <f>(0.0808/5.075)*100</f>
        <v>1.5921182266009852</v>
      </c>
      <c r="O11" s="52">
        <f>(O12/N12)*100</f>
        <v>26.113861386138616</v>
      </c>
      <c r="P11" s="4" t="s">
        <v>12</v>
      </c>
      <c r="Q11" s="4"/>
      <c r="R11" s="4"/>
      <c r="S11" s="4"/>
    </row>
    <row r="12" spans="1:19" x14ac:dyDescent="0.25">
      <c r="A12" s="4"/>
      <c r="B12" s="4" t="s">
        <v>13</v>
      </c>
      <c r="C12" s="4">
        <v>1.4999999999999999E-2</v>
      </c>
      <c r="D12" s="4" t="s">
        <v>76</v>
      </c>
      <c r="E12" s="4"/>
      <c r="G12" s="4"/>
      <c r="H12" s="4" t="s">
        <v>65</v>
      </c>
      <c r="J12" s="4"/>
      <c r="K12" s="4"/>
      <c r="L12" s="4"/>
      <c r="M12" s="4" t="s">
        <v>100</v>
      </c>
      <c r="N12" s="38">
        <v>16.16</v>
      </c>
      <c r="O12" s="38">
        <v>4.22</v>
      </c>
      <c r="P12" s="4" t="s">
        <v>10</v>
      </c>
      <c r="Q12" s="4"/>
      <c r="R12" s="4"/>
      <c r="S12" s="4"/>
    </row>
    <row r="13" spans="1:19" x14ac:dyDescent="0.25">
      <c r="A13" s="4"/>
      <c r="B13" s="4" t="s">
        <v>14</v>
      </c>
      <c r="C13" s="4">
        <v>3.1E-2</v>
      </c>
      <c r="D13" s="4" t="s">
        <v>76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x14ac:dyDescent="0.25">
      <c r="A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x14ac:dyDescent="0.25">
      <c r="A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5.75" x14ac:dyDescent="0.25">
      <c r="A18" s="4"/>
      <c r="B18" s="1" t="s">
        <v>61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x14ac:dyDescent="0.25">
      <c r="A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5.75" x14ac:dyDescent="0.25">
      <c r="A20" s="4"/>
      <c r="B20" s="1" t="s">
        <v>63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x14ac:dyDescent="0.25">
      <c r="A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6.5" x14ac:dyDescent="0.3">
      <c r="A22" s="4"/>
      <c r="B22" s="39" t="s">
        <v>88</v>
      </c>
      <c r="C22" s="39"/>
      <c r="D22" s="39"/>
      <c r="E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ht="18.75" x14ac:dyDescent="0.35">
      <c r="A23" s="4"/>
      <c r="B23" s="4" t="s">
        <v>40</v>
      </c>
      <c r="C23" s="4">
        <v>-74.8</v>
      </c>
      <c r="D23" s="4" t="s">
        <v>25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ht="18.75" x14ac:dyDescent="0.35">
      <c r="A24" s="4"/>
      <c r="B24" s="4" t="s">
        <v>41</v>
      </c>
      <c r="C24" s="4">
        <v>0</v>
      </c>
      <c r="D24" s="4" t="s">
        <v>25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18.75" x14ac:dyDescent="0.35">
      <c r="A25" s="4"/>
      <c r="B25" s="4" t="s">
        <v>42</v>
      </c>
      <c r="C25" s="4">
        <v>-393.5</v>
      </c>
      <c r="D25" s="4" t="s">
        <v>25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18.75" x14ac:dyDescent="0.35">
      <c r="A26" s="4"/>
      <c r="B26" s="4" t="s">
        <v>43</v>
      </c>
      <c r="C26" s="4">
        <v>-285.8</v>
      </c>
      <c r="D26" s="4" t="s">
        <v>25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18.75" x14ac:dyDescent="0.35">
      <c r="A27" s="4"/>
      <c r="B27" s="4" t="s">
        <v>44</v>
      </c>
      <c r="C27" s="4">
        <v>-890.3</v>
      </c>
      <c r="D27" s="4" t="s">
        <v>25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ht="16.5" x14ac:dyDescent="0.3">
      <c r="A28" s="4"/>
      <c r="B28" s="40" t="s">
        <v>89</v>
      </c>
      <c r="C28" s="41">
        <f>(C27/D36)</f>
        <v>-212.78680688336519</v>
      </c>
      <c r="D28" s="40" t="s">
        <v>28</v>
      </c>
      <c r="E28" s="41">
        <f>ABS(C28)</f>
        <v>212.78680688336519</v>
      </c>
      <c r="F28" s="40" t="s">
        <v>25</v>
      </c>
      <c r="G28" s="4" t="s">
        <v>62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x14ac:dyDescent="0.25">
      <c r="A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20.25" x14ac:dyDescent="0.35">
      <c r="A30" s="4"/>
      <c r="B30" s="1" t="s">
        <v>74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x14ac:dyDescent="0.25">
      <c r="A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x14ac:dyDescent="0.25">
      <c r="A32" s="4"/>
      <c r="B32" s="4">
        <v>1</v>
      </c>
      <c r="C32" s="4" t="s">
        <v>20</v>
      </c>
      <c r="D32" s="4">
        <v>24.4</v>
      </c>
      <c r="E32" s="4" t="s">
        <v>21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ht="18.75" x14ac:dyDescent="0.35">
      <c r="A33" s="4"/>
      <c r="B33" s="4" t="s">
        <v>45</v>
      </c>
      <c r="C33" s="4">
        <v>16</v>
      </c>
      <c r="D33" s="4" t="s">
        <v>22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17.25" x14ac:dyDescent="0.25">
      <c r="A34" s="4"/>
      <c r="B34" s="4">
        <v>1</v>
      </c>
      <c r="C34" s="4" t="s">
        <v>17</v>
      </c>
      <c r="D34" s="4">
        <v>1E-3</v>
      </c>
      <c r="E34" s="4" t="s">
        <v>50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17.25" x14ac:dyDescent="0.25">
      <c r="A35" s="4"/>
      <c r="B35" s="4">
        <v>1</v>
      </c>
      <c r="C35" s="4" t="s">
        <v>51</v>
      </c>
      <c r="D35" s="4">
        <v>44.64</v>
      </c>
      <c r="E35" s="4" t="s">
        <v>23</v>
      </c>
      <c r="F35" s="4" t="s">
        <v>24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x14ac:dyDescent="0.25">
      <c r="A36" s="4"/>
      <c r="B36" s="4">
        <v>1</v>
      </c>
      <c r="C36" s="4" t="s">
        <v>27</v>
      </c>
      <c r="D36" s="4">
        <v>4.1840000000000002</v>
      </c>
      <c r="E36" s="4" t="s">
        <v>25</v>
      </c>
      <c r="F36" s="4"/>
      <c r="G36" s="4"/>
    </row>
    <row r="37" spans="1:19" ht="18.75" x14ac:dyDescent="0.35">
      <c r="A37" s="4"/>
      <c r="B37" s="4">
        <v>1</v>
      </c>
      <c r="C37" s="4" t="s">
        <v>52</v>
      </c>
      <c r="D37" s="4">
        <v>44.64</v>
      </c>
      <c r="E37" s="4" t="s">
        <v>53</v>
      </c>
      <c r="F37" s="4" t="s">
        <v>29</v>
      </c>
      <c r="G37" s="4"/>
    </row>
    <row r="38" spans="1:19" ht="18.75" x14ac:dyDescent="0.35">
      <c r="A38" s="4"/>
      <c r="B38" s="4" t="s">
        <v>64</v>
      </c>
      <c r="C38" s="4">
        <f>D37*E28</f>
        <v>9498.8030592734212</v>
      </c>
      <c r="D38" s="4" t="s">
        <v>54</v>
      </c>
      <c r="E38" s="4"/>
      <c r="F38" s="4"/>
      <c r="G38" s="4"/>
    </row>
    <row r="39" spans="1:19" x14ac:dyDescent="0.25">
      <c r="A39" s="4"/>
      <c r="B39" s="4">
        <v>1</v>
      </c>
      <c r="C39" s="4" t="s">
        <v>30</v>
      </c>
      <c r="D39" s="4">
        <v>860</v>
      </c>
      <c r="E39" s="4" t="s">
        <v>26</v>
      </c>
      <c r="F39" s="4"/>
      <c r="G39" s="4"/>
    </row>
    <row r="40" spans="1:19" ht="18" x14ac:dyDescent="0.3">
      <c r="A40" s="4"/>
      <c r="B40" s="40" t="s">
        <v>90</v>
      </c>
      <c r="C40" s="40">
        <f>C38/D39</f>
        <v>11.045119836364444</v>
      </c>
      <c r="D40" s="40" t="s">
        <v>91</v>
      </c>
      <c r="E40" s="4"/>
      <c r="F40" s="4"/>
      <c r="G40" s="4"/>
    </row>
    <row r="41" spans="1:19" x14ac:dyDescent="0.25">
      <c r="A41" s="4"/>
      <c r="B41" s="4"/>
      <c r="C41" s="4"/>
      <c r="D41" s="4"/>
      <c r="E41" s="4"/>
      <c r="F41" s="4"/>
      <c r="G41" s="4"/>
    </row>
    <row r="42" spans="1:19" ht="15.75" x14ac:dyDescent="0.25">
      <c r="A42" s="4"/>
      <c r="B42" s="1" t="s">
        <v>93</v>
      </c>
    </row>
    <row r="43" spans="1:19" x14ac:dyDescent="0.25">
      <c r="A43" s="4"/>
    </row>
    <row r="44" spans="1:19" x14ac:dyDescent="0.25">
      <c r="A44" s="4"/>
      <c r="E44" s="4" t="s">
        <v>104</v>
      </c>
      <c r="F44" s="4"/>
    </row>
    <row r="45" spans="1:19" ht="18.75" x14ac:dyDescent="0.35">
      <c r="A45" s="4"/>
      <c r="E45" s="4" t="s">
        <v>55</v>
      </c>
      <c r="F45" s="69">
        <v>0.74</v>
      </c>
      <c r="G45" t="s">
        <v>92</v>
      </c>
    </row>
    <row r="46" spans="1:19" ht="18.75" x14ac:dyDescent="0.35">
      <c r="A46" s="4"/>
      <c r="E46" s="4" t="s">
        <v>56</v>
      </c>
      <c r="F46" s="69">
        <v>0.26300000000000001</v>
      </c>
      <c r="G46" t="s">
        <v>92</v>
      </c>
    </row>
    <row r="47" spans="1:19" ht="18.75" x14ac:dyDescent="0.35">
      <c r="A47" s="4"/>
      <c r="E47" s="4" t="s">
        <v>86</v>
      </c>
      <c r="F47" s="4">
        <v>4.8000000000000001E-4</v>
      </c>
      <c r="G47" t="s">
        <v>92</v>
      </c>
    </row>
    <row r="48" spans="1:19" x14ac:dyDescent="0.25">
      <c r="A48" s="4"/>
      <c r="B48" s="4" t="s">
        <v>16</v>
      </c>
      <c r="C48" s="4">
        <f>(C40*F45)/1000</f>
        <v>8.1733886789096891E-3</v>
      </c>
      <c r="D48" s="4" t="s">
        <v>77</v>
      </c>
    </row>
    <row r="49" spans="1:19" x14ac:dyDescent="0.25">
      <c r="A49" s="4"/>
    </row>
    <row r="50" spans="1:19" ht="15.75" x14ac:dyDescent="0.25">
      <c r="A50" s="4"/>
      <c r="B50" s="1" t="s">
        <v>75</v>
      </c>
    </row>
    <row r="51" spans="1:19" x14ac:dyDescent="0.25">
      <c r="A51" s="4"/>
    </row>
    <row r="52" spans="1:19" ht="15.75" x14ac:dyDescent="0.25">
      <c r="A52" s="4"/>
      <c r="E52" s="1" t="s">
        <v>66</v>
      </c>
    </row>
    <row r="53" spans="1:19" x14ac:dyDescent="0.25">
      <c r="A53" s="4"/>
    </row>
    <row r="54" spans="1:19" ht="15.75" x14ac:dyDescent="0.25">
      <c r="A54" s="4"/>
      <c r="B54" s="1" t="s">
        <v>67</v>
      </c>
    </row>
    <row r="55" spans="1:19" x14ac:dyDescent="0.25">
      <c r="A55" s="4"/>
    </row>
    <row r="56" spans="1:19" ht="15.75" x14ac:dyDescent="0.25">
      <c r="A56" s="4"/>
      <c r="B56" s="1" t="s">
        <v>68</v>
      </c>
    </row>
    <row r="57" spans="1:19" x14ac:dyDescent="0.25">
      <c r="A57" s="4"/>
    </row>
    <row r="58" spans="1:19" x14ac:dyDescent="0.25">
      <c r="A58" s="4"/>
      <c r="B58" s="4" t="s">
        <v>19</v>
      </c>
      <c r="C58" s="4">
        <v>35</v>
      </c>
      <c r="D58" s="4" t="s">
        <v>12</v>
      </c>
    </row>
    <row r="59" spans="1:19" x14ac:dyDescent="0.25">
      <c r="A59" s="4"/>
      <c r="B59" s="4" t="s">
        <v>18</v>
      </c>
      <c r="C59" s="4">
        <v>50</v>
      </c>
      <c r="D59" s="4" t="s">
        <v>12</v>
      </c>
    </row>
    <row r="60" spans="1:19" x14ac:dyDescent="0.25">
      <c r="A60" s="4"/>
    </row>
    <row r="61" spans="1:19" ht="15.75" thickBot="1" x14ac:dyDescent="0.3">
      <c r="A61" s="4"/>
      <c r="B61" s="4"/>
      <c r="C61" s="4"/>
      <c r="D61" s="7"/>
      <c r="E61" s="7"/>
      <c r="F61" s="53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ht="16.5" thickTop="1" thickBot="1" x14ac:dyDescent="0.3">
      <c r="A62" s="4"/>
      <c r="B62" s="4"/>
      <c r="C62" s="62" t="s">
        <v>32</v>
      </c>
      <c r="D62" s="63"/>
      <c r="E62" s="64"/>
      <c r="F62" s="62" t="s">
        <v>31</v>
      </c>
      <c r="G62" s="63"/>
      <c r="H62" s="64"/>
      <c r="I62" s="65" t="s">
        <v>35</v>
      </c>
      <c r="J62" s="66" t="s">
        <v>33</v>
      </c>
      <c r="K62" s="67"/>
      <c r="L62" s="65" t="s">
        <v>15</v>
      </c>
      <c r="M62" s="62" t="s">
        <v>34</v>
      </c>
      <c r="N62" s="68"/>
      <c r="O62" s="4"/>
      <c r="P62" s="4"/>
      <c r="Q62" s="4"/>
      <c r="R62" s="4"/>
      <c r="S62" s="4"/>
    </row>
    <row r="63" spans="1:19" ht="76.5" thickTop="1" thickBot="1" x14ac:dyDescent="0.3">
      <c r="A63" s="4"/>
      <c r="B63" s="54" t="s">
        <v>1</v>
      </c>
      <c r="C63" s="55" t="s">
        <v>78</v>
      </c>
      <c r="D63" s="56" t="s">
        <v>79</v>
      </c>
      <c r="E63" s="57" t="s">
        <v>80</v>
      </c>
      <c r="F63" s="58" t="s">
        <v>101</v>
      </c>
      <c r="G63" s="59" t="s">
        <v>81</v>
      </c>
      <c r="H63" s="58" t="s">
        <v>102</v>
      </c>
      <c r="I63" s="59" t="s">
        <v>80</v>
      </c>
      <c r="J63" s="56" t="s">
        <v>82</v>
      </c>
      <c r="K63" s="55" t="s">
        <v>83</v>
      </c>
      <c r="L63" s="56" t="s">
        <v>84</v>
      </c>
      <c r="M63" s="55" t="s">
        <v>9</v>
      </c>
      <c r="N63" s="56" t="s">
        <v>85</v>
      </c>
      <c r="O63" s="55" t="s">
        <v>5</v>
      </c>
      <c r="P63" s="56" t="s">
        <v>6</v>
      </c>
      <c r="Q63" s="55" t="s">
        <v>4</v>
      </c>
      <c r="R63" s="60" t="s">
        <v>7</v>
      </c>
      <c r="S63" s="61" t="s">
        <v>103</v>
      </c>
    </row>
    <row r="64" spans="1:19" ht="16.5" thickTop="1" thickBot="1" x14ac:dyDescent="0.3">
      <c r="A64" s="4"/>
      <c r="B64" s="8" t="s">
        <v>0</v>
      </c>
      <c r="C64" s="9">
        <v>0</v>
      </c>
      <c r="D64" s="20">
        <f>M64+N64</f>
        <v>1.1499999999999999</v>
      </c>
      <c r="E64" s="21">
        <f>C64+D64</f>
        <v>1.1499999999999999</v>
      </c>
      <c r="F64" s="20">
        <v>154</v>
      </c>
      <c r="G64" s="22">
        <f>F64*$C$48</f>
        <v>1.2587018565520922</v>
      </c>
      <c r="H64" s="23">
        <f>F64*$D$37*$D$34</f>
        <v>6.8745600000000007</v>
      </c>
      <c r="I64" s="21">
        <f>G64-E64</f>
        <v>0.1087018565520923</v>
      </c>
      <c r="J64" s="24">
        <f>I64*0.35</f>
        <v>3.80456497932323E-2</v>
      </c>
      <c r="K64" s="21">
        <f>I64*0.5</f>
        <v>5.4350928276046151E-2</v>
      </c>
      <c r="L64" s="25">
        <v>0</v>
      </c>
      <c r="M64" s="26">
        <f>C12*25</f>
        <v>0.375</v>
      </c>
      <c r="N64" s="27">
        <f>C13*25</f>
        <v>0.77500000000000002</v>
      </c>
      <c r="O64" s="26">
        <v>0</v>
      </c>
      <c r="P64" s="27">
        <v>0</v>
      </c>
      <c r="Q64" s="46">
        <v>0</v>
      </c>
      <c r="R64" s="47">
        <f>(N11*O11*N6)/10000</f>
        <v>3.3760000000000002E-4</v>
      </c>
      <c r="S64" s="37" t="s">
        <v>69</v>
      </c>
    </row>
    <row r="65" spans="1:19" ht="18" thickTop="1" thickBot="1" x14ac:dyDescent="0.3">
      <c r="A65" s="4"/>
      <c r="B65" s="28" t="s">
        <v>46</v>
      </c>
      <c r="C65" s="29">
        <f>L65</f>
        <v>0.50423796992481207</v>
      </c>
      <c r="D65" s="30">
        <f>M65+N65</f>
        <v>0.73599999999999999</v>
      </c>
      <c r="E65" s="31">
        <f>C65+D65</f>
        <v>1.2402379699248121</v>
      </c>
      <c r="F65" s="30">
        <v>312</v>
      </c>
      <c r="G65" s="32">
        <f>F65*$C$48</f>
        <v>2.5500972678198228</v>
      </c>
      <c r="H65" s="33">
        <f>F65*$D$37*$D$34</f>
        <v>13.927680000000001</v>
      </c>
      <c r="I65" s="31">
        <f>G65-E65</f>
        <v>1.3098592978950108</v>
      </c>
      <c r="J65" s="34">
        <f t="shared" ref="J65:J68" si="0">I65*0.35</f>
        <v>0.45845075426325371</v>
      </c>
      <c r="K65" s="31">
        <f t="shared" ref="K65:K68" si="1">I65*0.5</f>
        <v>0.65492964894750538</v>
      </c>
      <c r="L65" s="35">
        <f>((O65*P65*Q65)/1000)/R65</f>
        <v>0.50423796992481207</v>
      </c>
      <c r="M65" s="6">
        <f>C12*16</f>
        <v>0.24</v>
      </c>
      <c r="N65" s="36">
        <f>C13*16</f>
        <v>0.496</v>
      </c>
      <c r="O65" s="6">
        <v>0.67</v>
      </c>
      <c r="P65" s="45">
        <v>2.0019</v>
      </c>
      <c r="Q65" s="42">
        <f>30/60</f>
        <v>0.5</v>
      </c>
      <c r="R65" s="48">
        <v>1.33E-3</v>
      </c>
      <c r="S65" s="37" t="s">
        <v>70</v>
      </c>
    </row>
    <row r="66" spans="1:19" ht="20.25" thickTop="1" thickBot="1" x14ac:dyDescent="0.3">
      <c r="A66" s="4"/>
      <c r="B66" s="28" t="s">
        <v>47</v>
      </c>
      <c r="C66" s="29">
        <f>L66</f>
        <v>0.58685446009389663</v>
      </c>
      <c r="D66" s="30">
        <f>M66+N66</f>
        <v>1.8399999999999999</v>
      </c>
      <c r="E66" s="31">
        <f t="shared" ref="E66:E67" si="2">C66+D66</f>
        <v>2.4268544600938964</v>
      </c>
      <c r="F66" s="30">
        <v>348</v>
      </c>
      <c r="G66" s="32">
        <f>F66*$C$48</f>
        <v>2.8443392602605719</v>
      </c>
      <c r="H66" s="33">
        <f>F66*$D$37*$D$34</f>
        <v>15.53472</v>
      </c>
      <c r="I66" s="31">
        <f>G66-E66</f>
        <v>0.41748480016667555</v>
      </c>
      <c r="J66" s="34">
        <f t="shared" si="0"/>
        <v>0.14611968005833642</v>
      </c>
      <c r="K66" s="31">
        <f t="shared" si="1"/>
        <v>0.20874240008333778</v>
      </c>
      <c r="L66" s="35">
        <f>((O66*P66*Q66)/1000)/R66</f>
        <v>0.58685446009389663</v>
      </c>
      <c r="M66" s="6">
        <f>C12*40</f>
        <v>0.6</v>
      </c>
      <c r="N66" s="36">
        <f>C13*40</f>
        <v>1.24</v>
      </c>
      <c r="O66" s="42">
        <v>20</v>
      </c>
      <c r="P66" s="36">
        <v>0.125</v>
      </c>
      <c r="Q66" s="42">
        <f>40/60</f>
        <v>0.66666666666666663</v>
      </c>
      <c r="R66" s="48">
        <v>2.8400000000000001E-3</v>
      </c>
      <c r="S66" s="37" t="s">
        <v>71</v>
      </c>
    </row>
    <row r="67" spans="1:19" ht="18" thickTop="1" thickBot="1" x14ac:dyDescent="0.3">
      <c r="A67" s="4"/>
      <c r="B67" s="10" t="s">
        <v>48</v>
      </c>
      <c r="C67" s="11">
        <f t="shared" ref="C66:C68" si="3">L67</f>
        <v>1.2403100775193798</v>
      </c>
      <c r="D67" s="12">
        <f>M67+N67</f>
        <v>1.6099999999999999</v>
      </c>
      <c r="E67" s="13">
        <f t="shared" si="2"/>
        <v>2.8503100775193797</v>
      </c>
      <c r="F67" s="12">
        <v>147</v>
      </c>
      <c r="G67" s="14">
        <f>F67*$C$48</f>
        <v>1.2014881357997242</v>
      </c>
      <c r="H67" s="15">
        <f>F67*$D$37*$D$34</f>
        <v>6.5620799999999999</v>
      </c>
      <c r="I67" s="13">
        <f t="shared" ref="I67:I68" si="4">G67-E67</f>
        <v>-1.6488219417196555</v>
      </c>
      <c r="J67" s="16">
        <f t="shared" si="0"/>
        <v>-0.57708767960187934</v>
      </c>
      <c r="K67" s="13">
        <f t="shared" si="1"/>
        <v>-0.82441097085982773</v>
      </c>
      <c r="L67" s="17">
        <f t="shared" ref="L67" si="5">((O67*P67*Q67)/1000)/R67</f>
        <v>1.2403100775193798</v>
      </c>
      <c r="M67" s="18">
        <f>C12*35</f>
        <v>0.52500000000000002</v>
      </c>
      <c r="N67" s="19">
        <f>C13*35</f>
        <v>1.085</v>
      </c>
      <c r="O67" s="43">
        <v>10</v>
      </c>
      <c r="P67" s="44">
        <v>0.4</v>
      </c>
      <c r="Q67" s="43">
        <f>120/60</f>
        <v>2</v>
      </c>
      <c r="R67" s="49">
        <v>6.45E-3</v>
      </c>
      <c r="S67" s="37" t="s">
        <v>72</v>
      </c>
    </row>
    <row r="68" spans="1:19" ht="18" thickTop="1" thickBot="1" x14ac:dyDescent="0.3">
      <c r="A68" s="4"/>
      <c r="B68" s="10" t="s">
        <v>49</v>
      </c>
      <c r="C68" s="11">
        <f t="shared" si="3"/>
        <v>4.1666666666666678E-2</v>
      </c>
      <c r="D68" s="12">
        <f>M68+N68</f>
        <v>1.1499999999999999</v>
      </c>
      <c r="E68" s="13">
        <f>C68+D68</f>
        <v>1.1916666666666667</v>
      </c>
      <c r="F68" s="12">
        <v>342</v>
      </c>
      <c r="G68" s="14">
        <f>F68*$C$48</f>
        <v>2.7952989281871137</v>
      </c>
      <c r="H68" s="15">
        <f>F68*$D$37*$D$34</f>
        <v>15.26688</v>
      </c>
      <c r="I68" s="13">
        <f t="shared" si="4"/>
        <v>1.603632261520447</v>
      </c>
      <c r="J68" s="16">
        <f t="shared" si="0"/>
        <v>0.56127129153215638</v>
      </c>
      <c r="K68" s="13">
        <f t="shared" si="1"/>
        <v>0.80181613076022351</v>
      </c>
      <c r="L68" s="17">
        <f>((O68*P68*Q68)/1000)/R68</f>
        <v>4.1666666666666678E-2</v>
      </c>
      <c r="M68" s="18">
        <f>C12*25</f>
        <v>0.375</v>
      </c>
      <c r="N68" s="19">
        <f>C13*25</f>
        <v>0.77500000000000002</v>
      </c>
      <c r="O68" s="18">
        <v>2.84</v>
      </c>
      <c r="P68" s="44">
        <v>0.01</v>
      </c>
      <c r="Q68" s="43">
        <f>30/60</f>
        <v>0.5</v>
      </c>
      <c r="R68" s="50">
        <f>(N9*O9*N6)/10000</f>
        <v>3.4079999999999988E-4</v>
      </c>
      <c r="S68" s="37" t="s">
        <v>69</v>
      </c>
    </row>
    <row r="69" spans="1:19" ht="15.75" thickTop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x14ac:dyDescent="0.25">
      <c r="A70" s="4"/>
      <c r="B70" s="5" t="s">
        <v>2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x14ac:dyDescent="0.25">
      <c r="B71" s="5" t="s">
        <v>3</v>
      </c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x14ac:dyDescent="0.25"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x14ac:dyDescent="0.25"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x14ac:dyDescent="0.25"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x14ac:dyDescent="0.25"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x14ac:dyDescent="0.25"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x14ac:dyDescent="0.25"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x14ac:dyDescent="0.25">
      <c r="F79" s="4"/>
      <c r="M79" s="4"/>
      <c r="N79" s="4"/>
      <c r="O79" s="4"/>
      <c r="P79" s="4"/>
      <c r="Q79" s="4"/>
      <c r="R79" s="4"/>
      <c r="S79" s="4"/>
    </row>
    <row r="80" spans="1:19" x14ac:dyDescent="0.25">
      <c r="F80" s="4"/>
      <c r="M80" s="4"/>
      <c r="N80" s="4"/>
      <c r="O80" s="4"/>
      <c r="P80" s="4"/>
      <c r="Q80" s="4"/>
      <c r="R80" s="4"/>
      <c r="S80" s="4"/>
    </row>
    <row r="81" spans="2:19" x14ac:dyDescent="0.25">
      <c r="B81" s="4"/>
      <c r="C81" s="4"/>
      <c r="D81" s="4"/>
      <c r="E81" s="4"/>
      <c r="F81" s="4"/>
      <c r="M81" s="4"/>
      <c r="N81" s="4"/>
      <c r="O81" s="4"/>
      <c r="P81" s="4"/>
      <c r="Q81" s="4"/>
      <c r="R81" s="4"/>
      <c r="S81" s="4"/>
    </row>
    <row r="82" spans="2:19" x14ac:dyDescent="0.25">
      <c r="B82" s="4"/>
      <c r="C82" s="4"/>
      <c r="D82" s="4"/>
      <c r="E82" s="4"/>
      <c r="F82" s="4"/>
      <c r="M82" s="4"/>
      <c r="N82" s="4"/>
      <c r="O82" s="4"/>
      <c r="P82" s="4"/>
      <c r="Q82" s="4"/>
      <c r="R82" s="4"/>
      <c r="S82" s="4"/>
    </row>
    <row r="83" spans="2:19" x14ac:dyDescent="0.25">
      <c r="B83" s="4"/>
      <c r="C83" s="4"/>
      <c r="D83" s="4"/>
      <c r="E83" s="4"/>
      <c r="F83" s="4"/>
      <c r="M83" s="4"/>
      <c r="N83" s="4"/>
      <c r="O83" s="4"/>
      <c r="P83" s="4"/>
      <c r="Q83" s="4"/>
      <c r="R83" s="4"/>
      <c r="S83" s="4"/>
    </row>
    <row r="84" spans="2:19" x14ac:dyDescent="0.25">
      <c r="E84" s="4"/>
      <c r="F84" s="4"/>
      <c r="M84" s="4"/>
      <c r="N84" s="4"/>
      <c r="O84" s="4"/>
      <c r="P84" s="4"/>
      <c r="Q84" s="4"/>
      <c r="R84" s="4"/>
      <c r="S84" s="4"/>
    </row>
    <row r="85" spans="2:19" x14ac:dyDescent="0.25">
      <c r="E85" s="4"/>
      <c r="F85" s="4"/>
      <c r="M85" s="4"/>
      <c r="N85" s="4"/>
      <c r="O85" s="4"/>
      <c r="P85" s="4"/>
      <c r="Q85" s="4"/>
      <c r="R85" s="4"/>
      <c r="S85" s="4"/>
    </row>
    <row r="86" spans="2:19" x14ac:dyDescent="0.25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2:19" x14ac:dyDescent="0.25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2:19" x14ac:dyDescent="0.25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</sheetData>
  <mergeCells count="5">
    <mergeCell ref="C62:E62"/>
    <mergeCell ref="M62:N62"/>
    <mergeCell ref="J62:K62"/>
    <mergeCell ref="B22:D22"/>
    <mergeCell ref="F62:H6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Energetic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Selene González Ledesma</dc:creator>
  <cp:lastModifiedBy>Ulises  Durán Hinojosa</cp:lastModifiedBy>
  <dcterms:created xsi:type="dcterms:W3CDTF">2025-06-19T18:59:59Z</dcterms:created>
  <dcterms:modified xsi:type="dcterms:W3CDTF">2025-07-28T01:48:51Z</dcterms:modified>
</cp:coreProperties>
</file>