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ucas\Lucas\Doutorado\Projetos - Lucas\Proteômica saliva H. longicornis\Tabelas\Annotation\Host\"/>
    </mc:Choice>
  </mc:AlternateContent>
  <bookViews>
    <workbookView xWindow="0" yWindow="0" windowWidth="20490" windowHeight="7755"/>
  </bookViews>
  <sheets>
    <sheet name="Host-Hlong-all-table.xlsx" sheetId="1" r:id="rId1"/>
  </sheets>
  <calcPr calcId="152511"/>
</workbook>
</file>

<file path=xl/calcChain.xml><?xml version="1.0" encoding="utf-8"?>
<calcChain xmlns="http://schemas.openxmlformats.org/spreadsheetml/2006/main">
  <c r="A11" i="1" l="1"/>
  <c r="F11" i="1"/>
  <c r="G11" i="1"/>
  <c r="H11" i="1"/>
  <c r="U11" i="1"/>
  <c r="V11" i="1"/>
  <c r="W11" i="1"/>
  <c r="AJ11" i="1"/>
  <c r="AK11" i="1"/>
  <c r="AN11" i="1"/>
  <c r="AO11" i="1"/>
  <c r="AV11" i="1"/>
  <c r="BC11" i="1"/>
  <c r="A12" i="1"/>
  <c r="F12" i="1"/>
  <c r="G12" i="1"/>
  <c r="H12" i="1"/>
  <c r="U12" i="1"/>
  <c r="V12" i="1"/>
  <c r="W12" i="1"/>
  <c r="AJ12" i="1"/>
  <c r="AK12" i="1"/>
  <c r="AN12" i="1"/>
  <c r="AO12" i="1"/>
  <c r="AV12" i="1"/>
  <c r="BC12" i="1"/>
  <c r="A13" i="1"/>
  <c r="F13" i="1"/>
  <c r="G13" i="1"/>
  <c r="H13" i="1"/>
  <c r="U13" i="1"/>
  <c r="V13" i="1"/>
  <c r="W13" i="1"/>
  <c r="AJ13" i="1"/>
  <c r="AK13" i="1"/>
  <c r="AN13" i="1"/>
  <c r="AO13" i="1"/>
  <c r="AV13" i="1"/>
  <c r="BC13" i="1"/>
  <c r="A14" i="1"/>
  <c r="F14" i="1"/>
  <c r="G14" i="1"/>
  <c r="H14" i="1"/>
  <c r="U14" i="1"/>
  <c r="V14" i="1"/>
  <c r="W14" i="1"/>
  <c r="AJ14" i="1"/>
  <c r="AK14" i="1"/>
  <c r="AN14" i="1"/>
  <c r="AO14" i="1"/>
  <c r="AV14" i="1"/>
  <c r="BC14" i="1"/>
  <c r="A15" i="1"/>
  <c r="F15" i="1"/>
  <c r="G15" i="1"/>
  <c r="H15" i="1"/>
  <c r="U15" i="1"/>
  <c r="V15" i="1"/>
  <c r="W15" i="1"/>
  <c r="AJ15" i="1"/>
  <c r="AK15" i="1"/>
  <c r="AN15" i="1"/>
  <c r="AO15" i="1"/>
  <c r="AV15" i="1"/>
  <c r="BC15" i="1"/>
  <c r="A50" i="1"/>
  <c r="F50" i="1"/>
  <c r="G50" i="1"/>
  <c r="H50" i="1"/>
  <c r="U50" i="1"/>
  <c r="V50" i="1"/>
  <c r="W50" i="1"/>
  <c r="AJ50" i="1"/>
  <c r="AK50" i="1"/>
  <c r="AN50" i="1"/>
  <c r="AO50" i="1"/>
  <c r="AV50" i="1"/>
  <c r="BC50" i="1"/>
  <c r="A16" i="1"/>
  <c r="F16" i="1"/>
  <c r="G16" i="1"/>
  <c r="H16" i="1"/>
  <c r="U16" i="1"/>
  <c r="V16" i="1"/>
  <c r="W16" i="1"/>
  <c r="AJ16" i="1"/>
  <c r="AK16" i="1"/>
  <c r="AN16" i="1"/>
  <c r="AO16" i="1"/>
  <c r="AV16" i="1"/>
  <c r="BC16" i="1"/>
  <c r="A17" i="1"/>
  <c r="F17" i="1"/>
  <c r="G17" i="1"/>
  <c r="H17" i="1"/>
  <c r="U17" i="1"/>
  <c r="V17" i="1"/>
  <c r="W17" i="1"/>
  <c r="AJ17" i="1"/>
  <c r="AK17" i="1"/>
  <c r="AN17" i="1"/>
  <c r="AO17" i="1"/>
  <c r="AV17" i="1"/>
  <c r="BC17" i="1"/>
  <c r="A18" i="1"/>
  <c r="F18" i="1"/>
  <c r="G18" i="1"/>
  <c r="H18" i="1"/>
  <c r="U18" i="1"/>
  <c r="V18" i="1"/>
  <c r="W18" i="1"/>
  <c r="AJ18" i="1"/>
  <c r="AK18" i="1"/>
  <c r="AN18" i="1"/>
  <c r="AO18" i="1"/>
  <c r="AV18" i="1"/>
  <c r="BC18" i="1"/>
  <c r="A19" i="1"/>
  <c r="F19" i="1"/>
  <c r="G19" i="1"/>
  <c r="H19" i="1"/>
  <c r="U19" i="1"/>
  <c r="V19" i="1"/>
  <c r="W19" i="1"/>
  <c r="AJ19" i="1"/>
  <c r="AK19" i="1"/>
  <c r="AN19" i="1"/>
  <c r="AO19" i="1"/>
  <c r="AV19" i="1"/>
  <c r="BC19" i="1"/>
  <c r="A45" i="1"/>
  <c r="F45" i="1"/>
  <c r="G45" i="1"/>
  <c r="H45" i="1"/>
  <c r="U45" i="1"/>
  <c r="V45" i="1"/>
  <c r="W45" i="1"/>
  <c r="AJ45" i="1"/>
  <c r="AK45" i="1"/>
  <c r="AN45" i="1"/>
  <c r="AO45" i="1"/>
  <c r="AV45" i="1"/>
  <c r="BC45" i="1"/>
  <c r="A20" i="1"/>
  <c r="F20" i="1"/>
  <c r="G20" i="1"/>
  <c r="H20" i="1"/>
  <c r="U20" i="1"/>
  <c r="V20" i="1"/>
  <c r="W20" i="1"/>
  <c r="AJ20" i="1"/>
  <c r="AK20" i="1"/>
  <c r="AN20" i="1"/>
  <c r="AO20" i="1"/>
  <c r="AS20" i="1"/>
  <c r="AV20" i="1"/>
  <c r="BC20" i="1"/>
  <c r="A46" i="1"/>
  <c r="F46" i="1"/>
  <c r="G46" i="1"/>
  <c r="H46" i="1"/>
  <c r="U46" i="1"/>
  <c r="V46" i="1"/>
  <c r="W46" i="1"/>
  <c r="AJ46" i="1"/>
  <c r="AK46" i="1"/>
  <c r="AN46" i="1"/>
  <c r="AO46" i="1"/>
  <c r="AV46" i="1"/>
  <c r="BC46" i="1"/>
  <c r="A21" i="1"/>
  <c r="F21" i="1"/>
  <c r="G21" i="1"/>
  <c r="H21" i="1"/>
  <c r="U21" i="1"/>
  <c r="V21" i="1"/>
  <c r="W21" i="1"/>
  <c r="AJ21" i="1"/>
  <c r="AK21" i="1"/>
  <c r="AN21" i="1"/>
  <c r="AO21" i="1"/>
  <c r="AV21" i="1"/>
  <c r="BC21" i="1"/>
  <c r="A22" i="1"/>
  <c r="F22" i="1"/>
  <c r="G22" i="1"/>
  <c r="H22" i="1"/>
  <c r="U22" i="1"/>
  <c r="V22" i="1"/>
  <c r="W22" i="1"/>
  <c r="AJ22" i="1"/>
  <c r="AK22" i="1"/>
  <c r="AN22" i="1"/>
  <c r="AO22" i="1"/>
  <c r="AV22" i="1"/>
  <c r="BC22" i="1"/>
  <c r="A98" i="1"/>
  <c r="F98" i="1"/>
  <c r="G98" i="1"/>
  <c r="H98" i="1"/>
  <c r="U98" i="1"/>
  <c r="V98" i="1"/>
  <c r="W98" i="1"/>
  <c r="AJ98" i="1"/>
  <c r="AK98" i="1"/>
  <c r="AN98" i="1"/>
  <c r="AO98" i="1"/>
  <c r="AV98" i="1"/>
  <c r="BC98" i="1"/>
  <c r="A99" i="1"/>
  <c r="F99" i="1"/>
  <c r="G99" i="1"/>
  <c r="H99" i="1"/>
  <c r="U99" i="1"/>
  <c r="V99" i="1"/>
  <c r="W99" i="1"/>
  <c r="AJ99" i="1"/>
  <c r="AK99" i="1"/>
  <c r="AN99" i="1"/>
  <c r="AO99" i="1"/>
  <c r="AV99" i="1"/>
  <c r="BC99" i="1"/>
  <c r="A47" i="1"/>
  <c r="F47" i="1"/>
  <c r="G47" i="1"/>
  <c r="H47" i="1"/>
  <c r="U47" i="1"/>
  <c r="V47" i="1"/>
  <c r="W47" i="1"/>
  <c r="AJ47" i="1"/>
  <c r="AK47" i="1"/>
  <c r="AN47" i="1"/>
  <c r="AO47" i="1"/>
  <c r="AV47" i="1"/>
  <c r="BC47" i="1"/>
  <c r="A23" i="1"/>
  <c r="F23" i="1"/>
  <c r="G23" i="1"/>
  <c r="H23" i="1"/>
  <c r="U23" i="1"/>
  <c r="V23" i="1"/>
  <c r="W23" i="1"/>
  <c r="AJ23" i="1"/>
  <c r="AK23" i="1"/>
  <c r="AN23" i="1"/>
  <c r="AO23" i="1"/>
  <c r="AV23" i="1"/>
  <c r="BC23" i="1"/>
  <c r="A42" i="1"/>
  <c r="F42" i="1"/>
  <c r="G42" i="1"/>
  <c r="H42" i="1"/>
  <c r="U42" i="1"/>
  <c r="V42" i="1"/>
  <c r="W42" i="1"/>
  <c r="AJ42" i="1"/>
  <c r="AK42" i="1"/>
  <c r="AN42" i="1"/>
  <c r="AO42" i="1"/>
  <c r="AV42" i="1"/>
  <c r="BC42" i="1"/>
  <c r="A24" i="1"/>
  <c r="F24" i="1"/>
  <c r="G24" i="1"/>
  <c r="H24" i="1"/>
  <c r="U24" i="1"/>
  <c r="V24" i="1"/>
  <c r="W24" i="1"/>
  <c r="AJ24" i="1"/>
  <c r="AK24" i="1"/>
  <c r="AN24" i="1"/>
  <c r="AO24" i="1"/>
  <c r="AV24" i="1"/>
  <c r="BC24" i="1"/>
  <c r="A25" i="1"/>
  <c r="F25" i="1"/>
  <c r="G25" i="1"/>
  <c r="H25" i="1"/>
  <c r="U25" i="1"/>
  <c r="V25" i="1"/>
  <c r="W25" i="1"/>
  <c r="AJ25" i="1"/>
  <c r="AK25" i="1"/>
  <c r="AN25" i="1"/>
  <c r="AO25" i="1"/>
  <c r="AV25" i="1"/>
  <c r="BC25" i="1"/>
  <c r="A8" i="1"/>
  <c r="F8" i="1"/>
  <c r="G8" i="1"/>
  <c r="H8" i="1"/>
  <c r="U8" i="1"/>
  <c r="V8" i="1"/>
  <c r="W8" i="1"/>
  <c r="AJ8" i="1"/>
  <c r="AK8" i="1"/>
  <c r="AN8" i="1"/>
  <c r="AV8" i="1"/>
  <c r="A36" i="1"/>
  <c r="F36" i="1"/>
  <c r="G36" i="1"/>
  <c r="H36" i="1"/>
  <c r="U36" i="1"/>
  <c r="V36" i="1"/>
  <c r="W36" i="1"/>
  <c r="AJ36" i="1"/>
  <c r="AK36" i="1"/>
  <c r="AN36" i="1"/>
  <c r="AO36" i="1"/>
  <c r="AV36" i="1"/>
  <c r="BC36" i="1"/>
  <c r="A65" i="1"/>
  <c r="F65" i="1"/>
  <c r="G65" i="1"/>
  <c r="H65" i="1"/>
  <c r="U65" i="1"/>
  <c r="V65" i="1"/>
  <c r="W65" i="1"/>
  <c r="AJ65" i="1"/>
  <c r="AK65" i="1"/>
  <c r="AN65" i="1"/>
  <c r="AO65" i="1"/>
  <c r="AS65" i="1"/>
  <c r="AT65" i="1"/>
  <c r="AV65" i="1"/>
  <c r="BC65" i="1"/>
  <c r="A26" i="1"/>
  <c r="F26" i="1"/>
  <c r="G26" i="1"/>
  <c r="H26" i="1"/>
  <c r="U26" i="1"/>
  <c r="V26" i="1"/>
  <c r="W26" i="1"/>
  <c r="AJ26" i="1"/>
  <c r="AK26" i="1"/>
  <c r="AN26" i="1"/>
  <c r="AO26" i="1"/>
  <c r="AV26" i="1"/>
  <c r="BC26" i="1"/>
  <c r="A27" i="1"/>
  <c r="F27" i="1"/>
  <c r="G27" i="1"/>
  <c r="H27" i="1"/>
  <c r="U27" i="1"/>
  <c r="V27" i="1"/>
  <c r="W27" i="1"/>
  <c r="AJ27" i="1"/>
  <c r="AK27" i="1"/>
  <c r="AN27" i="1"/>
  <c r="AO27" i="1"/>
  <c r="AV27" i="1"/>
  <c r="BC27" i="1"/>
  <c r="A100" i="1"/>
  <c r="F100" i="1"/>
  <c r="G100" i="1"/>
  <c r="H100" i="1"/>
  <c r="U100" i="1"/>
  <c r="V100" i="1"/>
  <c r="W100" i="1"/>
  <c r="AJ100" i="1"/>
  <c r="AK100" i="1"/>
  <c r="AN100" i="1"/>
  <c r="AO100" i="1"/>
  <c r="AS100" i="1"/>
  <c r="AV100" i="1"/>
  <c r="BC100" i="1"/>
  <c r="A43" i="1"/>
  <c r="F43" i="1"/>
  <c r="G43" i="1"/>
  <c r="H43" i="1"/>
  <c r="U43" i="1"/>
  <c r="V43" i="1"/>
  <c r="W43" i="1"/>
  <c r="AJ43" i="1"/>
  <c r="AK43" i="1"/>
  <c r="AN43" i="1"/>
  <c r="AO43" i="1"/>
  <c r="AV43" i="1"/>
  <c r="BC43" i="1"/>
  <c r="A28" i="1"/>
  <c r="F28" i="1"/>
  <c r="G28" i="1"/>
  <c r="H28" i="1"/>
  <c r="U28" i="1"/>
  <c r="V28" i="1"/>
  <c r="W28" i="1"/>
  <c r="AJ28" i="1"/>
  <c r="AK28" i="1"/>
  <c r="AN28" i="1"/>
  <c r="AO28" i="1"/>
  <c r="AV28" i="1"/>
  <c r="BC28" i="1"/>
  <c r="A101" i="1"/>
  <c r="F101" i="1"/>
  <c r="G101" i="1"/>
  <c r="H101" i="1"/>
  <c r="U101" i="1"/>
  <c r="V101" i="1"/>
  <c r="W101" i="1"/>
  <c r="AJ101" i="1"/>
  <c r="AK101" i="1"/>
  <c r="AN101" i="1"/>
  <c r="AO101" i="1"/>
  <c r="AS101" i="1"/>
  <c r="AV101" i="1"/>
  <c r="BC101" i="1"/>
  <c r="A67" i="1"/>
  <c r="F67" i="1"/>
  <c r="G67" i="1"/>
  <c r="H67" i="1"/>
  <c r="U67" i="1"/>
  <c r="V67" i="1"/>
  <c r="W67" i="1"/>
  <c r="AJ67" i="1"/>
  <c r="AK67" i="1"/>
  <c r="AN67" i="1"/>
  <c r="AO67" i="1"/>
  <c r="AV67" i="1"/>
  <c r="BC67" i="1"/>
  <c r="A38" i="1"/>
  <c r="F38" i="1"/>
  <c r="G38" i="1"/>
  <c r="H38" i="1"/>
  <c r="U38" i="1"/>
  <c r="V38" i="1"/>
  <c r="W38" i="1"/>
  <c r="AJ38" i="1"/>
  <c r="AK38" i="1"/>
  <c r="AN38" i="1"/>
  <c r="AO38" i="1"/>
  <c r="AS38" i="1"/>
  <c r="AT38" i="1"/>
  <c r="AV38" i="1"/>
  <c r="BC38" i="1"/>
  <c r="A44" i="1"/>
  <c r="F44" i="1"/>
  <c r="G44" i="1"/>
  <c r="H44" i="1"/>
  <c r="U44" i="1"/>
  <c r="V44" i="1"/>
  <c r="W44" i="1"/>
  <c r="AJ44" i="1"/>
  <c r="AK44" i="1"/>
  <c r="AN44" i="1"/>
  <c r="AO44" i="1"/>
  <c r="AV44" i="1"/>
  <c r="BC44" i="1"/>
  <c r="A29" i="1"/>
  <c r="F29" i="1"/>
  <c r="G29" i="1"/>
  <c r="H29" i="1"/>
  <c r="U29" i="1"/>
  <c r="V29" i="1"/>
  <c r="W29" i="1"/>
  <c r="AJ29" i="1"/>
  <c r="AK29" i="1"/>
  <c r="AN29" i="1"/>
  <c r="AO29" i="1"/>
  <c r="AV29" i="1"/>
  <c r="BC29" i="1"/>
  <c r="A39" i="1"/>
  <c r="F39" i="1"/>
  <c r="G39" i="1"/>
  <c r="H39" i="1"/>
  <c r="U39" i="1"/>
  <c r="V39" i="1"/>
  <c r="W39" i="1"/>
  <c r="AJ39" i="1"/>
  <c r="AK39" i="1"/>
  <c r="AN39" i="1"/>
  <c r="AO39" i="1"/>
  <c r="AS39" i="1"/>
  <c r="AV39" i="1"/>
  <c r="BC39" i="1"/>
  <c r="A40" i="1"/>
  <c r="F40" i="1"/>
  <c r="G40" i="1"/>
  <c r="H40" i="1"/>
  <c r="U40" i="1"/>
  <c r="V40" i="1"/>
  <c r="W40" i="1"/>
  <c r="AJ40" i="1"/>
  <c r="AK40" i="1"/>
  <c r="AN40" i="1"/>
  <c r="AO40" i="1"/>
  <c r="AS40" i="1"/>
  <c r="AV40" i="1"/>
  <c r="BC40" i="1"/>
  <c r="A48" i="1"/>
  <c r="F48" i="1"/>
  <c r="G48" i="1"/>
  <c r="H48" i="1"/>
  <c r="U48" i="1"/>
  <c r="V48" i="1"/>
  <c r="W48" i="1"/>
  <c r="AJ48" i="1"/>
  <c r="AK48" i="1"/>
  <c r="AN48" i="1"/>
  <c r="AO48" i="1"/>
  <c r="AV48" i="1"/>
  <c r="BC48" i="1"/>
  <c r="A63" i="1"/>
  <c r="F63" i="1"/>
  <c r="G63" i="1"/>
  <c r="H63" i="1"/>
  <c r="U63" i="1"/>
  <c r="V63" i="1"/>
  <c r="W63" i="1"/>
  <c r="AJ63" i="1"/>
  <c r="AK63" i="1"/>
  <c r="AN63" i="1"/>
  <c r="AO63" i="1"/>
  <c r="AV63" i="1"/>
  <c r="BC63" i="1"/>
  <c r="A5" i="1"/>
  <c r="F5" i="1"/>
  <c r="G5" i="1"/>
  <c r="H5" i="1"/>
  <c r="U5" i="1"/>
  <c r="V5" i="1"/>
  <c r="W5" i="1"/>
  <c r="AJ5" i="1"/>
  <c r="AK5" i="1"/>
  <c r="AN5" i="1"/>
  <c r="AO5" i="1"/>
  <c r="AS5" i="1"/>
  <c r="AV5" i="1"/>
  <c r="BC5" i="1"/>
  <c r="A71" i="1"/>
  <c r="F71" i="1"/>
  <c r="G71" i="1"/>
  <c r="H71" i="1"/>
  <c r="U71" i="1"/>
  <c r="V71" i="1"/>
  <c r="W71" i="1"/>
  <c r="AJ71" i="1"/>
  <c r="AK71" i="1"/>
  <c r="AN71" i="1"/>
  <c r="AO71" i="1"/>
  <c r="AV71" i="1"/>
  <c r="BC71" i="1"/>
  <c r="A77" i="1"/>
  <c r="F77" i="1"/>
  <c r="G77" i="1"/>
  <c r="H77" i="1"/>
  <c r="U77" i="1"/>
  <c r="V77" i="1"/>
  <c r="W77" i="1"/>
  <c r="AJ77" i="1"/>
  <c r="AK77" i="1"/>
  <c r="AN77" i="1"/>
  <c r="AO77" i="1"/>
  <c r="AV77" i="1"/>
  <c r="BC77" i="1"/>
  <c r="A51" i="1"/>
  <c r="F51" i="1"/>
  <c r="G51" i="1"/>
  <c r="H51" i="1"/>
  <c r="U51" i="1"/>
  <c r="V51" i="1"/>
  <c r="W51" i="1"/>
  <c r="AJ51" i="1"/>
  <c r="AK51" i="1"/>
  <c r="AN51" i="1"/>
  <c r="AO51" i="1"/>
  <c r="AV51" i="1"/>
  <c r="BC51" i="1"/>
  <c r="A87" i="1"/>
  <c r="F87" i="1"/>
  <c r="G87" i="1"/>
  <c r="H87" i="1"/>
  <c r="U87" i="1"/>
  <c r="V87" i="1"/>
  <c r="W87" i="1"/>
  <c r="AJ87" i="1"/>
  <c r="AK87" i="1"/>
  <c r="AN87" i="1"/>
  <c r="AO87" i="1"/>
  <c r="AV87" i="1"/>
  <c r="BC87" i="1"/>
  <c r="A52" i="1"/>
  <c r="F52" i="1"/>
  <c r="G52" i="1"/>
  <c r="H52" i="1"/>
  <c r="U52" i="1"/>
  <c r="V52" i="1"/>
  <c r="W52" i="1"/>
  <c r="AJ52" i="1"/>
  <c r="AK52" i="1"/>
  <c r="AN52" i="1"/>
  <c r="AO52" i="1"/>
  <c r="AV52" i="1"/>
  <c r="BC52" i="1"/>
  <c r="A53" i="1"/>
  <c r="F53" i="1"/>
  <c r="G53" i="1"/>
  <c r="H53" i="1"/>
  <c r="U53" i="1"/>
  <c r="V53" i="1"/>
  <c r="W53" i="1"/>
  <c r="AJ53" i="1"/>
  <c r="AK53" i="1"/>
  <c r="AN53" i="1"/>
  <c r="AO53" i="1"/>
  <c r="AV53" i="1"/>
  <c r="BC53" i="1"/>
  <c r="A54" i="1"/>
  <c r="F54" i="1"/>
  <c r="G54" i="1"/>
  <c r="H54" i="1"/>
  <c r="U54" i="1"/>
  <c r="V54" i="1"/>
  <c r="W54" i="1"/>
  <c r="AJ54" i="1"/>
  <c r="AK54" i="1"/>
  <c r="AN54" i="1"/>
  <c r="AO54" i="1"/>
  <c r="AV54" i="1"/>
  <c r="BC54" i="1"/>
  <c r="A55" i="1"/>
  <c r="F55" i="1"/>
  <c r="G55" i="1"/>
  <c r="H55" i="1"/>
  <c r="U55" i="1"/>
  <c r="V55" i="1"/>
  <c r="W55" i="1"/>
  <c r="AJ55" i="1"/>
  <c r="AK55" i="1"/>
  <c r="AN55" i="1"/>
  <c r="AO55" i="1"/>
  <c r="AV55" i="1"/>
  <c r="BC55" i="1"/>
  <c r="A56" i="1"/>
  <c r="F56" i="1"/>
  <c r="G56" i="1"/>
  <c r="H56" i="1"/>
  <c r="U56" i="1"/>
  <c r="V56" i="1"/>
  <c r="W56" i="1"/>
  <c r="AJ56" i="1"/>
  <c r="AK56" i="1"/>
  <c r="AN56" i="1"/>
  <c r="AO56" i="1"/>
  <c r="AV56" i="1"/>
  <c r="BC56" i="1"/>
  <c r="A78" i="1"/>
  <c r="F78" i="1"/>
  <c r="G78" i="1"/>
  <c r="H78" i="1"/>
  <c r="U78" i="1"/>
  <c r="V78" i="1"/>
  <c r="W78" i="1"/>
  <c r="AJ78" i="1"/>
  <c r="AK78" i="1"/>
  <c r="AN78" i="1"/>
  <c r="AO78" i="1"/>
  <c r="AV78" i="1"/>
  <c r="BC78" i="1"/>
  <c r="A97" i="1"/>
  <c r="F97" i="1"/>
  <c r="G97" i="1"/>
  <c r="H97" i="1"/>
  <c r="U97" i="1"/>
  <c r="V97" i="1"/>
  <c r="W97" i="1"/>
  <c r="AJ97" i="1"/>
  <c r="AK97" i="1"/>
  <c r="AN97" i="1"/>
  <c r="AO97" i="1"/>
  <c r="AV97" i="1"/>
  <c r="BC97" i="1"/>
  <c r="A62" i="1"/>
  <c r="F62" i="1"/>
  <c r="G62" i="1"/>
  <c r="H62" i="1"/>
  <c r="U62" i="1"/>
  <c r="V62" i="1"/>
  <c r="W62" i="1"/>
  <c r="AJ62" i="1"/>
  <c r="AK62" i="1"/>
  <c r="AN62" i="1"/>
  <c r="AO62" i="1"/>
  <c r="AS62" i="1"/>
  <c r="AV62" i="1"/>
  <c r="BC62" i="1"/>
  <c r="A88" i="1"/>
  <c r="F88" i="1"/>
  <c r="G88" i="1"/>
  <c r="H88" i="1"/>
  <c r="U88" i="1"/>
  <c r="V88" i="1"/>
  <c r="W88" i="1"/>
  <c r="AJ88" i="1"/>
  <c r="AK88" i="1"/>
  <c r="AN88" i="1"/>
  <c r="AO88" i="1"/>
  <c r="AV88" i="1"/>
  <c r="BC88" i="1"/>
  <c r="A86" i="1"/>
  <c r="F86" i="1"/>
  <c r="G86" i="1"/>
  <c r="H86" i="1"/>
  <c r="U86" i="1"/>
  <c r="V86" i="1"/>
  <c r="W86" i="1"/>
  <c r="AJ86" i="1"/>
  <c r="AK86" i="1"/>
  <c r="AN86" i="1"/>
  <c r="AO86" i="1"/>
  <c r="AV86" i="1"/>
  <c r="BC86" i="1"/>
  <c r="A79" i="1"/>
  <c r="F79" i="1"/>
  <c r="G79" i="1"/>
  <c r="H79" i="1"/>
  <c r="U79" i="1"/>
  <c r="V79" i="1"/>
  <c r="W79" i="1"/>
  <c r="AJ79" i="1"/>
  <c r="AK79" i="1"/>
  <c r="AN79" i="1"/>
  <c r="AO79" i="1"/>
  <c r="AV79" i="1"/>
  <c r="BC79" i="1"/>
  <c r="A89" i="1"/>
  <c r="F89" i="1"/>
  <c r="G89" i="1"/>
  <c r="H89" i="1"/>
  <c r="U89" i="1"/>
  <c r="V89" i="1"/>
  <c r="W89" i="1"/>
  <c r="AJ89" i="1"/>
  <c r="AK89" i="1"/>
  <c r="AN89" i="1"/>
  <c r="AO89" i="1"/>
  <c r="AV89" i="1"/>
  <c r="BC89" i="1"/>
  <c r="A90" i="1"/>
  <c r="F90" i="1"/>
  <c r="G90" i="1"/>
  <c r="H90" i="1"/>
  <c r="U90" i="1"/>
  <c r="V90" i="1"/>
  <c r="W90" i="1"/>
  <c r="AJ90" i="1"/>
  <c r="AK90" i="1"/>
  <c r="AN90" i="1"/>
  <c r="AO90" i="1"/>
  <c r="AV90" i="1"/>
  <c r="BC90" i="1"/>
  <c r="A66" i="1"/>
  <c r="F66" i="1"/>
  <c r="G66" i="1"/>
  <c r="H66" i="1"/>
  <c r="U66" i="1"/>
  <c r="V66" i="1"/>
  <c r="W66" i="1"/>
  <c r="AJ66" i="1"/>
  <c r="AK66" i="1"/>
  <c r="AN66" i="1"/>
  <c r="AO66" i="1"/>
  <c r="AV66" i="1"/>
  <c r="BC66" i="1"/>
  <c r="A64" i="1"/>
  <c r="F64" i="1"/>
  <c r="G64" i="1"/>
  <c r="H64" i="1"/>
  <c r="U64" i="1"/>
  <c r="V64" i="1"/>
  <c r="W64" i="1"/>
  <c r="AJ64" i="1"/>
  <c r="AK64" i="1"/>
  <c r="AN64" i="1"/>
  <c r="AO64" i="1"/>
  <c r="AV64" i="1"/>
  <c r="BC64" i="1"/>
  <c r="A57" i="1"/>
  <c r="F57" i="1"/>
  <c r="G57" i="1"/>
  <c r="H57" i="1"/>
  <c r="U57" i="1"/>
  <c r="V57" i="1"/>
  <c r="W57" i="1"/>
  <c r="AJ57" i="1"/>
  <c r="AK57" i="1"/>
  <c r="AN57" i="1"/>
  <c r="AO57" i="1"/>
  <c r="AV57" i="1"/>
  <c r="BC57" i="1"/>
  <c r="A73" i="1"/>
  <c r="F73" i="1"/>
  <c r="G73" i="1"/>
  <c r="H73" i="1"/>
  <c r="U73" i="1"/>
  <c r="V73" i="1"/>
  <c r="W73" i="1"/>
  <c r="AJ73" i="1"/>
  <c r="AK73" i="1"/>
  <c r="AN73" i="1"/>
  <c r="AO73" i="1"/>
  <c r="AV73" i="1"/>
  <c r="BC73" i="1"/>
  <c r="A30" i="1"/>
  <c r="F30" i="1"/>
  <c r="G30" i="1"/>
  <c r="H30" i="1"/>
  <c r="U30" i="1"/>
  <c r="V30" i="1"/>
  <c r="W30" i="1"/>
  <c r="AJ30" i="1"/>
  <c r="AK30" i="1"/>
  <c r="AN30" i="1"/>
  <c r="AO30" i="1"/>
  <c r="AV30" i="1"/>
  <c r="BC30" i="1"/>
  <c r="A34" i="1"/>
  <c r="F34" i="1"/>
  <c r="G34" i="1"/>
  <c r="H34" i="1"/>
  <c r="U34" i="1"/>
  <c r="V34" i="1"/>
  <c r="W34" i="1"/>
  <c r="AJ34" i="1"/>
  <c r="AK34" i="1"/>
  <c r="AN34" i="1"/>
  <c r="AO34" i="1"/>
  <c r="AV34" i="1"/>
  <c r="BC34" i="1"/>
  <c r="A35" i="1"/>
  <c r="F35" i="1"/>
  <c r="G35" i="1"/>
  <c r="H35" i="1"/>
  <c r="U35" i="1"/>
  <c r="V35" i="1"/>
  <c r="W35" i="1"/>
  <c r="AJ35" i="1"/>
  <c r="AK35" i="1"/>
  <c r="AN35" i="1"/>
  <c r="AO35" i="1"/>
  <c r="AV35" i="1"/>
  <c r="BC35" i="1"/>
  <c r="A80" i="1"/>
  <c r="F80" i="1"/>
  <c r="G80" i="1"/>
  <c r="H80" i="1"/>
  <c r="U80" i="1"/>
  <c r="V80" i="1"/>
  <c r="W80" i="1"/>
  <c r="AJ80" i="1"/>
  <c r="AK80" i="1"/>
  <c r="AN80" i="1"/>
  <c r="AO80" i="1"/>
  <c r="AV80" i="1"/>
  <c r="BC80" i="1"/>
  <c r="A95" i="1"/>
  <c r="F95" i="1"/>
  <c r="G95" i="1"/>
  <c r="H95" i="1"/>
  <c r="U95" i="1"/>
  <c r="V95" i="1"/>
  <c r="W95" i="1"/>
  <c r="AJ95" i="1"/>
  <c r="AK95" i="1"/>
  <c r="AN95" i="1"/>
  <c r="AO95" i="1"/>
  <c r="AV95" i="1"/>
  <c r="BC95" i="1"/>
  <c r="A76" i="1"/>
  <c r="F76" i="1"/>
  <c r="G76" i="1"/>
  <c r="H76" i="1"/>
  <c r="U76" i="1"/>
  <c r="V76" i="1"/>
  <c r="W76" i="1"/>
  <c r="AJ76" i="1"/>
  <c r="AK76" i="1"/>
  <c r="AN76" i="1"/>
  <c r="AO76" i="1"/>
  <c r="AV76" i="1"/>
  <c r="BC76" i="1"/>
  <c r="A61" i="1"/>
  <c r="F61" i="1"/>
  <c r="G61" i="1"/>
  <c r="H61" i="1"/>
  <c r="U61" i="1"/>
  <c r="V61" i="1"/>
  <c r="W61" i="1"/>
  <c r="AJ61" i="1"/>
  <c r="AK61" i="1"/>
  <c r="AN61" i="1"/>
  <c r="AO61" i="1"/>
  <c r="AV61" i="1"/>
  <c r="BC61" i="1"/>
  <c r="A91" i="1"/>
  <c r="F91" i="1"/>
  <c r="G91" i="1"/>
  <c r="H91" i="1"/>
  <c r="U91" i="1"/>
  <c r="V91" i="1"/>
  <c r="W91" i="1"/>
  <c r="AJ91" i="1"/>
  <c r="AK91" i="1"/>
  <c r="AN91" i="1"/>
  <c r="AO91" i="1"/>
  <c r="AV91" i="1"/>
  <c r="BC91" i="1"/>
  <c r="A6" i="1"/>
  <c r="F6" i="1"/>
  <c r="G6" i="1"/>
  <c r="H6" i="1"/>
  <c r="U6" i="1"/>
  <c r="V6" i="1"/>
  <c r="W6" i="1"/>
  <c r="AJ6" i="1"/>
  <c r="AK6" i="1"/>
  <c r="AN6" i="1"/>
  <c r="AO6" i="1"/>
  <c r="AS6" i="1"/>
  <c r="AV6" i="1"/>
  <c r="BC6" i="1"/>
  <c r="A92" i="1"/>
  <c r="F92" i="1"/>
  <c r="G92" i="1"/>
  <c r="H92" i="1"/>
  <c r="U92" i="1"/>
  <c r="V92" i="1"/>
  <c r="W92" i="1"/>
  <c r="AJ92" i="1"/>
  <c r="AK92" i="1"/>
  <c r="AN92" i="1"/>
  <c r="AO92" i="1"/>
  <c r="AV92" i="1"/>
  <c r="BC92" i="1"/>
  <c r="A31" i="1"/>
  <c r="F31" i="1"/>
  <c r="G31" i="1"/>
  <c r="H31" i="1"/>
  <c r="U31" i="1"/>
  <c r="V31" i="1"/>
  <c r="W31" i="1"/>
  <c r="AJ31" i="1"/>
  <c r="AK31" i="1"/>
  <c r="AN31" i="1"/>
  <c r="AV31" i="1"/>
  <c r="BC31" i="1"/>
  <c r="A81" i="1"/>
  <c r="F81" i="1"/>
  <c r="G81" i="1"/>
  <c r="H81" i="1"/>
  <c r="U81" i="1"/>
  <c r="V81" i="1"/>
  <c r="W81" i="1"/>
  <c r="AJ81" i="1"/>
  <c r="AK81" i="1"/>
  <c r="AN81" i="1"/>
  <c r="AO81" i="1"/>
  <c r="AV81" i="1"/>
  <c r="BC81" i="1"/>
  <c r="A37" i="1"/>
  <c r="F37" i="1"/>
  <c r="G37" i="1"/>
  <c r="H37" i="1"/>
  <c r="U37" i="1"/>
  <c r="V37" i="1"/>
  <c r="W37" i="1"/>
  <c r="AJ37" i="1"/>
  <c r="AK37" i="1"/>
  <c r="AN37" i="1"/>
  <c r="AO37" i="1"/>
  <c r="AV37" i="1"/>
  <c r="BC37" i="1"/>
  <c r="A82" i="1"/>
  <c r="F82" i="1"/>
  <c r="G82" i="1"/>
  <c r="H82" i="1"/>
  <c r="U82" i="1"/>
  <c r="V82" i="1"/>
  <c r="W82" i="1"/>
  <c r="AJ82" i="1"/>
  <c r="AK82" i="1"/>
  <c r="AN82" i="1"/>
  <c r="AO82" i="1"/>
  <c r="AV82" i="1"/>
  <c r="BC82" i="1"/>
  <c r="A83" i="1"/>
  <c r="F83" i="1"/>
  <c r="G83" i="1"/>
  <c r="H83" i="1"/>
  <c r="U83" i="1"/>
  <c r="V83" i="1"/>
  <c r="W83" i="1"/>
  <c r="AJ83" i="1"/>
  <c r="AK83" i="1"/>
  <c r="AN83" i="1"/>
  <c r="AO83" i="1"/>
  <c r="AV83" i="1"/>
  <c r="BC83" i="1"/>
  <c r="A93" i="1"/>
  <c r="F93" i="1"/>
  <c r="G93" i="1"/>
  <c r="H93" i="1"/>
  <c r="U93" i="1"/>
  <c r="V93" i="1"/>
  <c r="W93" i="1"/>
  <c r="AJ93" i="1"/>
  <c r="AK93" i="1"/>
  <c r="AN93" i="1"/>
  <c r="AO93" i="1"/>
  <c r="AV93" i="1"/>
  <c r="BC93" i="1"/>
  <c r="A70" i="1"/>
  <c r="F70" i="1"/>
  <c r="G70" i="1"/>
  <c r="H70" i="1"/>
  <c r="U70" i="1"/>
  <c r="V70" i="1"/>
  <c r="W70" i="1"/>
  <c r="AJ70" i="1"/>
  <c r="AK70" i="1"/>
  <c r="AN70" i="1"/>
  <c r="AO70" i="1"/>
  <c r="AV70" i="1"/>
  <c r="BC70" i="1"/>
  <c r="A84" i="1"/>
  <c r="F84" i="1"/>
  <c r="G84" i="1"/>
  <c r="H84" i="1"/>
  <c r="U84" i="1"/>
  <c r="V84" i="1"/>
  <c r="W84" i="1"/>
  <c r="AJ84" i="1"/>
  <c r="AK84" i="1"/>
  <c r="AN84" i="1"/>
  <c r="AO84" i="1"/>
  <c r="AV84" i="1"/>
  <c r="BC84" i="1"/>
  <c r="A85" i="1"/>
  <c r="F85" i="1"/>
  <c r="G85" i="1"/>
  <c r="H85" i="1"/>
  <c r="U85" i="1"/>
  <c r="V85" i="1"/>
  <c r="W85" i="1"/>
  <c r="AJ85" i="1"/>
  <c r="AK85" i="1"/>
  <c r="AN85" i="1"/>
  <c r="AO85" i="1"/>
  <c r="AV85" i="1"/>
  <c r="BC85" i="1"/>
  <c r="A94" i="1"/>
  <c r="F94" i="1"/>
  <c r="G94" i="1"/>
  <c r="H94" i="1"/>
  <c r="U94" i="1"/>
  <c r="V94" i="1"/>
  <c r="W94" i="1"/>
  <c r="AJ94" i="1"/>
  <c r="AK94" i="1"/>
  <c r="AN94" i="1"/>
  <c r="AO94" i="1"/>
  <c r="AV94" i="1"/>
  <c r="BC94" i="1"/>
  <c r="A49" i="1"/>
  <c r="F49" i="1"/>
  <c r="G49" i="1"/>
  <c r="H49" i="1"/>
  <c r="U49" i="1"/>
  <c r="V49" i="1"/>
  <c r="W49" i="1"/>
  <c r="AJ49" i="1"/>
  <c r="AK49" i="1"/>
  <c r="AN49" i="1"/>
  <c r="AO49" i="1"/>
  <c r="AV49" i="1"/>
  <c r="BC49" i="1"/>
  <c r="A41" i="1"/>
  <c r="F41" i="1"/>
  <c r="G41" i="1"/>
  <c r="H41" i="1"/>
  <c r="U41" i="1"/>
  <c r="V41" i="1"/>
  <c r="W41" i="1"/>
  <c r="AJ41" i="1"/>
  <c r="AK41" i="1"/>
  <c r="AN41" i="1"/>
  <c r="AO41" i="1"/>
  <c r="AV41" i="1"/>
  <c r="BC41" i="1"/>
  <c r="A68" i="1"/>
  <c r="F68" i="1"/>
  <c r="G68" i="1"/>
  <c r="H68" i="1"/>
  <c r="U68" i="1"/>
  <c r="V68" i="1"/>
  <c r="W68" i="1"/>
  <c r="AJ68" i="1"/>
  <c r="AK68" i="1"/>
  <c r="AN68" i="1"/>
  <c r="AO68" i="1"/>
  <c r="AV68" i="1"/>
  <c r="BC68" i="1"/>
  <c r="A7" i="1"/>
  <c r="F7" i="1"/>
  <c r="G7" i="1"/>
  <c r="H7" i="1"/>
  <c r="U7" i="1"/>
  <c r="V7" i="1"/>
  <c r="W7" i="1"/>
  <c r="AJ7" i="1"/>
  <c r="AK7" i="1"/>
  <c r="AN7" i="1"/>
  <c r="AO7" i="1"/>
  <c r="AS7" i="1"/>
  <c r="AT7" i="1"/>
  <c r="AV7" i="1"/>
  <c r="BC7" i="1"/>
  <c r="A69" i="1"/>
  <c r="F69" i="1"/>
  <c r="G69" i="1"/>
  <c r="H69" i="1"/>
  <c r="U69" i="1"/>
  <c r="V69" i="1"/>
  <c r="W69" i="1"/>
  <c r="AJ69" i="1"/>
  <c r="AK69" i="1"/>
  <c r="AN69" i="1"/>
  <c r="AO69" i="1"/>
  <c r="AV69" i="1"/>
  <c r="BC69" i="1"/>
  <c r="A3" i="1"/>
  <c r="F3" i="1"/>
  <c r="G3" i="1"/>
  <c r="H3" i="1"/>
  <c r="U3" i="1"/>
  <c r="V3" i="1"/>
  <c r="W3" i="1"/>
  <c r="AJ3" i="1"/>
  <c r="AK3" i="1"/>
  <c r="AN3" i="1"/>
  <c r="AO3" i="1"/>
  <c r="AV3" i="1"/>
  <c r="BC3" i="1"/>
  <c r="A96" i="1"/>
  <c r="F96" i="1"/>
  <c r="G96" i="1"/>
  <c r="H96" i="1"/>
  <c r="U96" i="1"/>
  <c r="V96" i="1"/>
  <c r="W96" i="1"/>
  <c r="AJ96" i="1"/>
  <c r="AK96" i="1"/>
  <c r="AN96" i="1"/>
  <c r="AO96" i="1"/>
  <c r="AV96" i="1"/>
  <c r="BC96" i="1"/>
  <c r="A58" i="1"/>
  <c r="F58" i="1"/>
  <c r="G58" i="1"/>
  <c r="H58" i="1"/>
  <c r="U58" i="1"/>
  <c r="V58" i="1"/>
  <c r="W58" i="1"/>
  <c r="AJ58" i="1"/>
  <c r="AK58" i="1"/>
  <c r="AN58" i="1"/>
  <c r="AO58" i="1"/>
  <c r="AV58" i="1"/>
  <c r="BC58" i="1"/>
  <c r="A74" i="1"/>
  <c r="F74" i="1"/>
  <c r="G74" i="1"/>
  <c r="H74" i="1"/>
  <c r="U74" i="1"/>
  <c r="V74" i="1"/>
  <c r="W74" i="1"/>
  <c r="AJ74" i="1"/>
  <c r="AK74" i="1"/>
  <c r="AN74" i="1"/>
  <c r="AO74" i="1"/>
  <c r="AV74" i="1"/>
  <c r="BC74" i="1"/>
  <c r="A72" i="1"/>
  <c r="F72" i="1"/>
  <c r="G72" i="1"/>
  <c r="H72" i="1"/>
  <c r="U72" i="1"/>
  <c r="V72" i="1"/>
  <c r="W72" i="1"/>
  <c r="AJ72" i="1"/>
  <c r="AK72" i="1"/>
  <c r="AN72" i="1"/>
  <c r="AO72" i="1"/>
  <c r="AS72" i="1"/>
  <c r="AV72" i="1"/>
  <c r="BC72" i="1"/>
  <c r="A32" i="1"/>
  <c r="F32" i="1"/>
  <c r="G32" i="1"/>
  <c r="H32" i="1"/>
  <c r="U32" i="1"/>
  <c r="V32" i="1"/>
  <c r="W32" i="1"/>
  <c r="AJ32" i="1"/>
  <c r="AK32" i="1"/>
  <c r="AN32" i="1"/>
  <c r="AO32" i="1"/>
  <c r="AV32" i="1"/>
  <c r="BC32" i="1"/>
  <c r="A9" i="1"/>
  <c r="F9" i="1"/>
  <c r="G9" i="1"/>
  <c r="H9" i="1"/>
  <c r="U9" i="1"/>
  <c r="V9" i="1"/>
  <c r="W9" i="1"/>
  <c r="AJ9" i="1"/>
  <c r="AK9" i="1"/>
  <c r="AN9" i="1"/>
  <c r="AO9" i="1"/>
  <c r="AV9" i="1"/>
  <c r="BC9" i="1"/>
  <c r="A59" i="1"/>
  <c r="F59" i="1"/>
  <c r="G59" i="1"/>
  <c r="H59" i="1"/>
  <c r="U59" i="1"/>
  <c r="V59" i="1"/>
  <c r="W59" i="1"/>
  <c r="AJ59" i="1"/>
  <c r="AK59" i="1"/>
  <c r="AN59" i="1"/>
  <c r="AO59" i="1"/>
  <c r="AV59" i="1"/>
  <c r="BC59" i="1"/>
  <c r="A60" i="1"/>
  <c r="F60" i="1"/>
  <c r="G60" i="1"/>
  <c r="H60" i="1"/>
  <c r="U60" i="1"/>
  <c r="V60" i="1"/>
  <c r="W60" i="1"/>
  <c r="AJ60" i="1"/>
  <c r="AK60" i="1"/>
  <c r="AN60" i="1"/>
  <c r="AO60" i="1"/>
  <c r="AV60" i="1"/>
  <c r="BC60" i="1"/>
  <c r="A10" i="1"/>
  <c r="F10" i="1"/>
  <c r="G10" i="1"/>
  <c r="H10" i="1"/>
  <c r="U10" i="1"/>
  <c r="V10" i="1"/>
  <c r="W10" i="1"/>
  <c r="AJ10" i="1"/>
  <c r="AK10" i="1"/>
  <c r="AN10" i="1"/>
  <c r="AO10" i="1"/>
  <c r="AV10" i="1"/>
  <c r="BC10" i="1"/>
  <c r="A33" i="1"/>
  <c r="F33" i="1"/>
  <c r="G33" i="1"/>
  <c r="H33" i="1"/>
  <c r="U33" i="1"/>
  <c r="V33" i="1"/>
  <c r="W33" i="1"/>
  <c r="AJ33" i="1"/>
  <c r="AK33" i="1"/>
  <c r="AN33" i="1"/>
  <c r="AO33" i="1"/>
  <c r="AV33" i="1"/>
  <c r="BC33" i="1"/>
  <c r="A2" i="1"/>
  <c r="F2" i="1"/>
  <c r="G2" i="1"/>
  <c r="H2" i="1"/>
  <c r="U2" i="1"/>
  <c r="V2" i="1"/>
  <c r="W2" i="1"/>
  <c r="AJ2" i="1"/>
  <c r="AK2" i="1"/>
  <c r="AN2" i="1"/>
  <c r="AO2" i="1"/>
  <c r="AV2" i="1"/>
  <c r="BC2" i="1"/>
  <c r="A75" i="1"/>
  <c r="F75" i="1"/>
  <c r="G75" i="1"/>
  <c r="H75" i="1"/>
  <c r="U75" i="1"/>
  <c r="V75" i="1"/>
  <c r="W75" i="1"/>
  <c r="AJ75" i="1"/>
  <c r="AK75" i="1"/>
  <c r="AN75" i="1"/>
  <c r="AO75" i="1"/>
  <c r="AV75" i="1"/>
  <c r="BC75" i="1"/>
  <c r="A4" i="1"/>
  <c r="F4" i="1"/>
  <c r="G4" i="1"/>
  <c r="H4" i="1"/>
  <c r="U4" i="1"/>
  <c r="V4" i="1"/>
  <c r="W4" i="1"/>
  <c r="AJ4" i="1"/>
  <c r="AK4" i="1"/>
  <c r="AN4" i="1"/>
  <c r="AO4" i="1"/>
  <c r="AV4" i="1"/>
  <c r="BC4" i="1"/>
</calcChain>
</file>

<file path=xl/sharedStrings.xml><?xml version="1.0" encoding="utf-8"?>
<sst xmlns="http://schemas.openxmlformats.org/spreadsheetml/2006/main" count="2004" uniqueCount="716">
  <si>
    <t>Seq name</t>
  </si>
  <si>
    <t>First residue</t>
  </si>
  <si>
    <t>Seq size</t>
  </si>
  <si>
    <t>Best match to RABBIT-NCBI protein database</t>
  </si>
  <si>
    <t>E value</t>
  </si>
  <si>
    <t>Match</t>
  </si>
  <si>
    <t>Score</t>
  </si>
  <si>
    <t>Extent of match</t>
  </si>
  <si>
    <t>Length of best match</t>
  </si>
  <si>
    <t>% identity</t>
  </si>
  <si>
    <t>% similarity</t>
  </si>
  <si>
    <t>% Coverage</t>
  </si>
  <si>
    <t>Mismatches</t>
  </si>
  <si>
    <t>Gaps</t>
  </si>
  <si>
    <t>First residue of match</t>
  </si>
  <si>
    <t>First residue of sequence</t>
  </si>
  <si>
    <t>Number of segments</t>
  </si>
  <si>
    <t xml:space="preserve">Species of best match </t>
  </si>
  <si>
    <t>Best match to REFSEQ-VERTEBRATES protein database</t>
  </si>
  <si>
    <t>Best match to CDD database</t>
  </si>
  <si>
    <t xml:space="preserve">All CDD domains </t>
  </si>
  <si>
    <t>Best match to GO database</t>
  </si>
  <si>
    <t>GO function</t>
  </si>
  <si>
    <t>Function</t>
  </si>
  <si>
    <t>Definition</t>
  </si>
  <si>
    <t>Synonym</t>
  </si>
  <si>
    <t>EC number</t>
  </si>
  <si>
    <t>KEGG</t>
  </si>
  <si>
    <t>GO component</t>
  </si>
  <si>
    <t>Component</t>
  </si>
  <si>
    <t>GO process</t>
  </si>
  <si>
    <t>Process</t>
  </si>
  <si>
    <t>M</t>
  </si>
  <si>
    <t xml:space="preserve"> </t>
  </si>
  <si>
    <t>Oryctolagus cuniculus</t>
  </si>
  <si>
    <t>Secretoglobin 5e-007| Uteroglobin 2e-006| BURP | dot_icm_DotB | DUF3708 | SERPIN | PBP2_NikA_DppA_OppA_like_21 | ModA | DUF818 | Integrin_beta | PRK10631 | DEP_RGS7-like 10| GRS1 10| SAM_EPS8-like 14| PTZ00341 14| PLN03188 14| Glucos_trans_II 18| NUDIX_2 18| BAR-PH_GRAF_family 18| NAL 18|</t>
  </si>
  <si>
    <t>Secretoglobin family 1D member 2 - Homo sapiens - extracellular space</t>
  </si>
  <si>
    <t>protein binding</t>
  </si>
  <si>
    <t>Interacting selectively and non-covalently with any protein or protein complex (a complex of two or more proteins that may include other nonprotein molecules).  [GOC:go_curators]</t>
  </si>
  <si>
    <t>alpha-2 macroglobulin receptor-associated protein activity  RELATED []</t>
  </si>
  <si>
    <t>extracellular space</t>
  </si>
  <si>
    <t>That part of a multicellular organism outside the cells proper, usually taken to be outside the plasma membranes, and occupied by fluid.  [ISBN:0198547684]</t>
  </si>
  <si>
    <t>intercellular space  RELATED []</t>
  </si>
  <si>
    <t>negative regulation of transcription from RNA polymerase II promoter</t>
  </si>
  <si>
    <t>Any process that stops, prevents, or reduces the frequency, rate or extent of transcription from an RNA polymerase II promoter.  [GOC:go_curators, GOC:txnOH]</t>
  </si>
  <si>
    <t>down regulation of global transcription from RNA polymerase II promoter  RELATED []</t>
  </si>
  <si>
    <t>calgranulins 2e-020| S-100 5e-019| S-100B 2e-015| S-100A10_like 3e-015| S-100A1 2e-014| S-100Z 4e-014| S-100A11 1e-012| S-100A6 1e-009| S-100A10 4e-009| S_100 6e-008| S-100A13 6e-005| EFh 0.002| PTZ00184 0.051| EF-hand_8 0.088| FRQ1 0.088| EFh | PTZ00183 | COG2768 | PRK06406 | EF-hand_1 |</t>
  </si>
  <si>
    <t>Protein S100-A12 - Sus scrofa - calcium ion binding - extracellular region - nucleus - cytoplasm - cytoskeleton - plasma membrane - xenobiotic metabolic process - inflammatory response - zinc ion binding - positive regulation of I-kappaB kinase/NF-kappaB signaling - innate immune response - RAGE receptor binding - defense response to fungus</t>
  </si>
  <si>
    <t>calcium ion binding</t>
  </si>
  <si>
    <t>Interacting selectively and non-covalently with calcium ions (Ca2+).  [GOC:ai]</t>
  </si>
  <si>
    <t>calcium ion storage activity  RELATED []</t>
  </si>
  <si>
    <t>extracellular region</t>
  </si>
  <si>
    <t>The space external to the outermost structure of a cell. For cells without external protective or external encapsulating structures this refers to space outside of the plasma membrane. This term covers the host cell environment outside an intracellular parasite.  [GOC:go_curators]</t>
  </si>
  <si>
    <t>extracellular  EXACT []</t>
  </si>
  <si>
    <t>xenobiotic metabolic process</t>
  </si>
  <si>
    <t>The chemical reactions and pathways involving a xenobiotic compound, a compound foreign to living organisms. Used of chemical compounds, e.g. a xenobiotic chemical, such as a pesticide.  [GOC:cab2]</t>
  </si>
  <si>
    <t>xenobiotic metabolism  EXACT []</t>
  </si>
  <si>
    <t>Uteroglobin 7e-007| Secretoglobin 3e-005| Trigger_C 0.051| CE4_u9 | PRK02898 | Ldh_2 | PRK07452 | PepD | ARL2_Bind_BART | PRK04194 | DUF2889 | Pox_P4A | tig | tig | TIGR03549 | Ras | ampC | fabG | PLN02751 | NtrB |</t>
  </si>
  <si>
    <t>Mammaglobin-B - Homo sapiens - extracellular space - androgen receptor signaling pathway - protein heterodimerization activity</t>
  </si>
  <si>
    <t>protein heterodimerization activity</t>
  </si>
  <si>
    <t>Interacting selectively and non-covalently with a nonidentical protein to form a heterodimer.  [GOC:ai]</t>
  </si>
  <si>
    <t>androgen receptor signaling pathway</t>
  </si>
  <si>
    <t>Any series of molecular signals generated as a consequence of an androgen binding to its receptor.  [GOC:mah]</t>
  </si>
  <si>
    <t>androgen receptor signalling pathway  EXACT []</t>
  </si>
  <si>
    <t>E</t>
  </si>
  <si>
    <t>IgV_L_kappa 1e-028| IgV_L_lambda 3e-018| IgV 2e-013| IgV_TCR_gamma 1e-009| IgV_TCR_alpha_like 2e-009| IgV_TCR_delta 5e-007| IGv 2e-006| IgV_TCR_beta 0.002| IG_like 0.006| IG 0.006| Ig_CD8_alpha 0.023| Ig_3 0.052| Ig4_Robo | Ig_pIgR | Ig | V-set | IgV_H | PRK11021 | I-set | Ig1_Necl-1 |</t>
  </si>
  <si>
    <t>Ig kappa chain V-IV region - Homo sapiens - antigen binding - extracellular region - plasma membrane - immune response - complement activation - complement activation, classical pathway - Fc-epsilon receptor signaling pathway - Fc-gamma receptor signaling pathway involved in phagocytosis - innate immune response - regulation of immune response - blood microparticle</t>
  </si>
  <si>
    <t>antigen binding</t>
  </si>
  <si>
    <t>Interacting selectively and non-covalently with an antigen, any substance which is capable of inducing a specific immune response and of reacting with the products of that response, the specific antibody or specifically sensitized T-lymphocytes, or both. Binding may counteract the biological activity of the antigen.  [GOC:jl, ISBN:0198506732, ISBN:0721662544]</t>
  </si>
  <si>
    <t>antibody  RELATED []</t>
  </si>
  <si>
    <t>immune response</t>
  </si>
  <si>
    <t>Any immune system process that functions in the calibrated response of an organism to a potential internal or invasive threat.  [GO_REF:0000022, GOC:add, GOC:mtg_15nov05]</t>
  </si>
  <si>
    <t>T-cell surface glycoprotein CD8 alpha chain-like</t>
  </si>
  <si>
    <t>D</t>
  </si>
  <si>
    <t>Nomascus leucogenys</t>
  </si>
  <si>
    <t>IgC_L 6e-019| IgC 1e-012| IgC_TCR_beta 4e-009| C1-set 3e-008| IGc1 5e-008| IgC_CH2_IgE 6e-008| IgC_CH1 2e-007| IgC_SIRP 0.002| IgC_MHC_I_alpha3 0.008| IgC_MHC_II_beta 0.013| IgC_CH3 0.038| IgC_Tapasin_R 0.065| Ig | Ig_3 | Mucin | Ig3_NCAM-1_like | COG5492 | C2-set_2 | Ig1_VEGFR_like | Ig4_Robo |</t>
  </si>
  <si>
    <t>Ig kappa chain C region, B allele - Rattus norvegicus - antigen binding</t>
  </si>
  <si>
    <t>retina homeostasis</t>
  </si>
  <si>
    <t>A tissue homeostatic process involved in the maintenance of an internal equilibrium within the retina of the eye, including control of cellular proliferation and death and control of metabolic function.  [GOC:add, GOC:dph, GOC:tb, PMID:15365173, PMID:15365178]</t>
  </si>
  <si>
    <t>PTZ00051 8e-019| TRX_family 1e-017| Thioredoxin 8e-016| thioredoxin 4e-014| TRX_PICOT 6e-013| TRX_NTR 3e-011| COG3118 5e-011| PRK10996 6e-011| TRX_NDPK 2e-010| PDI_a_PDI_a'_C 1e-009| PDI_a_ERp46 4e-009| pdi_dom 7e-009| trxA 1e-008| TrxA 1e-008| PTZ00102 1e-008| PDI_a_ERp38 8e-008| ybbN 5e-007| ER_PDI_fam 2e-006| PDI_a_family 2e-006| TRX_CDSP32 3e-006|</t>
  </si>
  <si>
    <t>Thioredoxin - Oryctolagus cuniculus - response to radiation - regulation of protein import into nucleus, translocation - positive regulation of DNA binding - oxidation-reduction process</t>
  </si>
  <si>
    <t>nucleus</t>
  </si>
  <si>
    <t>A membrane-bounded organelle of eukaryotic cells in which chromosomes are housed and replicated. In most cells, the nucleus contains all of the cell's chromosomes except the organellar chromosomes, and is the site of RNA synthesis and processing. In some species, or in specialized cell types, RNA metabolism or DNA replication may be absent.  [GOC:go_curators]</t>
  </si>
  <si>
    <t>cell nucleus  EXACT []</t>
  </si>
  <si>
    <t>thioredoxin</t>
  </si>
  <si>
    <t>G</t>
  </si>
  <si>
    <t>IgV_L_kappa 5e-028| IgV_L_lambda 7e-018| IgV 1e-014| IgV_TCR_alpha_like 2e-012| IgV_TCR_gamma 1e-008| IgV_TCR_delta 4e-008| IG_like 1e-007| IG 1e-007| IgV_TCR_beta 2e-005| Ig_CD8_alpha 2e-005| IGv 1e-004| I-set 0.001| Ig4_Robo 0.002| Ig1_Necl-1 0.013| Ig_3 0.051| Ig 0.066| Ig1_Necl-1-3_like | IgV_H | V-set | ig |</t>
  </si>
  <si>
    <t>Ig kappa chain V-I region HK102 - Homo sapiens - antigen binding - extracellular region - plasma membrane - immune response - complement activation - complement activation, classical pathway - Fc-epsilon receptor signaling pathway - Fc-gamma receptor signaling pathway involved in phagocytosis - innate immune response - regulation of immune response - extracellular vesicular exosome - blood microparticle</t>
  </si>
  <si>
    <t>IgV_L_kappa 1e-028| IgV_L_lambda 3e-017| IgV 1e-012| IgV_TCR_alpha_like 2e-011| IgV_TCR_gamma 4e-009| IG_like 5e-007| IG 5e-007| IgV_TCR_delta 7e-006| IgV_TCR_beta 1e-005| IGv 2e-005| I-set 2e-004| Ig_CD8_alpha 3e-004| Ig_3 0.038| Ig 0.038| Ig1_Necl-1 0.050| ig | V-set | PRK09282 | IGc2 | 2A0109 |</t>
  </si>
  <si>
    <t>IgV_L_kappa 3e-030| IgV_L_lambda 9e-017| IgV 5e-012| IgV_TCR_alpha_like 8e-011| IgV_TCR_gamma 7e-009| IG_like 4e-007| IG 4e-007| IgV_TCR_beta 3e-006| IgV_TCR_delta 6e-006| IGv 6e-005| I-set 8e-005| Ig_CD8_alpha 5e-004| Ig1_Necl-1 0.023| Ig4_Robo 0.050| Ig_3 0.066| Ig 0.066| IGc2 | ig | PRK09282 | V-set |</t>
  </si>
  <si>
    <t>IgV_L_kappa 8e-029| IgV_L_lambda 5e-018| IgV 5e-013| IgV_TCR_alpha_like 2e-010| IgV_TCR_gamma 1e-008| IG_like 4e-006| IG 4e-006| IgV_TCR_delta 1e-005| IgV_TCR_beta 2e-005| Ig_CD8_alpha 1e-004| IGv 5e-004| Ig4_Robo 0.003| Ig_3 0.008| I-set 0.010| Ig1_Necl-1 0.013| Ig1_Necl-1-3_like | Ig | Ig3_Perlecan_like | pdxA | ig |</t>
  </si>
  <si>
    <t>Microtus ochrogaster</t>
  </si>
  <si>
    <t>PLN00158 1e-042| H2B 5e-041| PTZ00463 8e-038| Histone 5e-005| PRK14552 | TAF12 | H2A | TAF | BLVR | PRK05563 | PHA03089 | mIF3 | HMG14_17 | PHA00437 | TAF6 | GAGA_bind | rnpA | ALS2CR8 | PTZ00462 | PRK11642 |</t>
  </si>
  <si>
    <t>Histone H2B - Sus scrofa - nucleosome - DNA binding - nucleus - nucleosome assembly - protein heterodimerization activity</t>
  </si>
  <si>
    <t>DNA binding</t>
  </si>
  <si>
    <t>Any molecular function by which a gene product interacts selectively and non-covalently with DNA (deoxyribonucleic acid).  [GOC:dph, GOC:jl, GOC:tb, GOC:vw]</t>
  </si>
  <si>
    <t>microtubule/chromatin interaction  RELATED []</t>
  </si>
  <si>
    <t>nucleosome</t>
  </si>
  <si>
    <t>A complex comprised of DNA wound around a multisubunit core and associated proteins, which forms the primary packing unit of DNA into higher order structures.  [GOC:elh]</t>
  </si>
  <si>
    <t>nucleosome assembly</t>
  </si>
  <si>
    <t>The aggregation, arrangement and bonding together of a nucleosome, the beadlike structural units of eukaryotic chromatin composed of histones and DNA.  [GOC:mah]</t>
  </si>
  <si>
    <t>histone chaperone  RELATED [GOC:vw]</t>
  </si>
  <si>
    <t>histone H2B type 1-like</t>
  </si>
  <si>
    <t>K</t>
  </si>
  <si>
    <t>LYZ1 2e-053| Lys 9e-048| LYZ1 1e-043| PHA03119 | YmdB | ArsC_Yffb | CPSaseII_lrg | MopB_Formate-Dh-Na-like | PQQ_ADH_I | HAD-SF-IIA-hyp2 | PI-PLCc_beta4 | GlyDH-like | M14_CP_A-B_like_1 | PRK15328 | PRK15273 | PLN02161 | MPP_DR1281 12| restrict_Alw26I 16| PRK15284 16| PRK13790 16|</t>
  </si>
  <si>
    <t>Lysozyme C, spleen isozyme - Canis lupus familiaris - lysozyme activity - cell wall macromolecule catabolic process - cytolysis - defense response to bacterium - identical protein binding</t>
  </si>
  <si>
    <t>lysozyme activity</t>
  </si>
  <si>
    <t>Catalysis of the hydrolysis of the beta-(1-&gt;4) linkages between N-acetylmuramic acid and N-acetyl-D-glucosamine residues in a peptidoglycan and between N-acetyl-D-glucosamine residues in chitodextrins.  [EC:3.2.1.17]</t>
  </si>
  <si>
    <t>1,4-N-acetylmuramidase activity  EXACT []</t>
  </si>
  <si>
    <t>lysozyme C</t>
  </si>
  <si>
    <t>H2A 3e-049| PLN00153 1e-048| H2A 3e-048| PTZ00017 4e-048| PLN00157 9e-048| HTA1 7e-046| PLN00156 3e-044| PLN00154 6e-031| PTZ00252 5e-026| PLN00155 5e-017| Histone 1e-008| BUR6 8e-004| HAP5 | CBFD_NFYB_HMF | PLN00158 | flavin_revert | Cas8a2_I-A | cas_Csa4 | DUF2110 | LanC |</t>
  </si>
  <si>
    <t>Histone H2A type 1-A - Homo sapiens - nucleosome - DNA binding - nucleus - nucleosome assembly - protein heterodimerization activity</t>
  </si>
  <si>
    <t>histone H2A type 1-A</t>
  </si>
  <si>
    <t>calgranulins 3e-026| S-100 3e-020| S-100Z 7e-016| S-100A10_like 1e-015| S-100A1 5e-015| S-100B 9e-014| S-100A6 7e-012| S-100A13 7e-012| S_100 9e-011| S-100A11 8e-010| S-100A10 3e-008| ureE 1e-004| ureE 2e-004| PRK10737 0.006| BAF1_ABF1 0.027| SelP_N 0.027| Dehydrin 0.036| PRK10019 0.036| EF-hand_8 | Het-C |</t>
  </si>
  <si>
    <t>Protein S100-A9 - Oryctolagus cuniculus - leukocyte migration involved in inflammatory response - autophagy - activation of cysteine-type endopeptidase activity involved in apoptotic process - neutrophil chemotaxis - positive regulation of inflammatory response - neutrophil aggregation - positive regulation of intrinsic apoptotic signaling pathway</t>
  </si>
  <si>
    <t>leukocyte migration involved in inflammatory response</t>
  </si>
  <si>
    <t>The movement of a leukocyte within or between different tissues and organs of the body contributing to an inflammatory response.  [GOC:add, ISBN:0781735149, PMID:14680625, PMID:14708592, PMID:7507411, PMID:8600538]</t>
  </si>
  <si>
    <t>immune cell migration during inflammatory response  RELATED []</t>
  </si>
  <si>
    <t>GLECT 1e-024| GLECT 4e-023| Gal-bind_lectin 4e-022| Gal-bind_lectin 4e-021| PHA02716 | RRM_RBM43 | DUF1344 | MYSc_type_VI | lipo_with_rSAM | PLN02703 | PHA02248 | Glyco_hydro_92 13| Zeta_toxin 13| AMP_N 13| ptsS_2 13| PTZ00383 13| DUF3440 17| An_peroxidase_bacterial_2 17| quinone_oxidoreductase_like_1 17| PRK14863 17|</t>
  </si>
  <si>
    <t>lectin, galactose binding, soluble 1 - Mus musculus - glycoprotein binding - plasma cell differentiation - signal transducer activity - protein binding - galactose binding - extracellular region - proteinaceous extracellular matrix - extracellular space - intracellular - nucleus - cytoplasm - apoptotic process - heterophilic cell-cell adhesion - signal transduction - cell surface - negative regulation of cell-substrate adhesion - negative regulation of neuron projection development - galactoside binding - carbohydrate binding - lactose binding - extracellular matrix - T cell costimulation - positive regulation of erythrocyte aggregation - protein homodimerization activity - positive regulation of I-kappaB kinase/NF-kappaB signaling - laminin binding - poly(A) RNA binding - myoblast differentiation - extracellular vesicular exosome</t>
  </si>
  <si>
    <t>glycoprotein binding</t>
  </si>
  <si>
    <t>Interacting selectively and non-covalently with a glycoprotein, a protein that contains covalently bound glycose (monosaccharide) residues. These also include proteoglycans.  [GOC:hjd, ISBN:0198506732]</t>
  </si>
  <si>
    <t>plasma cell differentiation</t>
  </si>
  <si>
    <t>The process in which a B cell acquires the specialized features of a plasma cell. A plasma cell is a lymphocyte which develops from a B cell and produces high amounts of antibody.  [GOC:jal]</t>
  </si>
  <si>
    <t>plasma cell development  RELATED [GOC:add]</t>
  </si>
  <si>
    <t>galectin-1</t>
  </si>
  <si>
    <t>Globin 2e-019| globin 1e-016| PLN00096 | TIGR02267 | ArdA | AmyAc_bac_CMD_like_3 | Trp_DMAT | PRK09225 | MMS22L_N 12| DUF3141 12| TraI_TIGR 12| ala_DH_arch 12| A_thl_para_3677 12| Herpes_UL87 15| PLN02228 20| RibH 20| XLF 26| Menin 26| CBS_pair_BON_assoc 26| partition_RepA 26|</t>
  </si>
  <si>
    <t>Hemoglobin subunit alpha-1/2 - Oryctolagus cuniculus - protein binding - regulation of translation</t>
  </si>
  <si>
    <t>oxygen transporter activity</t>
  </si>
  <si>
    <t>Enables the directed movement of oxygen into, out of or within a cell, or between cells.  [GOC:ai]</t>
  </si>
  <si>
    <t>globin  NARROW []</t>
  </si>
  <si>
    <t>positive regulation of cell death</t>
  </si>
  <si>
    <t>Any process that increases the rate or frequency of cell death. Cell death is the specific activation or halting of processes within a cell so that its vital functions markedly cease, rather than simply deteriorating gradually over time, which culminates in cell death.  [GOC:dph, GOC:tb]</t>
  </si>
  <si>
    <t>globin 2e-023| Globin 2e-022| Hmp 0.059| globin_like | Dcp | PRK15045 | Herpes_U30 | DUF816 | DUF3218 | DUF362 | ALDH_AlkH-like | rrmJ | P | CYCLIN | capSnatchArena | PRK10662 | PRK06038 | ArsC | fa_ox_alpha_mit 12| PRK13655 12|</t>
  </si>
  <si>
    <t>Hemoglobin subunit beta - Homo sapiens - oxygen transporter activity - iron ion binding - protein binding - extracellular region - cytosol - hemoglobin complex - blood coagulation - regulation of blood pressure - positive regulation of cell death - oxygen transport - bicarbonate transport - oxygen binding - heme binding - nitric oxide transport - hemoglobin binding - haptoglobin-hemoglobin complex - response to hydrogen peroxide - hydrogen peroxide catabolic process - small molecule metabolic process - positive regulation of nitric oxide biosynthetic process - regulation of blood vessel size - protein heterooligomerization - oxidation-reduction process - extracellular vesicular exosome - renal absorption - endocytic vesicle lumen - blood microparticle - peroxidase activity - haptoglobin binding</t>
  </si>
  <si>
    <t>blood coagulation</t>
  </si>
  <si>
    <t>The sequential process in which the multiple coagulation factors of the blood interact, ultimately resulting in the formation of an insoluble fibrin clot; it may be divided into three stages: stage 1, the formation of intrinsic and extrinsic prothrombin converting principle; stage 2, the formation of thrombin; stage 3, the formation of stable fibrin polymers.  [http://www.graylab.ac.uk/omd/, ISBN:0198506732]</t>
  </si>
  <si>
    <t>blood clotting  EXACT []</t>
  </si>
  <si>
    <t>TR_THY 2e-056| TLP_Transthyretin 2e-056| Transthyretin_like 2e-048| Transthyretin 1e-022| hdxy_isourate 9e-014| TLP_HIUase 3e-010| PRK15036 2e-008| COG2351 5e-007| TPMT | 4hydrxCoA_B | pepF | murF | RskA | Phytase | TIGR03792 | PHA03295 | pyrH_arch 12| PRK15205 12| PRK04046 12| PLN03244 12|</t>
  </si>
  <si>
    <t>Transthyretin - Homo sapiens - retinoid metabolic process - hormone activity - protein binding - extracellular region - extracellular space - cytoplasm - transport - phototransduction, visible light - extracellular matrix organization - hormone binding - retinol metabolic process - identical protein binding - protein complex - protein heterodimerization activity - extracellular vesicular exosome</t>
  </si>
  <si>
    <t>hormone activity</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</si>
  <si>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  [GOC:dph, GOC:mah, ISBN:0198506732]</t>
  </si>
  <si>
    <t>cAMP generating peptide activity  NARROW []</t>
  </si>
  <si>
    <t>retinoid metabolic process</t>
  </si>
  <si>
    <t>The chemical reactions and pathways involving retinoids, any member of a class of isoprenoids that contain or are derived from four prenyl groups linked head-to-tail. Retinoids include retinol and retinal and structurally similar natural derivatives or synthetic compounds, but need not have vitamin A activity.  [ISBN:0198506732]</t>
  </si>
  <si>
    <t>retinoid metabolism  EXACT []</t>
  </si>
  <si>
    <t>IgV_L_kappa 5e-028| IgV_L_lambda 2e-018| IgV 7e-014| IgV_TCR_gamma 2e-010| IgV_TCR_alpha_like 1e-009| IgV_TCR_delta 2e-008| IGv 1e-006| IG_like 4e-005| IG 4e-005| IgV_TCR_beta 1e-004| Ig_CD8_alpha 0.001| I-set 0.003| 2A0109 0.082| PLN02834 0.082| Ig_3 | Ig | Ig1_Necl-1 | rocD | Peptidase_M8 | V-set |</t>
  </si>
  <si>
    <t>PTZ00093 6e-058| PLN02619 5e-053| NDPk_I 2e-047| NDK 2e-045| NDK 3e-041| ndk 3e-040| Ndk 2e-039| PRK14540 5e-036| NDPk 5e-033| PRK14544 2e-028| PRK14541 1e-026| PRK14542 1e-025| PRK14545 3e-024| PRK14543 8e-023| PLN02931 1e-019| NDPk7A 6e-018| NDPk5 2e-017| NDPk_TX 9e-017| NDPk6 1e-015| NDPk7B 7e-011|</t>
  </si>
  <si>
    <t>Nucleoside diphosphate kinase - Homo sapiens - nucleoside diphosphate kinase activity - ATP binding - nucleoside diphosphate phosphorylation - GTP biosynthetic process - UTP biosynthetic process - CTP biosynthetic process</t>
  </si>
  <si>
    <t>ruffle</t>
  </si>
  <si>
    <t>Projection at the leading edge of a crawling cell; the protrusions are supported by a microfilament meshwork.  [ISBN:0124325653]</t>
  </si>
  <si>
    <t>membrane ruffle  RELATED []</t>
  </si>
  <si>
    <t>nucleoside diphosphate phosphorylation</t>
  </si>
  <si>
    <t>The process of introducing a phosphate group into a nucleoside diphosphate to produce a nucleoside triphosphate.  [GOC:ai]</t>
  </si>
  <si>
    <t>IgV_L_kappa 1e-030| IgV_L_lambda 4e-017| IgV 7e-013| IgV_TCR_alpha_like 2e-011| IgV_TCR_gamma 3e-008| IgV_TCR_beta 1e-007| IG_like 2e-007| IG 2e-007| IgV_TCR_delta 5e-006| IGv 2e-005| Ig_CD8_alpha 3e-004| Ig_3 0.011| I-set 0.011| Ig 0.024| Ig1_CD4 0.031| Ubiquitin 0.069| Ig_pIgR | ig | V-set | IgV_H |</t>
  </si>
  <si>
    <t>Cathelicidins 4e-022| PyrC 0.010| PRK05451 0.047| CAP18_C 0.081| PRK13837 | PLN02413 | pyrC_dimer | PLN02986 | STKc_MSK2_N | STKc_MASTL | PRK13426 | Orexin | PRK14950 | PLN02308 | V-ATPase_H_N | NR_LBD_F2 | PRK09194 | PTZ00429 | COG2419 | SecD |</t>
  </si>
  <si>
    <t>Cathelicidin antimicrobial peptide - Homo sapiens - innate immune response in mucosa - protein binding - extracellular space - cell wall - cytosol - antibacterial humoral response - defense response to bacterium - negative regulation of growth of symbiont on or near host surface - defense response to Gram-positive bacterium - interaction with host - killing by host of symbiont cells - extracellular vesicular exosome - phagosome maturation</t>
  </si>
  <si>
    <t>innate immune response in mucosa</t>
  </si>
  <si>
    <t>Any process of the innate immune response that takes place in the mucosal tissues.  [GOC:add, PMID:10719665, PMID:15971105]</t>
  </si>
  <si>
    <t>C1Q 3e-015| C1q 7e-010| Collagen 4e-009| Drf_FH1 0.015| Esterase_713_like-3 0.033| PRK09856 | Herpes_LP | PHA03247 | PRK09111 | COG2911 | Syncollin | PRK14948 | DUF3729 | Med25_SD1 | DUF1779 | Sema_6 | PRK13729 | DUF4593 | Pro-rich | FAP |</t>
  </si>
  <si>
    <t>Protein HP-20 homolog - Bos taurus - extracellular region - collagen trimer</t>
  </si>
  <si>
    <t>type X collagen alpha 1-like</t>
  </si>
  <si>
    <t>Lipocalin 4e-011| WaaY | PRK10359 | Capsid_NCLDV | DUF600 | PRK08557 | Link_domain_CSPGs_modules_1_3 | PRK14038 | pseT | Bgal_small_N | Blc | Glyco_transf_56 | PRK10477 | VDE | CdhC | PRK11715 | PRK09529 | one_C_dehyd_A 13| PRK07178 13| Plant_tran 17|</t>
  </si>
  <si>
    <t>Neutrophil gelatinase-associated lipocalin - Homo sapiens - protease binding - transporter activity - iron ion binding - extracellular region - extracellular space - cytosol - ion transport - response to virus - response to herbicide - positive regulation of gene expression - siderophore transport - positive regulation of cell projection organization - cellular response to nutrient levels - small molecule binding - response to drug - protein homodimerization activity - innate immune response - extracellular vesicular exosome - protein homotrimerization - cellular response to hydrogen peroxide - cellular response to lipopolysaccharide - cellular response to interleukin-1 - cellular response to tumor necrosis factor - extrinsic apoptotic signaling pathway in absence of ligand</t>
  </si>
  <si>
    <t>protease binding</t>
  </si>
  <si>
    <t>Interacting selectively and non-covalently with any protease or peptidase.  [GOC:hjd]</t>
  </si>
  <si>
    <t>ion transport</t>
  </si>
  <si>
    <t>The directed movement of charged atoms or small charged molecules into, out of or within a cell, or between cells, by means of some agent such as a transporter or pore.  [GOC:ai]</t>
  </si>
  <si>
    <t>PRX_Typ2cys 5e-075| PTZ00253 1e-073| AhpC 1e-057| PRK15000 3e-047| PTZ00137 1e-046| AhpC 2e-039| PRK13190 1e-032| PRK10382 3e-032| PRK13189 2e-031| PRX_1cys 2e-030| PRX_family 5e-030| PRK13191 2e-029| PRK13599 4e-026| AhpC-TSA 3e-024| PRX_AhpE_like 2e-018| Bcp 2e-016| PRX_BCP 3e-013| PRX_Atyp2cys 1e-008| bcp 2e-008| Redoxin 3e-008|</t>
  </si>
  <si>
    <t>Peroxiredoxin-1 - Homo sapiens - skeletal system development - retina homeostasis - peroxidase activity - protein binding - extracellular space - nucleus - nuclear euchromatin - nucleolus - cytoplasm - mitochondrial matrix - peroxisomal matrix - cytosol - cell proliferation - thioredoxin peroxidase activity - removal of superoxide radicals - heme binding - regulation of stress-activated MAPK cascade - erythrocyte homeostasis - natural killer cell mediated cytotoxicity - regulation of NF-kappaB import into nucleus - melanosome - hydrogen peroxide catabolic process - protein homodimerization activity - poly(A) RNA binding - oxidation-reduction process - extracellular vesicular exosome - cellular response to stress</t>
  </si>
  <si>
    <t>peroxidase activity</t>
  </si>
  <si>
    <t>Catalysis of the reaction: donor + hydrogen peroxide = oxidized donor + 2 H2O.  [EC:1.11.1.7]</t>
  </si>
  <si>
    <t>bacterial catalase-peroxidase activity  NARROW []</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</si>
  <si>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</si>
  <si>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  [GOC:dph, GOC:jid, GOC:tb, http://www.stedmans.com/]</t>
  </si>
  <si>
    <t>skeletal development  EXACT []</t>
  </si>
  <si>
    <t>Lipocalin 0.006| VKG_Carbox | DUF684 | COG3224 | DNA_pol3_a_NII | DUF4207 | RecN | DUF4615 | HemN | PH_PLEKHG5_G6 | RNA_dep_RNAP | PRK08334 | Sema_6C 10| PRK13354 10| PRK08301 10| PaiB 10| UPF0697 13| Bud13 13| OATP 13| SPX 13|</t>
  </si>
  <si>
    <t>Alpha-1-acid glycoprotein 2 - Homo sapiens - regulation of immune system process - extracellular space - transport - acute-phase response - blood microparticle</t>
  </si>
  <si>
    <t>regulation of immune system process</t>
  </si>
  <si>
    <t>Any process that modulates the frequency, rate, or extent of an immune system process.  [GOC:add]</t>
  </si>
  <si>
    <t>C1Q 1e-017| C1q 9e-017| Collagen 2e-006| Drf_FH1 | dCO2ase_PEP1 | Eda | DUF4593 | PRK09111 | PRK08132 | Cytadhesin_P30 | DUF3583 | Xnuc_lig_assoc | DUF3892 | LamG | PRK07080 | Gag_spuma | ABC_tran | COG3921 | KDPG_aldolase 10| PRK07764 10|</t>
  </si>
  <si>
    <t>Protein HP-25 homolog 2 - Bos taurus - extracellular region - collagen trimer</t>
  </si>
  <si>
    <t>receptor binding</t>
  </si>
  <si>
    <t>Interacting selectively and non-covalently with one or more specific sites on a receptor molecule, a macromolecule that undergoes combination with a hormone, neurotransmitter, drug or intracellular messenger to initiate a change in cell function.  [GOC:bf, GOC:ceb, ISBN:0198506732]</t>
  </si>
  <si>
    <t>receptor ligand  NARROW []</t>
  </si>
  <si>
    <t>positive regulation of protein phosphorylation</t>
  </si>
  <si>
    <t>Any process that activates or increases the frequency, rate or extent of addition of phosphate groups to amino acids within a protein.  [GOC:hjd]</t>
  </si>
  <si>
    <t>activation of protein amino acid phosphorylation  NARROW []</t>
  </si>
  <si>
    <t>C1q and tumor necrosis factor related protein 7-like</t>
  </si>
  <si>
    <t>alpha_CA_I_II_III_XIII 5e-094| Carb_anhydrase 1e-087| alpha_CA_VII 5e-073| alpha_CA_V 2e-065| Carb_anhydrase 5e-063| alpha_CA 6e-058| alpha_CARP_VIII 2e-046| alpha_CARP_X_XI_like 7e-043| alpha_CA_XII_XIV 2e-041| alpha_CA_VI_IX_XII_XIV 2e-041| alpha_CA_IV_XV_like 9e-038| alpha_CA_prokaryotic_like 1e-033| alpha_CARP_receptor_like 4e-033| alpha_CA_VI 5e-033| alpha_CA_IX 1e-030| Cah 5e-029| PLN02202 6e-018| PLN02179 3e-014| DUF1139 | ArgC |</t>
  </si>
  <si>
    <t>Uncharacterized protein - Canis lupus familiaris - carbonate dehydratase activity - Golgi apparatus - one-carbon metabolic process - zinc ion binding</t>
  </si>
  <si>
    <t>carbonate dehydratase activity</t>
  </si>
  <si>
    <t>Catalysis of the reaction: H2CO3 = CO2 + H2O.  [EC:4.2.1.1]</t>
  </si>
  <si>
    <t>anhydrase activity  EXACT [EC:4.2.1.1]</t>
  </si>
  <si>
    <t>Golgi 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</si>
  <si>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[ISBN:0198506732]</t>
  </si>
  <si>
    <t>Golgi  BROAD []</t>
  </si>
  <si>
    <t>one-carbon metabolic process</t>
  </si>
  <si>
    <t>The chemical reactions and pathways involving the transfer of one-carbon units in various oxidation states.  [GOC:hjd, GOC:mah, GOC:pde]</t>
  </si>
  <si>
    <t>one carbon metabolic process  EXACT [GOC:mah]</t>
  </si>
  <si>
    <t>carbonic anhydrase 1</t>
  </si>
  <si>
    <t>Chinchilla lanigera</t>
  </si>
  <si>
    <t>Nucleoplasmin 3e-027| MIP-T3 2e-004| PTZ00121 0.007| PTZ00108 0.013| Mycoplas_LppA 0.022| mfd 0.063| Neuromodulin | DDRGK | RCSD | BASP1 | CAF-1_p150 | RNA_polI_A34 | DUF612 | DUF869 | IsdB | PTZ00372 | PRK13808 | Mfd | CDC27 | DUF1103 |</t>
  </si>
  <si>
    <t>Uncharacterized protein - Sus scrofa - transcription coactivator activity - RNA binding - protein kinase inhibitor activity - nucleoplasm - nucleolus - DNA repair - nucleosome assembly - protein localization - negative regulation of centrosome duplication - protein kinase binding - ribonucleoprotein complex - Tat protein binding - spindle pole centrosome - regulation of endodeoxyribonuclease activity - histone binding - protein homodimerization activity - ribosomal large subunit binding - ribosomal small subunit binding - negative regulation of apoptotic process - negative regulation of protein kinase activity by regulation of protein phosphorylation - positive regulation of translation - regulation of centriole replication - protein heterodimerization activity - positive regulation of NF-kappaB transcription factor activity - protein oligomerization - regulation of endoribonuclease activity - regulation of eIF2 alpha phosphorylation by dsRNA</t>
  </si>
  <si>
    <t>transcription coactivator activity</t>
  </si>
  <si>
    <t>Interacting selectively and non-covalently with a activating transcription factor and also with the basal transcription machinery in order to increase the frequency, rate or extent of transcription. Cofactors generally do not bind DNA, but rather mediate protein-protein interactions between activating transcription factors and the basal transcription machinery.  [GOC:txnOH, PMID:10213677, PMID:16858867]</t>
  </si>
  <si>
    <t>transcription co-activator activity  EXACT []</t>
  </si>
  <si>
    <t>nucleoplasm</t>
  </si>
  <si>
    <t>That part of the nuclear content other than the chromosomes or the nucleolus.  [GOC:ma, ISBN:0124325653]</t>
  </si>
  <si>
    <t>DNA repair</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</si>
  <si>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[PMID:11563486]</t>
  </si>
  <si>
    <t>Macaca fascicularis</t>
  </si>
  <si>
    <t>IgC_L 2e-024| IgV_L_lambda 1e-020| IgV 2e-017| IGc1 2e-016| IgV_L_kappa 2e-016| IgC 1e-015| IgC_TCR_beta 8e-013| IgC_CH2_IgE 6e-011| C1-set 1e-010| IgC_CH1 6e-010| IgV_TCR_alpha_like 2e-009| IgC_CH4 4e-009| IgV_TCR_beta 2e-007| IgV_TCR_gamma 2e-005| IGv 2e-005| IgC_MHC_II_alpha 1e-004| IgC_TCR_gamma 2e-004| Ig_CD8_alpha 2e-004| IgC_CH3 3e-004| IgV_TCR_delta 4e-004|</t>
  </si>
  <si>
    <t>Uncharacterized protein - Bos taurus - integral component of membrane</t>
  </si>
  <si>
    <t>complement activation</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</si>
  <si>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  [GO_REF:0000022, GOC:add, GOC:mtg_15nov05, ISBN:0781735149]</t>
  </si>
  <si>
    <t>complement activity  RELATED []</t>
  </si>
  <si>
    <t>immunoglobulin lambda-like polypeptide 5-like isoform X4</t>
  </si>
  <si>
    <t>alpha_CA_I_II_III_XIII e-118| Carb_anhydrase 4e-098| alpha_CA_VII 5e-080| Carb_anhydrase 5e-074| alpha_CA_V 3e-071| alpha_CA 2e-060| alpha_CARP_VIII 6e-051| alpha_CA_VI_IX_XII_XIV 1e-046| alpha_CARP_X_XI_like 8e-044| alpha_CA_IV_XV_like 1e-043| alpha_CA_XII_XIV 2e-043| alpha_CA_VI 8e-043| alpha_CA_prokaryotic_like 7e-039| alpha_CARP_receptor_like 1e-035| Cah 2e-034| alpha_CA_IX 8e-033| PLN02202 2e-019| PLN02179 1e-015| SBP_bac_8 | 2-Hacid_dh_2 |</t>
  </si>
  <si>
    <t>Carbonic anhydrase 2 - Oryctolagus cuniculus - cytoplasm - plasma membrane - angiotensin-activated signaling pathway - regulation of anion transport - regulation of intracellular pH - positive regulation of dipeptide transmembrane transport</t>
  </si>
  <si>
    <t>kidney development</t>
  </si>
  <si>
    <t>The process whose specific outcome is the progression of the kidney over time, from its formation to the mature structure. The kidney is an organ that filters the blood and/or excretes the end products of body metabolism in the form of urine.  [GOC:dph, GOC:mtg_kidney_jan10, ISBN:0124020607, ISBN:0721662544]</t>
  </si>
  <si>
    <t>nephrogenesis  RELATED [GOC:rph]</t>
  </si>
  <si>
    <t>carbonic anhydrase 2</t>
  </si>
  <si>
    <t>Apolipoprotein 1e-037| Smc 1e-009| SbcC 2e-008| SMC_prok_A 7e-008| COG1340 1e-006| PRK03918 2e-006| DUF3523 4e-006| PRK04778 6e-006| FCH_F-BAR 8e-006| SMC_prok_B 2e-005| Myosin_tail_1 5e-005| NtpE 5e-005| Zwint 9e-005| Mitofilin 2e-004| IncA 2e-004| fliH 2e-004| SMC_N 3e-004| PRK02224 3e-004| COG2433 3e-004| Red1 4e-004|</t>
  </si>
  <si>
    <t>Apolipoprotein A-I - Oryctolagus cuniculus - protein oxidation - peptidyl-methionine modification</t>
  </si>
  <si>
    <t>lipid binding</t>
  </si>
  <si>
    <t>Interacting selectively and non-covalently with a lipid.  [GOC:ai]</t>
  </si>
  <si>
    <t>high-density lipoprotein particle</t>
  </si>
  <si>
    <t>A lipoprotein particle with a high density (typically 1.063-1.21 g/ml) and a diameter of 5-10 nm that contains APOAs and may contain APOCs and APOE; found in blood and carries lipids from body tissues to the liver as part of the reverse cholesterol transport process.  [GOC:BHF, GOC:expert_pt, GOC:mah, GOC:pde, GOC:rl]</t>
  </si>
  <si>
    <t>HDL complex  EXACT []</t>
  </si>
  <si>
    <t>lipid transport</t>
  </si>
  <si>
    <t>The directed movement of lipids into, out of or within a cell, or between cells, by means of some agent such as a transporter or pore. Lipids are compounds soluble in an organic solvent but not, or sparingly, in an aqueous solvent.  [ISBN:0198506732]</t>
  </si>
  <si>
    <t>PLN02561 8e-088| PLN02429 5e-086| PTZ00333 4e-074| TIM 8e-061| TIM 3e-058| tpiA 4e-056| PRK13962 9e-054| TpiA 1e-049| PRK14566 1e-048| PRK14567 5e-047| PRK14565 6e-035| PRK15492 8e-031| PRK14905 4e-029| tim 1e-018| PRK04302 7e-007| PLPDE_III_AR_proteobact | DUF3383 | SAM1 | SAM_Samd9_Samd9L | TIGR02679 |</t>
  </si>
  <si>
    <t>Triosephosphate isomerase - Homo sapiens - triose-phosphate isomerase activity - protein binding - extracellular space - nucleus - cytosol - carbohydrate metabolic process - glucose metabolic process - gluconeogenesis - glycolytic process - pentose-phosphate shunt - embryo development - glyceraldehyde-3-phosphate metabolic process - small molecule metabolic process - extracellular vesicular exosome</t>
  </si>
  <si>
    <t>triose-phosphate isomerase activity</t>
  </si>
  <si>
    <t>Catalysis of the reaction: D-glyceraldehyde 3-phosphate = glycerone phosphate.  [EC:5.3.1.1, RHEA:18588]</t>
  </si>
  <si>
    <t>D-glyceraldehyde-3-phosphate aldose-ketose-isomerase activity  EXACT [EC:5.3.1.1]</t>
  </si>
  <si>
    <t>carbohydrate metabolic process</t>
  </si>
  <si>
    <t>The chemical reactions and pathways involving carbohydrates, any of a group of organic compounds based of the general formula Cx(H2O)y. Includes the formation of carbohydrate derivatives by the addition of a carbohydrate residue to another molecule.  [GOC:mah, ISBN:0198506732]</t>
  </si>
  <si>
    <t>carbohydrate metabolism  EXACT []</t>
  </si>
  <si>
    <t>F</t>
  </si>
  <si>
    <t>PNPH 1e-097| PRK08202 7e-076| PNPH-PUNA-XAPA 1e-075| XAPA 3e-049| Pnp 3e-043| PUNP 2e-040| PNP_UDP_1 1e-022| PRK08666 3e-016| MTAP 1e-012| PRK09136 3e-011| PRK08564 6e-011| PRK07823 4e-006| PRK08931 2e-005| PRK07432 3e-005| bioF | PRK14697 | PRK06698 | PaeLigD_Pol_like | AL_MDR | COG1829 |</t>
  </si>
  <si>
    <t>Purine nucleoside phosphorylase - Homo sapiens - nucleoside binding - purine nucleobase binding - purine-nucleoside phosphorylase activity - intracellular - cytoplasm - cytosol - cytoskeleton - nucleobase-containing compound metabolic process - purine nucleobase metabolic process - inosine catabolic process - purine nucleotide catabolic process - nicotinamide riboside catabolic process - immune response - drug binding - NAD biosynthesis via nicotinamide riboside salvage pathway - urate biosynthetic process - positive regulation of T cell proliferation - phosphate ion binding - response to drug - purine-containing compound salvage - small molecule metabolic process - positive regulation of alpha-beta T cell differentiation - nucleobase-containing small molecule metabolic process - extracellular vesicular exosome - interleukin-2 secretion</t>
  </si>
  <si>
    <t>nucleoside binding</t>
  </si>
  <si>
    <t>Interacting selectively and non-covalently with a nucleoside, a compound consisting of a purine or pyrimidine nitrogenous base linked either to ribose or deoxyribose.  [GOC:hjd]</t>
  </si>
  <si>
    <t>intracellular</t>
  </si>
  <si>
    <t>The living contents of a cell; the matter contained within (but not including) the plasma membrane, usually taken to exclude large vacuoles and masses of secretory or ingested material. In eukaryotes it includes the nucleus and cytoplasm.  [ISBN:0198506732]</t>
  </si>
  <si>
    <t>internal to cell  EXACT []</t>
  </si>
  <si>
    <t>nucleobase-containing compound metabolic process</t>
  </si>
  <si>
    <t>Any cellular metabolic process involving nucleobases, nucleosides, nucleotides and nucleic acids.  [GOC:ai]</t>
  </si>
  <si>
    <t>cellular nucleobase, nucleoside, nucleotide and nucleic acid metabolic process  EXACT []</t>
  </si>
  <si>
    <t>IgC_CH1 6e-023| IgC_CH4 1e-020| IgC 1e-017| IGc1 3e-015| IgC_L 9e-011| IgC_CH3 4e-010| C1-set 5e-009| IgC_TCR_beta 8e-007| IgC_CH2_IgE 1e-006| IgC_MHC_II_beta 2e-006| IgC_MHC_I_alpha3 5e-006| IgC_SIRP 5e-005| IgC_Tapasin_R 3e-004| IgC_CH2 0.004| IgC_MHC_II_alpha 0.009| IgC_beta2m 0.011| Ig2_KIRREL3-like 0.015| Ig | hydroxyacyl-CoA-like_DH_SDR_c-like | IgC_TCR_gamma |</t>
  </si>
  <si>
    <t>Ig gamma-1 chain C region - Homo sapiens - antigen binding - protein binding - extracellular region - extracellular space - complement activation - complement activation, classical pathway - Fc-gamma receptor signaling pathway involved in phagocytosis - innate immune response - extracellular vesicular exosome - blood microparticle</t>
  </si>
  <si>
    <t>Ailuropoda melanoleuca</t>
  </si>
  <si>
    <t>LDH_1 e-129| PLN02602 4e-092| L-LDH-NAD 8e-073| LDH_2 2e-071| LDH_like 6e-071| ldh 3e-066| Mdh 4e-057| HicDH_like 8e-057| LDH_MDH_like 5e-046| LDH_3 3e-045| LDH-like_MDH 2e-043| MalateDH_bact 2e-041| PRK06223 9e-040| LDH-like_MDH_nadp 1e-036| PTZ00117 2e-033| PTZ00082 2e-033| Ldh_1_N 3e-033| Ldh_1_C 5e-015| PTZ00325 3e-009| MDH_glyoxysomal_mitochondrial 2e-008|</t>
  </si>
  <si>
    <t>L-lactate dehydrogenase - Homo sapiens - cytoplasm</t>
  </si>
  <si>
    <t>L-lactate dehydrogenase activity</t>
  </si>
  <si>
    <t>Catalysis of the reaction: (S)-lactate + NAD+ = pyruvate + NADH + H+.  [EC:1.1.1.27, RHEA:23447]</t>
  </si>
  <si>
    <t>L-lactic acid dehydrogenase activity  EXACT [EC:1.1.1.27]</t>
  </si>
  <si>
    <t>cytoplasm</t>
  </si>
  <si>
    <t>All of the contents of a cell excluding the plasma membrane and nucleus, but including other subcellular structures.  [ISBN:0198547684]</t>
  </si>
  <si>
    <t>lactate metabolic process</t>
  </si>
  <si>
    <t>The chemical reactions and pathways involving lactate, the anion of lactic acid.  [ISBN:0198547684]</t>
  </si>
  <si>
    <t>2-hydroxypropanoate metabolic process  EXACT []</t>
  </si>
  <si>
    <t>PLN02272 e-139| PLN02358 e-131| gapA e-127| PTZ00023 e-125| GapA e-108| GAPDH-I e-100| PTZ00434 5e-092| PRK07729 1e-085| PRK07403 1e-085| PLN03096 7e-080| PLN02237 2e-078| PRK08955 1e-073| PRK13535 4e-067| E4PD_g-proteo 7e-064| Gp_dh_C 8e-055| PRK08289 3e-053| Gp_dh_N 2e-048| Gp_dh_N 3e-044| PTZ00353 1e-040| PRK04207 0.007|</t>
  </si>
  <si>
    <t>Glyceraldehyde-3-phosphate dehydrogenase - Oryctolagus cuniculus - microtubule cytoskeleton organization - glyceraldehyde-3-phosphate dehydrogenase (NAD+) (phosphorylating) activity - protein binding - nucleus - cytoplasm - cytosol - microtubule binding - microtubule cytoskeleton - peptidyl-cysteine S-nitrosylase activity - peptidyl-cysteine S-trans-nitrosylation - protein stabilization - neuron apoptotic process - GAIT complex</t>
  </si>
  <si>
    <t>glyceraldehyde-3-phosphate dehydrogenase (NAD+) (phosphorylating) activity</t>
  </si>
  <si>
    <t>Catalysis of the reaction: D-glyceraldehyde 3-phosphate + phosphate + NAD+ = 3-phospho-D-glyceroyl phosphate + NADH + H+.  [EC:1.2.1.12]</t>
  </si>
  <si>
    <t>3-phosphoglyceraldehyde dehydrogenase activity  EXACT [EC:1.2.1.12]</t>
  </si>
  <si>
    <t>microtubule cytoskeleton organization</t>
  </si>
  <si>
    <t>A process that is carried out at the cellular level which results in the assembly, arrangement of constituent parts, or disassembly of cytoskeletal structures comprising microtubules and their associated proteins.  [GOC:mah]</t>
  </si>
  <si>
    <t>microtubule cytoskeleton organisation  EXACT [GOC:mah]</t>
  </si>
  <si>
    <t>Annexin 9e-017| ANX 1e-010| PRK14160 0.080| flgH | SR_IS607_transposase_like | DUF4301 | DegV | Met_dep_hydrolase_E | PRK08506 | glyS | PTZ00058 | pheS | Phi-29_GP16_7 | PH_anillin | PRK14512 | PRK14109 | PRK13411 | DUF4618 | tly | trmD |</t>
  </si>
  <si>
    <t>Annexin - Homo sapiens - cytoplasm - plasma membrane</t>
  </si>
  <si>
    <t>cornified envelope</t>
  </si>
  <si>
    <t>An insoluble protein structure formed under the plasma membrane of cornifying epithelial cells.  [PMID:11112355]</t>
  </si>
  <si>
    <t>neutrophil homeostasis</t>
  </si>
  <si>
    <t>The process of regulating the proliferation and elimination of neutrophils such that the total number of neutrophils within a whole or part of an organism is stable over time in the absence of an outside stimulus.  [GOC:add, GOC:pr, PMID:12752675, PMID:12960266]</t>
  </si>
  <si>
    <t>annexin A1</t>
  </si>
  <si>
    <t>Tryp_SPc 5e-029| Tryp_SPc 1e-025| Trypsin 3e-024| PHA02639 | amiF | DUF1986 | HypF | PRK13512 17| Mon1 22| Se_dep_Molyb_1 22| DUF1579 29| PI-PLCc_bacteria_like 29| PRK13684 29| PHA03139 29| Utp8 37| HDAC_classIV 37| PRK15347 37| PRK09182 37| gcvT 37| PHA02358 37|</t>
  </si>
  <si>
    <t>haptoglobin - Mus musculus - liver development - immune system process - catalytic activity - serine-type endopeptidase activity - extracellular region - extracellular space - endoplasmic reticulum - Golgi apparatus - proteolysis - acute-phase response - positive regulation of cell death - antioxidant activity - hemoglobin binding - haptoglobin-hemoglobin complex - response to hydrogen peroxide - defense response to bacterium - protein homodimerization activity - negative regulation of oxidoreductase activity - extracellular vesicular exosome - blood microparticle - negative regulation of hydrogen peroxide catabolic process</t>
  </si>
  <si>
    <t>catalytic activity</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</si>
  <si>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  [ISBN:0198506732]</t>
  </si>
  <si>
    <t>enzyme activity  EXACT [GOC:dph, GOC:tb]</t>
  </si>
  <si>
    <t>liver development</t>
  </si>
  <si>
    <t>The process whose specific outcome is the progression of the liver over time, from its formation to the mature structure. The liver is an exocrine gland which secretes bile and functions in metabolism of protein and carbohydrate and fat, synthesizes substances involved in the clotting of the blood, synthesizes vitamin A, detoxifies poisonous substances, stores glycogen, and breaks down worn-out erythrocytes.  [GOC:add, ISBN:068340007X]</t>
  </si>
  <si>
    <t>Arylesterase 2e-031| COG3386 1e-004| SGL 0.013| COG2706 | Lactonase | PRK11028 | COG2373 | Str_synth | MACS_AAE_MA_like | TCP1_alpha | portal_HK97 | rad4 | nitrous_NosZ_Gp | M28_Pgcp_like | Hint | ManA | DNA_pol_B_palm 10| DUF684 10| SdiA-regulated 10| Peptidase_S41_IRBP 10|</t>
  </si>
  <si>
    <t>Serum paraoxonase/arylesterase 1 - Oryctolagus cuniculus - aryldialkylphosphatase activity - arylesterase activity - calcium ion binding - metabolic process - antioxidant activity - dephosphorylation - response to organophosphorus</t>
  </si>
  <si>
    <t>aryldialkylphosphatase activity</t>
  </si>
  <si>
    <t>Catalysis of the reaction: aryl dialkyl phosphate + H2O = dialkyl phosphate + an aryl alcohol.  [EC:3.1.8.1]</t>
  </si>
  <si>
    <t>A-esterase activity  BROAD [EC:3.1.8.1]</t>
  </si>
  <si>
    <t>response to external stimulus</t>
  </si>
  <si>
    <t>Any process that results in a change in state or activity of a cell or an organism (in terms of movement, secretion, enzyme production, gene expression, etc.) as a result of an external stimulus.  [GOC:hb]</t>
  </si>
  <si>
    <t>response to environmental stimulus  EXACT []</t>
  </si>
  <si>
    <t>serum paraoxonase/arylesterase 1</t>
  </si>
  <si>
    <t>Cystatin 1e-008| CY 5e-005| CY 2e-004| rne 0.001| PRK12323 0.001| PRK14951 0.008| PRK03427 0.013| PRK07764 0.017| Atrophin-1 0.030| DedD 0.030| PRK11856 0.066| PHA03307 0.066| FAP | PRK07003 | DUF3729 | PRK10856 | PRK10263 | PHA03378 | PHA03269 | Drf_FH1 |</t>
  </si>
  <si>
    <t>Alpha-2-HS-glycoprotein - Oryctolagus cuniculus - acute-phase response - negative regulation of bone mineralization - regulation of inflammatory response - positive regulation of phagocytosis</t>
  </si>
  <si>
    <t>cysteine-type endopeptidase inhibitor activity</t>
  </si>
  <si>
    <t>Stops, prevents or reduces the activity of a cysteine-type endopeptidase, any enzyme that hydrolyzes peptide bonds in polypeptides by a mechanism in which the sulfhydryl group of a cysteine residue at the active center acts as a nucleophile.  [GOC:dph, GOC:tb]</t>
  </si>
  <si>
    <t>cysteine protease inhibitor activity  EXACT [GOC:dph, GOC:tb]</t>
  </si>
  <si>
    <t>ossification</t>
  </si>
  <si>
    <t>The formation of bone or of a bony substance, or the conversion of fibrous tissue or of cartilage into bone or a bony substance.  [GOC:mtg_mpo, PMID:17572649]</t>
  </si>
  <si>
    <t>bone biosynthesis  EXACT []</t>
  </si>
  <si>
    <t>Ochotona princeps</t>
  </si>
  <si>
    <t>Filament 5e-076| Smc 1e-017| SMC_prok_A 2e-013| SMC_prok_B 4e-013| Myosin_tail_1 3e-010| SbcC 6e-009| PRK02224 5e-008| PRK03918 2e-007| COG1579 5e-007| GOLGA2L5 7e-007| WEMBL 1e-006| DUF869 3e-006| CALCOCO1 1e-005| COG4372 1e-005| HOOK 2e-005| DUF3584 2e-005| IncA 4e-005| TIGR02680 6e-005| HCR 1e-004| DNA_S_dndD 2e-004|</t>
  </si>
  <si>
    <t>Keratin, type II cytoskeletal 7 - Bos taurus - structural molecule activity - nucleus - Golgi apparatus - keratin filament</t>
  </si>
  <si>
    <t>structural molecule activity</t>
  </si>
  <si>
    <t>The action of a molecule that contributes to the structural integrity of a complex or assembly within or outside a cell.  [GOC:mah]</t>
  </si>
  <si>
    <t>viral process</t>
  </si>
  <si>
    <t>A multi-organism process in which a virus is a participant. The other participant is the host. Includes infection of a host cell, replication of the viral genome, and assembly of progeny virus particles. In some cases the viral genetic material may integrate into the host genome and only subsequently, under particular circumstances, 'complete' its life cycle.  [GOC:bf, GOC:jl, GOC:mah]</t>
  </si>
  <si>
    <t>viral infection  RELATED []</t>
  </si>
  <si>
    <t>V</t>
  </si>
  <si>
    <t>Cystatin 1e-006| CY 8e-004| CY 0.002| Peptidase_M35 | PRK10617 | PAT1 | CENP-N | addA_alphas | PLN00060 | Herpes_TAF50 | PT_UbiA_HPT1 | RIG-I_C-RD 12| DUF1875 12| PBP2_Ylib_like 12| cysN 12| Rib 15| DUF1619 15| FragX_IP 15| CysN_ATPS 15| PRK14950 15|</t>
  </si>
  <si>
    <t>Uncharacterized protein - Canis lupus familiaris - cysteine-type endopeptidase inhibitor activity - extracellular space - binding of sperm to zona pellucida - metalloendopeptidase inhibitor activity - negative regulation of endopeptidase activity</t>
  </si>
  <si>
    <t>binding of sperm to zona pellucida</t>
  </si>
  <si>
    <t>The process in which the sperm binds to the zona pellucida glycoprotein layer of the egg. The process begins with the attachment of the sperm plasma membrane to the zona pellucida and includes attachment of the acrosome inner membrane to the zona pellucida after the acrosomal reaction takes place.  [GOC:dph, ISBN:0878932437]</t>
  </si>
  <si>
    <t>ZPG binding  RELATED []</t>
  </si>
  <si>
    <t>S</t>
  </si>
  <si>
    <t>Filament 1e-074| Smc 2e-009| SMC_prok_B 3e-008| Myosin_tail_1 2e-007| SbcC 1e-005| Cast 1e-004| SMC_prok_A 1e-004| SCP-1 2e-004| MAD 4e-004| PRK03918 0.003| SMC_N 0.005| HCR 0.009| PRK02224 0.026| COG1579 0.026| CCDC155 0.033| DNA_S_dndD 0.044| PRK01156 0.044| CAGE1 0.074| PspA 0.074| WEMBL 0.097|</t>
  </si>
  <si>
    <t>Keratin, type I cytoskeletal 28 - Homo sapiens - molecular_function - structural molecule activity - cellular_component - cytoplasm - intermediate filament - biological_process</t>
  </si>
  <si>
    <t>molecular_function</t>
  </si>
  <si>
    <t>Elemental activities, such as catalysis or binding, describing the actions of a gene product at the molecular level. A given gene product may exhibit one or more molecular functions.  [GOC:go_curators]</t>
  </si>
  <si>
    <t>molecular function  EXACT []</t>
  </si>
  <si>
    <t>cellular_component</t>
  </si>
  <si>
    <t>The part of a cell or its extracellular environment in which a gene product is located. A gene product may be located in one or more parts of a cell and its location may be as specific as a particular macromolecular complex, that is, a stable, persistent association of macromolecules that function together.  [GOC:go_curators, NIF_Subcellular:sao-1337158144]</t>
  </si>
  <si>
    <t>cellular component  EXACT []</t>
  </si>
  <si>
    <t>biological_process</t>
  </si>
  <si>
    <t>Any process specifically pertinent to the functioning of integrated living units: cells, tissues, organs, and organisms. A process is a collection of molecular events with a defined beginning and end.  [GOC:go_curators, GOC:isa_complete]</t>
  </si>
  <si>
    <t>biological process  EXACT []</t>
  </si>
  <si>
    <t>alpha-1-antitrypsin_like e-115| SERPIN e-108| Serpin 1e-085| SERPIN 4e-066| PZI 1e-058| PAI-2 2e-056| ovalbumin_like 2e-055| ov-serpin 2e-052| HCII 3e-052| neuroserpin 2e-046| COG4826 3e-045| bacterial_SERPIN 7e-045| PAI-1_nexin-1 2e-043| antithrombin-III_like 7e-043| PEDF 6e-042| maspin_like 3e-039| alpha2AP 2e-038| plant_SERPIN 3e-037| hsp47 3e-036| C1_inh 8e-034|</t>
  </si>
  <si>
    <t>Alpha-1-antitrypsin - Homo sapiens - response to hypoxia - glycoprotein binding - protease binding - platelet degranulation - serine-type endopeptidase inhibitor activity - protein binding - extracellular region - proteinaceous extracellular matrix - extracellular space - endoplasmic reticulum - Golgi apparatus - acute-phase response - blood coagulation - response to lead ion - negative regulation of endopeptidase activity - regulation of proteolysis - platelet activation - platelet alpha granule lumen - response to estradiol - response to lipopolysaccharide - response to methanol - response to triglyceride - response to cytokine - identical protein binding - response to chromate - extracellular vesicular exosome</t>
  </si>
  <si>
    <t>response to hypoxia</t>
  </si>
  <si>
    <t>Any process that results in a change in state or activity of a cell or an organism (in terms of movement, secretion, enzyme production, gene expression, etc.) as a result of a stimulus indicating lowered oxygen tension. Hypoxia, defined as a decline in O2 levels below normoxic levels of 20.8 - 20.95%, results in metabolic adaptation at both the cellular and organismal level.  [GOC:hjd]</t>
  </si>
  <si>
    <t>response to hypoxic stress  EXACT []</t>
  </si>
  <si>
    <t>alpha-1-antitrypsin_like e-115| SERPIN e-107| Serpin 2e-084| SERPIN 1e-064| PZI 9e-059| PAI-2 1e-057| ovalbumin_like 3e-056| HCII 1e-052| ov-serpin 8e-052| neuroserpin 1e-046| bacterial_SERPIN 5e-046| COG4826 7e-045| antithrombin-III_like 1e-043| PAI-1_nexin-1 2e-042| PEDF 1e-041| maspin_like 1e-038| plant_SERPIN 6e-037| alpha2AP 2e-036| hsp47 3e-036| C1_inh 2e-034|</t>
  </si>
  <si>
    <t>Uncharacterized protein - Canis lupus familiaris - protease binding - extracellular space - endoplasmic reticulum - identical protein binding</t>
  </si>
  <si>
    <t>serine-type endopeptidase inhibitor activity</t>
  </si>
  <si>
    <t>Stops, prevents or reduces the activity of serine-type endopeptidases, enzymes that catalyze the hydrolysis of nonterminal peptide bonds in a polypeptide chain; a serine residue (and a histidine residue) are at the active center of the enzyme.  [GOC:ai]</t>
  </si>
  <si>
    <t>serine protease inhibitor activity  EXACT []</t>
  </si>
  <si>
    <t>negative regulation of endopeptidase activity</t>
  </si>
  <si>
    <t>Any process that decreases the frequency, rate or extent of endopeptidase activity, the endohydrolysis of peptide bonds within proteins.  [GOC:dph, GOC:tb]</t>
  </si>
  <si>
    <t>alpha-1-antitrypsin_like e-116| SERPIN e-108| Serpin 2e-086| SERPIN 4e-066| PZI 1e-057| ovalbumin_like 5e-057| PAI-2 8e-057| HCII 8e-055| ov-serpin 1e-051| neuroserpin 2e-046| COG4826 3e-045| bacterial_SERPIN 3e-045| antithrombin-III_like 6e-044| PAI-1_nexin-1 2e-043| PEDF 3e-042| alpha2AP 1e-039| maspin_like 9e-038| plant_SERPIN 9e-038| hsp47 1e-036| C1_inh 1e-035|</t>
  </si>
  <si>
    <t>alpha-1-antitrypsin_like e-118| SERPIN e-109| Serpin 7e-086| SERPIN 7e-067| PZI 2e-059| PAI-2 2e-058| ovalbumin_like 4e-058| ov-serpin 9e-054| HCII 3e-053| neuroserpin 2e-046| COG4826 5e-046| bacterial_SERPIN 7e-046| antithrombin-III_like 5e-044| PAI-1_nexin-1 5e-043| PEDF 3e-042| maspin_like 7e-040| alpha2AP 3e-038| plant_SERPIN 3e-038| hsp47 4e-037| C1_inh 3e-035|</t>
  </si>
  <si>
    <t>alpha-1-antitrypsin_like e-107| SERPIN 1e-092| Serpin 1e-084| SERPIN 8e-068| PAI-2 5e-057| ovalbumin_like 1e-052| ov-serpin 4e-049| PZI 1e-046| bacterial_SERPIN 1e-046| antithrombin-III_like 1e-046| HCII 1e-045| neuroserpin 6e-045| COG4826 5e-043| PEDF 1e-041| maspin_like 2e-039| alpha2AP 3e-037| PAI-1_nexin-1 3e-035| plant_SERPIN 5e-034| C1_inh 4e-031| hsp47 3e-029|</t>
  </si>
  <si>
    <t>Alpha-1-antichymotrypsin - Homo sapiens - DNA binding - serine-type endopeptidase inhibitor activity - protein binding - extracellular region - extracellular space - intracellular - nucleus - acute-phase response - inflammatory response - negative regulation of endopeptidase activity - regulation of lipid metabolic process - regulation of proteolysis - maintenance of gastrointestinal epithelium - extracellular vesicular exosome - blood microparticle</t>
  </si>
  <si>
    <t>acute-phase response</t>
  </si>
  <si>
    <t>An acute inflammatory response that involves non-antibody proteins whose concentrations in the plasma increase in response to infection or injury of homeothermic animals.  [ISBN:0198506732]</t>
  </si>
  <si>
    <t>Filament 3e-083| Smc 4e-012| SMC_prok_B 2e-011| Myosin_tail_1 2e-010| SbcC 3e-008| SMC_prok_A 2e-007| PRK02224 1e-006| PRK03918 4e-006| DUF4631 7e-006| SCP-1 7e-006| SMC_N 9e-006| COG1579 3e-005| Lebercilin 8e-005| HAP1_N 8e-005| PRK04778 1e-004| COG4942 1e-004| Trichoplein 5e-004| COG1340 5e-004| DUF2046 7e-004| GP38 7e-004|</t>
  </si>
  <si>
    <t>keratin 17 - Mus musculus - morphogenesis of an epithelium - structural molecule activity - protein binding - cytoplasm - intermediate filament - signal transduction - positive regulation of cell growth - keratinization - MHC class II receptor activity - MHC class II protein binding - intermediate filament organization - positive regulation of translation - positive regulation of hair follicle development - extracellular vesicular exosome - cell periphery</t>
  </si>
  <si>
    <t>morphogenesis of an epithelium</t>
  </si>
  <si>
    <t>The process in which the anatomical structures of epithelia are generated and organized. An epithelium consists of closely packed cells arranged in one or more layers, that covers the outer surfaces of the body or lines any internal cavity or tube.  [GOC:dph, GOC:jl, GOC:tb, ISBN:0198506732]</t>
  </si>
  <si>
    <t>epithelium morphogenesis  EXACT []</t>
  </si>
  <si>
    <t>FBG 3e-066| Fibrinogen_C 5e-065| FReD 3e-064| Fib_alpha 1e-023| PRK03918 0.002| Spc7 0.004| Smc 0.006| 235kDa-fam 0.010| SMC_prok_A 0.028| Tropomyosin_1 0.063| SbcC | DUF869 | SMC_prok_B | DUF1759 | DUF3552 | SynN | PRK13958 | HSP90 | GOLGA2L5 | ALIX_LYPXL_bnd |</t>
  </si>
  <si>
    <t>Fibrinogen gamma chain - Homo sapiens - receptor binding - fibrinogen complex - signal transduction - platelet activation - protein binding, bridging - protein polymerization</t>
  </si>
  <si>
    <t>fibrinogen complex</t>
  </si>
  <si>
    <t>A highly soluble, elongated protein complex found in blood plasma and involved in clot formation. It is converted into fibrin monomer by the action of thrombin. In the mouse, fibrinogen is a hexamer, 46 nm long and 9 nm maximal diameter, containing two sets of nonidentical chains (alpha, beta, and gamma) linked together by disulfide bonds.  [ISBN:0198547684]</t>
  </si>
  <si>
    <t>fibrinogen  EXACT []</t>
  </si>
  <si>
    <t>signal transduction</t>
  </si>
  <si>
    <t>The cellular process in which a signal is conveyed to trigger a change in the activity or state of a cell. Signal transduction begins with reception of a signal (e.g. a ligand binding to a receptor or receptor activation by a stimulus such as light), or for signal transduction in the absence of ligand, signal-withdrawal or the activity of a constitutively active receptor. Signal transduction ends with regulation of a downstream cellular process, e.g. regulation of transcription or regulation of a metabolic process. Signal transduction covers signaling from receptors located on the surface of the cell and signaling via molecules located within the cell. For signaling between cells, signal transduction is restricted to events at and within the receiving cell.  [GOC:go_curators, GOC:mtg_signaling_feb11]</t>
  </si>
  <si>
    <t>signaling cascade  NARROW []</t>
  </si>
  <si>
    <t>STKc_PKB_beta 2e-022| S_TKc 3e-022| STKc_MAST_like 7e-022| STKc_PKB 6e-021| STKc_PKB_alpha 1e-020| STKc_PKB_gamma 1e-020| STKc_AGC 1e-020| STKc_PDK1 2e-020| STKc_MAST 2e-018| STKc_PKC 2e-018| PKc 2e-018| STKc_cPKC_beta 8e-018| Pkinase 2e-017| STKc_ROCK1 2e-017| STKc_cPKC 2e-017| STKc_cPKC_alpha 5e-017| STKc_Sck1_like 5e-017| STKc_PRKX_like 9e-017| STKc_ROCK_NDR_like 2e-016| STKc_Rim15_like 3e-016|</t>
  </si>
  <si>
    <t>Serine/threonine-protein kinase 40 - Homo sapiens - protein serine/threonine kinase activity - protein binding - ATP binding - nucleus - cytoplasm - protein phosphorylation - nucleolus</t>
  </si>
  <si>
    <t>protein serine/threonine kinase activity</t>
  </si>
  <si>
    <t>Catalysis of the reactions: ATP + protein serine = ADP + protein serine phosphate, and ATP + protein threonine = ADP + protein threonine phosphate.  [GOC:bf]</t>
  </si>
  <si>
    <t>protein kinase (phosphorylating) activity  NARROW [EC:2.7.11.1]</t>
  </si>
  <si>
    <t>protein phosphorylation</t>
  </si>
  <si>
    <t>The process of introducing a phosphate group on to a protein.  [GOC:hb]</t>
  </si>
  <si>
    <t>protein amino acid phosphorylation  EXACT [GOC:bf]</t>
  </si>
  <si>
    <t>Filament 1e-091| Smc 2e-013| SMC_prok_B 1e-012| SbcC 3e-011| Myosin_tail_1 1e-010| PRK02224 3e-009| PRK03918 2e-008| SMC_prok_A 5e-008| Lebercilin 2e-007| GRP 7e-007| HCR 2e-006| PTZ00146 2e-006| MAD 3e-006| GP38 4e-006| WEMBL 1e-005| PRK06958 2e-005| COG4371 2e-005| Gly_rich 3e-005| PRK04778 3e-005| Cast 4e-005|</t>
  </si>
  <si>
    <t>Uncharacterized protein - Sus scrofa - structural molecule activity - nucleus - cytoplasm - epithelial cell differentiation - keratin filament - intermediate filament bundle assembly - cell periphery</t>
  </si>
  <si>
    <t>epithelial cell differentiation</t>
  </si>
  <si>
    <t>The process in which a relatively unspecialized cell acquires specialized features of an epithelial cell, any of the cells making up an epithelium.  [GOC:ecd, PMID:11839751]</t>
  </si>
  <si>
    <t>keratin type I cytoskeletal 14 isoform X1</t>
  </si>
  <si>
    <t>L</t>
  </si>
  <si>
    <t>Filament 4e-076| Smc 4e-014| SMC_prok_A 6e-013| SMC_prok_B 2e-012| SbcC 6e-011| PRK03918 2e-010| Myosin_tail_1 2e-009| HOOK 7e-009| MAD 8e-008| PRK02224 7e-007| COG1340 1e-005| DUF3584 2e-005| Cast 3e-005| GumC 8e-005| SCP-1 2e-004| SMC_N 2e-004| VI_ClpV1 2e-004| HAP1_N 7e-004| GOLGA2L5 9e-004| EzrA 9e-004|</t>
  </si>
  <si>
    <t>Keratin, type I cytoskeletal 18 - Homo sapiens - structural molecule activity - protein binding - nucleolus - cytoplasm - microtubule organizing center - intermediate filament - cell cycle - anatomical structure morphogenesis - viral process - tumor necrosis factor-mediated signaling pathway - centriolar satellite - Golgi to plasma membrane CFTR protein transport - negative regulation of apoptotic process - poly(A) RNA binding - keratin filament - intermediate filament cytoskeleton organization - perinuclear region of cytoplasm - extracellular vesicular exosome - scaffold protein binding - extrinsic apoptotic signaling pathway - hepatocyte apoptotic process</t>
  </si>
  <si>
    <t>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</si>
  <si>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</si>
  <si>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cell 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</si>
  <si>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[GOC:go_curators, GOC:mtg_cell_cycle]</t>
  </si>
  <si>
    <t>cell-division cycle  EXACT []</t>
  </si>
  <si>
    <t>Filament 8e-090| Smc 4e-012| SMC_prok_B 1e-011| SbcC 2e-010| Myosin_tail_1 1e-009| HCR 5e-008| SMC_prok_A 2e-007| PRK03918 2e-007| PRK02224 2e-006| SMC_N 6e-006| PRK04778 2e-005| WEMBL 3e-005| Mitofilin 1e-004| Lebercilin 2e-004| COG1579 3e-004| Cast 4e-004| GOLGA2L5 5e-004| PRK10246 7e-004| pepcterm_ChnLen 0.002| DUF2046 0.003|</t>
  </si>
  <si>
    <t>Keratin, type I cytoskeletal 16 - Homo sapiens - structural constituent of cytoskeleton - protein binding - nucleus - cytoskeleton - intermediate filament - cytoskeleton organization - aging - cell proliferation - epidermis development - negative regulation of cell migration - hair cycle - intermediate filament cytoskeleton organization - extracellular vesicular exosome</t>
  </si>
  <si>
    <t>structural constituent of cytoskeleton</t>
  </si>
  <si>
    <t>The action of a molecule that contributes to the structural integrity of a cytoskeletal structure.  [GOC:mah]</t>
  </si>
  <si>
    <t>cytoskeleton organization</t>
  </si>
  <si>
    <t>A process that is carried out at the cellular level which results in the assembly, arrangement of constituent parts, or disassembly of cytoskeletal structures.  [GOC:dph, GOC:jl, GOC:mah]</t>
  </si>
  <si>
    <t>cytoskeletal organization and biogenesis  RELATED [GOC:mah]</t>
  </si>
  <si>
    <t>Filament 5e-092| Gly_rich 2e-014| SMC_prok_B 6e-013| Smc 6e-013| GP38 2e-010| GRP 5e-010| PTZ00146 2e-009| SbcC 2e-009| Myosin_tail_1 2e-009| SMC_prok_A 3e-009| PRK07772 4e-009| PRK06958 9e-009| SBP_bac_10 2e-008| PRK01156 7e-007| PRK03918 9e-007| MAD 2e-006| PRP 6e-006| Bindin 6e-006| CALCOCO1 1e-005| PRK14295 1e-005|</t>
  </si>
  <si>
    <t>Uncharacterized protein - Canis lupus familiaris - structural molecule activity - intermediate filament - scaffold protein binding</t>
  </si>
  <si>
    <t>epidermis development</t>
  </si>
  <si>
    <t>The process whose specific outcome is the progression of the epidermis over time, from its formation to the mature structure. The epidermis is the outer epithelial layer of a plant or animal, it may be a single layer that produces an extracellular material (e.g. the cuticle of arthropods) or a complex stratified squamous epithelium, as in the case of many vertebrate species.  [GOC:go_curators, UBERON:0001003]</t>
  </si>
  <si>
    <t>hypodermis development  RELATED [GOC:kmv, GOC:rk]</t>
  </si>
  <si>
    <t>keratin 15</t>
  </si>
  <si>
    <t>Filament 5e-076| Smc 7e-012| SMC_prok_B 6e-011| Myosin_tail_1 4e-009| SbcC 6e-008| HOOK 3e-006| SCP-1 8e-006| PRK03918 8e-006| SMC_prok_A 2e-005| PTZ00146 5e-005| MAD 4e-004| PRK02224 4e-004| HCR 6e-004| Cep57_CLD 0.001| PRK06958 0.001| PRK04778 0.001| COG4371 0.001| DUF2046 0.003| Gly_rich 0.004| COG1579 0.005|</t>
  </si>
  <si>
    <t>Keratin, type I cytoskeletal 27 - Homo sapiens - molecular_function - structural molecule activity - cellular_component - cytoplasm - intermediate filament - biological_process - hair follicle morphogenesis</t>
  </si>
  <si>
    <t>keratin type I cytoskeletal 27</t>
  </si>
  <si>
    <t>HX 7e-023| HX 0.001| Hemopexin 0.002| dxs | PRK06489 | Peptidase_S80 | PRK06361 | COG4099 | GvpL_GvpF | SPRY_PRY_RNF135 | MPP_DR1119 | PRK09775 | Utp8 11| NcnH 11| COG3164 11| PRK10833 14| PLN02387 14| PHP_PolIIIA_DnaE3 18| PRK06300 18| RpoB 18|</t>
  </si>
  <si>
    <t>Hemopexin - Oryctolagus cuniculus - heme binding</t>
  </si>
  <si>
    <t>positive regulation of immunoglobulin production</t>
  </si>
  <si>
    <t>Any process that activates or increases the frequency, rate, or extent of immunoglobulin production.  [GOC:add]</t>
  </si>
  <si>
    <t>activation of immunoglobulin production  NARROW []</t>
  </si>
  <si>
    <t>HX 7e-023| HX 0.001| Hemopexin 0.002| dxs 0.040| PRK06489 | Peptidase_S80 | COG4099 | GvpL_GvpF | COG1491 | SPRY_PRY_RNF135 | MPP_DR1119 | PRK09775 | Actin 11| SPRY_RNF123 11| NcnH 11| PRK10833 14| PLN02387 14| PHP_PolIIIA_DnaE3 18| SPRY_PRY_TRIM18 24| hsFATP4_like 24|</t>
  </si>
  <si>
    <t>antithrombin-III_like e-164| SERPIN 9e-079| ovalbumin_like 1e-077| Serpin 1e-076| SERPIN 1e-072| PAI-2 5e-072| ov-serpin 2e-061| neuroserpin 2e-059| alpha-1-antitrypsin_like 4e-053| plant_SERPIN 7e-053| COG4826 2e-052| HCII 8e-051| PAI-1_nexin-1 2e-049| maspin_like 6e-048| bacterial_SERPIN 1e-045| PZI 9e-037| alpha2AP 9e-037| hsp47 1e-035| C1_inh 8e-032| PEDF 9e-031|</t>
  </si>
  <si>
    <t>Uncharacterized protein - Sus scrofa - protease binding - serine-type endopeptidase inhibitor activity - extracellular space - heparin binding - negative regulation of endopeptidase activity - regulation of blood coagulation, intrinsic pathway</t>
  </si>
  <si>
    <t>ALBUMIN 3e-037| ALBUMIN 1e-031| Serum_albumin 1e-031| VitD-bind_III 5e-026| PTZ00493 | TTKRSYEDQ | Meckelin | Sec6 | Cullin | DUF1103 | Borrelia_REV | PLN03200 | RSV_NS2 | ftrA | COG5210 | SpsE | DUF2357 11| SNF5 11| Tig 11| DUF4545 15|</t>
  </si>
  <si>
    <t>Vitamin D-binding protein - Oryctolagus cuniculus - actin binding</t>
  </si>
  <si>
    <t>actin binding</t>
  </si>
  <si>
    <t>Interacting selectively and non-covalently with monomeric or multimeric forms of actin, including actin filaments.  [GOC:clt]</t>
  </si>
  <si>
    <t>membrane associated actin binding  NARROW []</t>
  </si>
  <si>
    <t>steroid metabolic process</t>
  </si>
  <si>
    <t>The chemical reactions and pathways involving steroids, compounds with a 1,2,cyclopentanoperhydrophenanthrene nucleus.  [ISBN:0198547684]</t>
  </si>
  <si>
    <t>steroid metabolism  EXACT []</t>
  </si>
  <si>
    <t>Heterocephalus glaber</t>
  </si>
  <si>
    <t>IgC_CH4 1e-034| IgC 1e-018| IgC_CH3 1e-015| IgC_L 1e-012| IgC_CH1 4e-011| IGc1 5e-011| IgC_TCR_beta 3e-010| IgC_CH2_IgE 3e-009| C1-set 4e-008| IgC_CH2 6e-006| IgC_MHC_I_alpha3 1e-005| IgC_MHC_II_beta 4e-005| IgC_SIRP 0.002| IgC_TCR_gamma 0.003| IgC_Tapasin_R 0.006| Ig2_KIRREL3-like 0.019| IgC_MHC_II_alpha 0.070| Ig 0.092| PTCRA | C2-set_2 |</t>
  </si>
  <si>
    <t>Uncharacterized protein - Canis lupus familiaris - integral component of membrane</t>
  </si>
  <si>
    <t>adaptive immune response</t>
  </si>
  <si>
    <t>An immune response based on directed amplification of specific receptors for antigen produced through a somatic diversification process, and allowing for enhanced response to subsequent exposures to the same antigen (immunological memory).  [GO_REF:0000022, GOC:add, GOC:mtg_15nov05, ISBN:0781735149]</t>
  </si>
  <si>
    <t>acquired immune response  EXACT [ISBN:068340007X]</t>
  </si>
  <si>
    <t>IgV_H 6e-027| IgC_CH1 9e-023| IGv 1e-018| IgV 4e-011| IgC_CH3 7e-010| IgC 3e-009| IgV_TCR_gamma 5e-008| IgC_L 1e-006| IgC_CH4 2e-006| IGc1 3e-006| C1-set 2e-005| IgV_L_lambda 2e-004| IgC_CH2_IgE 0.003| IgV_TCR_alpha_like 0.004| IgC_TCR_beta 0.005| Ig2_KIRREL3-like 0.092| IgV_TCR_delta | IgV_TCR_beta | IgV_L_kappa | FAP |</t>
  </si>
  <si>
    <t>Ig1_LILRB1_like 2e-005| Ig_FcalphaRI | PRK15438 | GltB | AsmA | 1-PFK | GH25_BacA-like | PRK13366 | Auxin_canalis | decahem_SO1788 | PLN02809 | fadJ | IG_like | IG | DUF3822 11| IRF-3 11| acyl_WS_DGAT 11| FadJ 11| PHA03333 11| Glyco_trans_4_4 15|</t>
  </si>
  <si>
    <t>Alpha-1B-glycoprotein - Homo sapiens - molecular_function - extracellular region - extracellular space - biological_process - extracellular vesicular exosome - blood microparticle</t>
  </si>
  <si>
    <t>Rattus norvegicus</t>
  </si>
  <si>
    <t>Filament 4e-080| Smc 6e-015| SMC_prok_A 6e-014| SMC_prok_B 3e-012| PRK01156 8e-012| SbcC 1e-011| PRK02224 3e-009| PRK03918 5e-009| Myosin_tail_1 1e-008| rad50 2e-007| COG1579 1e-005| SCP-1 2e-005| TIGR02680 7e-005| HOOK 1e-004| PLN03229 1e-004| DUF3584 2e-004| Taxilin 3e-004| WEMBL 4e-004| Tropomyosin 4e-004| AAA_13 6e-004|</t>
  </si>
  <si>
    <t>Keratin, type II cytoskeletal 6A - Homo sapiens - structural constituent of cytoskeleton - protein binding - nucleus - positive regulation of cell proliferation - membrane - cell differentiation - keratin filament - extracellular vesicular exosome</t>
  </si>
  <si>
    <t>positive regulation of cell proliferation</t>
  </si>
  <si>
    <t>Any process that activates or increases the rate or extent of cell proliferation.  [GOC:go_curators]</t>
  </si>
  <si>
    <t>activation of cell proliferation  NARROW []</t>
  </si>
  <si>
    <t>Fibrinogen_C 3e-081| FBG 9e-066| FReD 4e-064| Fib_alpha 2e-025| SbcC 0.007| Smc 0.015| SMC_prok_B 0.055| Syntaphilin | IFT57 | SCP-1 | RPO41 | SGT1 | 235kDa-fam | EzrA | Lebercilin | PRK03918 | DNA_S_dndD | rad50 | Proteasom_PSMB | CENP-F_leu_zip |</t>
  </si>
  <si>
    <t>Fibrinogen beta chain - Homo sapiens - platelet degranulation - structural molecule activity - protein binding - extracellular region - fibrinogen complex - extracellular space - plasma membrane - cell cortex - cell-matrix adhesion - signal transduction - blood coagulation - external side of plasma membrane - cell surface - platelet activation - extracellular matrix organization - protein binding, bridging - platelet alpha granule - platelet alpha granule lumen - positive regulation of heterotypic cell-cell adhesion - cellular protein complex assembly - cellular response to leptin stimulus - positive regulation of vasoconstriction - positive regulation of exocytosis - positive regulation of protein secretion - chaperone binding - protein polymerization - response to calcium ion - extracellular vesicular exosome - positive regulation of ERK1 and ERK2 cascade - platelet aggregation - cellular response to interleukin-1 - blood microparticle - positive regulation of peptide hormone secretion - positive regulation of substrate adhesion-dependent cell spreading - negative regulation of extrinsic apoptotic signaling pathway via death domain receptors - negative regulation of endothelial cell apoptotic process - receptor binding - cell adhesion molecule binding</t>
  </si>
  <si>
    <t>platelet degranulation</t>
  </si>
  <si>
    <t>The regulated exocytosis of secretory granules containing preformed mediators such as histamine and serotonin by a platelet.  [GOC:add]</t>
  </si>
  <si>
    <t>platelet exocytosis  EXACT []</t>
  </si>
  <si>
    <t>Filament 2e-071| Smc 2e-012| SMC_prok_A 1e-011| Myosin_tail_1 8e-009| SMC_prok_B 2e-008| WEMBL 4e-008| PLN03188 5e-008| SbcC 5e-008| DUF2203 4e-007| PRK03918 3e-005| Kinesin-related 7e-005| MAD 9e-005| rad50 1e-004| PRK02224 3e-004| HOOK 8e-004| SMC_N 0.001| COG1579 0.001| AAA_13 0.004| DUF4659 0.007| DUF4200 0.007|</t>
  </si>
  <si>
    <t>Uncharacterized protein - Canis lupus familiaris - structural molecule activity - keratin filament</t>
  </si>
  <si>
    <t>keratin type II cuticular Hb3</t>
  </si>
  <si>
    <t>alpha2AP e-145| SERPIN 4e-051| PEDF 3e-049| SERPIN 8e-049| Serpin 1e-045| C1_inh 5e-045| ovalbumin_like 1e-042| antithrombin-III_like 3e-040| PAI-2 6e-039| alpha-1-antitrypsin_like 2e-036| ov-serpin 6e-036| HCII 2e-035| neuroserpin 5e-035| bacterial_SERPIN 2e-034| PZI 1e-031| plant_SERPIN 3e-031| maspin_like 4e-031| PAI-1_nexin-1 4e-031| COG4826 9e-029| hsp47 9e-021|</t>
  </si>
  <si>
    <t>Uncharacterized protein - Canis lupus familiaris - protease binding - regulation of blood vessel size by renin-angiotensin - fibrinogen complex - cell surface - negative regulation of plasminogen activation - collagen fibril organization - positive regulation of collagen biosynthetic process - protein homodimerization activity - positive regulation of cell differentiation - positive regulation of transcription from RNA polymerase II promoter - positive regulation of JNK cascade - blood vessel morphogenesis - positive regulation of smooth muscle cell proliferation - positive regulation of stress fiber assembly - positive regulation of ERK1 and ERK2 cascade - positive regulation of transforming growth factor beta production</t>
  </si>
  <si>
    <t>regulation of blood vessel size by renin-angiotensin</t>
  </si>
  <si>
    <t>The process in which the diameter of a blood vessel is changed due to activity of the renin-angiotensin system.  [GOC:dph, GOC:tb]</t>
  </si>
  <si>
    <t>renin-angiotensin regulation of blood vessel size  EXACT [GOC:dph, GOC:tb]</t>
  </si>
  <si>
    <t>Filament 1e-073| Smc 5e-016| SMC_prok_B 6e-013| Myosin_tail_1 3e-010| SMC_prok_A 2e-009| PRK03918 8e-009| SMC_N 1e-008| SbcC 4e-008| PRK02224 5e-007| Cep57_CLD 5e-006| Cast 7e-006| HOOK 4e-005| MAD 4e-005| AAA_13 6e-005| DUF3584 1e-004| WEMBL 1e-004| DUF812 1e-004| COG1579 1e-004| mukB 5e-004| CCDC144C 8e-004|</t>
  </si>
  <si>
    <t>Keratin, type II cytoskeletal 72 - Homo sapiens - molecular_function - structural molecule activity - cellular_component - biological_process - keratin filament</t>
  </si>
  <si>
    <t>keratin type II cytoskeletal 72 isoform X1</t>
  </si>
  <si>
    <t>catalase_clade_3 e-174| Catalase e-160| KatE e-157| Catalase e-147| catalase_fungal e-146| catalase e-139| catalase_clade_1 e-137| PLN02609 e-114| katE e-105| catalase_clade_2 e-102| srpA_like 1e-019| catalase_like 6e-018| y4iL_like 0.005| Catalase-rel 0.036| DUF4073 | CRT10 | Cu_amine_oxid | SIR2 | Cir_Bir_Yir | EspA |</t>
  </si>
  <si>
    <t>Catalase - Canis lupus familiaris - catalase activity - peroxisome - heme binding - hydrogen peroxide catabolic process - metal ion binding - positive regulation of cell division - oxidation-reduction process</t>
  </si>
  <si>
    <t>catalase activity</t>
  </si>
  <si>
    <t>Catalysis of the reaction: 2 hydrogen peroxide = O2 + 2 H2O.  [EC:1.11.1.6]</t>
  </si>
  <si>
    <t>peroxisome</t>
  </si>
  <si>
    <t>A small organelle enclosed by a single membrane, and found in most eukaryotic cells. Contains peroxidases and other enzymes involved in a variety of metabolic processes including free radical detoxification, lipid catabolism and biosynthesis, and hydrogen peroxide metabolism.  [GOC:pm, PMID:9302272, UniProtKB-KW:KW-0576]</t>
  </si>
  <si>
    <t>peroxisomal  RELATED [GOC:curators]</t>
  </si>
  <si>
    <t>hydrogen peroxide catabolic process</t>
  </si>
  <si>
    <t>The chemical reactions and pathways resulting in the breakdown of hydrogen peroxide (H2O2).  [GOC:jl]</t>
  </si>
  <si>
    <t>detoxification of H2O2  RELATED [GOC:vw]</t>
  </si>
  <si>
    <t>catalase</t>
  </si>
  <si>
    <t>Pro-rich 4e-019| Atrophin-1 4e-011| PHA03169 1e-010| PHA03378 2e-008| SOBP 1e-007| Drf_FH1 2e-007| PHA03247 5e-007| DUF3824 2e-006| DUF1421 3e-006| PHA03419 3e-006| PAT1 4e-006| SPR1 6e-006| PLN02983 6e-006| Glutenin_hmw 7e-006| PTZ00395 1e-005| DUF3729 2e-005| FAP 2e-005| SMN 3e-005| Collagen 3e-005| PRK07764 3e-005|</t>
  </si>
  <si>
    <t>Histidine-rich glycoprotein - Oryctolagus cuniculus - positive regulation of immune response to tumor cell - receptor binding - protein binding - negative regulation of cell adhesion - heparin binding - zinc ion binding - negative regulation of cell proliferation - regulation of gene expression - regulation of platelet activation - negative regulation of lamellipodium assembly - regulation of plasminogen activation - negative regulation of angiogenesis - immunoglobulin binding - heme binding - platelet activation - regulation of blood coagulation - negative regulation of cell growth - regulation of actin cytoskeleton organization - negative regulation of cell adhesion mediated by integrin - positive regulation of apoptotic process - regulation of protein complex assembly - heparan sulfate proteoglycan binding - negative regulation of blood vessel endothelial cell migration - metal ion binding - regulation of peptidyl-tyrosine phosphorylation - defense response to fungus - positive regulation of focal adhesion assembly - negative regulation of vascular endothelial growth factor signaling pathway - positive regulation of blood vessel remodeling - negative regulation of endothelial cell chemotaxis</t>
  </si>
  <si>
    <t>angiogenesis</t>
  </si>
  <si>
    <t>Blood vessel formation when new vessels emerge from the proliferation of pre-existing blood vessels.  [ISBN:0878932453]</t>
  </si>
  <si>
    <t>blood vessel formation from pre-existing blood vessels  EXACT systematic_synonym []</t>
  </si>
  <si>
    <t>histidine-rich glycoprotein</t>
  </si>
  <si>
    <t>MACPF 3e-023| MACPF 1e-015| LDLa 3e-006| Ldl_recept_a 7e-006| LDLa 5e-004| PTZ00482 0.038| EGF_CA | 5C_CHO_kinase | PTZ00481 | TSP_1 | Viral_Hsp90 | PTZ00372 | ATHILA | PRK06406 | EGF_CA | PRK10861 | EGF | uvrC | TyeA | PHA-1 |</t>
  </si>
  <si>
    <t>Complement component C9 - Homo sapiens - extracellular region - membrane attack complex - cytoplasm - plasma membrane - integral component of plasma membrane - complement activation, alternative pathway - complement activation, classical pathway - hemolysis by symbiont of host erythrocytes - regulation of complement activation - innate immune response - extracellular vesicular exosome - blood microparticle</t>
  </si>
  <si>
    <t>membrane attack complex</t>
  </si>
  <si>
    <t>A protein complex produced by sequentially activated components of the complement cascade inserted into a target cell membrane and forming a pore leading to cell lysis via ion and water flow.  [GOC:add, ISBN:0198547684, ISBN:068340007X, ISBN:0781735149]</t>
  </si>
  <si>
    <t>MAC  EXACT []</t>
  </si>
  <si>
    <t>C</t>
  </si>
  <si>
    <t>Filament 2e-081| Smc 1e-016| SMC_prok_B 4e-013| SMC_prok_A 6e-013| Myosin_tail_1 2e-012| PRK01156 5e-011| PRK03918 7e-010| PRK02224 1e-009| SbcC 3e-008| DUF3584 4e-006| AAA_13 1e-005| COG1579 1e-005| Tropomyosin 2e-005| Taxilin 2e-005| DUF869 2e-005| rad50 2e-005| HOOK 3e-005| Cast 5e-005| MAD 5e-005| SMC_N 8e-005|</t>
  </si>
  <si>
    <t>hematopoietic progenitor cell differentiation</t>
  </si>
  <si>
    <t>The process in which precursor cell type acquires the specialized features of a hematopoietic progenitor cell, a class of cell types including myeloid progenitor cells and lymphoid progenitor cells.  [GOC:add, GOC:rl, ISBN:0781735149, PMID:16551251]</t>
  </si>
  <si>
    <t>haematopoietic progenitor cell differentiation  EXACT []</t>
  </si>
  <si>
    <t>keratin 75 - extracellular vesicular exosome - keratin filament - intermediate filament - intracellular - structural molecule - hematopoietic</t>
  </si>
  <si>
    <t>atpD | PRK09280 | AtpD | atpB | PRK12597 e-158| F1-ATPase_beta e-138| alt_F1F0_F1_bet e-137| fliI_yscN 9e-052| FliI 8e-051| FliI_clade2 3e-048| ATPase_flagellum-secretory_path_III 3e-047| FliI_clade1 9e-047| FliI_clade3 3e-046| PRK09099 6e-045| III_secr_ATP 4e-044| fliI 2e-043| fliI 2e-042| PRK06936 4e-042| PRK06315 4e-042| ATP-synt_ab 1e-041|</t>
  </si>
  <si>
    <t>ATP synthase subunit beta - Sus scrofa - angiogenesis - ATP binding - mitochondrial proton-transporting ATP synthase complex - plasma membrane - ATP catabolic process - lipid metabolic process - negative regulation of cell adhesion involved in substrate-bound cell migration - cell surface - ATP synthesis coupled proton transport - ATP hydrolysis coupled proton transport - MHC class I protein binding - mitochondrial nucleoid - proton-transporting ATP synthase complex, catalytic core F(1) - proton-transporting ATP synthase activity, rotational mechanism - proton-transporting ATPase activity, rotational mechanism - regulation of intracellular pH</t>
  </si>
  <si>
    <t>ATP binding</t>
  </si>
  <si>
    <t>Interacting selectively and non-covalently with ATP, adenosine 5'-triphosphate, a universally important coenzyme and enzyme regulator.  [ISBN:0198506732]</t>
  </si>
  <si>
    <t>mitochondrial proton-transporting ATP synthase complex</t>
  </si>
  <si>
    <t>A proton-transporting ATP synthase complex found in the mitochondrial membrane.  [GOC:mah, GOC:mtg_sensu]</t>
  </si>
  <si>
    <t>mitochondrial respiratory chain complex V  EXACT []</t>
  </si>
  <si>
    <t>ATP synthase subunit beta mitochondrial precursor</t>
  </si>
  <si>
    <t>Filament 2e-088| Gly_rich 2e-017| PRK06958 6e-014| SMC_prok_B 2e-013| PTZ00146 8e-013| GP38 2e-012| SMC_prok_A 4e-012| GRP 5e-012| Smc 5e-012| SBP_bac_10 2e-011| SbcC 4e-010| III 5e-010| Myosin_tail_1 9e-010| PRK07772 3e-009| PRK03918 6e-009| COG4371 7e-009| COG5651 1e-008| COG4942 1e-008| EzrA 2e-008| Bindin 4e-008|</t>
  </si>
  <si>
    <t>Keratin, type I cytoskeletal 10 - Canis lupus familiaris - structural molecule activity - cytoplasm - keratinocyte differentiation - keratin filament - cellular response to calcium ion</t>
  </si>
  <si>
    <t>keratinocyte differentiation</t>
  </si>
  <si>
    <t>The process in which a relatively unspecialized cell acquires specialized features of a keratinocyte.  [GOC:dph, GOC:mah, GOC:sdb_2009, GOC:tb]</t>
  </si>
  <si>
    <t>keratinocyte cell differentiation  EXACT []</t>
  </si>
  <si>
    <t>Filament 5e-084| Smc 3e-014| PRK01156 3e-013| SMC_prok_B 7e-013| SbcC 1e-012| Gly_rich 2e-009| SMC_prok_A 2e-009| PRK03918 4e-009| PRK06958 3e-008| PTZ00146 5e-008| GP38 6e-008| Myosin_tail_1 8e-008| GRP 1e-007| KRTAP 3e-007| COG4371 3e-007| HEC1 1e-006| HOOK 2e-006| Bindin 3e-006| PRK02224 3e-006| III 5e-006|</t>
  </si>
  <si>
    <t>Uncharacterized protein - Canis lupus familiaris - structural molecule activity - mitochondrion - plasma membrane - keratin filament - scaffold protein binding</t>
  </si>
  <si>
    <t>Filament 2e-079| Smc 4e-018| SMC_prok_B 2e-014| SMC_prok_A 4e-011| PRK02224 6e-011| PRK03918 2e-010| Myosin_tail_1 5e-010| SbcC 2e-009| COG1579 6e-009| PRK01156 8e-009| PLN03229 9e-008| SCP-1 3e-007| PRK10246 4e-007| Cast 2e-006| AAA_13 5e-006| Gly_rich 5e-006| COG1340 6e-006| WEMBL 1e-005| PLN03138 2e-005| TelA 4e-005|</t>
  </si>
  <si>
    <t>Uncharacterized protein - Canis lupus familiaris - structural molecule activity - epithelial cell differentiation - keratin filament - negative regulation of epithelial cell proliferation</t>
  </si>
  <si>
    <t>keratin filament</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</si>
  <si>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  [ISBN:0716731363]</t>
  </si>
  <si>
    <t>acidic keratin  RELATED []</t>
  </si>
  <si>
    <t>ALBUMIN 3e-047| Serum_albumin 2e-041| ALBUMIN 4e-037| PRK12537 | PRK05347 | PRK01713 | ERG12 | GT2_RfbC_Mx_like | ABALDH | STKc_CCRK | PHA03222 | PI-PLCXDc_like | glnS | PRK05447 | FGGY_GK_like_proteobact 11| PRK05658 11| A-2_8-polyST 15| RhoGAP_p190 15| wecC 15| GlyS 15|</t>
  </si>
  <si>
    <t>Serum albumin - Oryctolagus cuniculus - DNA binding - fatty acid binding - drug binding - cellular response to starvation - toxic substance binding - hemolysis by symbiont of host erythrocytes - pyridoxal phosphate binding - negative regulation of apoptotic process - protein complex - maintenance of mitochondrion location - oxygen binding</t>
  </si>
  <si>
    <t>protein complex</t>
  </si>
  <si>
    <t>Any macromolecular complex composed (only) of two or more polypeptide subunits along with any covalently attached molecules (such as lipid anchors or oligosaccharide) or non-protein prosthetic groups (such as nucleotides or metal ions). Prosthetic group in this context refers to a tightly bound cofactor. The component polypeptide subunits may be identical.  [GOC:go_curators]</t>
  </si>
  <si>
    <t>protein-protein complex  EXACT []</t>
  </si>
  <si>
    <t>cellular response to starvation</t>
  </si>
  <si>
    <t>Any process that results in a change in state or activity of a cell (in terms of movement, secretion, enzyme production, gene expression, etc.) as a result of deprivation of nourishment.  [GOC:jl]</t>
  </si>
  <si>
    <t>Filament 6e-078| Smc 3e-015| Gly_rich 4e-015| PRK06958 3e-014| GRP 6e-014| PRK01156 8e-014| GP38 5e-013| SMC_prok_B 3e-012| PTZ00146 3e-012| SMC_prok_A 1e-011| PRK07772 3e-011| Myosin_tail_1 5e-010| SbcC 7e-010| PRK02224 5e-009| SBP_bac_10 6e-009| Bindin 8e-009| III 8e-009| COG1579 2e-008| COG5651 5e-008| PTZ00440 7e-008|</t>
  </si>
  <si>
    <t>Keratin, type II cytoskeletal 1 - Homo sapiens - complement activation, lectin pathway - retina homeostasis - receptor activity - structural molecule activity - protein binding - extracellular space - nucleus - cytoskeleton - plasma membrane - response to oxidative stress - membrane - carbohydrate binding - fibrinolysis - keratin filament - regulation of angiogenesis - extracellular vesicular exosome - blood microparticle</t>
  </si>
  <si>
    <t>receptor activity</t>
  </si>
  <si>
    <t>Combining with an extracellular or intracellular messenger to initiate a change in cell activity.  [GOC:ceb, ISBN:0198506732]</t>
  </si>
  <si>
    <t>receptor guanylate cyclase activity  NARROW []</t>
  </si>
  <si>
    <t>complement activation, lectin pathway</t>
  </si>
  <si>
    <t>Any process involved in the activation of any of the steps of the lectin pathway of the complement cascade which allows for the direct killing of microbes and the regulation of other immune processes.  [GOC:add, ISBN:0781735149]</t>
  </si>
  <si>
    <t>complement cascade, lectin pathway  EXACT [GOC:add]</t>
  </si>
  <si>
    <t>Filament 7e-061| Gly_rich 1e-018| GP38 4e-014| SBP_bac_10 9e-013| COG5651 6e-012| III 1e-011| Smc 1e-011| PRK13875 2e-011| PRK06958 1e-010| PTZ00146 1e-010| PRK03918 5e-009| SMC_prok_B 2e-008| GRP 2e-008| SMC_prok_A 3e-008| PRK07772 2e-007| SbcC 3e-007| Porin_4 6e-007| eIF-4B 6e-007| PRK02224 7e-007| Macoilin 1e-006|</t>
  </si>
  <si>
    <t>Keratin, type II cytoskeletal 2 epidermal - Rattus norvegicus - structural molecule activity - Golgi apparatus - keratinization - keratinocyte activation - keratinocyte proliferation - keratin filament - keratinocyte migration</t>
  </si>
  <si>
    <t>keratinization</t>
  </si>
  <si>
    <t>The process in which the cytoplasm of the outermost cells of the vertebrate epidermis is replaced by keratin. Keratinization occurs in the stratum corneum, feathers, hair, claws, nails, hooves, and horns.  [GOC:dph, GOC:ebc, GOC:sdb_2009, GOC:tb]</t>
  </si>
  <si>
    <t>Filament 5e-080| Gly_rich 9e-016| Smc 6e-015| PRK01156 1e-014| SMC_prok_A 1e-013| PTZ00146 4e-012| Myosin_tail_1 3e-011| SMC_prok_B 7e-011| GRP 1e-010| PRK06958 2e-010| GP38 7e-010| SBP_bac_10 3e-009| PRK02224 3e-009| WEMBL 4e-009| SbcC 8e-009| OMP_b-brl 2e-008| PRK03918 2e-008| PRK07772 4e-008| Bindin 1e-007| COG5651 2e-007|</t>
  </si>
  <si>
    <t>Keratin, type II cytoskeletal 3 - Oryctolagus cuniculus - structural molecule activity - epithelial cell differentiation - intermediate filament cytoskeleton organization</t>
  </si>
  <si>
    <t>intermediate filament cytoskeleton organization</t>
  </si>
  <si>
    <t>A process that is carried out at the cellular level which results in the assembly, arrangement of constituent parts, or disassembly of cytoskeletal structures comprising intermediate filaments and their associated proteins.  [GOC:ai]</t>
  </si>
  <si>
    <t>intermediate filament cytoskeleton organisation  EXACT [GOC:curators]</t>
  </si>
  <si>
    <t>A</t>
  </si>
  <si>
    <t>PTZ00009 | HSP70 | HSPA1-2_6-8-like_NBD | prok_dnaK e-175| dnaK e-171| PTZ00400 e-170| DnaK e-169| dnaK e-166| PRK13411 e-163| PLN03184 e-159| HSPA5-like_NBD e-154| PTZ00186 e-152| PRK13410 e-144| HscA e-111| HSPA9-like_NBD e-110| hscA e-110| HSPA9-Ssq1-like_NBD e-109| Ssq1_like_NBD e-106| HSP70_NBD e-102| HSPA4_like_NDB 7e-091|</t>
  </si>
  <si>
    <t>Heat shock cognate 71 kDa protein - Equus caballus - Prp19 complex - nucleus - nucleolus - ribonucleoprotein complex - negative regulation of transcription, DNA-templated</t>
  </si>
  <si>
    <t>Prp19 complex</t>
  </si>
  <si>
    <t>A protein complex consisting of Prp19 and associated proteins that is involved in the transition from the precatalytic spliceosome to the activated form that catalyzes step 1 of splicing, and which remains associated with the spliceosome through the second catalytic step. It is widely conserved, found in both yeast and mammals, though the exact composition varies. In S. cerevisiae, it contains Prp19p, Ntc20p, Snt309p, Isy1p, Syf2p, Cwc2p, Prp46p, Clf1p, Cef1p, and Syf1p.  [GOC:krc, PMID:16540691, PMID:19239890]</t>
  </si>
  <si>
    <t>nineteen complex  NARROW []</t>
  </si>
  <si>
    <t>ATP catabolic process</t>
  </si>
  <si>
    <t>The chemical reactions and pathways resulting in the breakdown of ATP, adenosine 5'-triphosphate, a universally important coenzyme and enzyme regulator.  [GOC:ai]</t>
  </si>
  <si>
    <t>ATP breakdown  EXACT []</t>
  </si>
  <si>
    <t>heat shock cognate 71 kDa protein</t>
  </si>
  <si>
    <t>3a01203 e-160| ABC_membrane_2 1e-072| COG4178 6e-052| ABCD_peroxisomal_ALDP 4e-043| type_I_sec_PrtD 1e-017| MdlB 1e-015| PRK11174 2e-013| MsbA_rel 4e-012| 3a01208 1e-011| ArpD 1e-011| ABCC_ATM1_transporter 3e-011| SunT 3e-011| ABCC_TAP 7e-011| PRK13657 9e-011| NHLM_micro_ABC1 1e-010| type_I_sec_LssB 4e-010| PRK11160 4e-010| PRK10247 6e-010| CydD 8e-010| znuC 8e-010|</t>
  </si>
  <si>
    <t>Uncharacterized protein - Canis lupus familiaris - ATP binding - mitochondrion - peroxisome - ATP catabolic process - fatty acid beta-oxidation - integral component of membrane - positive regulation of fatty acid beta-oxidation - ATPase activity, coupled to transmembrane movement of substances - very long-chain fatty acid catabolic process - protein homodimerization activity - transmembrane transport</t>
  </si>
  <si>
    <t>mitochondrion</t>
  </si>
  <si>
    <t>A semiautonomous, self replicating organelle that occurs in varying numbers, shapes, and sizes in the cytoplasm of virtually all eukaryotic cells. It is notably the site of tissue respiration.  [GOC:giardia, ISBN:0198506732]</t>
  </si>
  <si>
    <t>mitochondria  EXACT []</t>
  </si>
  <si>
    <t>Transferrin e-143| TR_FER e-102| Phosphonate-bd 0.082| PhnD | SIN3 | PRK12463 | ICL | vlf-1 | Phlebovirus_G1 | PLDc_N_DEXD_a | rpoC_TIGR | PTZ00438 | PhnD | 3A0109s03R | TIGR02231 10| PLN02905 10| PHA03171 10| GHBP 13| ComFC 13| AcuC 13|</t>
  </si>
  <si>
    <t>Serotransferrin - Homo sapiens - retina homeostasis - platelet degranulation - protein binding - extracellular region - extracellular space - early endosome - late endosome - coated pit - cellular iron ion homeostasis - blood coagulation - ferric iron binding - basal plasma membrane - cell surface - endosome membrane - cytoplasmic membrane-bounded vesicle - apical plasma membrane - endocytic vesicle - platelet activation - ubiquitin protein ligase binding - transferrin transport - secretory granule lumen - basal part of cell - perinuclear region of cytoplasm - recycling endosome - transmembrane transport - extracellular vesicular exosome - blood microparticle</t>
  </si>
  <si>
    <t>myeloperoxidase_like e-173| thyroid_peroxidase e-148| peroxidasin_like e-116| An_peroxidase e-115| peroxinectin_like 3e-091| peroxinectin_like_bacterial 1e-067| An_peroxidase_like 1e-067| dual_peroxidase_like 3e-051| An_peroxidase_bacterial_2 3e-022| prostaglandin_endoperoxide_synthase 2e-011| An_peroxidase_bacterial_1 2e-007| PIOX_like 9e-007| PLN02283 1e-005| linoleate_diol_synthase_like 0.083| dnaE2 | ligD | COG3447 | NADH_nitroreductase | COG1512 | DUF3138 |</t>
  </si>
  <si>
    <t>Uncharacterized protein - Sus scrofa - response to yeast - hypochlorous acid biosynthetic process - respiratory burst involved in defense response - peroxidase activity - extracellular space - mitochondrion - heparin binding - removal of superoxide radicals - heme binding - secretory granule - low-density lipoprotein particle remodeling - hydrogen peroxide catabolic process - negative regulation of growth of symbiont in host - defense response to fungus - oxidation-reduction process</t>
  </si>
  <si>
    <t>response to yeast</t>
  </si>
  <si>
    <t>Any process that results in a change in state or activity of a cell or an organism (in terms of movement, secretion, enzyme production, gene expression, etc.) as a result of a stimulus from a yeast species.  [PMID:14707091]</t>
  </si>
  <si>
    <t>Transferrin e-140| TR_FER 2e-095| Phosphonate-bd | PhnD | 3A0109s03R | DUF1230 | bact_FAD_ox | PTZ00120 | SleB | PhnD | DUF1402 10| BacA 13| mnmE_trmE_thdF 13| Pat_TGL4-5_like 18| MTA/SAH-nuc-hyp 18| PDZ 30| MH1 30| urease_beta 30| PRK12463 30| PRK00943 30|</t>
  </si>
  <si>
    <t>Lactotransferrin - Homo sapiens - ossification - regulation of cytokine production - retina homeostasis - innate immune response in mucosa - DNA binding - serine-type endopeptidase activity - iron ion binding - protein binding - extracellular region - extracellular space - nucleus - transcription, DNA-templated - proteolysis - iron ion transport - humoral immune response - ferric iron binding - heparin binding - antibacterial humoral response - antifungal humoral response - secretory granule - negative regulation of lipopolysaccharide-mediated signaling pathway - regulation of tumor necrosis factor production - iron assimilation by chelation and transport - positive regulation of osteoblast proliferation - positive regulation of toll-like receptor 4 signaling pathway - specific granule - negative regulation of apoptotic process - positive regulation of I-kappaB kinase/NF-kappaB signaling - protein serine/threonine kinase activator activity - positive regulation of osteoblast differentiation - positive regulation of NF-kappaB transcription factor activity - interaction with host - response to host immune response - bone morphogenesis - extracellular vesicular exosome - positive regulation of protein serine/threonine kinase activity - phagosome maturation - phagocytic vesicle lumen - positive regulation of bone mineralization involved in bone maturation - negative regulation of single-species biofilm formation in or on host organism - positive regulation of chondrocyte proliferation - negative regulation of tumor necrosis factor (ligand) superfamily member 11 production - negative regulation of osteoclast development</t>
  </si>
  <si>
    <t>lactotransferrin</t>
  </si>
  <si>
    <t>gelsolin_S1_like 1e-037| gelsolin_S4_like 3e-031| gelsolin_S6_like 8e-030| gelsolin_S5_like 3e-023| gelsolin_S2_like 1e-022| gelsolin_S3_like 4e-018| GEL 2e-015| gelsolin_like 2e-008| Gelsolin 1e-005| flgJ | Spin-Ssty | SelA | DUF4637 | COG2954 | PRK06882 | PRK01203 | PRK14690 | PRK12458 | Gcd | Anp1 11|</t>
  </si>
  <si>
    <t>Gelsolin - Bos taurus - actin binding - vesicle-mediated transport - lamellipodium - cilium morphogenesis - extracellular vesicular exosome</t>
  </si>
  <si>
    <t>lamellipodium</t>
  </si>
  <si>
    <t>A thin sheetlike process extended by the leading edge of a crawling fibroblast; contains a dense meshwork of actin filaments.  [ISBN:0815316194]</t>
  </si>
  <si>
    <t>vesicle-mediated transport</t>
  </si>
  <si>
    <t>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  [GOC:ai, GOC:mah, ISBN:08789310662000]</t>
  </si>
  <si>
    <t>nonselective vesicle transport  NARROW []</t>
  </si>
  <si>
    <t>FBG 1e-064| Fibrinogen_C 1e-062| FReD 3e-062| Fib_alpha 5e-019| Fibrinogen_aC 2e-018| HOOK 0.026| PRK06958 0.057| CTD 0.098| PTZ00440 | GP38 | PEP-utilizers_C | Gly_rich | 235kDa-fam | COG5651 | Smc | Dehydrin | PRK07034 | PRK01194 | PLN02933 | MAD |</t>
  </si>
  <si>
    <t>Fibrinogen alpha chain - Homo sapiens - platelet degranulation - structural molecule activity - protein binding - extracellular region - fibrinogen complex - extracellular space - plasma membrane - cell cortex - cell-matrix adhesion - signal transduction - blood coagulation - external side of plasma membrane - cell surface - platelet activation - extracellular matrix organization - protein binding, bridging - platelet alpha granule - platelet alpha granule lumen - positive regulation of heterotypic cell-cell adhesion - cellular protein complex assembly - positive regulation of vasoconstriction - positive regulation of exocytosis - positive regulation of protein secretion - protein polymerization - response to calcium ion - extracellular vesicular exosome - positive regulation of ERK1 and ERK2 cascade - platelet aggregation - blood coagulation, common pathway - blood microparticle - positive regulation of peptide hormone secretion - positive regulation of substrate adhesion-dependent cell spreading - negative regulation of extrinsic apoptotic signaling pathway via death domain receptors - negative regulation of blood coagulation, common pathway - negative regulation of endothelial cell apoptotic process - receptor binding - cell adhesion molecule binding</t>
  </si>
  <si>
    <t>ITI_HC_C 9e-057| VIT 5e-037| vWA_interalpha_trypsin_inhibitor 5e-034| VIT 1e-033| marine_srt_targ 9e-020| vWFA 1e-012| vWA_subgroup 9e-009| COG2304 5e-008| vWA_C3HC4_type 3e-007| VWA 5e-007| VWA_3 5e-007| vWA_VGCC_like 1e-006| Cob-chelat-sub 0.001| VWA_2 0.001| vWA_subfamily 0.017| VWA 0.038| vWA_Magnesium_chelatase | ChlD | vWA_BatA_type | BchD-ChlD |</t>
  </si>
  <si>
    <t>Inter-alpha-trypsin inhibitor heavy chain H1 - Homo sapiens - serine-type endopeptidase inhibitor activity - calcium ion binding - extracellular region - negative regulation of endopeptidase activity - hyaluronan metabolic process - extracellular vesicular exosome - blood microparticle</t>
  </si>
  <si>
    <t>inter-alpha-trypsin inhibitor heavy chain H1</t>
  </si>
  <si>
    <t>ae | HCO3_cotransp e-178| Band_3_cyto 2e-059| COG2409 0.008| DUF2232 0.086| COG1641 | ECM27 | DUF247 | Sulfate_transp | YndJ | RecO_C | ND2 | COG1700 | Herpes_LMP2 | COG5486 | Na_H_Exchanger | CstA | DM10 | mycothiol_MshD | 2A0309 |</t>
  </si>
  <si>
    <t>Band 3 anion transport protein - Homo sapiens - actin binding - inorganic anion exchanger activity - protein binding - plasma membrane - integral component of plasma membrane - ion transport - anion transport - chloride transport - cellular ion homeostasis - protein C-terminus binding - anion transmembrane transporter activity - bicarbonate transmembrane transporter activity - chloride transmembrane transporter activity - anion:anion antiporter activity - bicarbonate transport - integral component of membrane - basolateral plasma membrane - Z disc - ankyrin binding - cortical cytoskeleton - protein homodimerization activity - protein anchor - small molecule metabolic process - transmembrane transport - extracellular vesicular exosome - blood microparticle - chloride transmembrane transport</t>
  </si>
  <si>
    <t>plasma membrane</t>
  </si>
  <si>
    <t>The membrane surrounding a cell that separates the cell from its external environment. It consists of a phospholipid bilayer and associated proteins.  [ISBN:0716731363]</t>
  </si>
  <si>
    <t>bacterial inner membrane  NARROW []</t>
  </si>
  <si>
    <t>N-oxide-forming</t>
  </si>
  <si>
    <t>CuRO_6_ceruloplasmin 1e-074| CuRO_5_ceruloplasmin 6e-074| CuRO_1_ceruloplasmin 1e-070| CuRO_3_ceruloplasmin 3e-070| CuRO_2_ceruloplasmin 1e-062| CuRO_4_ceruloplasmin 3e-057| CuRO_1_ceruloplasmin_like 1e-052| CuRO_2_ceruloplasmin_like 4e-051| CuRO_3_FV_like 1e-039| CuRO_1_FV_like 2e-035| CuRO_1_FVIII_like 5e-035| CuRO_1_Ceruloplasmin_like_1 9e-035| CuRO_5_FV_like 4e-034| CuRO_3_FVIII_like 4e-034| CuRO_5_FVIII_like 6e-032| CuRO_6_FVIII_like 3e-029| CuRO_6_FV_like 6e-024| CuRO_4_FVIII_like 2e-023| CuRO_2_ceruloplasmin_like_2 2e-020| CuRO_4_FV_like 4e-020|</t>
  </si>
  <si>
    <t>CP protein - Homo sapiens - lysosomal membrane</t>
  </si>
  <si>
    <t>ferroxidase activity</t>
  </si>
  <si>
    <t>Catalysis of the reaction: 4 Fe2+ + 4 H+ + O2 = 4 Fe3+ + 2 H2O.  [EC:1.16.3.1]</t>
  </si>
  <si>
    <t>caeruloplasmin  RELATED [EC:1.16.3.1]</t>
  </si>
  <si>
    <t>copper ion transport</t>
  </si>
  <si>
    <t>The directed movement of copper (Cu) ions into, out of or within a cell, or between cells, by means of some agent such as a transporter or pore.  [GOC:ai]</t>
  </si>
  <si>
    <t>complement_C3_C4_C5 5e-076| NTR_complement_C3 3e-047| A2M_like 9e-046| A2M_comp 9e-043| A2M_2 2e-036| C345C 3e-024| TNF 7e-022| TNF 1e-019| A2M_recep 2e-019| NTR_complement_C345C 6e-019| ISOPREN_C2_like 8e-018| A2M 5e-017| TNF 3e-016| NTR 1e-015| NTR_complement_C4 2e-014| NTR_complement_C5 7e-009| Thiol-ester_cl 0.010| NTR_netrin-1_like | PTZ00008 | RNA_pol |</t>
  </si>
  <si>
    <t>Complement C3 - Rattus norvegicus - positive regulation of type IIa hypersensitivity - positive regulation of protein phosphorylation - positive regulation of activation of membrane attack complex - endopeptidase inhibitor activity - extracellular space - inflammatory response - complement activation - positive regulation vascular endothelial growth factor production - positive regulation of glucose transport - regulation of triglyceride biosynthetic process - positive regulation of lipid storage - negative regulation of endopeptidase activity - C5L2 anaphylatoxin chemotactic receptor binding - positive regulation of G-protein coupled receptor protein signaling pathway - positive regulation of angiogenesis - positive regulation of phagocytosis - extracellular vesicular exosome</t>
  </si>
  <si>
    <t>endopeptidase inhibitor activity</t>
  </si>
  <si>
    <t>Stops, prevents or reduces the activity of an endopeptidase, any enzyme that hydrolyzes nonterminal peptide bonds in polypeptides.  [GOC:jl]</t>
  </si>
  <si>
    <t>alpha-2 macroglobulin  RELATED []</t>
  </si>
  <si>
    <t>positive regulation of type IIa hypersensitivity</t>
  </si>
  <si>
    <t>Any process that activates or increases the frequency, rate or extent of type IIa hypersensitivity, a type of inflammatory response.  [GOC:add, ISBN:0781735149]</t>
  </si>
  <si>
    <t>activation of type IIa hypersensitivity  NARROW []</t>
  </si>
  <si>
    <t>Chlorocebus sabaeus</t>
  </si>
  <si>
    <t>Glutenin_hmw 3e-030| PRK07764 6e-024| PHA03247 6e-021| Collagen 2e-018| PHA03307 9e-018| VWC 6e-014| Med15 2e-013| Drf_FH1 1e-012| SSDP 2e-012| VWC 5e-012| Pro-rich 5e-012| Treacle 2e-011| Dendrin 8e-011| PRK07003 7e-010| Atrophin-1 2e-008| PRK12323 2e-008| COG2931 8e-008| PHA03378 1e-007| DUF4593 2e-007| PRK14959 5e-007|</t>
  </si>
  <si>
    <t>Collagen alpha-1(I) chain - Canis lupus familiaris - blood vessel development - osteoblast differentiation - intramembranous ossification - endochondral ossification - extracellular matrix structural constituent - collagen type I trimer - extracellular space - cytoplasm - visual perception - sensory perception of sound - positive regulation of epithelial to mesenchymal transition - negative regulation of cell-substrate adhesion - protein transport - collagen fibril organization - positive regulation of cell migration - collagen biosynthetic process - protein localization to nucleus - tooth mineralization - identical protein binding - skin morphogenesis - positive regulation of transcription, DNA-templated - platelet-derived growth factor binding - embryonic skeletal system development - face morphogenesis - bone trabecula formation - cartilage development involved in endochondral bone morphogenesis - protein heterotrimerization - cellular response to amino acid stimulus - cellular response to mechanical stimulus - positive regulation of canonical Wnt signaling pathway</t>
  </si>
  <si>
    <t>extracellular matrix structural constituent</t>
  </si>
  <si>
    <t>The action of a molecule that contributes to the structural integrity of the extracellular matrix.  [GOC:mah]</t>
  </si>
  <si>
    <t>extracellular matrix glycoprotein  NARROW []</t>
  </si>
  <si>
    <t>collagen type I trimer</t>
  </si>
  <si>
    <t>A collagen trimer containing alpha(I) chains. The most common form of type I collagen is a heterotrimer containing two alpha1(I) chains and one alpha2(I) chain; homotrimers containing three alpha1(I) chains are also found. Type I collagen triple helices associate to form banded fibrils.  [GOC:mah, GOC:sl, ISBN:0721639976]</t>
  </si>
  <si>
    <t>blood vessel development</t>
  </si>
  <si>
    <t>The process whose specific outcome is the progression of a blood vessel over time, from its formation to the mature structure. The blood vessel is the vasculature carrying blood.  [GOC:hjd, UBERON:0001981]</t>
  </si>
  <si>
    <t>collagen alpha-1(I) chain-like</t>
  </si>
  <si>
    <t>A2M_2 6e-093| A2M_like 1e-059| A2M_comp 2e-055| complement_C3_C4_C5 3e-045| ISOPREN_C2_like 1e-023| A2M 7e-019| A2M_recep 6e-013| A2M_N_2 8e-007| A2M_N 1e-006| Thiol-ester_cl 4e-006| COG2373 5e-005| MG1 2e-004| PRK15380 0.062| BRO1_Rhophilin_2 | DNA_ligase_A_M | 34 | RecG | Pneumo_att_G | Bac_Flav_CT_N | COG4073 |</t>
  </si>
  <si>
    <t>Alpha-2-macroglobulin - Homo sapiens - negative regulation of complement activation, lectin pathway - protease binding - platelet degranulation - serine-type endopeptidase inhibitor activity - receptor binding - protein binding - extracellular region - cytosol - small GTPase mediated signal transduction - blood coagulation - blood coagulation, intrinsic pathway - negative regulation of endopeptidase activity - growth factor binding - enzyme binding - interleukin-8 binding - interleukin-1 binding - extracellular matrix disassembly - platelet activation - extracellular matrix organization - platelet alpha granule lumen - tumor necrosis factor binding - calcium-dependent protein binding - stem cell differentiation - regulation of small GTPase mediated signal transduction - extracellular vesicular exosome - blood microparticle</t>
  </si>
  <si>
    <t>negative regulation of complement activation, lectin pathway</t>
  </si>
  <si>
    <t>Any process that stops, prevents, or reduces the rate of complement activation by the lectin pathway.  [GOC:add, ISBN:0781735149]</t>
  </si>
  <si>
    <t>down regulation of complement activation, lectin pathway  EXACT []</t>
  </si>
  <si>
    <t>A2M_2 3e-084| A2M_like 9e-054| A2M_comp 3e-052| complement_C3_C4_C5 8e-040| ISOPREN_C2_like 4e-025| A2M 1e-014| A2M_recep 6e-014| A2M_N_2 4e-008| A2M_N 1e-007| Thiol-ester_cl 2e-006| COG2373 2e-005| MG1 0.029| Prenyltrans_2 | PRK14938 | PHA03074 | PRK10919 | PLN02279 | COG4863 | PBP2_BlaA | M20_dipept_like_2 |</t>
  </si>
  <si>
    <t>Uncharacterized protein - Canis lupus familiaris - endopeptidase inhibitor activity - extracellular space - negative regulation of endopeptidase activity</t>
  </si>
  <si>
    <t>C4 7e-032| C4 4e-030| Glutenin_hmw 2e-022| Collagen 4e-014| Drf_FH1 5e-013| COG2931 1e-008| PRK07764 1e-008| Med15 4e-008| SSDP 3e-006| PHA03247 5e-006| Sporozoite_P67 3e-005| Amelin 4e-005| DUF4593 9e-005| Pro-rich 3e-004| Totivirus_coat 3e-004| PHA03307 0.001| COG5651 0.002| flgJ 0.009| PA_GCPII_like 0.011| Prog_receptor 0.015|</t>
  </si>
  <si>
    <t>Uncharacterized protein - Canis lupus familiaris - extracellular matrix structural constituent - collagen trimer</t>
  </si>
  <si>
    <t>collagen type IV trimer</t>
  </si>
  <si>
    <t>A collagen heterotrimer containing type IV alpha chains; [alpha1(IV)]2alpha2(IV) trimers are commonly observed, although more type IV alpha chains exist and may be present in type IV trimers; type IV collagen triple helices associate to form 3 dimensional nets within basement membranes.  [ISBN:0721639976, PMID:19693541, PMID:21421911]</t>
  </si>
  <si>
    <t>extracellular matrix organization</t>
  </si>
  <si>
    <t>A process that is carried out at the cellular level which results in the assembly, arrangement of constituent parts, or disassembly of an extracellular matrix.  [GOC:mah]</t>
  </si>
  <si>
    <t>extracellular matrix organisation  EXACT [GOC:curators]</t>
  </si>
  <si>
    <t>collagen alpha-6(IV) chain</t>
  </si>
  <si>
    <t>complement_C3_C4_C5 1e-067| A2M_like 3e-048| NTR_complement_C4 1e-040| A2M_comp 9e-040| A2M_2 8e-038| NTR_complement_C345C 2e-020| ISOPREN_C2_like 5e-019| A2M_recep 4e-017| A2M 8e-015| C345C 5e-012| NTR_complement_C3 5e-012| ANATO 3e-010| A2M_N_2 5e-008| NTR 2e-007| NTR_complement_C5 4e-006| A2M_N 7e-006| ANATO 7e-005| ANATO 2e-004| COG2373 0.012| Thiol-ester_cl 0.015|</t>
  </si>
  <si>
    <t>Complement C4-A - Homo sapiens - complement component C1q binding - endopeptidase inhibitor activity - extracellular region - plasma membrane - inflammatory response - complement activation - complement activation, classical pathway - negative regulation of endopeptidase activity - regulation of complement activation - innate immune response - blood microparticle - positive regulation of apoptotic cell clearance</t>
  </si>
  <si>
    <t>complement component C1q binding</t>
  </si>
  <si>
    <t>Interacting selectively and non-covalently with the C1q component of the classical complement cascade.  [GOC:add, ISBN:0781735149]</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</si>
  <si>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</si>
  <si>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GOC:mtg_15nov05, ISBN:0198506732]</t>
  </si>
  <si>
    <t>Inflammation  BROAD []</t>
  </si>
  <si>
    <t>Q</t>
  </si>
  <si>
    <t>Smc 3e-055| SMC_prok_A 1e-043| Myosin_tail_1 4e-043| SMC_prok_B 6e-042| SbcC 6e-037| Cast 1e-036| PRK03918 1e-036| rad50 7e-033| SMC_N 5e-030| SCP-1 9e-030| PTZ00440 3e-027| PRK02224 3e-027| PTZ00121 6e-024| DUF3584 1e-023| MAD 4e-023| WEMBL 5e-023| HOOK 2e-022| 235kDa-fam 4e-022| DUF869 5e-022| mukB 9e-020|</t>
  </si>
  <si>
    <t>Desmoplakin - Homo sapiens - cornified envelope - desmosome organization - ventricular compact myocardium morphogenesis - protein kinase C binding - structural molecule activity - structural constituent of cytoskeleton - protein binding - nucleus - mitochondrion - plasma membrane - fascia adherens - apoptotic process - cellular component disassembly involved in execution phase of apoptosis - epidermis development - intercalated disc - basolateral plasma membrane - single organismal cell-cell adhesion - peptide cross-linking - desmosome - keratinocyte differentiation - protein binding, bridging - adherens junction organization - wound healing - poly(A) RNA binding - intermediate filament organization - cell adhesion molecule binding - extracellular vesicular exosome - protein localization to adherens junction - ventricular cardiac muscle cell action potential - bundle of His cell to Purkinje myocyte communication - regulation of heart rate by cardiac conduction - scaffold protein binding - intermediate filament</t>
  </si>
  <si>
    <t>protein kinase C binding</t>
  </si>
  <si>
    <t>Interacting selectively and non-covalently with protein kinase C.  [GOC:jl]</t>
  </si>
  <si>
    <t>PKC alpha binding  EXACT []</t>
  </si>
  <si>
    <t>desmosome organization</t>
  </si>
  <si>
    <t>A process that is carried out at the cellular level which results in the assembly, arrangement of constituent parts, or disassembly of a desmosome. A desmosome is a patch-like intercellular junction found in vertebrate tissues, consisting of parallel zones of two cell membranes, separated by an space of 25-35 nm, and having dense fibrillar plaques in the subjacent cytoplasm.  [GOC:hjd]</t>
  </si>
  <si>
    <t>Na_trans_assoc 5e-057| DUF3451 4e-046| Ion_trans 1e-031| Na_channel_gate 6e-019| PKD_channel 6e-005| PTZ00121 0.001| PRK14475 0.008| TolA 0.029| MAP7 0.086| TIGR03766 | PLN03223 | HR1 | FliJ | ChtBD1_GH18_2 | tolA_full | tolA | RfbX | ftsN | PRK02224 | DUF2967 |</t>
  </si>
  <si>
    <t>Sodium channel protein type 3 subunit alpha - Homo sapiens - voltage-gated sodium channel complex - voltage-gated sodium channel activity - cytoplasm - plasma membrane - sodium ion transport - neuronal action potential - regulation of ion transmembrane transport - sodium ion transmembrane transport - membrane depolarization during action potential</t>
  </si>
  <si>
    <t>voltage-gated sodium channel activity</t>
  </si>
  <si>
    <t>Catalysis of the transmembrane transfer of a sodium ion by a voltage-gated channel. A voltage-gated channel is a channel whose open state is dependent on the voltage across the membrane in which it is embedded.  [GOC:mtg_transport, ISBN:0815340729]</t>
  </si>
  <si>
    <t>voltage gated sodium channel activity  EXACT []</t>
  </si>
  <si>
    <t>voltage-gated sodium channel complex</t>
  </si>
  <si>
    <t>A sodium channel in a cell membrane whose opening is governed by the membrane potential.  [ISBN:0198506732]</t>
  </si>
  <si>
    <t>voltage gated sodium channel complex  EXACT []</t>
  </si>
  <si>
    <t>sodium ion transport</t>
  </si>
  <si>
    <t>The directed movement of sodium ions (Na+) into, out of or within a cell, or between cells, by means of some agent such as a transporter or pore.  [GOC:ai]</t>
  </si>
  <si>
    <t>mitochondrial sodium/calcium ion exchange  NARROW []</t>
  </si>
  <si>
    <t>sodium channel protein type 3 subunit alpha isoform X1</t>
  </si>
  <si>
    <t>Equus caballus</t>
  </si>
  <si>
    <t>Glutenin_hmw 4e-049| DMP1 8e-020| S-100 8e-017| AF-4 3e-014| Gly_rich 3e-013| Med15 4e-013| S-100A10_like 3e-012| S-100Z 3e-012| LbR_YadA-like 3e-010| S-100A1 4e-010| calgranulins 1e-009| S-100B 1e-009| S-100A11 5e-009| PRK12678 5e-009| COG5651 5e-009| gram_neg_porins 6e-009| Innate_immun 1e-008| CEP170_C 4e-008| DUF4175 5e-008| Semenogelin 7e-008|</t>
  </si>
  <si>
    <t>Uncharacterized protein - Sus scrofa - structural molecule activity - calcium ion binding</t>
  </si>
  <si>
    <t>establishment of skin barrier</t>
  </si>
  <si>
    <t>Establishment of the epithelial barrier, the functional barrier in the skin that limits its permeability.  [GOC:dph]</t>
  </si>
  <si>
    <t>epithelial barrier development  RELATED [GOC:dph]</t>
  </si>
  <si>
    <t>secretoglobin</t>
  </si>
  <si>
    <t>Ig kappa-b4 chain C region</t>
  </si>
  <si>
    <t xml:space="preserve">Ig kappa chain V-I </t>
  </si>
  <si>
    <t xml:space="preserve">antimicrobial protein CAP18 </t>
  </si>
  <si>
    <t>neutrophil gelatinase-associated lipocalin</t>
  </si>
  <si>
    <t xml:space="preserve">Ig gamma-1 chain C region </t>
  </si>
  <si>
    <t>L-lactate dehydrogenase B chain</t>
  </si>
  <si>
    <t>metalloendopeptidase inhibitor</t>
  </si>
  <si>
    <t xml:space="preserve">keratin type I cytoskeletal 28 </t>
  </si>
  <si>
    <t>alpha-1-antiproteinase</t>
  </si>
  <si>
    <t>alpha-1-antitrypsin</t>
  </si>
  <si>
    <t xml:space="preserve">keratin 17 </t>
  </si>
  <si>
    <t xml:space="preserve">serine/threonine-protein kinase </t>
  </si>
  <si>
    <t>Ig mu chain C region</t>
  </si>
  <si>
    <t>Ig gamma-1 chain C region</t>
  </si>
  <si>
    <t>keratin type II cytoskeletal 4</t>
  </si>
  <si>
    <t>serum albumin</t>
  </si>
  <si>
    <t xml:space="preserve">keratin 2 </t>
  </si>
  <si>
    <t xml:space="preserve">keratin type II cytoskeletal </t>
  </si>
  <si>
    <t>serotransferrin</t>
  </si>
  <si>
    <t xml:space="preserve">myeloperoxidase </t>
  </si>
  <si>
    <t xml:space="preserve">HCO3- transporter family </t>
  </si>
  <si>
    <t>negative regulation of endopeptidase</t>
  </si>
  <si>
    <t>vitamin D-binding protein</t>
  </si>
  <si>
    <t xml:space="preserve">myosin tail </t>
  </si>
  <si>
    <t>haptoglobin - hemoglobin binding</t>
  </si>
  <si>
    <t xml:space="preserve">hemopexin </t>
  </si>
  <si>
    <t xml:space="preserve">peroxiredoxin-1 </t>
  </si>
  <si>
    <t>hemopexin</t>
  </si>
  <si>
    <t>protein S100-A12</t>
  </si>
  <si>
    <t xml:space="preserve">mammaglobin-B </t>
  </si>
  <si>
    <t xml:space="preserve">protein S100-A9 </t>
  </si>
  <si>
    <t>antithrombin III</t>
  </si>
  <si>
    <t>nucleoside diphosphate kinase B</t>
  </si>
  <si>
    <t xml:space="preserve">hemoglobin subunit alpha-1/2 </t>
  </si>
  <si>
    <t>hemoglobin subunit beta</t>
  </si>
  <si>
    <t>alpha-2-antiplasmin</t>
  </si>
  <si>
    <t xml:space="preserve">alpha-2-macroglobulin </t>
  </si>
  <si>
    <t>filaggrin-2</t>
  </si>
  <si>
    <t>apolipoprotein A-I</t>
  </si>
  <si>
    <t xml:space="preserve">fibrinogen gamma chain </t>
  </si>
  <si>
    <t>glyceraldehyde-3-phosphate dehydrogenase</t>
  </si>
  <si>
    <t xml:space="preserve">keratin type I cytoskeletal 18 </t>
  </si>
  <si>
    <t>alpha-2-HS-glycoprotein</t>
  </si>
  <si>
    <t>ceruloplasmin</t>
  </si>
  <si>
    <t>alpha-1-acid glycoprotein 1</t>
  </si>
  <si>
    <t xml:space="preserve">complement component C9 </t>
  </si>
  <si>
    <t>complement C3</t>
  </si>
  <si>
    <t>complement C4-A</t>
  </si>
  <si>
    <t>alpha-1B-glycoprotein</t>
  </si>
  <si>
    <t xml:space="preserve">triosephosphate isomerase </t>
  </si>
  <si>
    <t>peroxysomal Fatty Acyl CoA Transporter</t>
  </si>
  <si>
    <t>nucleophosmin</t>
  </si>
  <si>
    <t xml:space="preserve">purine nucleoside phosphorylase </t>
  </si>
  <si>
    <t xml:space="preserve">transthyretin </t>
  </si>
  <si>
    <t>gelsolin</t>
  </si>
  <si>
    <t xml:space="preserve">keratin type II cytoskeletal 7 </t>
  </si>
  <si>
    <t>keratin type I cytoskeletal 16</t>
  </si>
  <si>
    <t>keratin type II cytoskeletal 6A</t>
  </si>
  <si>
    <t>keratin type I cytoskeletal 10 - cellular response to calcium ion - extracellular vesicular exosome - keratin filament - structural constituent of</t>
  </si>
  <si>
    <t xml:space="preserve">keratin type II cytoskeletal 5 </t>
  </si>
  <si>
    <t>keratin type II cytoskeletal 1</t>
  </si>
  <si>
    <t>fibrinogen beta chain</t>
  </si>
  <si>
    <t xml:space="preserve">fibrinogen alpha chain </t>
  </si>
  <si>
    <t>Cytoskeletal</t>
  </si>
  <si>
    <t>Oxidation metabolism/detoxification</t>
  </si>
  <si>
    <t>Extracellular matrix/cell adhesion</t>
  </si>
  <si>
    <t>Immunity</t>
  </si>
  <si>
    <t>Metabolism, energy</t>
  </si>
  <si>
    <t>Metabolism, lipid</t>
  </si>
  <si>
    <t>Metabolism, nucleotide</t>
  </si>
  <si>
    <t>Nuclear regulation</t>
  </si>
  <si>
    <t>Protein export machinery</t>
  </si>
  <si>
    <t>Protein modification machinery</t>
  </si>
  <si>
    <t>Proteinase inhibitor</t>
  </si>
  <si>
    <t>Signal transduction</t>
  </si>
  <si>
    <t>Heme/iron metabolism</t>
  </si>
  <si>
    <t>Transporters/receptors</t>
  </si>
  <si>
    <t>Keratin</t>
  </si>
  <si>
    <t>Fibrinogen</t>
  </si>
  <si>
    <t>Hemoglobin/RBC products</t>
  </si>
  <si>
    <t>Description</t>
  </si>
  <si>
    <t>Class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</si>
</sst>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rgb="FF002060"/>
      <name val="Calibri"/>
      <family val="2"/>
      <scheme val="minor"/>
    </font>
    <font>
      <b/>
      <sz val="8"/>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99"/>
        <bgColor indexed="64"/>
      </patternFill>
    </fill>
    <fill>
      <patternFill patternType="solid">
        <fgColor rgb="FF92D05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8" fillId="0" borderId="0" xfId="0" applyFont="1"/>
    <xf numFmtId="11" fontId="18" fillId="0" borderId="0" xfId="0" applyNumberFormat="1" applyFont="1"/>
    <xf numFmtId="0" fontId="19" fillId="33" borderId="0" xfId="0" applyFont="1" applyFill="1" applyAlignment="1">
      <alignment wrapText="1"/>
    </xf>
    <xf numFmtId="0" fontId="19" fillId="34" borderId="0" xfId="0" applyFont="1" applyFill="1" applyAlignment="1">
      <alignment wrapText="1"/>
    </xf>
    <xf numFmtId="0" fontId="20" fillId="0" borderId="0" xfId="0" applyFont="1"/>
    <xf numFmtId="0" fontId="18" fillId="0" borderId="0" xfId="0" applyFont="1" applyFill="1"/>
    <xf numFmtId="11" fontId="18"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106"/>
  <sheetViews>
    <sheetView tabSelected="1" workbookViewId="0">
      <pane xSplit="1" ySplit="1" topLeftCell="B2" activePane="bottomRight" state="frozen"/>
      <selection pane="topRight" activeCell="B1" sqref="B1"/>
      <selection pane="bottomLeft" activeCell="A2" sqref="A2"/>
      <selection pane="bottomRight" activeCell="D6" sqref="D6"/>
    </sheetView>
  </sheetViews>
  <sheetFormatPr defaultRowHeight="11.25" x14ac:dyDescent="0.2"/>
  <cols>
    <col min="1" max="1" width="27" style="1" customWidth="1"/>
    <col min="2" max="3" width="9.140625" style="1"/>
    <col min="4" max="4" width="50.5703125" style="1" customWidth="1"/>
    <col min="5" max="5" width="32.85546875" style="1" customWidth="1"/>
    <col min="6" max="16384" width="9.140625" style="1"/>
  </cols>
  <sheetData>
    <row r="1" spans="1:61" s="3" customFormat="1" ht="56.25" x14ac:dyDescent="0.2">
      <c r="A1" s="3" t="s">
        <v>0</v>
      </c>
      <c r="B1" s="3" t="s">
        <v>1</v>
      </c>
      <c r="C1" s="3" t="s">
        <v>2</v>
      </c>
      <c r="D1" s="4" t="s">
        <v>714</v>
      </c>
      <c r="E1" s="4" t="s">
        <v>715</v>
      </c>
      <c r="F1" s="3" t="s">
        <v>3</v>
      </c>
      <c r="G1" s="3" t="s">
        <v>4</v>
      </c>
      <c r="H1" s="3" t="s">
        <v>5</v>
      </c>
      <c r="I1" s="3" t="s">
        <v>6</v>
      </c>
      <c r="J1" s="3" t="s">
        <v>7</v>
      </c>
      <c r="K1" s="3" t="s">
        <v>8</v>
      </c>
      <c r="L1" s="3" t="s">
        <v>9</v>
      </c>
      <c r="M1" s="3" t="s">
        <v>10</v>
      </c>
      <c r="N1" s="3" t="s">
        <v>11</v>
      </c>
      <c r="O1" s="3" t="s">
        <v>12</v>
      </c>
      <c r="P1" s="3" t="s">
        <v>13</v>
      </c>
      <c r="Q1" s="3" t="s">
        <v>14</v>
      </c>
      <c r="R1" s="3" t="s">
        <v>15</v>
      </c>
      <c r="S1" s="3" t="s">
        <v>16</v>
      </c>
      <c r="T1" s="3" t="s">
        <v>17</v>
      </c>
      <c r="U1" s="3" t="s">
        <v>18</v>
      </c>
      <c r="V1" s="3" t="s">
        <v>4</v>
      </c>
      <c r="W1" s="3" t="s">
        <v>5</v>
      </c>
      <c r="X1" s="3" t="s">
        <v>6</v>
      </c>
      <c r="Y1" s="3" t="s">
        <v>7</v>
      </c>
      <c r="Z1" s="3" t="s">
        <v>8</v>
      </c>
      <c r="AA1" s="3" t="s">
        <v>9</v>
      </c>
      <c r="AB1" s="3" t="s">
        <v>10</v>
      </c>
      <c r="AC1" s="3" t="s">
        <v>11</v>
      </c>
      <c r="AD1" s="3" t="s">
        <v>12</v>
      </c>
      <c r="AE1" s="3" t="s">
        <v>13</v>
      </c>
      <c r="AF1" s="3" t="s">
        <v>14</v>
      </c>
      <c r="AG1" s="3" t="s">
        <v>15</v>
      </c>
      <c r="AH1" s="3" t="s">
        <v>16</v>
      </c>
      <c r="AI1" s="3" t="s">
        <v>17</v>
      </c>
      <c r="AJ1" s="3" t="s">
        <v>19</v>
      </c>
      <c r="AK1" s="3" t="s">
        <v>4</v>
      </c>
      <c r="AL1" s="3" t="s">
        <v>20</v>
      </c>
      <c r="AM1" s="3" t="s">
        <v>21</v>
      </c>
      <c r="AN1" s="3" t="s">
        <v>4</v>
      </c>
      <c r="AO1" s="3" t="s">
        <v>22</v>
      </c>
      <c r="AP1" s="3" t="s">
        <v>23</v>
      </c>
      <c r="AQ1" s="3" t="s">
        <v>24</v>
      </c>
      <c r="AR1" s="3" t="s">
        <v>25</v>
      </c>
      <c r="AS1" s="3" t="s">
        <v>26</v>
      </c>
      <c r="AT1" s="3" t="s">
        <v>27</v>
      </c>
      <c r="AU1" s="3" t="s">
        <v>4</v>
      </c>
      <c r="AV1" s="3" t="s">
        <v>28</v>
      </c>
      <c r="AW1" s="3" t="s">
        <v>29</v>
      </c>
      <c r="AX1" s="3" t="s">
        <v>24</v>
      </c>
      <c r="AY1" s="3" t="s">
        <v>25</v>
      </c>
      <c r="AZ1" s="3" t="s">
        <v>26</v>
      </c>
      <c r="BA1" s="3" t="s">
        <v>27</v>
      </c>
      <c r="BB1" s="3" t="s">
        <v>4</v>
      </c>
      <c r="BC1" s="3" t="s">
        <v>30</v>
      </c>
      <c r="BD1" s="3" t="s">
        <v>31</v>
      </c>
      <c r="BE1" s="3" t="s">
        <v>24</v>
      </c>
      <c r="BF1" s="3" t="s">
        <v>25</v>
      </c>
      <c r="BG1" s="3" t="s">
        <v>26</v>
      </c>
      <c r="BH1" s="3" t="s">
        <v>27</v>
      </c>
      <c r="BI1" s="3" t="s">
        <v>4</v>
      </c>
    </row>
    <row r="2" spans="1:61" s="6" customFormat="1" x14ac:dyDescent="0.2">
      <c r="A2" s="6" t="str">
        <f>HYPERLINK(".\links\\tr_G1T4V7_G1T4V7_RABIT-.txt","tr|G1T4V7|G1T4V7_RABIT")</f>
        <v>tr|G1T4V7|G1T4V7_RABIT</v>
      </c>
      <c r="B2" s="6" t="s">
        <v>607</v>
      </c>
      <c r="C2" s="6">
        <v>1901</v>
      </c>
      <c r="D2" s="6" t="s">
        <v>657</v>
      </c>
      <c r="E2" s="6" t="s">
        <v>697</v>
      </c>
      <c r="F2" s="6" t="str">
        <f>HYPERLINK(".\links\RABBIT-NCBI\tr_G1T4V7_G1T4V7_RABIT-RABBIT-NCBI.txt","Trichohyalin")</f>
        <v>Trichohyalin</v>
      </c>
      <c r="G2" s="6" t="str">
        <f>HYPERLINK("http://www.ncbi.nlm.nih.gov/sutils/blink.cgi?pid=586121","1E-050")</f>
        <v>1E-050</v>
      </c>
      <c r="H2" s="6" t="str">
        <f>HYPERLINK("http://www.ncbi.nlm.nih.gov/protein/586121","gi|586121")</f>
        <v>gi|586121</v>
      </c>
      <c r="I2" s="6">
        <v>194</v>
      </c>
      <c r="J2" s="6">
        <v>1144</v>
      </c>
      <c r="K2" s="6">
        <v>1407</v>
      </c>
      <c r="L2" s="6">
        <v>22</v>
      </c>
      <c r="M2" s="6">
        <v>44</v>
      </c>
      <c r="N2" s="6">
        <v>81</v>
      </c>
      <c r="O2" s="6">
        <v>889</v>
      </c>
      <c r="P2" s="6">
        <v>126</v>
      </c>
      <c r="Q2" s="6">
        <v>271</v>
      </c>
      <c r="R2" s="6">
        <v>806</v>
      </c>
      <c r="S2" s="6">
        <v>1</v>
      </c>
      <c r="T2" s="6" t="s">
        <v>33</v>
      </c>
      <c r="U2" s="6" t="str">
        <f>HYPERLINK(".\links\REFSEQ-VERTEBRATES\tr_G1T4V7_G1T4V7_RABIT-REFSEQ-VERTEBRATES.txt","desmoplakin")</f>
        <v>desmoplakin</v>
      </c>
      <c r="V2" s="6" t="str">
        <f>HYPERLINK("http://www.ncbi.nlm.nih.gov/sutils/blink.cgi?pid=291395493","0.0")</f>
        <v>0.0</v>
      </c>
      <c r="W2" s="6" t="str">
        <f>HYPERLINK("http://www.ncbi.nlm.nih.gov/protein/291395493","gi|291395493")</f>
        <v>gi|291395493</v>
      </c>
      <c r="X2" s="6">
        <v>3711</v>
      </c>
      <c r="Y2" s="6">
        <v>1901</v>
      </c>
      <c r="Z2" s="6">
        <v>3053</v>
      </c>
      <c r="AA2" s="6">
        <v>99</v>
      </c>
      <c r="AB2" s="6">
        <v>99</v>
      </c>
      <c r="AC2" s="6">
        <v>62</v>
      </c>
      <c r="AD2" s="6">
        <v>1</v>
      </c>
      <c r="AE2" s="6">
        <v>1</v>
      </c>
      <c r="AF2" s="6">
        <v>236</v>
      </c>
      <c r="AG2" s="6">
        <v>1</v>
      </c>
      <c r="AH2" s="6">
        <v>1</v>
      </c>
      <c r="AI2" s="6" t="s">
        <v>34</v>
      </c>
      <c r="AJ2" s="6" t="str">
        <f>HYPERLINK(".\links\CDD\tr_G1T4V7_G1T4V7_RABIT-CDD.txt","Smc")</f>
        <v>Smc</v>
      </c>
      <c r="AK2" s="6" t="str">
        <f>HYPERLINK("http://www.ncbi.nlm.nih.gov/Structure/cdd/cddsrv.cgi?uid=COG1196&amp;version=v4.0","3E-055")</f>
        <v>3E-055</v>
      </c>
      <c r="AL2" s="6" t="s">
        <v>608</v>
      </c>
      <c r="AM2" s="6" t="s">
        <v>609</v>
      </c>
      <c r="AN2" s="6">
        <f>HYPERLINK(".\links\GO\tr_G1T4V7_G1T4V7_RABIT-GO.txt",0)</f>
        <v>0</v>
      </c>
      <c r="AO2" s="6" t="str">
        <f>HYPERLINK("http://amigo.geneontology.org/cgi-bin/amigo/term_details?term=GO:0005080","GO:0005080")</f>
        <v>GO:0005080</v>
      </c>
      <c r="AP2" s="6" t="s">
        <v>610</v>
      </c>
      <c r="AQ2" s="6" t="s">
        <v>611</v>
      </c>
      <c r="AR2" s="6" t="s">
        <v>612</v>
      </c>
      <c r="AS2" s="6" t="s">
        <v>33</v>
      </c>
      <c r="AU2" s="6">
        <v>0</v>
      </c>
      <c r="AV2" s="6" t="str">
        <f>HYPERLINK("http://amigo.geneontology.org/cgi-bin/amigo/term_details?term=GO:0001533","GO:0001533")</f>
        <v>GO:0001533</v>
      </c>
      <c r="AW2" s="6" t="s">
        <v>275</v>
      </c>
      <c r="AX2" s="6" t="s">
        <v>276</v>
      </c>
      <c r="AY2" s="6" t="s">
        <v>33</v>
      </c>
      <c r="AZ2" s="6" t="s">
        <v>33</v>
      </c>
      <c r="BB2" s="6">
        <v>0</v>
      </c>
      <c r="BC2" s="6" t="str">
        <f>HYPERLINK("http://amigo.geneontology.org/cgi-bin/amigo/term_details?term=GO:0002934","GO:0002934")</f>
        <v>GO:0002934</v>
      </c>
      <c r="BD2" s="6" t="s">
        <v>613</v>
      </c>
      <c r="BE2" s="6" t="s">
        <v>614</v>
      </c>
      <c r="BF2" s="6" t="s">
        <v>33</v>
      </c>
      <c r="BG2" s="6" t="s">
        <v>33</v>
      </c>
      <c r="BI2" s="6">
        <v>0</v>
      </c>
    </row>
    <row r="3" spans="1:61" x14ac:dyDescent="0.2">
      <c r="A3" s="6" t="str">
        <f>HYPERLINK(".\links\\tr_G1U9R8_G1U9R8_RABIT-.txt","tr|G1U9R8|G1U9R8_RABIT")</f>
        <v>tr|G1U9R8|G1U9R8_RABIT</v>
      </c>
      <c r="B3" s="6" t="s">
        <v>32</v>
      </c>
      <c r="C3" s="6">
        <v>731</v>
      </c>
      <c r="D3" s="6" t="s">
        <v>688</v>
      </c>
      <c r="E3" s="1" t="s">
        <v>697</v>
      </c>
      <c r="F3" s="6" t="str">
        <f>HYPERLINK(".\links\RABBIT-NCBI\tr_G1U9R8_G1U9R8_RABIT-RABBIT-NCBI.txt","Protein phosphatase 1 regulatory subunit 1A; AltName: Full=Protein phosphatase")</f>
        <v>Protein phosphatase 1 regulatory subunit 1A; AltName: Full=Protein phosphatase</v>
      </c>
      <c r="G3" s="6" t="str">
        <f>HYPERLINK("http://www.ncbi.nlm.nih.gov/sutils/blink.cgi?pid=124834","0.20")</f>
        <v>0.20</v>
      </c>
      <c r="H3" s="6" t="str">
        <f>HYPERLINK("http://www.ncbi.nlm.nih.gov/protein/124834","gi|124834")</f>
        <v>gi|124834</v>
      </c>
      <c r="I3" s="6">
        <v>30</v>
      </c>
      <c r="J3" s="6">
        <v>55</v>
      </c>
      <c r="K3" s="6">
        <v>166</v>
      </c>
      <c r="L3" s="6">
        <v>27</v>
      </c>
      <c r="M3" s="6">
        <v>49</v>
      </c>
      <c r="N3" s="6">
        <v>33</v>
      </c>
      <c r="O3" s="6">
        <v>40</v>
      </c>
      <c r="P3" s="6">
        <v>0</v>
      </c>
      <c r="Q3" s="6">
        <v>70</v>
      </c>
      <c r="R3" s="6">
        <v>185</v>
      </c>
      <c r="S3" s="6">
        <v>1</v>
      </c>
      <c r="T3" s="6" t="s">
        <v>33</v>
      </c>
      <c r="U3" s="6" t="str">
        <f>HYPERLINK(".\links\REFSEQ-VERTEBRATES\tr_G1U9R8_G1U9R8_RABIT-REFSEQ-VERTEBRATES.txt","gelsolin isoform X3")</f>
        <v>gelsolin isoform X3</v>
      </c>
      <c r="V3" s="6" t="str">
        <f>HYPERLINK("http://www.ncbi.nlm.nih.gov/sutils/blink.cgi?pid=655878547","0.0")</f>
        <v>0.0</v>
      </c>
      <c r="W3" s="6" t="str">
        <f>HYPERLINK("http://www.ncbi.nlm.nih.gov/protein/655878547","gi|655878547")</f>
        <v>gi|655878547</v>
      </c>
      <c r="X3" s="6">
        <v>1486</v>
      </c>
      <c r="Y3" s="6">
        <v>731</v>
      </c>
      <c r="Z3" s="6">
        <v>731</v>
      </c>
      <c r="AA3" s="6">
        <v>100</v>
      </c>
      <c r="AB3" s="6">
        <v>100</v>
      </c>
      <c r="AC3" s="6">
        <v>100</v>
      </c>
      <c r="AD3" s="6">
        <v>0</v>
      </c>
      <c r="AE3" s="6">
        <v>0</v>
      </c>
      <c r="AF3" s="6">
        <v>1</v>
      </c>
      <c r="AG3" s="6">
        <v>1</v>
      </c>
      <c r="AH3" s="6">
        <v>1</v>
      </c>
      <c r="AI3" s="6" t="s">
        <v>34</v>
      </c>
      <c r="AJ3" s="6" t="str">
        <f>HYPERLINK(".\links\CDD\tr_G1U9R8_G1U9R8_RABIT-CDD.txt","gelsolin_S1_lik")</f>
        <v>gelsolin_S1_lik</v>
      </c>
      <c r="AK3" s="6" t="str">
        <f>HYPERLINK("http://www.ncbi.nlm.nih.gov/Structure/cdd/cddsrv.cgi?uid=cd11290&amp;version=v4.0","1E-037")</f>
        <v>1E-037</v>
      </c>
      <c r="AL3" s="6" t="s">
        <v>541</v>
      </c>
      <c r="AM3" s="6" t="s">
        <v>542</v>
      </c>
      <c r="AN3" s="6">
        <f>HYPERLINK(".\links\GO\tr_G1U9R8_G1U9R8_RABIT-GO.txt",0)</f>
        <v>0</v>
      </c>
      <c r="AO3" s="6" t="str">
        <f>HYPERLINK("http://amigo.geneontology.org/cgi-bin/amigo/term_details?term=GO:0003779","GO:0003779")</f>
        <v>GO:0003779</v>
      </c>
      <c r="AP3" s="6" t="s">
        <v>408</v>
      </c>
      <c r="AQ3" s="6" t="s">
        <v>409</v>
      </c>
      <c r="AR3" s="6" t="s">
        <v>410</v>
      </c>
      <c r="AS3" s="6" t="s">
        <v>33</v>
      </c>
      <c r="AT3" s="6"/>
      <c r="AU3" s="6">
        <v>0</v>
      </c>
      <c r="AV3" s="6" t="str">
        <f>HYPERLINK("http://amigo.geneontology.org/cgi-bin/amigo/term_details?term=GO:0030027","GO:0030027")</f>
        <v>GO:0030027</v>
      </c>
      <c r="AW3" s="6" t="s">
        <v>543</v>
      </c>
      <c r="AX3" s="6" t="s">
        <v>544</v>
      </c>
      <c r="AY3" s="6" t="s">
        <v>33</v>
      </c>
      <c r="AZ3" s="6" t="s">
        <v>33</v>
      </c>
      <c r="BA3" s="6"/>
      <c r="BB3" s="6">
        <v>0</v>
      </c>
      <c r="BC3" s="6" t="str">
        <f>HYPERLINK("http://amigo.geneontology.org/cgi-bin/amigo/term_details?term=GO:0016192","GO:0016192")</f>
        <v>GO:0016192</v>
      </c>
      <c r="BD3" s="6" t="s">
        <v>545</v>
      </c>
      <c r="BE3" s="6" t="s">
        <v>546</v>
      </c>
      <c r="BF3" s="6" t="s">
        <v>547</v>
      </c>
      <c r="BG3" s="6" t="s">
        <v>33</v>
      </c>
      <c r="BH3" s="6"/>
      <c r="BI3" s="6">
        <v>0</v>
      </c>
    </row>
    <row r="4" spans="1:61" x14ac:dyDescent="0.2">
      <c r="A4" s="6" t="str">
        <f>HYPERLINK(".\links\\tr_G1T229_G1T229_RABIT-.txt","tr|G1T229|G1T229_RABIT")</f>
        <v>tr|G1T229|G1T229_RABIT</v>
      </c>
      <c r="B4" s="6" t="s">
        <v>32</v>
      </c>
      <c r="C4" s="6">
        <v>2363</v>
      </c>
      <c r="D4" s="6" t="s">
        <v>671</v>
      </c>
      <c r="E4" s="1" t="s">
        <v>697</v>
      </c>
      <c r="F4" s="6" t="str">
        <f>HYPERLINK(".\links\RABBIT-NCBI\tr_G1T229_G1T229_RABIT-RABBIT-NCBI.txt","Sarcoplasmic reticulum histidine-rich calcium-binding protein; Flags: Precursor")</f>
        <v>Sarcoplasmic reticulum histidine-rich calcium-binding protein; Flags: Precursor</v>
      </c>
      <c r="G4" s="6" t="str">
        <f>HYPERLINK("http://www.ncbi.nlm.nih.gov/sutils/blink.cgi?pid=134874","7E-030")</f>
        <v>7E-030</v>
      </c>
      <c r="H4" s="6" t="str">
        <f>HYPERLINK("http://www.ncbi.nlm.nih.gov/protein/134874","gi|134874")</f>
        <v>gi|134874</v>
      </c>
      <c r="I4" s="6">
        <v>126</v>
      </c>
      <c r="J4" s="6">
        <v>816</v>
      </c>
      <c r="K4" s="6">
        <v>852</v>
      </c>
      <c r="L4" s="6">
        <v>19</v>
      </c>
      <c r="M4" s="6">
        <v>31</v>
      </c>
      <c r="N4" s="6">
        <v>96</v>
      </c>
      <c r="O4" s="6">
        <v>654</v>
      </c>
      <c r="P4" s="6">
        <v>99</v>
      </c>
      <c r="Q4" s="6">
        <v>50</v>
      </c>
      <c r="R4" s="6">
        <v>1035</v>
      </c>
      <c r="S4" s="6">
        <v>1</v>
      </c>
      <c r="T4" s="6" t="s">
        <v>33</v>
      </c>
      <c r="U4" s="6" t="str">
        <f>HYPERLINK(".\links\REFSEQ-VERTEBRATES\tr_G1T229_G1T229_RABIT-REFSEQ-VERTEBRATES.txt","platelet-activating factor acetylhydrolase IB subunit alpha")</f>
        <v>platelet-activating factor acetylhydrolase IB subunit alpha</v>
      </c>
      <c r="V4" s="6" t="str">
        <f>HYPERLINK("http://www.ncbi.nlm.nih.gov/sutils/blink.cgi?pid=338711117","0.0")</f>
        <v>0.0</v>
      </c>
      <c r="W4" s="6" t="str">
        <f>HYPERLINK("http://www.ncbi.nlm.nih.gov/protein/338711117","gi|338711117")</f>
        <v>gi|338711117</v>
      </c>
      <c r="X4" s="6">
        <v>2244</v>
      </c>
      <c r="Y4" s="6">
        <v>2006</v>
      </c>
      <c r="Z4" s="6">
        <v>363</v>
      </c>
      <c r="AA4" s="6">
        <v>99</v>
      </c>
      <c r="AB4" s="6"/>
      <c r="AC4" s="6">
        <v>100</v>
      </c>
      <c r="AD4" s="6"/>
      <c r="AE4" s="6">
        <v>0</v>
      </c>
      <c r="AF4" s="6">
        <v>1</v>
      </c>
      <c r="AG4" s="6">
        <v>1</v>
      </c>
      <c r="AH4" s="6">
        <v>1</v>
      </c>
      <c r="AI4" s="6" t="s">
        <v>627</v>
      </c>
      <c r="AJ4" s="6" t="str">
        <f>HYPERLINK(".\links\CDD\tr_G1T229_G1T229_RABIT-CDD.txt","Glutenin_hmw")</f>
        <v>Glutenin_hmw</v>
      </c>
      <c r="AK4" s="6" t="str">
        <f>HYPERLINK("http://www.ncbi.nlm.nih.gov/Structure/cdd/cddsrv.cgi?uid=pfam03157&amp;version=v4.0","4E-049")</f>
        <v>4E-049</v>
      </c>
      <c r="AL4" s="6" t="s">
        <v>628</v>
      </c>
      <c r="AM4" s="6" t="s">
        <v>629</v>
      </c>
      <c r="AN4" s="6">
        <f>HYPERLINK(".\links\GO\tr_G1T229_G1T229_RABIT-GO.txt",0)</f>
        <v>0</v>
      </c>
      <c r="AO4" s="6" t="str">
        <f>HYPERLINK("http://amigo.geneontology.org/cgi-bin/amigo/term_details?term=GO:0005198","GO:0005198")</f>
        <v>GO:0005198</v>
      </c>
      <c r="AP4" s="6" t="s">
        <v>307</v>
      </c>
      <c r="AQ4" s="6" t="s">
        <v>308</v>
      </c>
      <c r="AR4" s="6" t="s">
        <v>33</v>
      </c>
      <c r="AS4" s="6" t="s">
        <v>33</v>
      </c>
      <c r="AT4" s="6"/>
      <c r="AU4" s="6">
        <v>0</v>
      </c>
      <c r="AV4" s="6" t="str">
        <f>HYPERLINK("http://amigo.geneontology.org/cgi-bin/amigo/term_details?term=GO:0005634","GO:0005634")</f>
        <v>GO:0005634</v>
      </c>
      <c r="AW4" s="6" t="s">
        <v>81</v>
      </c>
      <c r="AX4" s="6" t="s">
        <v>82</v>
      </c>
      <c r="AY4" s="6" t="s">
        <v>83</v>
      </c>
      <c r="AZ4" s="6" t="s">
        <v>33</v>
      </c>
      <c r="BA4" s="6"/>
      <c r="BB4" s="6">
        <v>0</v>
      </c>
      <c r="BC4" s="6" t="str">
        <f>HYPERLINK("http://amigo.geneontology.org/cgi-bin/amigo/term_details?term=GO:0061436","GO:0061436")</f>
        <v>GO:0061436</v>
      </c>
      <c r="BD4" s="6" t="s">
        <v>630</v>
      </c>
      <c r="BE4" s="6" t="s">
        <v>631</v>
      </c>
      <c r="BF4" s="6" t="s">
        <v>632</v>
      </c>
      <c r="BG4" s="6" t="s">
        <v>33</v>
      </c>
      <c r="BH4" s="6"/>
      <c r="BI4" s="6">
        <v>0</v>
      </c>
    </row>
    <row r="5" spans="1:61" x14ac:dyDescent="0.2">
      <c r="A5" s="1" t="str">
        <f>HYPERLINK(".\links\\sp_P27170_PON1_RABIT-.txt","sp|P27170|PON1_RABIT")</f>
        <v>sp|P27170|PON1_RABIT</v>
      </c>
      <c r="B5" s="1" t="s">
        <v>32</v>
      </c>
      <c r="C5" s="1">
        <v>359</v>
      </c>
      <c r="D5" s="1" t="s">
        <v>295</v>
      </c>
      <c r="E5" s="1" t="s">
        <v>698</v>
      </c>
      <c r="F5" s="1" t="str">
        <f>HYPERLINK(".\links\RABBIT-NCBI\sp_P27170_PON1_RABIT-RABBIT-NCBI.txt","Serum paraoxonase/arylesterase 1; Short=PON 1; AltName: Full=Aromatic esterase")</f>
        <v>Serum paraoxonase/arylesterase 1; Short=PON 1; AltName: Full=Aromatic esterase</v>
      </c>
      <c r="G5" s="1" t="str">
        <f>HYPERLINK("http://www.ncbi.nlm.nih.gov/sutils/blink.cgi?pid=130676","0.0")</f>
        <v>0.0</v>
      </c>
      <c r="H5" s="1" t="str">
        <f>HYPERLINK("http://www.ncbi.nlm.nih.gov/protein/130676","gi|130676")</f>
        <v>gi|130676</v>
      </c>
      <c r="I5" s="1">
        <v>733</v>
      </c>
      <c r="J5" s="1">
        <v>359</v>
      </c>
      <c r="K5" s="1">
        <v>359</v>
      </c>
      <c r="L5" s="1">
        <v>100</v>
      </c>
      <c r="M5" s="1">
        <v>100</v>
      </c>
      <c r="N5" s="1">
        <v>100</v>
      </c>
      <c r="O5" s="1">
        <v>0</v>
      </c>
      <c r="P5" s="1">
        <v>0</v>
      </c>
      <c r="Q5" s="1">
        <v>1</v>
      </c>
      <c r="R5" s="1">
        <v>1</v>
      </c>
      <c r="S5" s="1">
        <v>1</v>
      </c>
      <c r="T5" s="1" t="s">
        <v>33</v>
      </c>
      <c r="U5" s="1" t="str">
        <f>HYPERLINK(".\links\REFSEQ-VERTEBRATES\sp_P27170_PON1_RABIT-REFSEQ-VERTEBRATES.txt","serum paraoxonase/arylesterase 1 precursor")</f>
        <v>serum paraoxonase/arylesterase 1 precursor</v>
      </c>
      <c r="V5" s="1" t="str">
        <f>HYPERLINK("http://www.ncbi.nlm.nih.gov/sutils/blink.cgi?pid=126722853","0.0")</f>
        <v>0.0</v>
      </c>
      <c r="W5" s="1" t="str">
        <f>HYPERLINK("http://www.ncbi.nlm.nih.gov/protein/126722853","gi|126722853")</f>
        <v>gi|126722853</v>
      </c>
      <c r="X5" s="1">
        <v>733</v>
      </c>
      <c r="Y5" s="1">
        <v>359</v>
      </c>
      <c r="Z5" s="1">
        <v>359</v>
      </c>
      <c r="AA5" s="1">
        <v>100</v>
      </c>
      <c r="AB5" s="1">
        <v>100</v>
      </c>
      <c r="AC5" s="1">
        <v>100</v>
      </c>
      <c r="AD5" s="1">
        <v>0</v>
      </c>
      <c r="AE5" s="1">
        <v>0</v>
      </c>
      <c r="AF5" s="1">
        <v>1</v>
      </c>
      <c r="AG5" s="1">
        <v>1</v>
      </c>
      <c r="AH5" s="1">
        <v>1</v>
      </c>
      <c r="AI5" s="1" t="s">
        <v>34</v>
      </c>
      <c r="AJ5" s="1" t="str">
        <f>HYPERLINK(".\links\CDD\sp_P27170_PON1_RABIT-CDD.txt","Arylesterase")</f>
        <v>Arylesterase</v>
      </c>
      <c r="AK5" s="1" t="str">
        <f>HYPERLINK("http://www.ncbi.nlm.nih.gov/Structure/cdd/cddsrv.cgi?uid=pfam01731&amp;version=v4.0","2E-031")</f>
        <v>2E-031</v>
      </c>
      <c r="AL5" s="1" t="s">
        <v>287</v>
      </c>
      <c r="AM5" s="1" t="s">
        <v>288</v>
      </c>
      <c r="AN5" s="1">
        <f>HYPERLINK(".\links\GO\sp_P27170_PON1_RABIT-GO.txt",0)</f>
        <v>0</v>
      </c>
      <c r="AO5" s="1" t="str">
        <f>HYPERLINK("http://amigo.geneontology.org/cgi-bin/amigo/term_details?term=GO:0004063","GO:0004063")</f>
        <v>GO:0004063</v>
      </c>
      <c r="AP5" s="1" t="s">
        <v>289</v>
      </c>
      <c r="AQ5" s="1" t="s">
        <v>290</v>
      </c>
      <c r="AR5" s="1" t="s">
        <v>291</v>
      </c>
      <c r="AS5" s="1" t="str">
        <f>HYPERLINK("http://www.genome.jp/dbget-bin/www_bfind_sub?mode=bfind&amp;max_hit=1000&amp;dbkey=kegg&amp;keywords=EC:3.1.8.1","EC:3.1.8.1")</f>
        <v>EC:3.1.8.1</v>
      </c>
      <c r="AU5" s="1">
        <v>0</v>
      </c>
      <c r="AV5" s="1" t="str">
        <f>HYPERLINK("http://amigo.geneontology.org/cgi-bin/amigo/term_details?term=GO:0005576","GO:0005576")</f>
        <v>GO:0005576</v>
      </c>
      <c r="AW5" s="1" t="s">
        <v>51</v>
      </c>
      <c r="AX5" s="1" t="s">
        <v>52</v>
      </c>
      <c r="AY5" s="1" t="s">
        <v>53</v>
      </c>
      <c r="AZ5" s="1" t="s">
        <v>33</v>
      </c>
      <c r="BB5" s="1">
        <v>0</v>
      </c>
      <c r="BC5" s="1" t="str">
        <f>HYPERLINK("http://amigo.geneontology.org/cgi-bin/amigo/term_details?term=GO:0009605","GO:0009605")</f>
        <v>GO:0009605</v>
      </c>
      <c r="BD5" s="1" t="s">
        <v>292</v>
      </c>
      <c r="BE5" s="1" t="s">
        <v>293</v>
      </c>
      <c r="BF5" s="1" t="s">
        <v>294</v>
      </c>
      <c r="BG5" s="1" t="s">
        <v>33</v>
      </c>
      <c r="BI5" s="1">
        <v>0</v>
      </c>
    </row>
    <row r="6" spans="1:61" x14ac:dyDescent="0.2">
      <c r="A6" s="1" t="str">
        <f>HYPERLINK(".\links\\tr_G1T6W7_G1T6W7_RABIT-.txt","tr|G1T6W7|G1T6W7_RABIT")</f>
        <v>tr|G1T6W7|G1T6W7_RABIT</v>
      </c>
      <c r="B6" s="1" t="s">
        <v>32</v>
      </c>
      <c r="C6" s="1">
        <v>527</v>
      </c>
      <c r="D6" s="1" t="s">
        <v>455</v>
      </c>
      <c r="E6" s="1" t="s">
        <v>698</v>
      </c>
      <c r="F6" s="1" t="str">
        <f>HYPERLINK(".\links\RABBIT-NCBI\tr_G1T6W7_G1T6W7_RABIT-RABBIT-NCBI.txt","Fibronectin; Short=FN")</f>
        <v>Fibronectin; Short=FN</v>
      </c>
      <c r="G6" s="1" t="str">
        <f>HYPERLINK("http://www.ncbi.nlm.nih.gov/sutils/blink.cgi?pid=2497973","0.68")</f>
        <v>0.68</v>
      </c>
      <c r="H6" s="1" t="str">
        <f>HYPERLINK("http://www.ncbi.nlm.nih.gov/protein/2497973","gi|2497973")</f>
        <v>gi|2497973</v>
      </c>
      <c r="I6" s="1">
        <v>27.7</v>
      </c>
      <c r="J6" s="1">
        <v>38</v>
      </c>
      <c r="K6" s="1">
        <v>100</v>
      </c>
      <c r="L6" s="1">
        <v>36</v>
      </c>
      <c r="M6" s="1">
        <v>42</v>
      </c>
      <c r="N6" s="1">
        <v>38</v>
      </c>
      <c r="O6" s="1">
        <v>24</v>
      </c>
      <c r="P6" s="1">
        <v>5</v>
      </c>
      <c r="Q6" s="1">
        <v>50</v>
      </c>
      <c r="R6" s="1">
        <v>341</v>
      </c>
      <c r="S6" s="1">
        <v>1</v>
      </c>
      <c r="T6" s="1" t="s">
        <v>33</v>
      </c>
      <c r="U6" s="1" t="str">
        <f>HYPERLINK(".\links\REFSEQ-VERTEBRATES\tr_G1T6W7_G1T6W7_RABIT-REFSEQ-VERTEBRATES.txt","catalase")</f>
        <v>catalase</v>
      </c>
      <c r="V6" s="1" t="str">
        <f>HYPERLINK("http://www.ncbi.nlm.nih.gov/sutils/blink.cgi?pid=291384816","0.0")</f>
        <v>0.0</v>
      </c>
      <c r="W6" s="1" t="str">
        <f>HYPERLINK("http://www.ncbi.nlm.nih.gov/protein/291384816","gi|291384816")</f>
        <v>gi|291384816</v>
      </c>
      <c r="X6" s="1">
        <v>1102</v>
      </c>
      <c r="Y6" s="1">
        <v>527</v>
      </c>
      <c r="Z6" s="1">
        <v>527</v>
      </c>
      <c r="AA6" s="1">
        <v>100</v>
      </c>
      <c r="AB6" s="1">
        <v>100</v>
      </c>
      <c r="AC6" s="1">
        <v>100</v>
      </c>
      <c r="AD6" s="1">
        <v>0</v>
      </c>
      <c r="AE6" s="1">
        <v>0</v>
      </c>
      <c r="AF6" s="1">
        <v>1</v>
      </c>
      <c r="AG6" s="1">
        <v>1</v>
      </c>
      <c r="AH6" s="1">
        <v>1</v>
      </c>
      <c r="AI6" s="1" t="s">
        <v>34</v>
      </c>
      <c r="AJ6" s="1" t="str">
        <f>HYPERLINK(".\links\CDD\tr_G1T6W7_G1T6W7_RABIT-CDD.txt","catalase_clade_")</f>
        <v>catalase_clade_</v>
      </c>
      <c r="AK6" s="1" t="str">
        <f>HYPERLINK("http://www.ncbi.nlm.nih.gov/Structure/cdd/cddsrv.cgi?uid=cd08156&amp;version=v4.0","1E-174")</f>
        <v>1E-174</v>
      </c>
      <c r="AL6" s="1" t="s">
        <v>445</v>
      </c>
      <c r="AM6" s="1" t="s">
        <v>446</v>
      </c>
      <c r="AN6" s="1">
        <f>HYPERLINK(".\links\GO\tr_G1T6W7_G1T6W7_RABIT-GO.txt",0)</f>
        <v>0</v>
      </c>
      <c r="AO6" s="1" t="str">
        <f>HYPERLINK("http://amigo.geneontology.org/cgi-bin/amigo/term_details?term=GO:0004096","GO:0004096")</f>
        <v>GO:0004096</v>
      </c>
      <c r="AP6" s="1" t="s">
        <v>447</v>
      </c>
      <c r="AQ6" s="1" t="s">
        <v>448</v>
      </c>
      <c r="AR6" s="1" t="s">
        <v>172</v>
      </c>
      <c r="AS6" s="1" t="str">
        <f>HYPERLINK("http://www.genome.jp/dbget-bin/www_bfind_sub?mode=bfind&amp;max_hit=1000&amp;dbkey=kegg&amp;keywords=EC:1.11.1.6","EC:1.11.1.6")</f>
        <v>EC:1.11.1.6</v>
      </c>
      <c r="AU6" s="1">
        <v>0</v>
      </c>
      <c r="AV6" s="1" t="str">
        <f>HYPERLINK("http://amigo.geneontology.org/cgi-bin/amigo/term_details?term=GO:0005777","GO:0005777")</f>
        <v>GO:0005777</v>
      </c>
      <c r="AW6" s="1" t="s">
        <v>449</v>
      </c>
      <c r="AX6" s="1" t="s">
        <v>450</v>
      </c>
      <c r="AY6" s="1" t="s">
        <v>451</v>
      </c>
      <c r="AZ6" s="1" t="s">
        <v>33</v>
      </c>
      <c r="BB6" s="1">
        <v>0</v>
      </c>
      <c r="BC6" s="1" t="str">
        <f>HYPERLINK("http://amigo.geneontology.org/cgi-bin/amigo/term_details?term=GO:0042744","GO:0042744")</f>
        <v>GO:0042744</v>
      </c>
      <c r="BD6" s="1" t="s">
        <v>452</v>
      </c>
      <c r="BE6" s="1" t="s">
        <v>453</v>
      </c>
      <c r="BF6" s="1" t="s">
        <v>454</v>
      </c>
      <c r="BG6" s="1" t="s">
        <v>33</v>
      </c>
      <c r="BI6" s="1">
        <v>0</v>
      </c>
    </row>
    <row r="7" spans="1:61" s="6" customFormat="1" x14ac:dyDescent="0.2">
      <c r="A7" s="1" t="str">
        <f>HYPERLINK(".\links\\tr_G1SR65_G1SR65_RABIT-.txt","tr|G1SR65|G1SR65_RABIT")</f>
        <v>tr|G1SR65|G1SR65_RABIT</v>
      </c>
      <c r="B7" s="1" t="s">
        <v>32</v>
      </c>
      <c r="C7" s="1">
        <v>701</v>
      </c>
      <c r="D7" s="1" t="s">
        <v>653</v>
      </c>
      <c r="E7" s="1" t="s">
        <v>698</v>
      </c>
      <c r="F7" s="1" t="str">
        <f>HYPERLINK(".\links\RABBIT-NCBI\tr_G1SR65_G1SR65_RABIT-RABBIT-NCBI.txt","Prostaglandin G/H synthase 2; AltName: Full=Cyclooxygenase-2; Short=COX-2;")</f>
        <v>Prostaglandin G/H synthase 2; AltName: Full=Cyclooxygenase-2; Short=COX-2;</v>
      </c>
      <c r="G7" s="1" t="str">
        <f>HYPERLINK("http://www.ncbi.nlm.nih.gov/sutils/blink.cgi?pid=3914296","5E-007")</f>
        <v>5E-007</v>
      </c>
      <c r="H7" s="1" t="str">
        <f>HYPERLINK("http://www.ncbi.nlm.nih.gov/protein/3914296","gi|3914296")</f>
        <v>gi|3914296</v>
      </c>
      <c r="I7" s="1">
        <v>48.5</v>
      </c>
      <c r="J7" s="1">
        <v>117</v>
      </c>
      <c r="K7" s="1">
        <v>604</v>
      </c>
      <c r="L7" s="1">
        <v>31</v>
      </c>
      <c r="M7" s="1">
        <v>49</v>
      </c>
      <c r="N7" s="1">
        <v>19</v>
      </c>
      <c r="O7" s="1">
        <v>80</v>
      </c>
      <c r="P7" s="1">
        <v>5</v>
      </c>
      <c r="Q7" s="1">
        <v>271</v>
      </c>
      <c r="R7" s="1">
        <v>355</v>
      </c>
      <c r="S7" s="1">
        <v>1</v>
      </c>
      <c r="T7" s="1" t="s">
        <v>33</v>
      </c>
      <c r="U7" s="1" t="str">
        <f>HYPERLINK(".\links\REFSEQ-VERTEBRATES\tr_G1SR65_G1SR65_RABIT-REFSEQ-VERTEBRATES.txt","myeloperoxidase")</f>
        <v>myeloperoxidase</v>
      </c>
      <c r="V7" s="1" t="str">
        <f>HYPERLINK("http://www.ncbi.nlm.nih.gov/sutils/blink.cgi?pid=655872811","0.0")</f>
        <v>0.0</v>
      </c>
      <c r="W7" s="1" t="str">
        <f>HYPERLINK("http://www.ncbi.nlm.nih.gov/protein/655872811","gi|655872811")</f>
        <v>gi|655872811</v>
      </c>
      <c r="X7" s="1">
        <v>1226</v>
      </c>
      <c r="Y7" s="1">
        <v>703</v>
      </c>
      <c r="Z7" s="1">
        <v>765</v>
      </c>
      <c r="AA7" s="1">
        <v>88</v>
      </c>
      <c r="AB7" s="1">
        <v>88</v>
      </c>
      <c r="AC7" s="1">
        <v>92</v>
      </c>
      <c r="AD7" s="1">
        <v>83</v>
      </c>
      <c r="AE7" s="1">
        <v>55</v>
      </c>
      <c r="AF7" s="1">
        <v>116</v>
      </c>
      <c r="AG7" s="1">
        <v>1</v>
      </c>
      <c r="AH7" s="1">
        <v>1</v>
      </c>
      <c r="AI7" s="1" t="s">
        <v>34</v>
      </c>
      <c r="AJ7" s="1" t="str">
        <f>HYPERLINK(".\links\CDD\tr_G1SR65_G1SR65_RABIT-CDD.txt","myeloperoxidase")</f>
        <v>myeloperoxidase</v>
      </c>
      <c r="AK7" s="1" t="str">
        <f>HYPERLINK("http://www.ncbi.nlm.nih.gov/Structure/cdd/cddsrv.cgi?uid=cd09824&amp;version=v4.0","1E-173")</f>
        <v>1E-173</v>
      </c>
      <c r="AL7" s="1" t="s">
        <v>534</v>
      </c>
      <c r="AM7" s="1" t="s">
        <v>535</v>
      </c>
      <c r="AN7" s="1">
        <f>HYPERLINK(".\links\GO\tr_G1SR65_G1SR65_RABIT-GO.txt",0)</f>
        <v>0</v>
      </c>
      <c r="AO7" s="1" t="str">
        <f>HYPERLINK("http://amigo.geneontology.org/cgi-bin/amigo/term_details?term=GO:0004601","GO:0004601")</f>
        <v>GO:0004601</v>
      </c>
      <c r="AP7" s="1" t="s">
        <v>170</v>
      </c>
      <c r="AQ7" s="1" t="s">
        <v>171</v>
      </c>
      <c r="AR7" s="1" t="s">
        <v>172</v>
      </c>
      <c r="AS7" s="1" t="str">
        <f>HYPERLINK("http://www.genome.jp/dbget-bin/www_bfind_sub?mode=bfind&amp;max_hit=1000&amp;dbkey=kegg&amp;keywords=EC:1.11.1.7","EC:1.11.1.7")</f>
        <v>EC:1.11.1.7</v>
      </c>
      <c r="AT7" s="1" t="str">
        <f>HYPERLINK("http://www.genome.jp/dbget-bin/www_bget?rn:R03532","KEGG:R03532")</f>
        <v>KEGG:R03532</v>
      </c>
      <c r="AU7" s="1">
        <v>0</v>
      </c>
      <c r="AV7" s="1" t="str">
        <f>HYPERLINK("http://amigo.geneontology.org/cgi-bin/amigo/term_details?term=GO:0005615","GO:0005615")</f>
        <v>GO:0005615</v>
      </c>
      <c r="AW7" s="1" t="s">
        <v>40</v>
      </c>
      <c r="AX7" s="1" t="s">
        <v>41</v>
      </c>
      <c r="AY7" s="1" t="s">
        <v>42</v>
      </c>
      <c r="AZ7" s="1" t="s">
        <v>33</v>
      </c>
      <c r="BA7" s="1"/>
      <c r="BB7" s="1">
        <v>0</v>
      </c>
      <c r="BC7" s="1" t="str">
        <f>HYPERLINK("http://amigo.geneontology.org/cgi-bin/amigo/term_details?term=GO:0001878","GO:0001878")</f>
        <v>GO:0001878</v>
      </c>
      <c r="BD7" s="1" t="s">
        <v>536</v>
      </c>
      <c r="BE7" s="1" t="s">
        <v>537</v>
      </c>
      <c r="BF7" s="1" t="s">
        <v>33</v>
      </c>
      <c r="BG7" s="1" t="s">
        <v>33</v>
      </c>
      <c r="BH7" s="1"/>
      <c r="BI7" s="1">
        <v>0</v>
      </c>
    </row>
    <row r="8" spans="1:61" s="6" customFormat="1" x14ac:dyDescent="0.2">
      <c r="A8" s="1" t="str">
        <f>HYPERLINK(".\links\\tr_G1TZA1_G1TZA1_RABIT-.txt","tr|G1TZA1|G1TZA1_RABIT")</f>
        <v>tr|G1TZA1|G1TZA1_RABIT</v>
      </c>
      <c r="B8" s="1" t="s">
        <v>32</v>
      </c>
      <c r="C8" s="1">
        <v>191</v>
      </c>
      <c r="D8" s="1" t="s">
        <v>161</v>
      </c>
      <c r="E8" s="6" t="s">
        <v>699</v>
      </c>
      <c r="F8" s="1" t="str">
        <f>HYPERLINK(".\links\RABBIT-NCBI\tr_G1TZA1_G1TZA1_RABIT-RABBIT-NCBI.txt","Collagen alpha-1(VIII) chain; AltName: Full=Endothelial collagen; Contains:")</f>
        <v>Collagen alpha-1(VIII) chain; AltName: Full=Endothelial collagen; Contains:</v>
      </c>
      <c r="G8" s="1" t="str">
        <f>HYPERLINK("http://www.ncbi.nlm.nih.gov/sutils/blink.cgi?pid=115317","9E-020")</f>
        <v>9E-020</v>
      </c>
      <c r="H8" s="1" t="str">
        <f>HYPERLINK("http://www.ncbi.nlm.nih.gov/protein/115317","gi|115317")</f>
        <v>gi|115317</v>
      </c>
      <c r="I8" s="1">
        <v>88.6</v>
      </c>
      <c r="J8" s="1">
        <v>186</v>
      </c>
      <c r="K8" s="1">
        <v>744</v>
      </c>
      <c r="L8" s="1">
        <v>30</v>
      </c>
      <c r="M8" s="1">
        <v>44</v>
      </c>
      <c r="N8" s="1">
        <v>25</v>
      </c>
      <c r="O8" s="1">
        <v>130</v>
      </c>
      <c r="P8" s="1">
        <v>37</v>
      </c>
      <c r="Q8" s="1">
        <v>536</v>
      </c>
      <c r="R8" s="1">
        <v>25</v>
      </c>
      <c r="S8" s="1">
        <v>1</v>
      </c>
      <c r="T8" s="1" t="s">
        <v>33</v>
      </c>
      <c r="U8" s="1" t="str">
        <f>HYPERLINK(".\links\REFSEQ-VERTEBRATES\tr_G1TZA1_G1TZA1_RABIT-REFSEQ-VERTEBRATES.txt","protein HP-20 homolog")</f>
        <v>protein HP-20 homolog</v>
      </c>
      <c r="V8" s="1" t="str">
        <f>HYPERLINK("http://www.ncbi.nlm.nih.gov/sutils/blink.cgi?pid=655765983","1E-111")</f>
        <v>1E-111</v>
      </c>
      <c r="W8" s="1" t="str">
        <f>HYPERLINK("http://www.ncbi.nlm.nih.gov/protein/655765983","gi|655765983")</f>
        <v>gi|655765983</v>
      </c>
      <c r="X8" s="1">
        <v>404</v>
      </c>
      <c r="Y8" s="1">
        <v>191</v>
      </c>
      <c r="Z8" s="1">
        <v>191</v>
      </c>
      <c r="AA8" s="1">
        <v>100</v>
      </c>
      <c r="AB8" s="1">
        <v>100</v>
      </c>
      <c r="AC8" s="1">
        <v>100</v>
      </c>
      <c r="AD8" s="1">
        <v>0</v>
      </c>
      <c r="AE8" s="1">
        <v>0</v>
      </c>
      <c r="AF8" s="1">
        <v>1</v>
      </c>
      <c r="AG8" s="1">
        <v>1</v>
      </c>
      <c r="AH8" s="1">
        <v>1</v>
      </c>
      <c r="AI8" s="1" t="s">
        <v>34</v>
      </c>
      <c r="AJ8" s="1" t="str">
        <f>HYPERLINK(".\links\CDD\tr_G1TZA1_G1TZA1_RABIT-CDD.txt","C1Q")</f>
        <v>C1Q</v>
      </c>
      <c r="AK8" s="1" t="str">
        <f>HYPERLINK("http://www.ncbi.nlm.nih.gov/Structure/cdd/cddsrv.cgi?uid=smart00110&amp;version=v4.0","3E-015")</f>
        <v>3E-015</v>
      </c>
      <c r="AL8" s="1" t="s">
        <v>159</v>
      </c>
      <c r="AM8" s="1" t="s">
        <v>160</v>
      </c>
      <c r="AN8" s="1">
        <f>HYPERLINK(".\links\GO\tr_G1TZA1_G1TZA1_RABIT-GO.txt",3E-66)</f>
        <v>3.0000000000000002E-66</v>
      </c>
      <c r="AO8" s="1" t="s">
        <v>33</v>
      </c>
      <c r="AP8" s="1" t="s">
        <v>33</v>
      </c>
      <c r="AQ8" s="1" t="s">
        <v>33</v>
      </c>
      <c r="AR8" s="1" t="s">
        <v>33</v>
      </c>
      <c r="AS8" s="1"/>
      <c r="AT8" s="1" t="s">
        <v>33</v>
      </c>
      <c r="AU8" s="1" t="s">
        <v>33</v>
      </c>
      <c r="AV8" s="1" t="str">
        <f>HYPERLINK("http://amigo.geneontology.org/cgi-bin/amigo/term_details?term=GO:0005576","GO:0005576")</f>
        <v>GO:0005576</v>
      </c>
      <c r="AW8" s="1" t="s">
        <v>51</v>
      </c>
      <c r="AX8" s="1" t="s">
        <v>52</v>
      </c>
      <c r="AY8" s="1" t="s">
        <v>53</v>
      </c>
      <c r="AZ8" s="1" t="s">
        <v>33</v>
      </c>
      <c r="BA8" s="1"/>
      <c r="BB8" s="2">
        <v>7.0000000000000007E-21</v>
      </c>
      <c r="BC8" s="1" t="s">
        <v>33</v>
      </c>
      <c r="BD8" s="1" t="s">
        <v>33</v>
      </c>
      <c r="BE8" s="1" t="s">
        <v>33</v>
      </c>
      <c r="BF8" s="1" t="s">
        <v>33</v>
      </c>
      <c r="BG8" s="1"/>
      <c r="BH8" s="1" t="s">
        <v>33</v>
      </c>
      <c r="BI8" s="1" t="s">
        <v>33</v>
      </c>
    </row>
    <row r="9" spans="1:61" x14ac:dyDescent="0.2">
      <c r="A9" s="1" t="str">
        <f>HYPERLINK(".\links\\tr_G1T4A5_G1T4A5_RABIT-.txt","tr|G1T4A5|G1T4A5_RABIT")</f>
        <v>tr|G1T4A5|G1T4A5_RABIT</v>
      </c>
      <c r="B9" s="1" t="s">
        <v>32</v>
      </c>
      <c r="C9" s="1">
        <v>1195</v>
      </c>
      <c r="D9" s="1" t="s">
        <v>584</v>
      </c>
      <c r="E9" s="6" t="s">
        <v>699</v>
      </c>
      <c r="F9" s="1" t="str">
        <f>HYPERLINK(".\links\RABBIT-NCBI\tr_G1T4A5_G1T4A5_RABIT-RABBIT-NCBI.txt","Collagen alpha-1(VIII) chain; AltName: Full=Endothelial collagen; Contains:")</f>
        <v>Collagen alpha-1(VIII) chain; AltName: Full=Endothelial collagen; Contains:</v>
      </c>
      <c r="G9" s="1" t="str">
        <f>HYPERLINK("http://www.ncbi.nlm.nih.gov/sutils/blink.cgi?pid=115317","1E-117")</f>
        <v>1E-117</v>
      </c>
      <c r="H9" s="1" t="str">
        <f>HYPERLINK("http://www.ncbi.nlm.nih.gov/protein/115317","gi|115317")</f>
        <v>gi|115317</v>
      </c>
      <c r="I9" s="1">
        <v>415</v>
      </c>
      <c r="J9" s="1">
        <v>505</v>
      </c>
      <c r="K9" s="1">
        <v>744</v>
      </c>
      <c r="L9" s="1">
        <v>47</v>
      </c>
      <c r="M9" s="1">
        <v>52</v>
      </c>
      <c r="N9" s="1">
        <v>68</v>
      </c>
      <c r="O9" s="1">
        <v>265</v>
      </c>
      <c r="P9" s="1">
        <v>37</v>
      </c>
      <c r="Q9" s="1">
        <v>126</v>
      </c>
      <c r="R9" s="1">
        <v>175</v>
      </c>
      <c r="S9" s="1">
        <v>1</v>
      </c>
      <c r="T9" s="1" t="s">
        <v>33</v>
      </c>
      <c r="U9" s="1" t="str">
        <f>HYPERLINK(".\links\REFSEQ-VERTEBRATES\tr_G1T4A5_G1T4A5_RABIT-REFSEQ-VERTEBRATES.txt","collagen alpha-1(I) chain isoform X1")</f>
        <v>collagen alpha-1(I) chain isoform X1</v>
      </c>
      <c r="V9" s="1" t="str">
        <f>HYPERLINK("http://www.ncbi.nlm.nih.gov/sutils/blink.cgi?pid=635090105","0.0")</f>
        <v>0.0</v>
      </c>
      <c r="W9" s="1" t="str">
        <f>HYPERLINK("http://www.ncbi.nlm.nih.gov/protein/635090105","gi|635090105")</f>
        <v>gi|635090105</v>
      </c>
      <c r="X9" s="1">
        <v>2386</v>
      </c>
      <c r="Y9" s="1">
        <v>1226</v>
      </c>
      <c r="Z9" s="1">
        <v>1464</v>
      </c>
      <c r="AA9" s="1">
        <v>90</v>
      </c>
      <c r="AB9" s="1">
        <v>92</v>
      </c>
      <c r="AC9" s="1">
        <v>84</v>
      </c>
      <c r="AD9" s="1">
        <v>118</v>
      </c>
      <c r="AE9" s="1">
        <v>59</v>
      </c>
      <c r="AF9" s="1">
        <v>1</v>
      </c>
      <c r="AG9" s="1">
        <v>1</v>
      </c>
      <c r="AH9" s="1">
        <v>1</v>
      </c>
      <c r="AI9" s="1" t="s">
        <v>574</v>
      </c>
      <c r="AJ9" s="1" t="str">
        <f>HYPERLINK(".\links\CDD\tr_G1T4A5_G1T4A5_RABIT-CDD.txt","Glutenin_hmw")</f>
        <v>Glutenin_hmw</v>
      </c>
      <c r="AK9" s="1" t="str">
        <f>HYPERLINK("http://www.ncbi.nlm.nih.gov/Structure/cdd/cddsrv.cgi?uid=pfam03157&amp;version=v4.0","3E-030")</f>
        <v>3E-030</v>
      </c>
      <c r="AL9" s="1" t="s">
        <v>575</v>
      </c>
      <c r="AM9" s="1" t="s">
        <v>576</v>
      </c>
      <c r="AN9" s="1">
        <f>HYPERLINK(".\links\GO\tr_G1T4A5_G1T4A5_RABIT-GO.txt",0)</f>
        <v>0</v>
      </c>
      <c r="AO9" s="1" t="str">
        <f>HYPERLINK("http://amigo.geneontology.org/cgi-bin/amigo/term_details?term=GO:0005201","GO:0005201")</f>
        <v>GO:0005201</v>
      </c>
      <c r="AP9" s="1" t="s">
        <v>577</v>
      </c>
      <c r="AQ9" s="1" t="s">
        <v>578</v>
      </c>
      <c r="AR9" s="1" t="s">
        <v>579</v>
      </c>
      <c r="AS9" s="1" t="s">
        <v>33</v>
      </c>
      <c r="AU9" s="1">
        <v>0</v>
      </c>
      <c r="AV9" s="1" t="str">
        <f>HYPERLINK("http://amigo.geneontology.org/cgi-bin/amigo/term_details?term=GO:0005584","GO:0005584")</f>
        <v>GO:0005584</v>
      </c>
      <c r="AW9" s="1" t="s">
        <v>580</v>
      </c>
      <c r="AX9" s="1" t="s">
        <v>581</v>
      </c>
      <c r="AY9" s="1" t="s">
        <v>33</v>
      </c>
      <c r="AZ9" s="1" t="s">
        <v>33</v>
      </c>
      <c r="BB9" s="1">
        <v>0</v>
      </c>
      <c r="BC9" s="1" t="str">
        <f>HYPERLINK("http://amigo.geneontology.org/cgi-bin/amigo/term_details?term=GO:0001568","GO:0001568")</f>
        <v>GO:0001568</v>
      </c>
      <c r="BD9" s="1" t="s">
        <v>582</v>
      </c>
      <c r="BE9" s="1" t="s">
        <v>583</v>
      </c>
      <c r="BF9" s="1" t="s">
        <v>33</v>
      </c>
      <c r="BG9" s="1" t="s">
        <v>33</v>
      </c>
      <c r="BI9" s="1">
        <v>0</v>
      </c>
    </row>
    <row r="10" spans="1:61" x14ac:dyDescent="0.2">
      <c r="A10" s="1" t="str">
        <f>HYPERLINK(".\links\\tr_G1T049_G1T049_RABIT-.txt","tr|G1T049|G1T049_RABIT")</f>
        <v>tr|G1T049|G1T049_RABIT</v>
      </c>
      <c r="B10" s="1" t="s">
        <v>32</v>
      </c>
      <c r="C10" s="1">
        <v>1690</v>
      </c>
      <c r="D10" s="1" t="s">
        <v>599</v>
      </c>
      <c r="E10" s="6" t="s">
        <v>699</v>
      </c>
      <c r="F10" s="1" t="str">
        <f>HYPERLINK(".\links\RABBIT-NCBI\tr_G1T049_G1T049_RABIT-RABBIT-NCBI.txt","Collagen alpha-4(IV) chain")</f>
        <v>Collagen alpha-4(IV) chain</v>
      </c>
      <c r="G10" s="1" t="str">
        <f>HYPERLINK("http://www.ncbi.nlm.nih.gov/sutils/blink.cgi?pid=2493784","0.0")</f>
        <v>0.0</v>
      </c>
      <c r="H10" s="1" t="str">
        <f>HYPERLINK("http://www.ncbi.nlm.nih.gov/protein/2493784","gi|2493784")</f>
        <v>gi|2493784</v>
      </c>
      <c r="I10" s="1">
        <v>644</v>
      </c>
      <c r="J10" s="1">
        <v>633</v>
      </c>
      <c r="K10" s="1">
        <v>623</v>
      </c>
      <c r="L10" s="1">
        <v>54</v>
      </c>
      <c r="M10" s="1">
        <v>62</v>
      </c>
      <c r="N10" s="1">
        <v>102</v>
      </c>
      <c r="O10" s="1">
        <v>288</v>
      </c>
      <c r="P10" s="1">
        <v>26</v>
      </c>
      <c r="Q10" s="1">
        <v>1</v>
      </c>
      <c r="R10" s="1">
        <v>1063</v>
      </c>
      <c r="S10" s="1">
        <v>1</v>
      </c>
      <c r="T10" s="1" t="s">
        <v>33</v>
      </c>
      <c r="U10" s="1" t="str">
        <f>HYPERLINK(".\links\REFSEQ-VERTEBRATES\tr_G1T049_G1T049_RABIT-REFSEQ-VERTEBRATES.txt","collagen alpha-6(IV) chain isoform X2")</f>
        <v>collagen alpha-6(IV) chain isoform X2</v>
      </c>
      <c r="V10" s="1" t="str">
        <f>HYPERLINK("http://www.ncbi.nlm.nih.gov/sutils/blink.cgi?pid=655876730","0.0")</f>
        <v>0.0</v>
      </c>
      <c r="W10" s="1" t="str">
        <f>HYPERLINK("http://www.ncbi.nlm.nih.gov/protein/655876730","gi|655876730")</f>
        <v>gi|655876730</v>
      </c>
      <c r="X10" s="1">
        <v>3629</v>
      </c>
      <c r="Y10" s="1">
        <v>1690</v>
      </c>
      <c r="Z10" s="1">
        <v>1690</v>
      </c>
      <c r="AA10" s="1">
        <v>100</v>
      </c>
      <c r="AB10" s="1">
        <v>100</v>
      </c>
      <c r="AC10" s="1">
        <v>100</v>
      </c>
      <c r="AD10" s="1">
        <v>0</v>
      </c>
      <c r="AE10" s="1">
        <v>0</v>
      </c>
      <c r="AF10" s="1">
        <v>1</v>
      </c>
      <c r="AG10" s="1">
        <v>1</v>
      </c>
      <c r="AH10" s="1">
        <v>1</v>
      </c>
      <c r="AI10" s="1" t="s">
        <v>34</v>
      </c>
      <c r="AJ10" s="1" t="str">
        <f>HYPERLINK(".\links\CDD\tr_G1T049_G1T049_RABIT-CDD.txt","C4")</f>
        <v>C4</v>
      </c>
      <c r="AK10" s="1" t="str">
        <f>HYPERLINK("http://www.ncbi.nlm.nih.gov/Structure/cdd/cddsrv.cgi?uid=pfam01413&amp;version=v4.0","7E-032")</f>
        <v>7E-032</v>
      </c>
      <c r="AL10" s="1" t="s">
        <v>592</v>
      </c>
      <c r="AM10" s="1" t="s">
        <v>593</v>
      </c>
      <c r="AN10" s="1">
        <f>HYPERLINK(".\links\GO\tr_G1T049_G1T049_RABIT-GO.txt",0)</f>
        <v>0</v>
      </c>
      <c r="AO10" s="1" t="str">
        <f>HYPERLINK("http://amigo.geneontology.org/cgi-bin/amigo/term_details?term=GO:0005201","GO:0005201")</f>
        <v>GO:0005201</v>
      </c>
      <c r="AP10" s="1" t="s">
        <v>577</v>
      </c>
      <c r="AQ10" s="1" t="s">
        <v>578</v>
      </c>
      <c r="AR10" s="1" t="s">
        <v>579</v>
      </c>
      <c r="AS10" s="1" t="s">
        <v>33</v>
      </c>
      <c r="AU10" s="1">
        <v>0</v>
      </c>
      <c r="AV10" s="1" t="str">
        <f>HYPERLINK("http://amigo.geneontology.org/cgi-bin/amigo/term_details?term=GO:0005587","GO:0005587")</f>
        <v>GO:0005587</v>
      </c>
      <c r="AW10" s="1" t="s">
        <v>594</v>
      </c>
      <c r="AX10" s="1" t="s">
        <v>595</v>
      </c>
      <c r="AY10" s="1" t="s">
        <v>33</v>
      </c>
      <c r="AZ10" s="1" t="s">
        <v>33</v>
      </c>
      <c r="BB10" s="1">
        <v>0</v>
      </c>
      <c r="BC10" s="1" t="str">
        <f>HYPERLINK("http://amigo.geneontology.org/cgi-bin/amigo/term_details?term=GO:0030198","GO:0030198")</f>
        <v>GO:0030198</v>
      </c>
      <c r="BD10" s="1" t="s">
        <v>596</v>
      </c>
      <c r="BE10" s="1" t="s">
        <v>597</v>
      </c>
      <c r="BF10" s="1" t="s">
        <v>598</v>
      </c>
      <c r="BG10" s="1" t="s">
        <v>33</v>
      </c>
      <c r="BI10" s="1">
        <v>0</v>
      </c>
    </row>
    <row r="11" spans="1:61" x14ac:dyDescent="0.2">
      <c r="A11" s="1" t="str">
        <f>HYPERLINK(".\links\\tr_Q9GK67_Q9GK67_RABIT-.txt","tr|Q9GK67|Q9GK67_RABIT")</f>
        <v>tr|Q9GK67|Q9GK67_RABIT</v>
      </c>
      <c r="B11" s="1" t="s">
        <v>32</v>
      </c>
      <c r="C11" s="1">
        <v>90</v>
      </c>
      <c r="D11" s="1" t="s">
        <v>633</v>
      </c>
      <c r="E11" s="1" t="s">
        <v>700</v>
      </c>
      <c r="F11" s="1" t="str">
        <f>HYPERLINK(".\links\RABBIT-NCBI\tr_Q9GK67_Q9GK67_RABIT-RABBIT-NCBI.txt","Uteroglobin; AltName: Full=Blastokinin; AltName: Full=Secretoglobin family 1A")</f>
        <v>Uteroglobin; AltName: Full=Blastokinin; AltName: Full=Secretoglobin family 1A</v>
      </c>
      <c r="G11" s="1" t="str">
        <f>HYPERLINK("http://www.ncbi.nlm.nih.gov/sutils/blink.cgi?pid=137180","4E-007")</f>
        <v>4E-007</v>
      </c>
      <c r="H11" s="1" t="str">
        <f>HYPERLINK("http://www.ncbi.nlm.nih.gov/protein/137180","gi|137180")</f>
        <v>gi|137180</v>
      </c>
      <c r="I11" s="1">
        <v>44.7</v>
      </c>
      <c r="J11" s="1">
        <v>86</v>
      </c>
      <c r="K11" s="1">
        <v>91</v>
      </c>
      <c r="L11" s="1">
        <v>32</v>
      </c>
      <c r="M11" s="1">
        <v>45</v>
      </c>
      <c r="N11" s="1">
        <v>95</v>
      </c>
      <c r="O11" s="1">
        <v>58</v>
      </c>
      <c r="P11" s="1">
        <v>0</v>
      </c>
      <c r="Q11" s="1">
        <v>1</v>
      </c>
      <c r="R11" s="1">
        <v>1</v>
      </c>
      <c r="S11" s="1">
        <v>1</v>
      </c>
      <c r="T11" s="1" t="s">
        <v>33</v>
      </c>
      <c r="U11" s="1" t="str">
        <f>HYPERLINK(".\links\REFSEQ-VERTEBRATES\tr_Q9GK67_Q9GK67_RABIT-REFSEQ-VERTEBRATES.txt","lipophilin AL precursor")</f>
        <v>lipophilin AL precursor</v>
      </c>
      <c r="V11" s="1" t="str">
        <f>HYPERLINK("http://www.ncbi.nlm.nih.gov/sutils/blink.cgi?pid=126722900","5E-044")</f>
        <v>5E-044</v>
      </c>
      <c r="W11" s="1" t="str">
        <f>HYPERLINK("http://www.ncbi.nlm.nih.gov/protein/126722900","gi|126722900")</f>
        <v>gi|126722900</v>
      </c>
      <c r="X11" s="1">
        <v>179</v>
      </c>
      <c r="Y11" s="1">
        <v>90</v>
      </c>
      <c r="Z11" s="1">
        <v>90</v>
      </c>
      <c r="AA11" s="1">
        <v>100</v>
      </c>
      <c r="AB11" s="1">
        <v>100</v>
      </c>
      <c r="AC11" s="1">
        <v>100</v>
      </c>
      <c r="AD11" s="1">
        <v>0</v>
      </c>
      <c r="AE11" s="1">
        <v>0</v>
      </c>
      <c r="AF11" s="1">
        <v>1</v>
      </c>
      <c r="AG11" s="1">
        <v>1</v>
      </c>
      <c r="AH11" s="1">
        <v>1</v>
      </c>
      <c r="AI11" s="1" t="s">
        <v>34</v>
      </c>
      <c r="AJ11" s="1" t="str">
        <f>HYPERLINK(".\links\CDD\tr_Q9GK67_Q9GK67_RABIT-CDD.txt","Secretoglobin")</f>
        <v>Secretoglobin</v>
      </c>
      <c r="AK11" s="1" t="str">
        <f>HYPERLINK("http://www.ncbi.nlm.nih.gov/Structure/cdd/cddsrv.cgi?uid=cd00633&amp;version=v4.0","5E-007")</f>
        <v>5E-007</v>
      </c>
      <c r="AL11" s="1" t="s">
        <v>35</v>
      </c>
      <c r="AM11" s="1" t="s">
        <v>36</v>
      </c>
      <c r="AN11" s="1">
        <f>HYPERLINK(".\links\GO\tr_Q9GK67_Q9GK67_RABIT-GO.txt",3E-21)</f>
        <v>2.9999999999999999E-21</v>
      </c>
      <c r="AO11" s="1" t="str">
        <f>HYPERLINK("http://amigo.geneontology.org/cgi-bin/amigo/term_details?term=GO:0005515","GO:0005515")</f>
        <v>GO:0005515</v>
      </c>
      <c r="AP11" s="1" t="s">
        <v>37</v>
      </c>
      <c r="AQ11" s="1" t="s">
        <v>38</v>
      </c>
      <c r="AR11" s="1" t="s">
        <v>39</v>
      </c>
      <c r="AS11" s="1" t="s">
        <v>33</v>
      </c>
      <c r="AU11" s="1">
        <v>4.0000000000000002E-4</v>
      </c>
      <c r="AV11" s="1" t="str">
        <f>HYPERLINK("http://amigo.geneontology.org/cgi-bin/amigo/term_details?term=GO:0005615","GO:0005615")</f>
        <v>GO:0005615</v>
      </c>
      <c r="AW11" s="1" t="s">
        <v>40</v>
      </c>
      <c r="AX11" s="1" t="s">
        <v>41</v>
      </c>
      <c r="AY11" s="1" t="s">
        <v>42</v>
      </c>
      <c r="AZ11" s="1" t="s">
        <v>33</v>
      </c>
      <c r="BB11" s="1">
        <v>4.0000000000000002E-4</v>
      </c>
      <c r="BC11" s="1" t="str">
        <f>HYPERLINK("http://amigo.geneontology.org/cgi-bin/amigo/term_details?term=GO:0000122","GO:0000122")</f>
        <v>GO:0000122</v>
      </c>
      <c r="BD11" s="1" t="s">
        <v>43</v>
      </c>
      <c r="BE11" s="1" t="s">
        <v>44</v>
      </c>
      <c r="BF11" s="1" t="s">
        <v>45</v>
      </c>
      <c r="BG11" s="1" t="s">
        <v>33</v>
      </c>
      <c r="BI11" s="1">
        <v>4.0000000000000002E-4</v>
      </c>
    </row>
    <row r="12" spans="1:61" x14ac:dyDescent="0.2">
      <c r="A12" s="1" t="str">
        <f>HYPERLINK(".\links\\sp_O77791_S10AC_RABIT-.txt","sp|O77791|S10AC_RABIT")</f>
        <v>sp|O77791|S10AC_RABIT</v>
      </c>
      <c r="B12" s="1" t="s">
        <v>32</v>
      </c>
      <c r="C12" s="1">
        <v>92</v>
      </c>
      <c r="D12" s="1" t="s">
        <v>662</v>
      </c>
      <c r="E12" s="1" t="s">
        <v>700</v>
      </c>
      <c r="F12" s="1" t="str">
        <f>HYPERLINK(".\links\RABBIT-NCBI\sp_O77791_S10AC_RABIT-RABBIT-NCBI.txt","Protein S100-A12; AltName: Full=Calgranulin-C; Short=CAGC; AltName:")</f>
        <v>Protein S100-A12; AltName: Full=Calgranulin-C; Short=CAGC; AltName:</v>
      </c>
      <c r="G12" s="1" t="str">
        <f>HYPERLINK("http://www.ncbi.nlm.nih.gov/sutils/blink.cgi?pid=410516952","4E-050")</f>
        <v>4E-050</v>
      </c>
      <c r="H12" s="1" t="str">
        <f>HYPERLINK("http://www.ncbi.nlm.nih.gov/protein/410516952","gi|410516952")</f>
        <v>gi|410516952</v>
      </c>
      <c r="I12" s="1">
        <v>187</v>
      </c>
      <c r="J12" s="1">
        <v>92</v>
      </c>
      <c r="K12" s="1">
        <v>92</v>
      </c>
      <c r="L12" s="1">
        <v>100</v>
      </c>
      <c r="M12" s="1">
        <v>100</v>
      </c>
      <c r="N12" s="1">
        <v>100</v>
      </c>
      <c r="O12" s="1">
        <v>0</v>
      </c>
      <c r="P12" s="1">
        <v>0</v>
      </c>
      <c r="Q12" s="1">
        <v>1</v>
      </c>
      <c r="R12" s="1">
        <v>1</v>
      </c>
      <c r="S12" s="1">
        <v>1</v>
      </c>
      <c r="T12" s="1" t="s">
        <v>33</v>
      </c>
      <c r="U12" s="1" t="str">
        <f>HYPERLINK(".\links\REFSEQ-VERTEBRATES\sp_O77791_S10AC_RABIT-REFSEQ-VERTEBRATES.txt","protein S100-A12")</f>
        <v>protein S100-A12</v>
      </c>
      <c r="V12" s="1" t="str">
        <f>HYPERLINK("http://www.ncbi.nlm.nih.gov/sutils/blink.cgi?pid=655846555","2E-046")</f>
        <v>2E-046</v>
      </c>
      <c r="W12" s="1" t="str">
        <f>HYPERLINK("http://www.ncbi.nlm.nih.gov/protein/655846555","gi|655846555")</f>
        <v>gi|655846555</v>
      </c>
      <c r="X12" s="1">
        <v>187</v>
      </c>
      <c r="Y12" s="1">
        <v>92</v>
      </c>
      <c r="Z12" s="1">
        <v>128</v>
      </c>
      <c r="AA12" s="1">
        <v>100</v>
      </c>
      <c r="AB12" s="1">
        <v>100</v>
      </c>
      <c r="AC12" s="1">
        <v>72</v>
      </c>
      <c r="AD12" s="1">
        <v>0</v>
      </c>
      <c r="AE12" s="1">
        <v>0</v>
      </c>
      <c r="AF12" s="1">
        <v>37</v>
      </c>
      <c r="AG12" s="1">
        <v>1</v>
      </c>
      <c r="AH12" s="1">
        <v>1</v>
      </c>
      <c r="AI12" s="1" t="s">
        <v>34</v>
      </c>
      <c r="AJ12" s="1" t="str">
        <f>HYPERLINK(".\links\CDD\sp_O77791_S10AC_RABIT-CDD.txt","calgranulins")</f>
        <v>calgranulins</v>
      </c>
      <c r="AK12" s="1" t="str">
        <f>HYPERLINK("http://www.ncbi.nlm.nih.gov/Structure/cdd/cddsrv.cgi?uid=cd05030&amp;version=v4.0","2E-020")</f>
        <v>2E-020</v>
      </c>
      <c r="AL12" s="1" t="s">
        <v>46</v>
      </c>
      <c r="AM12" s="1" t="s">
        <v>47</v>
      </c>
      <c r="AN12" s="1">
        <f>HYPERLINK(".\links\GO\sp_O77791_S10AC_RABIT-GO.txt",6E-34)</f>
        <v>6E-34</v>
      </c>
      <c r="AO12" s="1" t="str">
        <f>HYPERLINK("http://amigo.geneontology.org/cgi-bin/amigo/term_details?term=GO:0005509","GO:0005509")</f>
        <v>GO:0005509</v>
      </c>
      <c r="AP12" s="1" t="s">
        <v>48</v>
      </c>
      <c r="AQ12" s="1" t="s">
        <v>49</v>
      </c>
      <c r="AR12" s="1" t="s">
        <v>50</v>
      </c>
      <c r="AS12" s="1" t="s">
        <v>33</v>
      </c>
      <c r="AU12" s="2">
        <v>6E-34</v>
      </c>
      <c r="AV12" s="1" t="str">
        <f>HYPERLINK("http://amigo.geneontology.org/cgi-bin/amigo/term_details?term=GO:0005576","GO:0005576")</f>
        <v>GO:0005576</v>
      </c>
      <c r="AW12" s="1" t="s">
        <v>51</v>
      </c>
      <c r="AX12" s="1" t="s">
        <v>52</v>
      </c>
      <c r="AY12" s="1" t="s">
        <v>53</v>
      </c>
      <c r="AZ12" s="1" t="s">
        <v>33</v>
      </c>
      <c r="BB12" s="2">
        <v>6E-34</v>
      </c>
      <c r="BC12" s="1" t="str">
        <f>HYPERLINK("http://amigo.geneontology.org/cgi-bin/amigo/term_details?term=GO:0006805","GO:0006805")</f>
        <v>GO:0006805</v>
      </c>
      <c r="BD12" s="1" t="s">
        <v>54</v>
      </c>
      <c r="BE12" s="1" t="s">
        <v>55</v>
      </c>
      <c r="BF12" s="1" t="s">
        <v>56</v>
      </c>
      <c r="BG12" s="1" t="s">
        <v>33</v>
      </c>
      <c r="BI12" s="2">
        <v>6E-34</v>
      </c>
    </row>
    <row r="13" spans="1:61" x14ac:dyDescent="0.2">
      <c r="A13" s="1" t="str">
        <f>HYPERLINK(".\links\\tr_Q9GK63_Q9GK63_RABIT-.txt","tr|Q9GK63|Q9GK63_RABIT")</f>
        <v>tr|Q9GK63|Q9GK63_RABIT</v>
      </c>
      <c r="B13" s="1" t="s">
        <v>32</v>
      </c>
      <c r="C13" s="1">
        <v>93</v>
      </c>
      <c r="D13" s="1" t="s">
        <v>663</v>
      </c>
      <c r="E13" s="1" t="s">
        <v>700</v>
      </c>
      <c r="F13" s="1" t="str">
        <f>HYPERLINK(".\links\RABBIT-NCBI\tr_Q9GK63_Q9GK63_RABIT-RABBIT-NCBI.txt","Uteroglobin; AltName: Full=Blastokinin; AltName: Full=Secretoglobin family 1A")</f>
        <v>Uteroglobin; AltName: Full=Blastokinin; AltName: Full=Secretoglobin family 1A</v>
      </c>
      <c r="G13" s="1" t="str">
        <f>HYPERLINK("http://www.ncbi.nlm.nih.gov/sutils/blink.cgi?pid=137180","0.25")</f>
        <v>0.25</v>
      </c>
      <c r="H13" s="1" t="str">
        <f>HYPERLINK("http://www.ncbi.nlm.nih.gov/protein/137180","gi|137180")</f>
        <v>gi|137180</v>
      </c>
      <c r="I13" s="1">
        <v>25.4</v>
      </c>
      <c r="J13" s="1">
        <v>92</v>
      </c>
      <c r="K13" s="1">
        <v>91</v>
      </c>
      <c r="L13" s="1">
        <v>25</v>
      </c>
      <c r="M13" s="1">
        <v>38</v>
      </c>
      <c r="N13" s="1">
        <v>101</v>
      </c>
      <c r="O13" s="1">
        <v>69</v>
      </c>
      <c r="P13" s="1">
        <v>4</v>
      </c>
      <c r="Q13" s="1">
        <v>1</v>
      </c>
      <c r="R13" s="1">
        <v>1</v>
      </c>
      <c r="S13" s="1">
        <v>1</v>
      </c>
      <c r="T13" s="1" t="s">
        <v>33</v>
      </c>
      <c r="U13" s="1" t="str">
        <f>HYPERLINK(".\links\REFSEQ-VERTEBRATES\tr_Q9GK63_Q9GK63_RABIT-REFSEQ-VERTEBRATES.txt","lipophilin CL2 precursor")</f>
        <v>lipophilin CL2 precursor</v>
      </c>
      <c r="V13" s="1" t="str">
        <f>HYPERLINK("http://www.ncbi.nlm.nih.gov/sutils/blink.cgi?pid=126722998","5E-046")</f>
        <v>5E-046</v>
      </c>
      <c r="W13" s="1" t="str">
        <f>HYPERLINK("http://www.ncbi.nlm.nih.gov/protein/126722998","gi|126722998")</f>
        <v>gi|126722998</v>
      </c>
      <c r="X13" s="1">
        <v>186</v>
      </c>
      <c r="Y13" s="1">
        <v>93</v>
      </c>
      <c r="Z13" s="1">
        <v>93</v>
      </c>
      <c r="AA13" s="1">
        <v>100</v>
      </c>
      <c r="AB13" s="1">
        <v>100</v>
      </c>
      <c r="AC13" s="1">
        <v>100</v>
      </c>
      <c r="AD13" s="1">
        <v>0</v>
      </c>
      <c r="AE13" s="1">
        <v>0</v>
      </c>
      <c r="AF13" s="1">
        <v>1</v>
      </c>
      <c r="AG13" s="1">
        <v>1</v>
      </c>
      <c r="AH13" s="1">
        <v>1</v>
      </c>
      <c r="AI13" s="1" t="s">
        <v>34</v>
      </c>
      <c r="AJ13" s="1" t="str">
        <f>HYPERLINK(".\links\CDD\tr_Q9GK63_Q9GK63_RABIT-CDD.txt","Uteroglobin")</f>
        <v>Uteroglobin</v>
      </c>
      <c r="AK13" s="1" t="str">
        <f>HYPERLINK("http://www.ncbi.nlm.nih.gov/Structure/cdd/cddsrv.cgi?uid=pfam01099&amp;version=v4.0","7E-007")</f>
        <v>7E-007</v>
      </c>
      <c r="AL13" s="1" t="s">
        <v>57</v>
      </c>
      <c r="AM13" s="1" t="s">
        <v>58</v>
      </c>
      <c r="AN13" s="1">
        <f>HYPERLINK(".\links\GO\tr_Q9GK63_Q9GK63_RABIT-GO.txt",4E-25)</f>
        <v>4.0000000000000002E-25</v>
      </c>
      <c r="AO13" s="1" t="str">
        <f>HYPERLINK("http://amigo.geneontology.org/cgi-bin/amigo/term_details?term=GO:0046982","GO:0046982")</f>
        <v>GO:0046982</v>
      </c>
      <c r="AP13" s="1" t="s">
        <v>59</v>
      </c>
      <c r="AQ13" s="1" t="s">
        <v>60</v>
      </c>
      <c r="AR13" s="1" t="s">
        <v>33</v>
      </c>
      <c r="AS13" s="1" t="s">
        <v>33</v>
      </c>
      <c r="AU13" s="2">
        <v>4.0000000000000002E-25</v>
      </c>
      <c r="AV13" s="1" t="str">
        <f>HYPERLINK("http://amigo.geneontology.org/cgi-bin/amigo/term_details?term=GO:0005615","GO:0005615")</f>
        <v>GO:0005615</v>
      </c>
      <c r="AW13" s="1" t="s">
        <v>40</v>
      </c>
      <c r="AX13" s="1" t="s">
        <v>41</v>
      </c>
      <c r="AY13" s="1" t="s">
        <v>42</v>
      </c>
      <c r="AZ13" s="1" t="s">
        <v>33</v>
      </c>
      <c r="BB13" s="2">
        <v>4.0000000000000002E-25</v>
      </c>
      <c r="BC13" s="1" t="str">
        <f>HYPERLINK("http://amigo.geneontology.org/cgi-bin/amigo/term_details?term=GO:0030521","GO:0030521")</f>
        <v>GO:0030521</v>
      </c>
      <c r="BD13" s="1" t="s">
        <v>61</v>
      </c>
      <c r="BE13" s="1" t="s">
        <v>62</v>
      </c>
      <c r="BF13" s="1" t="s">
        <v>63</v>
      </c>
      <c r="BG13" s="1" t="s">
        <v>33</v>
      </c>
      <c r="BI13" s="2">
        <v>4.0000000000000002E-25</v>
      </c>
    </row>
    <row r="14" spans="1:61" x14ac:dyDescent="0.2">
      <c r="A14" s="1" t="str">
        <f>HYPERLINK(".\links\\tr_G1TPF2_G1TPF2_RABIT-.txt","tr|G1TPF2|G1TPF2_RABIT")</f>
        <v>tr|G1TPF2|G1TPF2_RABIT</v>
      </c>
      <c r="B14" s="1" t="s">
        <v>64</v>
      </c>
      <c r="C14" s="1">
        <v>98</v>
      </c>
      <c r="D14" s="1" t="s">
        <v>72</v>
      </c>
      <c r="E14" s="1" t="s">
        <v>700</v>
      </c>
      <c r="F14" s="1" t="str">
        <f>HYPERLINK(".\links\RABBIT-NCBI\tr_G1TPF2_G1TPF2_RABIT-RABBIT-NCBI.txt","Ig kappa chain V region BS-5")</f>
        <v>Ig kappa chain V region BS-5</v>
      </c>
      <c r="G14" s="1" t="str">
        <f>HYPERLINK("http://www.ncbi.nlm.nih.gov/sutils/blink.cgi?pid=125740","1E-037")</f>
        <v>1E-037</v>
      </c>
      <c r="H14" s="1" t="str">
        <f>HYPERLINK("http://www.ncbi.nlm.nih.gov/protein/125740","gi|125740")</f>
        <v>gi|125740</v>
      </c>
      <c r="I14" s="1">
        <v>145</v>
      </c>
      <c r="J14" s="1">
        <v>96</v>
      </c>
      <c r="K14" s="1">
        <v>108</v>
      </c>
      <c r="L14" s="1">
        <v>72</v>
      </c>
      <c r="M14" s="1">
        <v>84</v>
      </c>
      <c r="N14" s="1">
        <v>89</v>
      </c>
      <c r="O14" s="1">
        <v>26</v>
      </c>
      <c r="P14" s="1">
        <v>2</v>
      </c>
      <c r="Q14" s="1">
        <v>1</v>
      </c>
      <c r="R14" s="1">
        <v>1</v>
      </c>
      <c r="S14" s="1">
        <v>1</v>
      </c>
      <c r="T14" s="1" t="s">
        <v>33</v>
      </c>
      <c r="U14" s="1" t="str">
        <f>HYPERLINK(".\links\REFSEQ-VERTEBRATES\tr_G1TPF2_G1TPF2_RABIT-REFSEQ-VERTEBRATES.txt","CMRF35-like molecule 8")</f>
        <v>CMRF35-like molecule 8</v>
      </c>
      <c r="V14" s="1" t="str">
        <f>HYPERLINK("http://www.ncbi.nlm.nih.gov/sutils/blink.cgi?pid=655621959","1E-043")</f>
        <v>1E-043</v>
      </c>
      <c r="W14" s="1" t="str">
        <f>HYPERLINK("http://www.ncbi.nlm.nih.gov/protein/655621959","gi|655621959")</f>
        <v>gi|655621959</v>
      </c>
      <c r="X14" s="1">
        <v>177</v>
      </c>
      <c r="Y14" s="1">
        <v>95</v>
      </c>
      <c r="Z14" s="1">
        <v>260</v>
      </c>
      <c r="AA14" s="1">
        <v>92</v>
      </c>
      <c r="AB14" s="1">
        <v>94</v>
      </c>
      <c r="AC14" s="1">
        <v>37</v>
      </c>
      <c r="AD14" s="1">
        <v>7</v>
      </c>
      <c r="AE14" s="1">
        <v>1</v>
      </c>
      <c r="AF14" s="1">
        <v>25</v>
      </c>
      <c r="AG14" s="1">
        <v>3</v>
      </c>
      <c r="AH14" s="1">
        <v>1</v>
      </c>
      <c r="AI14" s="1" t="s">
        <v>34</v>
      </c>
      <c r="AJ14" s="1" t="str">
        <f>HYPERLINK(".\links\CDD\tr_G1TPF2_G1TPF2_RABIT-CDD.txt","IgV_L_kappa")</f>
        <v>IgV_L_kappa</v>
      </c>
      <c r="AK14" s="1" t="str">
        <f>HYPERLINK("http://www.ncbi.nlm.nih.gov/Structure/cdd/cddsrv.cgi?uid=cd04980&amp;version=v4.0","1E-028")</f>
        <v>1E-028</v>
      </c>
      <c r="AL14" s="1" t="s">
        <v>65</v>
      </c>
      <c r="AM14" s="1" t="s">
        <v>66</v>
      </c>
      <c r="AN14" s="1">
        <f>HYPERLINK(".\links\GO\tr_G1TPF2_G1TPF2_RABIT-GO.txt",6E-28)</f>
        <v>6.0000000000000001E-28</v>
      </c>
      <c r="AO14" s="1" t="str">
        <f t="shared" ref="AO14:AO19" si="0">HYPERLINK("http://amigo.geneontology.org/cgi-bin/amigo/term_details?term=GO:0003823","GO:0003823")</f>
        <v>GO:0003823</v>
      </c>
      <c r="AP14" s="1" t="s">
        <v>67</v>
      </c>
      <c r="AQ14" s="1" t="s">
        <v>68</v>
      </c>
      <c r="AR14" s="1" t="s">
        <v>69</v>
      </c>
      <c r="AS14" s="1" t="s">
        <v>33</v>
      </c>
      <c r="AU14" s="2">
        <v>6.0000000000000001E-28</v>
      </c>
      <c r="AV14" s="1" t="str">
        <f t="shared" ref="AV14:AV20" si="1">HYPERLINK("http://amigo.geneontology.org/cgi-bin/amigo/term_details?term=GO:0005576","GO:0005576")</f>
        <v>GO:0005576</v>
      </c>
      <c r="AW14" s="1" t="s">
        <v>51</v>
      </c>
      <c r="AX14" s="1" t="s">
        <v>52</v>
      </c>
      <c r="AY14" s="1" t="s">
        <v>53</v>
      </c>
      <c r="AZ14" s="1" t="s">
        <v>33</v>
      </c>
      <c r="BB14" s="2">
        <v>6.0000000000000001E-28</v>
      </c>
      <c r="BC14" s="1" t="str">
        <f>HYPERLINK("http://amigo.geneontology.org/cgi-bin/amigo/term_details?term=GO:0006955","GO:0006955")</f>
        <v>GO:0006955</v>
      </c>
      <c r="BD14" s="1" t="s">
        <v>70</v>
      </c>
      <c r="BE14" s="1" t="s">
        <v>71</v>
      </c>
      <c r="BF14" s="1" t="s">
        <v>33</v>
      </c>
      <c r="BG14" s="1" t="s">
        <v>33</v>
      </c>
      <c r="BI14" s="2">
        <v>6.0000000000000001E-28</v>
      </c>
    </row>
    <row r="15" spans="1:61" s="6" customFormat="1" x14ac:dyDescent="0.2">
      <c r="A15" s="1" t="str">
        <f>HYPERLINK(".\links\\sp_P01840_KAC4_RABIT-.txt","sp|P01840|KAC4_RABIT")</f>
        <v>sp|P01840|KAC4_RABIT</v>
      </c>
      <c r="B15" s="1" t="s">
        <v>73</v>
      </c>
      <c r="C15" s="1">
        <v>103</v>
      </c>
      <c r="D15" s="1" t="s">
        <v>634</v>
      </c>
      <c r="E15" s="1" t="s">
        <v>700</v>
      </c>
      <c r="F15" s="1" t="str">
        <f>HYPERLINK(".\links\RABBIT-NCBI\sp_P01840_KAC4_RABIT-RABBIT-NCBI.txt","Ig kappa-b4 chain C region")</f>
        <v>Ig kappa-b4 chain C region</v>
      </c>
      <c r="G15" s="1" t="str">
        <f>HYPERLINK("http://www.ncbi.nlm.nih.gov/sutils/blink.cgi?pid=125138","2E-058")</f>
        <v>2E-058</v>
      </c>
      <c r="H15" s="1" t="str">
        <f>HYPERLINK("http://www.ncbi.nlm.nih.gov/protein/125138","gi|125138")</f>
        <v>gi|125138</v>
      </c>
      <c r="I15" s="1">
        <v>215</v>
      </c>
      <c r="J15" s="1">
        <v>103</v>
      </c>
      <c r="K15" s="1">
        <v>103</v>
      </c>
      <c r="L15" s="1">
        <v>100</v>
      </c>
      <c r="M15" s="1">
        <v>100</v>
      </c>
      <c r="N15" s="1">
        <v>100</v>
      </c>
      <c r="O15" s="1">
        <v>0</v>
      </c>
      <c r="P15" s="1">
        <v>0</v>
      </c>
      <c r="Q15" s="1">
        <v>1</v>
      </c>
      <c r="R15" s="1">
        <v>1</v>
      </c>
      <c r="S15" s="1">
        <v>1</v>
      </c>
      <c r="T15" s="1" t="s">
        <v>33</v>
      </c>
      <c r="U15" s="1" t="str">
        <f>HYPERLINK(".\links\REFSEQ-VERTEBRATES\sp_P01840_KAC4_RABIT-REFSEQ-VERTEBRATES.txt","uncharacterized protein LOC100597161")</f>
        <v>uncharacterized protein LOC100597161</v>
      </c>
      <c r="V15" s="1" t="str">
        <f>HYPERLINK("http://www.ncbi.nlm.nih.gov/sutils/blink.cgi?pid=441677046","6E-022")</f>
        <v>6E-022</v>
      </c>
      <c r="W15" s="1" t="str">
        <f>HYPERLINK("http://www.ncbi.nlm.nih.gov/protein/441677046","gi|441677046")</f>
        <v>gi|441677046</v>
      </c>
      <c r="X15" s="1">
        <v>105</v>
      </c>
      <c r="Y15" s="1">
        <v>103</v>
      </c>
      <c r="Z15" s="1">
        <v>416</v>
      </c>
      <c r="AA15" s="1">
        <v>49</v>
      </c>
      <c r="AB15" s="1">
        <v>72</v>
      </c>
      <c r="AC15" s="1">
        <v>25</v>
      </c>
      <c r="AD15" s="1">
        <v>52</v>
      </c>
      <c r="AE15" s="1">
        <v>3</v>
      </c>
      <c r="AF15" s="1">
        <v>314</v>
      </c>
      <c r="AG15" s="1">
        <v>4</v>
      </c>
      <c r="AH15" s="1">
        <v>1</v>
      </c>
      <c r="AI15" s="1" t="s">
        <v>74</v>
      </c>
      <c r="AJ15" s="1" t="str">
        <f>HYPERLINK(".\links\CDD\sp_P01840_KAC4_RABIT-CDD.txt","IgC_L")</f>
        <v>IgC_L</v>
      </c>
      <c r="AK15" s="1" t="str">
        <f>HYPERLINK("http://www.ncbi.nlm.nih.gov/Structure/cdd/cddsrv.cgi?uid=cd07699&amp;version=v4.0","6E-019")</f>
        <v>6E-019</v>
      </c>
      <c r="AL15" s="1" t="s">
        <v>75</v>
      </c>
      <c r="AM15" s="1" t="s">
        <v>76</v>
      </c>
      <c r="AN15" s="1">
        <f>HYPERLINK(".\links\GO\sp_P01840_KAC4_RABIT-GO.txt",1E-24)</f>
        <v>9.9999999999999992E-25</v>
      </c>
      <c r="AO15" s="1" t="str">
        <f t="shared" si="0"/>
        <v>GO:0003823</v>
      </c>
      <c r="AP15" s="1" t="s">
        <v>67</v>
      </c>
      <c r="AQ15" s="1" t="s">
        <v>68</v>
      </c>
      <c r="AR15" s="1" t="s">
        <v>69</v>
      </c>
      <c r="AS15" s="1" t="s">
        <v>33</v>
      </c>
      <c r="AT15" s="1"/>
      <c r="AU15" s="2">
        <v>9.9999999999999991E-22</v>
      </c>
      <c r="AV15" s="1" t="str">
        <f t="shared" si="1"/>
        <v>GO:0005576</v>
      </c>
      <c r="AW15" s="1" t="s">
        <v>51</v>
      </c>
      <c r="AX15" s="1" t="s">
        <v>52</v>
      </c>
      <c r="AY15" s="1" t="s">
        <v>53</v>
      </c>
      <c r="AZ15" s="1" t="s">
        <v>33</v>
      </c>
      <c r="BA15" s="1"/>
      <c r="BB15" s="2">
        <v>9.9999999999999991E-22</v>
      </c>
      <c r="BC15" s="1" t="str">
        <f>HYPERLINK("http://amigo.geneontology.org/cgi-bin/amigo/term_details?term=GO:0001895","GO:0001895")</f>
        <v>GO:0001895</v>
      </c>
      <c r="BD15" s="1" t="s">
        <v>77</v>
      </c>
      <c r="BE15" s="1" t="s">
        <v>78</v>
      </c>
      <c r="BF15" s="1" t="s">
        <v>33</v>
      </c>
      <c r="BG15" s="1" t="s">
        <v>33</v>
      </c>
      <c r="BH15" s="1"/>
      <c r="BI15" s="2">
        <v>9.9999999999999991E-22</v>
      </c>
    </row>
    <row r="16" spans="1:61" s="6" customFormat="1" x14ac:dyDescent="0.2">
      <c r="A16" s="1" t="str">
        <f>HYPERLINK(".\links\\tr_G1TM51_G1TM51_RABIT-.txt","tr|G1TM51|G1TM51_RABIT")</f>
        <v>tr|G1TM51|G1TM51_RABIT</v>
      </c>
      <c r="B16" s="1" t="s">
        <v>85</v>
      </c>
      <c r="C16" s="1">
        <v>119</v>
      </c>
      <c r="D16" s="1" t="s">
        <v>635</v>
      </c>
      <c r="E16" s="1" t="s">
        <v>700</v>
      </c>
      <c r="F16" s="1" t="str">
        <f>HYPERLINK(".\links\RABBIT-NCBI\tr_G1TM51_G1TM51_RABIT-RABBIT-NCBI.txt","Ig kappa chain V region 12F2; Flags: Precursor")</f>
        <v>Ig kappa chain V region 12F2; Flags: Precursor</v>
      </c>
      <c r="G16" s="1" t="str">
        <f>HYPERLINK("http://www.ncbi.nlm.nih.gov/sutils/blink.cgi?pid=125744","3E-042")</f>
        <v>3E-042</v>
      </c>
      <c r="H16" s="1" t="str">
        <f>HYPERLINK("http://www.ncbi.nlm.nih.gov/protein/125744","gi|125744")</f>
        <v>gi|125744</v>
      </c>
      <c r="I16" s="1">
        <v>162</v>
      </c>
      <c r="J16" s="1">
        <v>101</v>
      </c>
      <c r="K16" s="1">
        <v>117</v>
      </c>
      <c r="L16" s="1">
        <v>77</v>
      </c>
      <c r="M16" s="1">
        <v>86</v>
      </c>
      <c r="N16" s="1">
        <v>86</v>
      </c>
      <c r="O16" s="1">
        <v>23</v>
      </c>
      <c r="P16" s="1">
        <v>0</v>
      </c>
      <c r="Q16" s="1">
        <v>1</v>
      </c>
      <c r="R16" s="1">
        <v>16</v>
      </c>
      <c r="S16" s="1">
        <v>1</v>
      </c>
      <c r="T16" s="1" t="s">
        <v>33</v>
      </c>
      <c r="U16" s="1" t="str">
        <f>HYPERLINK(".\links\REFSEQ-VERTEBRATES\tr_G1TM51_G1TM51_RABIT-REFSEQ-VERTEBRATES.txt","Ig kappa chain b9")</f>
        <v>Ig kappa chain b9</v>
      </c>
      <c r="V16" s="1" t="str">
        <f>HYPERLINK("http://www.ncbi.nlm.nih.gov/sutils/blink.cgi?pid=291415758","9E-053")</f>
        <v>9E-053</v>
      </c>
      <c r="W16" s="1" t="str">
        <f>HYPERLINK("http://www.ncbi.nlm.nih.gov/protein/291415758","gi|291415758")</f>
        <v>gi|291415758</v>
      </c>
      <c r="X16" s="1">
        <v>208</v>
      </c>
      <c r="Y16" s="1">
        <v>114</v>
      </c>
      <c r="Z16" s="1">
        <v>250</v>
      </c>
      <c r="AA16" s="1">
        <v>87</v>
      </c>
      <c r="AB16" s="1">
        <v>92</v>
      </c>
      <c r="AC16" s="1">
        <v>46</v>
      </c>
      <c r="AD16" s="1">
        <v>14</v>
      </c>
      <c r="AE16" s="1">
        <v>0</v>
      </c>
      <c r="AF16" s="1">
        <v>4</v>
      </c>
      <c r="AG16" s="1">
        <v>3</v>
      </c>
      <c r="AH16" s="1">
        <v>1</v>
      </c>
      <c r="AI16" s="1" t="s">
        <v>34</v>
      </c>
      <c r="AJ16" s="1" t="str">
        <f>HYPERLINK(".\links\CDD\tr_G1TM51_G1TM51_RABIT-CDD.txt","IgV_L_kappa")</f>
        <v>IgV_L_kappa</v>
      </c>
      <c r="AK16" s="1" t="str">
        <f>HYPERLINK("http://www.ncbi.nlm.nih.gov/Structure/cdd/cddsrv.cgi?uid=cd04980&amp;version=v4.0","5E-028")</f>
        <v>5E-028</v>
      </c>
      <c r="AL16" s="1" t="s">
        <v>86</v>
      </c>
      <c r="AM16" s="1" t="s">
        <v>87</v>
      </c>
      <c r="AN16" s="1">
        <f>HYPERLINK(".\links\GO\tr_G1TM51_G1TM51_RABIT-GO.txt",9E-43)</f>
        <v>9.0000000000000005E-43</v>
      </c>
      <c r="AO16" s="1" t="str">
        <f t="shared" si="0"/>
        <v>GO:0003823</v>
      </c>
      <c r="AP16" s="1" t="s">
        <v>67</v>
      </c>
      <c r="AQ16" s="1" t="s">
        <v>68</v>
      </c>
      <c r="AR16" s="1" t="s">
        <v>69</v>
      </c>
      <c r="AS16" s="1" t="s">
        <v>33</v>
      </c>
      <c r="AT16" s="1"/>
      <c r="AU16" s="2">
        <v>9.0000000000000005E-43</v>
      </c>
      <c r="AV16" s="1" t="str">
        <f t="shared" si="1"/>
        <v>GO:0005576</v>
      </c>
      <c r="AW16" s="1" t="s">
        <v>51</v>
      </c>
      <c r="AX16" s="1" t="s">
        <v>52</v>
      </c>
      <c r="AY16" s="1" t="s">
        <v>53</v>
      </c>
      <c r="AZ16" s="1" t="s">
        <v>33</v>
      </c>
      <c r="BA16" s="1"/>
      <c r="BB16" s="2">
        <v>9.0000000000000005E-43</v>
      </c>
      <c r="BC16" s="1" t="str">
        <f>HYPERLINK("http://amigo.geneontology.org/cgi-bin/amigo/term_details?term=GO:0006955","GO:0006955")</f>
        <v>GO:0006955</v>
      </c>
      <c r="BD16" s="1" t="s">
        <v>70</v>
      </c>
      <c r="BE16" s="1" t="s">
        <v>71</v>
      </c>
      <c r="BF16" s="1" t="s">
        <v>33</v>
      </c>
      <c r="BG16" s="1" t="s">
        <v>33</v>
      </c>
      <c r="BH16" s="1"/>
      <c r="BI16" s="2">
        <v>9.0000000000000005E-43</v>
      </c>
    </row>
    <row r="17" spans="1:61" s="6" customFormat="1" x14ac:dyDescent="0.2">
      <c r="A17" s="1" t="str">
        <f>HYPERLINK(".\links\\tr_G1TFU1_G1TFU1_RABIT-.txt","tr|G1TFU1|G1TFU1_RABIT")</f>
        <v>tr|G1TFU1|G1TFU1_RABIT</v>
      </c>
      <c r="B17" s="1" t="s">
        <v>32</v>
      </c>
      <c r="C17" s="1">
        <v>120</v>
      </c>
      <c r="D17" s="1" t="s">
        <v>635</v>
      </c>
      <c r="E17" s="1" t="s">
        <v>700</v>
      </c>
      <c r="F17" s="1" t="str">
        <f>HYPERLINK(".\links\RABBIT-NCBI\tr_G1TFU1_G1TFU1_RABIT-RABBIT-NCBI.txt","Ig kappa chain V region 12F2; Flags: Precursor")</f>
        <v>Ig kappa chain V region 12F2; Flags: Precursor</v>
      </c>
      <c r="G17" s="1" t="str">
        <f>HYPERLINK("http://www.ncbi.nlm.nih.gov/sutils/blink.cgi?pid=125744","2E-043")</f>
        <v>2E-043</v>
      </c>
      <c r="H17" s="1" t="str">
        <f>HYPERLINK("http://www.ncbi.nlm.nih.gov/protein/125744","gi|125744")</f>
        <v>gi|125744</v>
      </c>
      <c r="I17" s="1">
        <v>166</v>
      </c>
      <c r="J17" s="1">
        <v>102</v>
      </c>
      <c r="K17" s="1">
        <v>117</v>
      </c>
      <c r="L17" s="1">
        <v>80</v>
      </c>
      <c r="M17" s="1">
        <v>87</v>
      </c>
      <c r="N17" s="1">
        <v>87</v>
      </c>
      <c r="O17" s="1">
        <v>20</v>
      </c>
      <c r="P17" s="1">
        <v>0</v>
      </c>
      <c r="Q17" s="1">
        <v>1</v>
      </c>
      <c r="R17" s="1">
        <v>17</v>
      </c>
      <c r="S17" s="1">
        <v>1</v>
      </c>
      <c r="T17" s="1" t="s">
        <v>33</v>
      </c>
      <c r="U17" s="1" t="str">
        <f>HYPERLINK(".\links\REFSEQ-VERTEBRATES\tr_G1TFU1_G1TFU1_RABIT-REFSEQ-VERTEBRATES.txt","uncharacterized protein LOC103346794, partial")</f>
        <v>uncharacterized protein LOC103346794, partial</v>
      </c>
      <c r="V17" s="1" t="str">
        <f>HYPERLINK("http://www.ncbi.nlm.nih.gov/sutils/blink.cgi?pid=655899841","6E-057")</f>
        <v>6E-057</v>
      </c>
      <c r="W17" s="1" t="str">
        <f>HYPERLINK("http://www.ncbi.nlm.nih.gov/protein/655899841","gi|655899841")</f>
        <v>gi|655899841</v>
      </c>
      <c r="X17" s="1">
        <v>222</v>
      </c>
      <c r="Y17" s="1">
        <v>120</v>
      </c>
      <c r="Z17" s="1">
        <v>318</v>
      </c>
      <c r="AA17" s="1">
        <v>90</v>
      </c>
      <c r="AB17" s="1">
        <v>91</v>
      </c>
      <c r="AC17" s="1">
        <v>38</v>
      </c>
      <c r="AD17" s="1">
        <v>12</v>
      </c>
      <c r="AE17" s="1">
        <v>0</v>
      </c>
      <c r="AF17" s="1">
        <v>133</v>
      </c>
      <c r="AG17" s="1">
        <v>1</v>
      </c>
      <c r="AH17" s="1">
        <v>1</v>
      </c>
      <c r="AI17" s="1" t="s">
        <v>34</v>
      </c>
      <c r="AJ17" s="1" t="str">
        <f>HYPERLINK(".\links\CDD\tr_G1TFU1_G1TFU1_RABIT-CDD.txt","IgV_L_kappa")</f>
        <v>IgV_L_kappa</v>
      </c>
      <c r="AK17" s="1" t="str">
        <f>HYPERLINK("http://www.ncbi.nlm.nih.gov/Structure/cdd/cddsrv.cgi?uid=cd04980&amp;version=v4.0","1E-028")</f>
        <v>1E-028</v>
      </c>
      <c r="AL17" s="1" t="s">
        <v>88</v>
      </c>
      <c r="AM17" s="1" t="s">
        <v>87</v>
      </c>
      <c r="AN17" s="1">
        <f>HYPERLINK(".\links\GO\tr_G1TFU1_G1TFU1_RABIT-GO.txt",6E-41)</f>
        <v>5.9999999999999998E-41</v>
      </c>
      <c r="AO17" s="1" t="str">
        <f t="shared" si="0"/>
        <v>GO:0003823</v>
      </c>
      <c r="AP17" s="1" t="s">
        <v>67</v>
      </c>
      <c r="AQ17" s="1" t="s">
        <v>68</v>
      </c>
      <c r="AR17" s="1" t="s">
        <v>69</v>
      </c>
      <c r="AS17" s="1" t="s">
        <v>33</v>
      </c>
      <c r="AT17" s="1"/>
      <c r="AU17" s="2">
        <v>5.9999999999999998E-41</v>
      </c>
      <c r="AV17" s="1" t="str">
        <f t="shared" si="1"/>
        <v>GO:0005576</v>
      </c>
      <c r="AW17" s="1" t="s">
        <v>51</v>
      </c>
      <c r="AX17" s="1" t="s">
        <v>52</v>
      </c>
      <c r="AY17" s="1" t="s">
        <v>53</v>
      </c>
      <c r="AZ17" s="1" t="s">
        <v>33</v>
      </c>
      <c r="BA17" s="1"/>
      <c r="BB17" s="2">
        <v>5.9999999999999998E-41</v>
      </c>
      <c r="BC17" s="1" t="str">
        <f>HYPERLINK("http://amigo.geneontology.org/cgi-bin/amigo/term_details?term=GO:0006955","GO:0006955")</f>
        <v>GO:0006955</v>
      </c>
      <c r="BD17" s="1" t="s">
        <v>70</v>
      </c>
      <c r="BE17" s="1" t="s">
        <v>71</v>
      </c>
      <c r="BF17" s="1" t="s">
        <v>33</v>
      </c>
      <c r="BG17" s="1" t="s">
        <v>33</v>
      </c>
      <c r="BH17" s="1"/>
      <c r="BI17" s="2">
        <v>5.9999999999999998E-41</v>
      </c>
    </row>
    <row r="18" spans="1:61" x14ac:dyDescent="0.2">
      <c r="A18" s="1" t="str">
        <f>HYPERLINK(".\links\\tr_G1TEC1_G1TEC1_RABIT-.txt","tr|G1TEC1|G1TEC1_RABIT")</f>
        <v>tr|G1TEC1|G1TEC1_RABIT</v>
      </c>
      <c r="B18" s="1" t="s">
        <v>32</v>
      </c>
      <c r="C18" s="1">
        <v>120</v>
      </c>
      <c r="D18" s="1" t="s">
        <v>635</v>
      </c>
      <c r="E18" s="1" t="s">
        <v>700</v>
      </c>
      <c r="F18" s="1" t="str">
        <f>HYPERLINK(".\links\RABBIT-NCBI\tr_G1TEC1_G1TEC1_RABIT-RABBIT-NCBI.txt","Ig kappa chain V region 12F2; Flags: Precursor")</f>
        <v>Ig kappa chain V region 12F2; Flags: Precursor</v>
      </c>
      <c r="G18" s="1" t="str">
        <f>HYPERLINK("http://www.ncbi.nlm.nih.gov/sutils/blink.cgi?pid=125744","5E-040")</f>
        <v>5E-040</v>
      </c>
      <c r="H18" s="1" t="str">
        <f>HYPERLINK("http://www.ncbi.nlm.nih.gov/protein/125744","gi|125744")</f>
        <v>gi|125744</v>
      </c>
      <c r="I18" s="1">
        <v>154</v>
      </c>
      <c r="J18" s="1">
        <v>100</v>
      </c>
      <c r="K18" s="1">
        <v>117</v>
      </c>
      <c r="L18" s="1">
        <v>77</v>
      </c>
      <c r="M18" s="1">
        <v>84</v>
      </c>
      <c r="N18" s="1">
        <v>85</v>
      </c>
      <c r="O18" s="1">
        <v>23</v>
      </c>
      <c r="P18" s="1">
        <v>0</v>
      </c>
      <c r="Q18" s="1">
        <v>1</v>
      </c>
      <c r="R18" s="1">
        <v>17</v>
      </c>
      <c r="S18" s="1">
        <v>1</v>
      </c>
      <c r="T18" s="1" t="s">
        <v>33</v>
      </c>
      <c r="U18" s="1" t="str">
        <f>HYPERLINK(".\links\REFSEQ-VERTEBRATES\tr_G1TEC1_G1TEC1_RABIT-REFSEQ-VERTEBRATES.txt","uncharacterized protein LOC103346790")</f>
        <v>uncharacterized protein LOC103346790</v>
      </c>
      <c r="V18" s="1" t="str">
        <f>HYPERLINK("http://www.ncbi.nlm.nih.gov/sutils/blink.cgi?pid=655899838","5E-059")</f>
        <v>5E-059</v>
      </c>
      <c r="W18" s="1" t="str">
        <f>HYPERLINK("http://www.ncbi.nlm.nih.gov/protein/655899838","gi|655899838")</f>
        <v>gi|655899838</v>
      </c>
      <c r="X18" s="1">
        <v>229</v>
      </c>
      <c r="Y18" s="1">
        <v>116</v>
      </c>
      <c r="Z18" s="1">
        <v>283</v>
      </c>
      <c r="AA18" s="1">
        <v>95</v>
      </c>
      <c r="AB18" s="1">
        <v>96</v>
      </c>
      <c r="AC18" s="1">
        <v>41</v>
      </c>
      <c r="AD18" s="1">
        <v>5</v>
      </c>
      <c r="AE18" s="1">
        <v>0</v>
      </c>
      <c r="AF18" s="1">
        <v>124</v>
      </c>
      <c r="AG18" s="1">
        <v>1</v>
      </c>
      <c r="AH18" s="1">
        <v>1</v>
      </c>
      <c r="AI18" s="1" t="s">
        <v>34</v>
      </c>
      <c r="AJ18" s="1" t="str">
        <f>HYPERLINK(".\links\CDD\tr_G1TEC1_G1TEC1_RABIT-CDD.txt","IgV_L_kappa")</f>
        <v>IgV_L_kappa</v>
      </c>
      <c r="AK18" s="1" t="str">
        <f>HYPERLINK("http://www.ncbi.nlm.nih.gov/Structure/cdd/cddsrv.cgi?uid=cd04980&amp;version=v4.0","3E-030")</f>
        <v>3E-030</v>
      </c>
      <c r="AL18" s="1" t="s">
        <v>89</v>
      </c>
      <c r="AM18" s="1" t="s">
        <v>87</v>
      </c>
      <c r="AN18" s="1">
        <f>HYPERLINK(".\links\GO\tr_G1TEC1_G1TEC1_RABIT-GO.txt",7E-40)</f>
        <v>7.0000000000000003E-40</v>
      </c>
      <c r="AO18" s="1" t="str">
        <f t="shared" si="0"/>
        <v>GO:0003823</v>
      </c>
      <c r="AP18" s="1" t="s">
        <v>67</v>
      </c>
      <c r="AQ18" s="1" t="s">
        <v>68</v>
      </c>
      <c r="AR18" s="1" t="s">
        <v>69</v>
      </c>
      <c r="AS18" s="1" t="s">
        <v>33</v>
      </c>
      <c r="AU18" s="2">
        <v>7.0000000000000003E-40</v>
      </c>
      <c r="AV18" s="1" t="str">
        <f t="shared" si="1"/>
        <v>GO:0005576</v>
      </c>
      <c r="AW18" s="1" t="s">
        <v>51</v>
      </c>
      <c r="AX18" s="1" t="s">
        <v>52</v>
      </c>
      <c r="AY18" s="1" t="s">
        <v>53</v>
      </c>
      <c r="AZ18" s="1" t="s">
        <v>33</v>
      </c>
      <c r="BB18" s="2">
        <v>7.0000000000000003E-40</v>
      </c>
      <c r="BC18" s="1" t="str">
        <f>HYPERLINK("http://amigo.geneontology.org/cgi-bin/amigo/term_details?term=GO:0006955","GO:0006955")</f>
        <v>GO:0006955</v>
      </c>
      <c r="BD18" s="1" t="s">
        <v>70</v>
      </c>
      <c r="BE18" s="1" t="s">
        <v>71</v>
      </c>
      <c r="BF18" s="1" t="s">
        <v>33</v>
      </c>
      <c r="BG18" s="1" t="s">
        <v>33</v>
      </c>
      <c r="BI18" s="2">
        <v>7.0000000000000003E-40</v>
      </c>
    </row>
    <row r="19" spans="1:61" x14ac:dyDescent="0.2">
      <c r="A19" s="1" t="str">
        <f>HYPERLINK(".\links\\tr_G1TVN7_G1TVN7_RABIT-.txt","tr|G1TVN7|G1TVN7_RABIT")</f>
        <v>tr|G1TVN7|G1TVN7_RABIT</v>
      </c>
      <c r="B19" s="1" t="s">
        <v>32</v>
      </c>
      <c r="C19" s="1">
        <v>122</v>
      </c>
      <c r="D19" s="1" t="s">
        <v>635</v>
      </c>
      <c r="E19" s="1" t="s">
        <v>700</v>
      </c>
      <c r="F19" s="1" t="str">
        <f>HYPERLINK(".\links\RABBIT-NCBI\tr_G1TVN7_G1TVN7_RABIT-RABBIT-NCBI.txt","Ig kappa chain V region 12F2; Flags: Precursor")</f>
        <v>Ig kappa chain V region 12F2; Flags: Precursor</v>
      </c>
      <c r="G19" s="1" t="str">
        <f>HYPERLINK("http://www.ncbi.nlm.nih.gov/sutils/blink.cgi?pid=125744","2E-040")</f>
        <v>2E-040</v>
      </c>
      <c r="H19" s="1" t="str">
        <f>HYPERLINK("http://www.ncbi.nlm.nih.gov/protein/125744","gi|125744")</f>
        <v>gi|125744</v>
      </c>
      <c r="I19" s="1">
        <v>155</v>
      </c>
      <c r="J19" s="1">
        <v>103</v>
      </c>
      <c r="K19" s="1">
        <v>117</v>
      </c>
      <c r="L19" s="1">
        <v>76</v>
      </c>
      <c r="M19" s="1">
        <v>84</v>
      </c>
      <c r="N19" s="1">
        <v>88</v>
      </c>
      <c r="O19" s="1">
        <v>24</v>
      </c>
      <c r="P19" s="1">
        <v>1</v>
      </c>
      <c r="Q19" s="1">
        <v>1</v>
      </c>
      <c r="R19" s="1">
        <v>17</v>
      </c>
      <c r="S19" s="1">
        <v>1</v>
      </c>
      <c r="T19" s="1" t="s">
        <v>33</v>
      </c>
      <c r="U19" s="1" t="str">
        <f>HYPERLINK(".\links\REFSEQ-VERTEBRATES\tr_G1TVN7_G1TVN7_RABIT-REFSEQ-VERTEBRATES.txt","uncharacterized protein LOC103346794, partial")</f>
        <v>uncharacterized protein LOC103346794, partial</v>
      </c>
      <c r="V19" s="1" t="str">
        <f>HYPERLINK("http://www.ncbi.nlm.nih.gov/sutils/blink.cgi?pid=655899841","8E-055")</f>
        <v>8E-055</v>
      </c>
      <c r="W19" s="1" t="str">
        <f>HYPERLINK("http://www.ncbi.nlm.nih.gov/protein/655899841","gi|655899841")</f>
        <v>gi|655899841</v>
      </c>
      <c r="X19" s="1">
        <v>215</v>
      </c>
      <c r="Y19" s="1">
        <v>121</v>
      </c>
      <c r="Z19" s="1">
        <v>318</v>
      </c>
      <c r="AA19" s="1">
        <v>87</v>
      </c>
      <c r="AB19" s="1">
        <v>90</v>
      </c>
      <c r="AC19" s="1">
        <v>38</v>
      </c>
      <c r="AD19" s="1">
        <v>15</v>
      </c>
      <c r="AE19" s="1">
        <v>1</v>
      </c>
      <c r="AF19" s="1">
        <v>133</v>
      </c>
      <c r="AG19" s="1">
        <v>1</v>
      </c>
      <c r="AH19" s="1">
        <v>1</v>
      </c>
      <c r="AI19" s="1" t="s">
        <v>34</v>
      </c>
      <c r="AJ19" s="1" t="str">
        <f>HYPERLINK(".\links\CDD\tr_G1TVN7_G1TVN7_RABIT-CDD.txt","IgV_L_kappa")</f>
        <v>IgV_L_kappa</v>
      </c>
      <c r="AK19" s="1" t="str">
        <f>HYPERLINK("http://www.ncbi.nlm.nih.gov/Structure/cdd/cddsrv.cgi?uid=cd04980&amp;version=v4.0","8E-029")</f>
        <v>8E-029</v>
      </c>
      <c r="AL19" s="1" t="s">
        <v>90</v>
      </c>
      <c r="AM19" s="1" t="s">
        <v>87</v>
      </c>
      <c r="AN19" s="1">
        <f>HYPERLINK(".\links\GO\tr_G1TVN7_G1TVN7_RABIT-GO.txt",2E-42)</f>
        <v>2.0000000000000001E-42</v>
      </c>
      <c r="AO19" s="1" t="str">
        <f t="shared" si="0"/>
        <v>GO:0003823</v>
      </c>
      <c r="AP19" s="1" t="s">
        <v>67</v>
      </c>
      <c r="AQ19" s="1" t="s">
        <v>68</v>
      </c>
      <c r="AR19" s="1" t="s">
        <v>69</v>
      </c>
      <c r="AS19" s="1" t="s">
        <v>33</v>
      </c>
      <c r="AU19" s="2">
        <v>2.0000000000000001E-42</v>
      </c>
      <c r="AV19" s="1" t="str">
        <f t="shared" si="1"/>
        <v>GO:0005576</v>
      </c>
      <c r="AW19" s="1" t="s">
        <v>51</v>
      </c>
      <c r="AX19" s="1" t="s">
        <v>52</v>
      </c>
      <c r="AY19" s="1" t="s">
        <v>53</v>
      </c>
      <c r="AZ19" s="1" t="s">
        <v>33</v>
      </c>
      <c r="BB19" s="2">
        <v>2.0000000000000001E-42</v>
      </c>
      <c r="BC19" s="1" t="str">
        <f>HYPERLINK("http://amigo.geneontology.org/cgi-bin/amigo/term_details?term=GO:0006955","GO:0006955")</f>
        <v>GO:0006955</v>
      </c>
      <c r="BD19" s="1" t="s">
        <v>70</v>
      </c>
      <c r="BE19" s="1" t="s">
        <v>71</v>
      </c>
      <c r="BF19" s="1" t="s">
        <v>33</v>
      </c>
      <c r="BG19" s="1" t="s">
        <v>33</v>
      </c>
      <c r="BI19" s="2">
        <v>2.0000000000000001E-42</v>
      </c>
    </row>
    <row r="20" spans="1:61" x14ac:dyDescent="0.2">
      <c r="A20" s="1" t="str">
        <f>HYPERLINK(".\links\\sp_P16973_LYSC_RABIT-.txt","sp|P16973|LYSC_RABIT")</f>
        <v>sp|P16973|LYSC_RABIT</v>
      </c>
      <c r="B20" s="1" t="s">
        <v>103</v>
      </c>
      <c r="C20" s="1">
        <v>130</v>
      </c>
      <c r="D20" s="1" t="s">
        <v>109</v>
      </c>
      <c r="E20" s="1" t="s">
        <v>700</v>
      </c>
      <c r="F20" s="1" t="str">
        <f>HYPERLINK(".\links\RABBIT-NCBI\sp_P16973_LYSC_RABIT-RABBIT-NCBI.txt","Lysozyme C; AltName: Full=1,4-beta-N-acetylmuramidase C")</f>
        <v>Lysozyme C; AltName: Full=1,4-beta-N-acetylmuramidase C</v>
      </c>
      <c r="G20" s="1" t="str">
        <f>HYPERLINK("http://www.ncbi.nlm.nih.gov/sutils/blink.cgi?pid=126628","3E-079")</f>
        <v>3E-079</v>
      </c>
      <c r="H20" s="1" t="str">
        <f>HYPERLINK("http://www.ncbi.nlm.nih.gov/protein/126628","gi|126628")</f>
        <v>gi|126628</v>
      </c>
      <c r="I20" s="1">
        <v>285</v>
      </c>
      <c r="J20" s="1">
        <v>130</v>
      </c>
      <c r="K20" s="1">
        <v>130</v>
      </c>
      <c r="L20" s="1">
        <v>100</v>
      </c>
      <c r="M20" s="1">
        <v>100</v>
      </c>
      <c r="N20" s="1">
        <v>100</v>
      </c>
      <c r="O20" s="1">
        <v>0</v>
      </c>
      <c r="P20" s="1">
        <v>0</v>
      </c>
      <c r="Q20" s="1">
        <v>1</v>
      </c>
      <c r="R20" s="1">
        <v>1</v>
      </c>
      <c r="S20" s="1">
        <v>1</v>
      </c>
      <c r="T20" s="1" t="s">
        <v>33</v>
      </c>
      <c r="U20" s="1" t="str">
        <f>HYPERLINK(".\links\REFSEQ-VERTEBRATES\sp_P16973_LYSC_RABIT-REFSEQ-VERTEBRATES.txt","lysozyme C")</f>
        <v>lysozyme C</v>
      </c>
      <c r="V20" s="1" t="str">
        <f>HYPERLINK("http://www.ncbi.nlm.nih.gov/sutils/blink.cgi?pid=291389539","5E-073")</f>
        <v>5E-073</v>
      </c>
      <c r="W20" s="1" t="str">
        <f>HYPERLINK("http://www.ncbi.nlm.nih.gov/protein/291389539","gi|291389539")</f>
        <v>gi|291389539</v>
      </c>
      <c r="X20" s="1">
        <v>275</v>
      </c>
      <c r="Y20" s="1">
        <v>130</v>
      </c>
      <c r="Z20" s="1">
        <v>148</v>
      </c>
      <c r="AA20" s="1">
        <v>96</v>
      </c>
      <c r="AB20" s="1">
        <v>98</v>
      </c>
      <c r="AC20" s="1">
        <v>88</v>
      </c>
      <c r="AD20" s="1">
        <v>5</v>
      </c>
      <c r="AE20" s="1">
        <v>0</v>
      </c>
      <c r="AF20" s="1">
        <v>19</v>
      </c>
      <c r="AG20" s="1">
        <v>1</v>
      </c>
      <c r="AH20" s="1">
        <v>1</v>
      </c>
      <c r="AI20" s="1" t="s">
        <v>34</v>
      </c>
      <c r="AJ20" s="1" t="str">
        <f>HYPERLINK(".\links\CDD\sp_P16973_LYSC_RABIT-CDD.txt","LYZ1")</f>
        <v>LYZ1</v>
      </c>
      <c r="AK20" s="1" t="str">
        <f>HYPERLINK("http://www.ncbi.nlm.nih.gov/Structure/cdd/cddsrv.cgi?uid=smart00263&amp;version=v4.0","2E-053")</f>
        <v>2E-053</v>
      </c>
      <c r="AL20" s="1" t="s">
        <v>104</v>
      </c>
      <c r="AM20" s="1" t="s">
        <v>105</v>
      </c>
      <c r="AN20" s="1">
        <f>HYPERLINK(".\links\GO\sp_P16973_LYSC_RABIT-GO.txt",3E-66)</f>
        <v>3.0000000000000002E-66</v>
      </c>
      <c r="AO20" s="1" t="str">
        <f>HYPERLINK("http://amigo.geneontology.org/cgi-bin/amigo/term_details?term=GO:0003796","GO:0003796")</f>
        <v>GO:0003796</v>
      </c>
      <c r="AP20" s="1" t="s">
        <v>106</v>
      </c>
      <c r="AQ20" s="1" t="s">
        <v>107</v>
      </c>
      <c r="AR20" s="1" t="s">
        <v>108</v>
      </c>
      <c r="AS20" s="1" t="str">
        <f>HYPERLINK("http://www.genome.jp/dbget-bin/www_bfind_sub?mode=bfind&amp;max_hit=1000&amp;dbkey=kegg&amp;keywords=EC:3.2.1.17","EC:3.2.1.17")</f>
        <v>EC:3.2.1.17</v>
      </c>
      <c r="AU20" s="2">
        <v>7.0000000000000006E-64</v>
      </c>
      <c r="AV20" s="1" t="str">
        <f t="shared" si="1"/>
        <v>GO:0005576</v>
      </c>
      <c r="AW20" s="1" t="s">
        <v>51</v>
      </c>
      <c r="AX20" s="1" t="s">
        <v>52</v>
      </c>
      <c r="AY20" s="1" t="s">
        <v>53</v>
      </c>
      <c r="AZ20" s="1" t="s">
        <v>33</v>
      </c>
      <c r="BB20" s="2">
        <v>7.0000000000000006E-64</v>
      </c>
      <c r="BC20" s="1" t="str">
        <f>HYPERLINK("http://amigo.geneontology.org/cgi-bin/amigo/term_details?term=GO:0001895","GO:0001895")</f>
        <v>GO:0001895</v>
      </c>
      <c r="BD20" s="1" t="s">
        <v>77</v>
      </c>
      <c r="BE20" s="1" t="s">
        <v>78</v>
      </c>
      <c r="BF20" s="1" t="s">
        <v>33</v>
      </c>
      <c r="BG20" s="1" t="s">
        <v>33</v>
      </c>
      <c r="BI20" s="2">
        <v>7.0000000000000006E-64</v>
      </c>
    </row>
    <row r="21" spans="1:61" x14ac:dyDescent="0.2">
      <c r="A21" s="1" t="str">
        <f>HYPERLINK(".\links\\sp_P50117_S10A9_RABIT-.txt","sp|P50117|S10A9_RABIT")</f>
        <v>sp|P50117|S10A9_RABIT</v>
      </c>
      <c r="B21" s="1" t="s">
        <v>32</v>
      </c>
      <c r="C21" s="1">
        <v>132</v>
      </c>
      <c r="D21" s="1" t="s">
        <v>664</v>
      </c>
      <c r="E21" s="1" t="s">
        <v>700</v>
      </c>
      <c r="F21" s="1" t="str">
        <f>HYPERLINK(".\links\RABBIT-NCBI\sp_P50117_S10A9_RABIT-RABBIT-NCBI.txt","Protein S100-A9; AltName: Full=Calgranulin-B; AltName: Full=Migration inhibitory")</f>
        <v>Protein S100-A9; AltName: Full=Calgranulin-B; AltName: Full=Migration inhibitory</v>
      </c>
      <c r="G21" s="1" t="str">
        <f>HYPERLINK("http://www.ncbi.nlm.nih.gov/sutils/blink.cgi?pid=410516939","3E-078")</f>
        <v>3E-078</v>
      </c>
      <c r="H21" s="1" t="str">
        <f>HYPERLINK("http://www.ncbi.nlm.nih.gov/protein/410516939","gi|410516939")</f>
        <v>gi|410516939</v>
      </c>
      <c r="I21" s="1">
        <v>281</v>
      </c>
      <c r="J21" s="1">
        <v>132</v>
      </c>
      <c r="K21" s="1">
        <v>132</v>
      </c>
      <c r="L21" s="1">
        <v>100</v>
      </c>
      <c r="M21" s="1">
        <v>100</v>
      </c>
      <c r="N21" s="1">
        <v>100</v>
      </c>
      <c r="O21" s="1">
        <v>0</v>
      </c>
      <c r="P21" s="1">
        <v>0</v>
      </c>
      <c r="Q21" s="1">
        <v>1</v>
      </c>
      <c r="R21" s="1">
        <v>1</v>
      </c>
      <c r="S21" s="1">
        <v>1</v>
      </c>
      <c r="T21" s="1" t="s">
        <v>33</v>
      </c>
      <c r="U21" s="1" t="str">
        <f>HYPERLINK(".\links\REFSEQ-VERTEBRATES\sp_P50117_S10A9_RABIT-REFSEQ-VERTEBRATES.txt","protein S100-A9")</f>
        <v>protein S100-A9</v>
      </c>
      <c r="V21" s="1" t="str">
        <f>HYPERLINK("http://www.ncbi.nlm.nih.gov/sutils/blink.cgi?pid=374349228","3E-074")</f>
        <v>3E-074</v>
      </c>
      <c r="W21" s="1" t="str">
        <f>HYPERLINK("http://www.ncbi.nlm.nih.gov/protein/374349228","gi|374349228")</f>
        <v>gi|374349228</v>
      </c>
      <c r="X21" s="1">
        <v>280</v>
      </c>
      <c r="Y21" s="1">
        <v>132</v>
      </c>
      <c r="Z21" s="1">
        <v>132</v>
      </c>
      <c r="AA21" s="1">
        <v>99</v>
      </c>
      <c r="AB21" s="1">
        <v>99</v>
      </c>
      <c r="AC21" s="1">
        <v>100</v>
      </c>
      <c r="AD21" s="1">
        <v>1</v>
      </c>
      <c r="AE21" s="1">
        <v>0</v>
      </c>
      <c r="AF21" s="1">
        <v>1</v>
      </c>
      <c r="AG21" s="1">
        <v>1</v>
      </c>
      <c r="AH21" s="1">
        <v>1</v>
      </c>
      <c r="AI21" s="1" t="s">
        <v>34</v>
      </c>
      <c r="AJ21" s="1" t="str">
        <f>HYPERLINK(".\links\CDD\sp_P50117_S10A9_RABIT-CDD.txt","calgranulins")</f>
        <v>calgranulins</v>
      </c>
      <c r="AK21" s="1" t="str">
        <f>HYPERLINK("http://www.ncbi.nlm.nih.gov/Structure/cdd/cddsrv.cgi?uid=cd05030&amp;version=v4.0","3E-026")</f>
        <v>3E-026</v>
      </c>
      <c r="AL21" s="1" t="s">
        <v>113</v>
      </c>
      <c r="AM21" s="1" t="s">
        <v>114</v>
      </c>
      <c r="AN21" s="1">
        <f>HYPERLINK(".\links\GO\sp_P50117_S10A9_RABIT-GO.txt",8E-76)</f>
        <v>7.9999999999999994E-76</v>
      </c>
      <c r="AO21" s="1" t="str">
        <f>HYPERLINK("http://amigo.geneontology.org/cgi-bin/amigo/term_details?term=GO:0005509","GO:0005509")</f>
        <v>GO:0005509</v>
      </c>
      <c r="AP21" s="1" t="s">
        <v>48</v>
      </c>
      <c r="AQ21" s="1" t="s">
        <v>49</v>
      </c>
      <c r="AR21" s="1" t="s">
        <v>50</v>
      </c>
      <c r="AS21" s="1" t="s">
        <v>33</v>
      </c>
      <c r="AU21" s="2">
        <v>3.9999999999999999E-48</v>
      </c>
      <c r="AV21" s="1" t="str">
        <f>HYPERLINK("http://amigo.geneontology.org/cgi-bin/amigo/term_details?term=GO:0005634","GO:0005634")</f>
        <v>GO:0005634</v>
      </c>
      <c r="AW21" s="1" t="s">
        <v>81</v>
      </c>
      <c r="AX21" s="1" t="s">
        <v>82</v>
      </c>
      <c r="AY21" s="1" t="s">
        <v>83</v>
      </c>
      <c r="AZ21" s="1" t="s">
        <v>33</v>
      </c>
      <c r="BB21" s="2">
        <v>3.9999999999999999E-48</v>
      </c>
      <c r="BC21" s="1" t="str">
        <f>HYPERLINK("http://amigo.geneontology.org/cgi-bin/amigo/term_details?term=GO:0002523","GO:0002523")</f>
        <v>GO:0002523</v>
      </c>
      <c r="BD21" s="1" t="s">
        <v>115</v>
      </c>
      <c r="BE21" s="1" t="s">
        <v>116</v>
      </c>
      <c r="BF21" s="1" t="s">
        <v>117</v>
      </c>
      <c r="BG21" s="1" t="s">
        <v>33</v>
      </c>
      <c r="BI21" s="2">
        <v>3.9999999999999999E-48</v>
      </c>
    </row>
    <row r="22" spans="1:61" x14ac:dyDescent="0.2">
      <c r="A22" s="1" t="str">
        <f>HYPERLINK(".\links\\tr_G1TPZ1_G1TPZ1_RABIT-.txt","tr|G1TPZ1|G1TPZ1_RABIT")</f>
        <v>tr|G1TPZ1|G1TPZ1_RABIT</v>
      </c>
      <c r="B22" s="1" t="s">
        <v>32</v>
      </c>
      <c r="C22" s="1">
        <v>134</v>
      </c>
      <c r="D22" s="1" t="s">
        <v>125</v>
      </c>
      <c r="E22" s="1" t="s">
        <v>700</v>
      </c>
      <c r="F22" s="1" t="str">
        <f>HYPERLINK(".\links\RABBIT-NCBI\tr_G1TPZ1_G1TPZ1_RABIT-RABBIT-NCBI.txt","Galectin-3; Short=Gal-3; AltName: Full=35 kDa lectin; AltName:")</f>
        <v>Galectin-3; Short=Gal-3; AltName: Full=35 kDa lectin; AltName:</v>
      </c>
      <c r="G22" s="1" t="str">
        <f>HYPERLINK("http://www.ncbi.nlm.nih.gov/sutils/blink.cgi?pid=1346429","5E-013")</f>
        <v>5E-013</v>
      </c>
      <c r="H22" s="1" t="str">
        <f>HYPERLINK("http://www.ncbi.nlm.nih.gov/protein/1346429","gi|1346429")</f>
        <v>gi|1346429</v>
      </c>
      <c r="I22" s="1">
        <v>65.5</v>
      </c>
      <c r="J22" s="1">
        <v>119</v>
      </c>
      <c r="K22" s="1">
        <v>242</v>
      </c>
      <c r="L22" s="1">
        <v>30</v>
      </c>
      <c r="M22" s="1">
        <v>52</v>
      </c>
      <c r="N22" s="1">
        <v>49</v>
      </c>
      <c r="O22" s="1">
        <v>83</v>
      </c>
      <c r="P22" s="1">
        <v>3</v>
      </c>
      <c r="Q22" s="1">
        <v>118</v>
      </c>
      <c r="R22" s="1">
        <v>11</v>
      </c>
      <c r="S22" s="1">
        <v>1</v>
      </c>
      <c r="T22" s="1" t="s">
        <v>33</v>
      </c>
      <c r="U22" s="1" t="str">
        <f>HYPERLINK(".\links\REFSEQ-VERTEBRATES\tr_G1TPZ1_G1TPZ1_RABIT-REFSEQ-VERTEBRATES.txt","galectin-1")</f>
        <v>galectin-1</v>
      </c>
      <c r="V22" s="1" t="str">
        <f>HYPERLINK("http://www.ncbi.nlm.nih.gov/sutils/blink.cgi?pid=291414651","7E-074")</f>
        <v>7E-074</v>
      </c>
      <c r="W22" s="1" t="str">
        <f>HYPERLINK("http://www.ncbi.nlm.nih.gov/protein/291414651","gi|291414651")</f>
        <v>gi|291414651</v>
      </c>
      <c r="X22" s="1">
        <v>278</v>
      </c>
      <c r="Y22" s="1">
        <v>134</v>
      </c>
      <c r="Z22" s="1">
        <v>134</v>
      </c>
      <c r="AA22" s="1">
        <v>100</v>
      </c>
      <c r="AB22" s="1">
        <v>100</v>
      </c>
      <c r="AC22" s="1">
        <v>100</v>
      </c>
      <c r="AD22" s="1">
        <v>0</v>
      </c>
      <c r="AE22" s="1">
        <v>0</v>
      </c>
      <c r="AF22" s="1">
        <v>1</v>
      </c>
      <c r="AG22" s="1">
        <v>1</v>
      </c>
      <c r="AH22" s="1">
        <v>1</v>
      </c>
      <c r="AI22" s="1" t="s">
        <v>34</v>
      </c>
      <c r="AJ22" s="1" t="str">
        <f>HYPERLINK(".\links\CDD\tr_G1TPZ1_G1TPZ1_RABIT-CDD.txt","GLECT")</f>
        <v>GLECT</v>
      </c>
      <c r="AK22" s="1" t="str">
        <f>HYPERLINK("http://www.ncbi.nlm.nih.gov/Structure/cdd/cddsrv.cgi?uid=smart00276&amp;version=v4.0","1E-024")</f>
        <v>1E-024</v>
      </c>
      <c r="AL22" s="1" t="s">
        <v>118</v>
      </c>
      <c r="AM22" s="1" t="s">
        <v>119</v>
      </c>
      <c r="AN22" s="1">
        <f>HYPERLINK(".\links\GO\tr_G1TPZ1_G1TPZ1_RABIT-GO.txt",2E-49)</f>
        <v>1.9999999999999999E-49</v>
      </c>
      <c r="AO22" s="1" t="str">
        <f>HYPERLINK("http://amigo.geneontology.org/cgi-bin/amigo/term_details?term=GO:0001948","GO:0001948")</f>
        <v>GO:0001948</v>
      </c>
      <c r="AP22" s="1" t="s">
        <v>120</v>
      </c>
      <c r="AQ22" s="1" t="s">
        <v>121</v>
      </c>
      <c r="AR22" s="1" t="s">
        <v>33</v>
      </c>
      <c r="AS22" s="1" t="s">
        <v>33</v>
      </c>
      <c r="AU22" s="2">
        <v>1.9999999999999999E-49</v>
      </c>
      <c r="AV22" s="1" t="str">
        <f>HYPERLINK("http://amigo.geneontology.org/cgi-bin/amigo/term_details?term=GO:0005576","GO:0005576")</f>
        <v>GO:0005576</v>
      </c>
      <c r="AW22" s="1" t="s">
        <v>51</v>
      </c>
      <c r="AX22" s="1" t="s">
        <v>52</v>
      </c>
      <c r="AY22" s="1" t="s">
        <v>53</v>
      </c>
      <c r="AZ22" s="1" t="s">
        <v>33</v>
      </c>
      <c r="BB22" s="2">
        <v>1.9999999999999999E-49</v>
      </c>
      <c r="BC22" s="1" t="str">
        <f>HYPERLINK("http://amigo.geneontology.org/cgi-bin/amigo/term_details?term=GO:0002317","GO:0002317")</f>
        <v>GO:0002317</v>
      </c>
      <c r="BD22" s="1" t="s">
        <v>122</v>
      </c>
      <c r="BE22" s="1" t="s">
        <v>123</v>
      </c>
      <c r="BF22" s="1" t="s">
        <v>124</v>
      </c>
      <c r="BG22" s="1" t="s">
        <v>33</v>
      </c>
      <c r="BI22" s="2">
        <v>1.9999999999999999E-49</v>
      </c>
    </row>
    <row r="23" spans="1:61" x14ac:dyDescent="0.2">
      <c r="A23" s="1" t="str">
        <f>HYPERLINK(".\links\\tr_G1TVZ5_G1TVZ5_RABIT-.txt","tr|G1TVZ5|G1TVZ5_RABIT")</f>
        <v>tr|G1TVZ5|G1TVZ5_RABIT</v>
      </c>
      <c r="B23" s="1" t="s">
        <v>32</v>
      </c>
      <c r="C23" s="1">
        <v>152</v>
      </c>
      <c r="D23" s="1" t="s">
        <v>72</v>
      </c>
      <c r="E23" s="1" t="s">
        <v>700</v>
      </c>
      <c r="F23" s="1" t="str">
        <f>HYPERLINK(".\links\RABBIT-NCBI\tr_G1TVZ5_G1TVZ5_RABIT-RABBIT-NCBI.txt","Ig kappa chain V region BS-1")</f>
        <v>Ig kappa chain V region BS-1</v>
      </c>
      <c r="G23" s="1" t="str">
        <f>HYPERLINK("http://www.ncbi.nlm.nih.gov/sutils/blink.cgi?pid=125739","2E-038")</f>
        <v>2E-038</v>
      </c>
      <c r="H23" s="1" t="str">
        <f>HYPERLINK("http://www.ncbi.nlm.nih.gov/protein/125739","gi|125739")</f>
        <v>gi|125739</v>
      </c>
      <c r="I23" s="1">
        <v>149</v>
      </c>
      <c r="J23" s="1">
        <v>100</v>
      </c>
      <c r="K23" s="1">
        <v>108</v>
      </c>
      <c r="L23" s="1">
        <v>71</v>
      </c>
      <c r="M23" s="1">
        <v>83</v>
      </c>
      <c r="N23" s="1">
        <v>93</v>
      </c>
      <c r="O23" s="1">
        <v>29</v>
      </c>
      <c r="P23" s="1">
        <v>2</v>
      </c>
      <c r="Q23" s="1">
        <v>5</v>
      </c>
      <c r="R23" s="1">
        <v>27</v>
      </c>
      <c r="S23" s="1">
        <v>1</v>
      </c>
      <c r="T23" s="1" t="s">
        <v>33</v>
      </c>
      <c r="U23" s="1" t="str">
        <f>HYPERLINK(".\links\REFSEQ-VERTEBRATES\tr_G1TVZ5_G1TVZ5_RABIT-REFSEQ-VERTEBRATES.txt","uncharacterized protein LOC103347757")</f>
        <v>uncharacterized protein LOC103347757</v>
      </c>
      <c r="V23" s="1" t="str">
        <f>HYPERLINK("http://www.ncbi.nlm.nih.gov/sutils/blink.cgi?pid=655622047","6E-058")</f>
        <v>6E-058</v>
      </c>
      <c r="W23" s="1" t="str">
        <f>HYPERLINK("http://www.ncbi.nlm.nih.gov/protein/655622047","gi|655622047")</f>
        <v>gi|655622047</v>
      </c>
      <c r="X23" s="1">
        <v>225</v>
      </c>
      <c r="Y23" s="1">
        <v>149</v>
      </c>
      <c r="Z23" s="1">
        <v>290</v>
      </c>
      <c r="AA23" s="1">
        <v>81</v>
      </c>
      <c r="AB23" s="1">
        <v>83</v>
      </c>
      <c r="AC23" s="1">
        <v>51</v>
      </c>
      <c r="AD23" s="1">
        <v>28</v>
      </c>
      <c r="AE23" s="1">
        <v>6</v>
      </c>
      <c r="AF23" s="1">
        <v>1</v>
      </c>
      <c r="AG23" s="1">
        <v>1</v>
      </c>
      <c r="AH23" s="1">
        <v>1</v>
      </c>
      <c r="AI23" s="1" t="s">
        <v>34</v>
      </c>
      <c r="AJ23" s="1" t="str">
        <f>HYPERLINK(".\links\CDD\tr_G1TVZ5_G1TVZ5_RABIT-CDD.txt","IgV_L_kappa")</f>
        <v>IgV_L_kappa</v>
      </c>
      <c r="AK23" s="1" t="str">
        <f>HYPERLINK("http://www.ncbi.nlm.nih.gov/Structure/cdd/cddsrv.cgi?uid=cd04980&amp;version=v4.0","5E-028")</f>
        <v>5E-028</v>
      </c>
      <c r="AL23" s="1" t="s">
        <v>146</v>
      </c>
      <c r="AM23" s="1" t="s">
        <v>87</v>
      </c>
      <c r="AN23" s="1">
        <f>HYPERLINK(".\links\GO\tr_G1TVZ5_G1TVZ5_RABIT-GO.txt",3E-36)</f>
        <v>3.0000000000000002E-36</v>
      </c>
      <c r="AO23" s="1" t="str">
        <f>HYPERLINK("http://amigo.geneontology.org/cgi-bin/amigo/term_details?term=GO:0003823","GO:0003823")</f>
        <v>GO:0003823</v>
      </c>
      <c r="AP23" s="1" t="s">
        <v>67</v>
      </c>
      <c r="AQ23" s="1" t="s">
        <v>68</v>
      </c>
      <c r="AR23" s="1" t="s">
        <v>69</v>
      </c>
      <c r="AS23" s="1" t="s">
        <v>33</v>
      </c>
      <c r="AU23" s="2">
        <v>3.0000000000000002E-36</v>
      </c>
      <c r="AV23" s="1" t="str">
        <f>HYPERLINK("http://amigo.geneontology.org/cgi-bin/amigo/term_details?term=GO:0005576","GO:0005576")</f>
        <v>GO:0005576</v>
      </c>
      <c r="AW23" s="1" t="s">
        <v>51</v>
      </c>
      <c r="AX23" s="1" t="s">
        <v>52</v>
      </c>
      <c r="AY23" s="1" t="s">
        <v>53</v>
      </c>
      <c r="AZ23" s="1" t="s">
        <v>33</v>
      </c>
      <c r="BB23" s="2">
        <v>3.0000000000000002E-36</v>
      </c>
      <c r="BC23" s="1" t="str">
        <f>HYPERLINK("http://amigo.geneontology.org/cgi-bin/amigo/term_details?term=GO:0006955","GO:0006955")</f>
        <v>GO:0006955</v>
      </c>
      <c r="BD23" s="1" t="s">
        <v>70</v>
      </c>
      <c r="BE23" s="1" t="s">
        <v>71</v>
      </c>
      <c r="BF23" s="1" t="s">
        <v>33</v>
      </c>
      <c r="BG23" s="1" t="s">
        <v>33</v>
      </c>
      <c r="BI23" s="2">
        <v>3.0000000000000002E-36</v>
      </c>
    </row>
    <row r="24" spans="1:61" x14ac:dyDescent="0.2">
      <c r="A24" s="1" t="str">
        <f>HYPERLINK(".\links\\tr_U3KM01_U3KM01_RABIT-.txt","tr|U3KM01|U3KM01_RABIT")</f>
        <v>tr|U3KM01|U3KM01_RABIT</v>
      </c>
      <c r="B24" s="1" t="s">
        <v>32</v>
      </c>
      <c r="C24" s="1">
        <v>158</v>
      </c>
      <c r="D24" s="1" t="s">
        <v>635</v>
      </c>
      <c r="E24" s="1" t="s">
        <v>700</v>
      </c>
      <c r="F24" s="1" t="str">
        <f>HYPERLINK(".\links\RABBIT-NCBI\tr_U3KM01_U3KM01_RABIT-RABBIT-NCBI.txt","Ig kappa chain V region 12F2; Flags: Precursor")</f>
        <v>Ig kappa chain V region 12F2; Flags: Precursor</v>
      </c>
      <c r="G24" s="1" t="str">
        <f>HYPERLINK("http://www.ncbi.nlm.nih.gov/sutils/blink.cgi?pid=125744","3E-040")</f>
        <v>3E-040</v>
      </c>
      <c r="H24" s="1" t="str">
        <f>HYPERLINK("http://www.ncbi.nlm.nih.gov/protein/125744","gi|125744")</f>
        <v>gi|125744</v>
      </c>
      <c r="I24" s="1">
        <v>155</v>
      </c>
      <c r="J24" s="1">
        <v>101</v>
      </c>
      <c r="K24" s="1">
        <v>117</v>
      </c>
      <c r="L24" s="1">
        <v>75</v>
      </c>
      <c r="M24" s="1">
        <v>83</v>
      </c>
      <c r="N24" s="1">
        <v>86</v>
      </c>
      <c r="O24" s="1">
        <v>25</v>
      </c>
      <c r="P24" s="1">
        <v>0</v>
      </c>
      <c r="Q24" s="1">
        <v>1</v>
      </c>
      <c r="R24" s="1">
        <v>17</v>
      </c>
      <c r="S24" s="1">
        <v>1</v>
      </c>
      <c r="T24" s="1" t="s">
        <v>33</v>
      </c>
      <c r="U24" s="1" t="str">
        <f>HYPERLINK(".\links\REFSEQ-VERTEBRATES\tr_U3KM01_U3KM01_RABIT-REFSEQ-VERTEBRATES.txt","hypothetical protein")</f>
        <v>hypothetical protein</v>
      </c>
      <c r="V24" s="1" t="str">
        <f>HYPERLINK("http://www.ncbi.nlm.nih.gov/sutils/blink.cgi?pid=291386347","1E-063")</f>
        <v>1E-063</v>
      </c>
      <c r="W24" s="1" t="str">
        <f>HYPERLINK("http://www.ncbi.nlm.nih.gov/protein/291386347","gi|291386347")</f>
        <v>gi|291386347</v>
      </c>
      <c r="X24" s="1">
        <v>244</v>
      </c>
      <c r="Y24" s="1">
        <v>124</v>
      </c>
      <c r="Z24" s="1">
        <v>295</v>
      </c>
      <c r="AA24" s="1">
        <v>97</v>
      </c>
      <c r="AB24" s="1">
        <v>98</v>
      </c>
      <c r="AC24" s="1">
        <v>42</v>
      </c>
      <c r="AD24" s="1">
        <v>3</v>
      </c>
      <c r="AE24" s="1">
        <v>0</v>
      </c>
      <c r="AF24" s="1">
        <v>1</v>
      </c>
      <c r="AG24" s="1">
        <v>1</v>
      </c>
      <c r="AH24" s="1">
        <v>1</v>
      </c>
      <c r="AI24" s="1" t="s">
        <v>34</v>
      </c>
      <c r="AJ24" s="1" t="str">
        <f>HYPERLINK(".\links\CDD\tr_U3KM01_U3KM01_RABIT-CDD.txt","IgV_L_kappa")</f>
        <v>IgV_L_kappa</v>
      </c>
      <c r="AK24" s="1" t="str">
        <f>HYPERLINK("http://www.ncbi.nlm.nih.gov/Structure/cdd/cddsrv.cgi?uid=cd04980&amp;version=v4.0","1E-030")</f>
        <v>1E-030</v>
      </c>
      <c r="AL24" s="1" t="s">
        <v>154</v>
      </c>
      <c r="AM24" s="1" t="s">
        <v>87</v>
      </c>
      <c r="AN24" s="1">
        <f>HYPERLINK(".\links\GO\tr_U3KM01_U3KM01_RABIT-GO.txt",7E-44)</f>
        <v>6.9999999999999995E-44</v>
      </c>
      <c r="AO24" s="1" t="str">
        <f>HYPERLINK("http://amigo.geneontology.org/cgi-bin/amigo/term_details?term=GO:0003823","GO:0003823")</f>
        <v>GO:0003823</v>
      </c>
      <c r="AP24" s="1" t="s">
        <v>67</v>
      </c>
      <c r="AQ24" s="1" t="s">
        <v>68</v>
      </c>
      <c r="AR24" s="1" t="s">
        <v>69</v>
      </c>
      <c r="AS24" s="1" t="s">
        <v>33</v>
      </c>
      <c r="AU24" s="2">
        <v>6.9999999999999995E-44</v>
      </c>
      <c r="AV24" s="1" t="str">
        <f>HYPERLINK("http://amigo.geneontology.org/cgi-bin/amigo/term_details?term=GO:0005576","GO:0005576")</f>
        <v>GO:0005576</v>
      </c>
      <c r="AW24" s="1" t="s">
        <v>51</v>
      </c>
      <c r="AX24" s="1" t="s">
        <v>52</v>
      </c>
      <c r="AY24" s="1" t="s">
        <v>53</v>
      </c>
      <c r="AZ24" s="1" t="s">
        <v>33</v>
      </c>
      <c r="BB24" s="2">
        <v>6.9999999999999995E-44</v>
      </c>
      <c r="BC24" s="1" t="str">
        <f>HYPERLINK("http://amigo.geneontology.org/cgi-bin/amigo/term_details?term=GO:0006955","GO:0006955")</f>
        <v>GO:0006955</v>
      </c>
      <c r="BD24" s="1" t="s">
        <v>70</v>
      </c>
      <c r="BE24" s="1" t="s">
        <v>71</v>
      </c>
      <c r="BF24" s="1" t="s">
        <v>33</v>
      </c>
      <c r="BG24" s="1" t="s">
        <v>33</v>
      </c>
      <c r="BI24" s="2">
        <v>6.9999999999999995E-44</v>
      </c>
    </row>
    <row r="25" spans="1:61" x14ac:dyDescent="0.2">
      <c r="A25" s="1" t="str">
        <f>HYPERLINK(".\links\\sp_P25230_CAP18_RABIT-.txt","sp|P25230|CAP18_RABIT")</f>
        <v>sp|P25230|CAP18_RABIT</v>
      </c>
      <c r="B25" s="1" t="s">
        <v>32</v>
      </c>
      <c r="C25" s="1">
        <v>171</v>
      </c>
      <c r="D25" s="1" t="s">
        <v>636</v>
      </c>
      <c r="E25" s="1" t="s">
        <v>700</v>
      </c>
      <c r="F25" s="1" t="str">
        <f>HYPERLINK(".\links\RABBIT-NCBI\sp_P25230_CAP18_RABIT-RABBIT-NCBI.txt","Antimicrobial protein CAP18; AltName: Full=18 kDa cationic protein; AltName:")</f>
        <v>Antimicrobial protein CAP18; AltName: Full=18 kDa cationic protein; AltName:</v>
      </c>
      <c r="G25" s="1" t="str">
        <f>HYPERLINK("http://www.ncbi.nlm.nih.gov/sutils/blink.cgi?pid=117149","1E-100")</f>
        <v>1E-100</v>
      </c>
      <c r="H25" s="1" t="str">
        <f>HYPERLINK("http://www.ncbi.nlm.nih.gov/protein/117149","gi|117149")</f>
        <v>gi|117149</v>
      </c>
      <c r="I25" s="1">
        <v>355</v>
      </c>
      <c r="J25" s="1">
        <v>171</v>
      </c>
      <c r="K25" s="1">
        <v>171</v>
      </c>
      <c r="L25" s="1">
        <v>100</v>
      </c>
      <c r="M25" s="1">
        <v>100</v>
      </c>
      <c r="N25" s="1">
        <v>100</v>
      </c>
      <c r="O25" s="1">
        <v>0</v>
      </c>
      <c r="P25" s="1">
        <v>0</v>
      </c>
      <c r="Q25" s="1">
        <v>1</v>
      </c>
      <c r="R25" s="1">
        <v>1</v>
      </c>
      <c r="S25" s="1">
        <v>1</v>
      </c>
      <c r="T25" s="1" t="s">
        <v>33</v>
      </c>
      <c r="U25" s="1" t="str">
        <f>HYPERLINK(".\links\REFSEQ-VERTEBRATES\sp_P25230_CAP18_RABIT-REFSEQ-VERTEBRATES.txt","antimicrobial protein CAP18 precursor")</f>
        <v>antimicrobial protein CAP18 precursor</v>
      </c>
      <c r="V25" s="1" t="str">
        <f>HYPERLINK("http://www.ncbi.nlm.nih.gov/sutils/blink.cgi?pid=126723146","9E-097")</f>
        <v>9E-097</v>
      </c>
      <c r="W25" s="1" t="str">
        <f>HYPERLINK("http://www.ncbi.nlm.nih.gov/protein/126723146","gi|126723146")</f>
        <v>gi|126723146</v>
      </c>
      <c r="X25" s="1">
        <v>355</v>
      </c>
      <c r="Y25" s="1">
        <v>171</v>
      </c>
      <c r="Z25" s="1">
        <v>171</v>
      </c>
      <c r="AA25" s="1">
        <v>100</v>
      </c>
      <c r="AB25" s="1">
        <v>100</v>
      </c>
      <c r="AC25" s="1">
        <v>100</v>
      </c>
      <c r="AD25" s="1">
        <v>0</v>
      </c>
      <c r="AE25" s="1">
        <v>0</v>
      </c>
      <c r="AF25" s="1">
        <v>1</v>
      </c>
      <c r="AG25" s="1">
        <v>1</v>
      </c>
      <c r="AH25" s="1">
        <v>1</v>
      </c>
      <c r="AI25" s="1" t="s">
        <v>34</v>
      </c>
      <c r="AJ25" s="1" t="str">
        <f>HYPERLINK(".\links\CDD\sp_P25230_CAP18_RABIT-CDD.txt","Cathelicidins")</f>
        <v>Cathelicidins</v>
      </c>
      <c r="AK25" s="1" t="str">
        <f>HYPERLINK("http://www.ncbi.nlm.nih.gov/Structure/cdd/cddsrv.cgi?uid=pfam00666&amp;version=v4.0","4E-022")</f>
        <v>4E-022</v>
      </c>
      <c r="AL25" s="1" t="s">
        <v>155</v>
      </c>
      <c r="AM25" s="1" t="s">
        <v>156</v>
      </c>
      <c r="AN25" s="1">
        <f>HYPERLINK(".\links\GO\sp_P25230_CAP18_RABIT-GO.txt",5E-46)</f>
        <v>4.9999999999999999E-46</v>
      </c>
      <c r="AO25" s="1" t="str">
        <f>HYPERLINK("http://amigo.geneontology.org/cgi-bin/amigo/term_details?term=GO:0005515","GO:0005515")</f>
        <v>GO:0005515</v>
      </c>
      <c r="AP25" s="1" t="s">
        <v>37</v>
      </c>
      <c r="AQ25" s="1" t="s">
        <v>38</v>
      </c>
      <c r="AR25" s="1" t="s">
        <v>39</v>
      </c>
      <c r="AS25" s="1" t="s">
        <v>33</v>
      </c>
      <c r="AU25" s="2">
        <v>4.9999999999999999E-46</v>
      </c>
      <c r="AV25" s="1" t="str">
        <f>HYPERLINK("http://amigo.geneontology.org/cgi-bin/amigo/term_details?term=GO:0005615","GO:0005615")</f>
        <v>GO:0005615</v>
      </c>
      <c r="AW25" s="1" t="s">
        <v>40</v>
      </c>
      <c r="AX25" s="1" t="s">
        <v>41</v>
      </c>
      <c r="AY25" s="1" t="s">
        <v>42</v>
      </c>
      <c r="AZ25" s="1" t="s">
        <v>33</v>
      </c>
      <c r="BB25" s="2">
        <v>4.9999999999999999E-46</v>
      </c>
      <c r="BC25" s="1" t="str">
        <f>HYPERLINK("http://amigo.geneontology.org/cgi-bin/amigo/term_details?term=GO:0002227","GO:0002227")</f>
        <v>GO:0002227</v>
      </c>
      <c r="BD25" s="1" t="s">
        <v>157</v>
      </c>
      <c r="BE25" s="1" t="s">
        <v>158</v>
      </c>
      <c r="BF25" s="1" t="s">
        <v>33</v>
      </c>
      <c r="BG25" s="1" t="s">
        <v>33</v>
      </c>
      <c r="BI25" s="2">
        <v>4.9999999999999999E-46</v>
      </c>
    </row>
    <row r="26" spans="1:61" x14ac:dyDescent="0.2">
      <c r="A26" s="1" t="str">
        <f>HYPERLINK(".\links\\sp_P25227_A1AG_RABIT-.txt","sp|P25227|A1AG_RABIT")</f>
        <v>sp|P25227|A1AG_RABIT</v>
      </c>
      <c r="B26" s="1" t="s">
        <v>32</v>
      </c>
      <c r="C26" s="1">
        <v>201</v>
      </c>
      <c r="D26" s="1" t="s">
        <v>678</v>
      </c>
      <c r="E26" s="1" t="s">
        <v>700</v>
      </c>
      <c r="F26" s="1" t="str">
        <f>HYPERLINK(".\links\RABBIT-NCBI\sp_P25227_A1AG_RABIT-RABBIT-NCBI.txt","Alpha-1-acid glycoprotein; AltName: Full=Orosomucoid; Short=OMD; Flags:")</f>
        <v>Alpha-1-acid glycoprotein; AltName: Full=Orosomucoid; Short=OMD; Flags:</v>
      </c>
      <c r="G26" s="1" t="str">
        <f>HYPERLINK("http://www.ncbi.nlm.nih.gov/sutils/blink.cgi?pid=112880","1E-117")</f>
        <v>1E-117</v>
      </c>
      <c r="H26" s="1" t="str">
        <f>HYPERLINK("http://www.ncbi.nlm.nih.gov/protein/112880","gi|112880")</f>
        <v>gi|112880</v>
      </c>
      <c r="I26" s="1">
        <v>411</v>
      </c>
      <c r="J26" s="1">
        <v>201</v>
      </c>
      <c r="K26" s="1">
        <v>201</v>
      </c>
      <c r="L26" s="1">
        <v>100</v>
      </c>
      <c r="M26" s="1">
        <v>100</v>
      </c>
      <c r="N26" s="1">
        <v>100</v>
      </c>
      <c r="O26" s="1">
        <v>0</v>
      </c>
      <c r="P26" s="1">
        <v>0</v>
      </c>
      <c r="Q26" s="1">
        <v>1</v>
      </c>
      <c r="R26" s="1">
        <v>1</v>
      </c>
      <c r="S26" s="1">
        <v>1</v>
      </c>
      <c r="T26" s="1" t="s">
        <v>33</v>
      </c>
      <c r="U26" s="1" t="str">
        <f>HYPERLINK(".\links\REFSEQ-VERTEBRATES\sp_P25227_A1AG_RABIT-REFSEQ-VERTEBRATES.txt","alpha-1-acid glycoprotein precursor")</f>
        <v>alpha-1-acid glycoprotein precursor</v>
      </c>
      <c r="V26" s="1" t="str">
        <f>HYPERLINK("http://www.ncbi.nlm.nih.gov/sutils/blink.cgi?pid=156119358","1E-113")</f>
        <v>1E-113</v>
      </c>
      <c r="W26" s="1" t="str">
        <f>HYPERLINK("http://www.ncbi.nlm.nih.gov/protein/156119358","gi|156119358")</f>
        <v>gi|156119358</v>
      </c>
      <c r="X26" s="1">
        <v>411</v>
      </c>
      <c r="Y26" s="1">
        <v>201</v>
      </c>
      <c r="Z26" s="1">
        <v>201</v>
      </c>
      <c r="AA26" s="1">
        <v>100</v>
      </c>
      <c r="AB26" s="1">
        <v>100</v>
      </c>
      <c r="AC26" s="1">
        <v>100</v>
      </c>
      <c r="AD26" s="1">
        <v>0</v>
      </c>
      <c r="AE26" s="1">
        <v>0</v>
      </c>
      <c r="AF26" s="1">
        <v>1</v>
      </c>
      <c r="AG26" s="1">
        <v>1</v>
      </c>
      <c r="AH26" s="1">
        <v>1</v>
      </c>
      <c r="AI26" s="1" t="s">
        <v>34</v>
      </c>
      <c r="AJ26" s="1" t="str">
        <f>HYPERLINK(".\links\CDD\sp_P25227_A1AG_RABIT-CDD.txt","Lipocalin")</f>
        <v>Lipocalin</v>
      </c>
      <c r="AK26" s="1" t="str">
        <f>HYPERLINK("http://www.ncbi.nlm.nih.gov/Structure/cdd/cddsrv.cgi?uid=pfam00061&amp;version=v4.0","0.006")</f>
        <v>0.006</v>
      </c>
      <c r="AL26" s="1" t="s">
        <v>176</v>
      </c>
      <c r="AM26" s="1" t="s">
        <v>177</v>
      </c>
      <c r="AN26" s="1">
        <f>HYPERLINK(".\links\GO\sp_P25227_A1AG_RABIT-GO.txt",1E-64)</f>
        <v>9.9999999999999997E-65</v>
      </c>
      <c r="AO26" s="1" t="str">
        <f>HYPERLINK("http://amigo.geneontology.org/cgi-bin/amigo/term_details?term=GO:0005515","GO:0005515")</f>
        <v>GO:0005515</v>
      </c>
      <c r="AP26" s="1" t="s">
        <v>37</v>
      </c>
      <c r="AQ26" s="1" t="s">
        <v>38</v>
      </c>
      <c r="AR26" s="1" t="s">
        <v>39</v>
      </c>
      <c r="AS26" s="1" t="s">
        <v>33</v>
      </c>
      <c r="AU26" s="2">
        <v>2.0000000000000001E-63</v>
      </c>
      <c r="AV26" s="1" t="str">
        <f>HYPERLINK("http://amigo.geneontology.org/cgi-bin/amigo/term_details?term=GO:0005576","GO:0005576")</f>
        <v>GO:0005576</v>
      </c>
      <c r="AW26" s="1" t="s">
        <v>51</v>
      </c>
      <c r="AX26" s="1" t="s">
        <v>52</v>
      </c>
      <c r="AY26" s="1" t="s">
        <v>53</v>
      </c>
      <c r="AZ26" s="1" t="s">
        <v>33</v>
      </c>
      <c r="BB26" s="2">
        <v>2.0000000000000001E-63</v>
      </c>
      <c r="BC26" s="1" t="str">
        <f>HYPERLINK("http://amigo.geneontology.org/cgi-bin/amigo/term_details?term=GO:0002682","GO:0002682")</f>
        <v>GO:0002682</v>
      </c>
      <c r="BD26" s="1" t="s">
        <v>178</v>
      </c>
      <c r="BE26" s="1" t="s">
        <v>179</v>
      </c>
      <c r="BF26" s="1" t="s">
        <v>33</v>
      </c>
      <c r="BG26" s="1" t="s">
        <v>33</v>
      </c>
      <c r="BI26" s="2">
        <v>2.0000000000000001E-63</v>
      </c>
    </row>
    <row r="27" spans="1:61" x14ac:dyDescent="0.2">
      <c r="A27" s="1" t="str">
        <f>HYPERLINK(".\links\\tr_G1TUX5_G1TUX5_RABIT-.txt","tr|G1TUX5|G1TUX5_RABIT")</f>
        <v>tr|G1TUX5|G1TUX5_RABIT</v>
      </c>
      <c r="B27" s="1" t="s">
        <v>32</v>
      </c>
      <c r="C27" s="1">
        <v>208</v>
      </c>
      <c r="D27" s="1" t="s">
        <v>188</v>
      </c>
      <c r="E27" s="1" t="s">
        <v>700</v>
      </c>
      <c r="F27" s="1" t="str">
        <f>HYPERLINK(".\links\RABBIT-NCBI\tr_G1TUX5_G1TUX5_RABIT-RABBIT-NCBI.txt","Collagen alpha-1(VIII) chain; AltName: Full=Endothelial collagen; Contains:")</f>
        <v>Collagen alpha-1(VIII) chain; AltName: Full=Endothelial collagen; Contains:</v>
      </c>
      <c r="G27" s="1" t="str">
        <f>HYPERLINK("http://www.ncbi.nlm.nih.gov/sutils/blink.cgi?pid=115317","8E-017")</f>
        <v>8E-017</v>
      </c>
      <c r="H27" s="1" t="str">
        <f>HYPERLINK("http://www.ncbi.nlm.nih.gov/protein/115317","gi|115317")</f>
        <v>gi|115317</v>
      </c>
      <c r="I27" s="1">
        <v>79</v>
      </c>
      <c r="J27" s="1">
        <v>213</v>
      </c>
      <c r="K27" s="1">
        <v>744</v>
      </c>
      <c r="L27" s="1">
        <v>29</v>
      </c>
      <c r="M27" s="1">
        <v>41</v>
      </c>
      <c r="N27" s="1">
        <v>29</v>
      </c>
      <c r="O27" s="1">
        <v>150</v>
      </c>
      <c r="P27" s="1">
        <v>49</v>
      </c>
      <c r="Q27" s="1">
        <v>533</v>
      </c>
      <c r="R27" s="1">
        <v>38</v>
      </c>
      <c r="S27" s="1">
        <v>1</v>
      </c>
      <c r="T27" s="1" t="s">
        <v>33</v>
      </c>
      <c r="U27" s="1" t="str">
        <f>HYPERLINK(".\links\REFSEQ-VERTEBRATES\tr_G1TUX5_G1TUX5_RABIT-REFSEQ-VERTEBRATES.txt","protein HP-25 homolog 2-like")</f>
        <v>protein HP-25 homolog 2-like</v>
      </c>
      <c r="V27" s="1" t="str">
        <f>HYPERLINK("http://www.ncbi.nlm.nih.gov/sutils/blink.cgi?pid=655765988","1E-118")</f>
        <v>1E-118</v>
      </c>
      <c r="W27" s="1" t="str">
        <f>HYPERLINK("http://www.ncbi.nlm.nih.gov/protein/655765988","gi|655765988")</f>
        <v>gi|655765988</v>
      </c>
      <c r="X27" s="1">
        <v>427</v>
      </c>
      <c r="Y27" s="1">
        <v>208</v>
      </c>
      <c r="Z27" s="1">
        <v>208</v>
      </c>
      <c r="AA27" s="1">
        <v>100</v>
      </c>
      <c r="AB27" s="1">
        <v>100</v>
      </c>
      <c r="AC27" s="1">
        <v>100</v>
      </c>
      <c r="AD27" s="1">
        <v>0</v>
      </c>
      <c r="AE27" s="1">
        <v>0</v>
      </c>
      <c r="AF27" s="1">
        <v>1</v>
      </c>
      <c r="AG27" s="1">
        <v>1</v>
      </c>
      <c r="AH27" s="1">
        <v>1</v>
      </c>
      <c r="AI27" s="1" t="s">
        <v>34</v>
      </c>
      <c r="AJ27" s="1" t="str">
        <f>HYPERLINK(".\links\CDD\tr_G1TUX5_G1TUX5_RABIT-CDD.txt","C1Q")</f>
        <v>C1Q</v>
      </c>
      <c r="AK27" s="1" t="str">
        <f>HYPERLINK("http://www.ncbi.nlm.nih.gov/Structure/cdd/cddsrv.cgi?uid=smart00110&amp;version=v4.0","1E-017")</f>
        <v>1E-017</v>
      </c>
      <c r="AL27" s="1" t="s">
        <v>180</v>
      </c>
      <c r="AM27" s="1" t="s">
        <v>181</v>
      </c>
      <c r="AN27" s="1">
        <f>HYPERLINK(".\links\GO\tr_G1TUX5_G1TUX5_RABIT-GO.txt",2E-67)</f>
        <v>1.9999999999999999E-67</v>
      </c>
      <c r="AO27" s="1" t="str">
        <f>HYPERLINK("http://amigo.geneontology.org/cgi-bin/amigo/term_details?term=GO:0005102","GO:0005102")</f>
        <v>GO:0005102</v>
      </c>
      <c r="AP27" s="1" t="s">
        <v>182</v>
      </c>
      <c r="AQ27" s="1" t="s">
        <v>183</v>
      </c>
      <c r="AR27" s="1" t="s">
        <v>184</v>
      </c>
      <c r="AS27" s="1" t="s">
        <v>33</v>
      </c>
      <c r="AU27" s="2">
        <v>1.9999999999999998E-21</v>
      </c>
      <c r="AV27" s="1" t="str">
        <f>HYPERLINK("http://amigo.geneontology.org/cgi-bin/amigo/term_details?term=GO:0005615","GO:0005615")</f>
        <v>GO:0005615</v>
      </c>
      <c r="AW27" s="1" t="s">
        <v>40</v>
      </c>
      <c r="AX27" s="1" t="s">
        <v>41</v>
      </c>
      <c r="AY27" s="1" t="s">
        <v>42</v>
      </c>
      <c r="AZ27" s="1" t="s">
        <v>33</v>
      </c>
      <c r="BB27" s="2">
        <v>1.9999999999999998E-21</v>
      </c>
      <c r="BC27" s="1" t="str">
        <f>HYPERLINK("http://amigo.geneontology.org/cgi-bin/amigo/term_details?term=GO:0001934","GO:0001934")</f>
        <v>GO:0001934</v>
      </c>
      <c r="BD27" s="1" t="s">
        <v>185</v>
      </c>
      <c r="BE27" s="1" t="s">
        <v>186</v>
      </c>
      <c r="BF27" s="1" t="s">
        <v>187</v>
      </c>
      <c r="BG27" s="1" t="s">
        <v>33</v>
      </c>
      <c r="BI27" s="2">
        <v>1.9999999999999998E-21</v>
      </c>
    </row>
    <row r="28" spans="1:61" x14ac:dyDescent="0.2">
      <c r="A28" s="1" t="str">
        <f>HYPERLINK(".\links\\tr_G1TKP3_G1TKP3_RABIT-.txt","tr|G1TKP3|G1TKP3_RABIT")</f>
        <v>tr|G1TKP3|G1TKP3_RABIT</v>
      </c>
      <c r="B28" s="1" t="s">
        <v>32</v>
      </c>
      <c r="C28" s="1">
        <v>238</v>
      </c>
      <c r="D28" s="1" t="s">
        <v>217</v>
      </c>
      <c r="E28" s="1" t="s">
        <v>700</v>
      </c>
      <c r="F28" s="1" t="str">
        <f>HYPERLINK(".\links\RABBIT-NCBI\tr_G1TKP3_G1TKP3_RABIT-RABBIT-NCBI.txt","Ig lambda chain C region")</f>
        <v>Ig lambda chain C region</v>
      </c>
      <c r="G28" s="1" t="str">
        <f>HYPERLINK("http://www.ncbi.nlm.nih.gov/sutils/blink.cgi?pid=125948","1E-056")</f>
        <v>1E-056</v>
      </c>
      <c r="H28" s="1" t="str">
        <f>HYPERLINK("http://www.ncbi.nlm.nih.gov/protein/125948","gi|125948")</f>
        <v>gi|125948</v>
      </c>
      <c r="I28" s="1">
        <v>211</v>
      </c>
      <c r="J28" s="1">
        <v>105</v>
      </c>
      <c r="K28" s="1">
        <v>105</v>
      </c>
      <c r="L28" s="1">
        <v>97</v>
      </c>
      <c r="M28" s="1">
        <v>99</v>
      </c>
      <c r="N28" s="1">
        <v>100</v>
      </c>
      <c r="O28" s="1">
        <v>3</v>
      </c>
      <c r="P28" s="1">
        <v>0</v>
      </c>
      <c r="Q28" s="1">
        <v>1</v>
      </c>
      <c r="R28" s="1">
        <v>134</v>
      </c>
      <c r="S28" s="1">
        <v>1</v>
      </c>
      <c r="T28" s="1" t="s">
        <v>33</v>
      </c>
      <c r="U28" s="1" t="str">
        <f>HYPERLINK(".\links\REFSEQ-VERTEBRATES\tr_G1TKP3_G1TKP3_RABIT-REFSEQ-VERTEBRATES.txt","immunoglobulin lambda-like polypeptide 5-like isoform X4")</f>
        <v>immunoglobulin lambda-like polypeptide 5-like isoform X4</v>
      </c>
      <c r="V28" s="1" t="str">
        <f>HYPERLINK("http://www.ncbi.nlm.nih.gov/sutils/blink.cgi?pid=544463076","6E-082")</f>
        <v>6E-082</v>
      </c>
      <c r="W28" s="1" t="str">
        <f>HYPERLINK("http://www.ncbi.nlm.nih.gov/protein/544463076","gi|544463076")</f>
        <v>gi|544463076</v>
      </c>
      <c r="X28" s="1">
        <v>306</v>
      </c>
      <c r="Y28" s="1">
        <v>243</v>
      </c>
      <c r="Z28" s="1">
        <v>243</v>
      </c>
      <c r="AA28" s="1">
        <v>65</v>
      </c>
      <c r="AB28" s="1">
        <v>78</v>
      </c>
      <c r="AC28" s="1">
        <v>100</v>
      </c>
      <c r="AD28" s="1">
        <v>85</v>
      </c>
      <c r="AE28" s="1">
        <v>5</v>
      </c>
      <c r="AF28" s="1">
        <v>1</v>
      </c>
      <c r="AG28" s="1">
        <v>1</v>
      </c>
      <c r="AH28" s="1">
        <v>1</v>
      </c>
      <c r="AI28" s="1" t="s">
        <v>211</v>
      </c>
      <c r="AJ28" s="1" t="str">
        <f>HYPERLINK(".\links\CDD\tr_G1TKP3_G1TKP3_RABIT-CDD.txt","IgC_L")</f>
        <v>IgC_L</v>
      </c>
      <c r="AK28" s="1" t="str">
        <f>HYPERLINK("http://www.ncbi.nlm.nih.gov/Structure/cdd/cddsrv.cgi?uid=cd07699&amp;version=v4.0","2E-024")</f>
        <v>2E-024</v>
      </c>
      <c r="AL28" s="1" t="s">
        <v>212</v>
      </c>
      <c r="AM28" s="1" t="s">
        <v>213</v>
      </c>
      <c r="AN28" s="1">
        <f>HYPERLINK(".\links\GO\tr_G1TKP3_G1TKP3_RABIT-GO.txt",6E-57)</f>
        <v>6E-57</v>
      </c>
      <c r="AO28" s="1" t="str">
        <f>HYPERLINK("http://amigo.geneontology.org/cgi-bin/amigo/term_details?term=GO:0003823","GO:0003823")</f>
        <v>GO:0003823</v>
      </c>
      <c r="AP28" s="1" t="s">
        <v>67</v>
      </c>
      <c r="AQ28" s="1" t="s">
        <v>68</v>
      </c>
      <c r="AR28" s="1" t="s">
        <v>69</v>
      </c>
      <c r="AS28" s="1" t="s">
        <v>33</v>
      </c>
      <c r="AU28" s="2">
        <v>1.9999999999999999E-40</v>
      </c>
      <c r="AV28" s="1" t="str">
        <f>HYPERLINK("http://amigo.geneontology.org/cgi-bin/amigo/term_details?term=GO:0005576","GO:0005576")</f>
        <v>GO:0005576</v>
      </c>
      <c r="AW28" s="1" t="s">
        <v>51</v>
      </c>
      <c r="AX28" s="1" t="s">
        <v>52</v>
      </c>
      <c r="AY28" s="1" t="s">
        <v>53</v>
      </c>
      <c r="AZ28" s="1" t="s">
        <v>33</v>
      </c>
      <c r="BB28" s="2">
        <v>1.9999999999999999E-40</v>
      </c>
      <c r="BC28" s="1" t="str">
        <f>HYPERLINK("http://amigo.geneontology.org/cgi-bin/amigo/term_details?term=GO:0006956","GO:0006956")</f>
        <v>GO:0006956</v>
      </c>
      <c r="BD28" s="1" t="s">
        <v>214</v>
      </c>
      <c r="BE28" s="1" t="s">
        <v>215</v>
      </c>
      <c r="BF28" s="1" t="s">
        <v>216</v>
      </c>
      <c r="BG28" s="1" t="s">
        <v>33</v>
      </c>
      <c r="BI28" s="2">
        <v>1.9999999999999999E-40</v>
      </c>
    </row>
    <row r="29" spans="1:61" x14ac:dyDescent="0.2">
      <c r="A29" s="1" t="str">
        <f>HYPERLINK(".\links\\sp_P01870_IGHG_RABIT-.txt","sp|P01870|IGHG_RABIT")</f>
        <v>sp|P01870|IGHG_RABIT</v>
      </c>
      <c r="B29" s="1" t="s">
        <v>85</v>
      </c>
      <c r="C29" s="1">
        <v>323</v>
      </c>
      <c r="D29" s="1" t="s">
        <v>638</v>
      </c>
      <c r="E29" s="1" t="s">
        <v>700</v>
      </c>
      <c r="F29" s="1" t="str">
        <f>HYPERLINK(".\links\RABBIT-NCBI\sp_P01870_IGHG_RABIT-RABBIT-NCBI.txt","Ig gamma chain C region")</f>
        <v>Ig gamma chain C region</v>
      </c>
      <c r="G29" s="1" t="str">
        <f>HYPERLINK("http://www.ncbi.nlm.nih.gov/sutils/blink.cgi?pid=121088","0.0")</f>
        <v>0.0</v>
      </c>
      <c r="H29" s="1" t="str">
        <f>HYPERLINK("http://www.ncbi.nlm.nih.gov/protein/121088","gi|121088")</f>
        <v>gi|121088</v>
      </c>
      <c r="I29" s="1">
        <v>671</v>
      </c>
      <c r="J29" s="1">
        <v>323</v>
      </c>
      <c r="K29" s="1">
        <v>323</v>
      </c>
      <c r="L29" s="1">
        <v>100</v>
      </c>
      <c r="M29" s="1">
        <v>100</v>
      </c>
      <c r="N29" s="1">
        <v>100</v>
      </c>
      <c r="O29" s="1">
        <v>0</v>
      </c>
      <c r="P29" s="1">
        <v>0</v>
      </c>
      <c r="Q29" s="1">
        <v>1</v>
      </c>
      <c r="R29" s="1">
        <v>1</v>
      </c>
      <c r="S29" s="1">
        <v>1</v>
      </c>
      <c r="T29" s="1" t="s">
        <v>33</v>
      </c>
      <c r="U29" s="1" t="str">
        <f>HYPERLINK(".\links\REFSEQ-VERTEBRATES\sp_P01870_IGHG_RABIT-REFSEQ-VERTEBRATES.txt","Ig gamma chain C region isoform X2")</f>
        <v>Ig gamma chain C region isoform X2</v>
      </c>
      <c r="V29" s="1" t="str">
        <f>HYPERLINK("http://www.ncbi.nlm.nih.gov/sutils/blink.cgi?pid=655898757","0.0")</f>
        <v>0.0</v>
      </c>
      <c r="W29" s="1" t="str">
        <f>HYPERLINK("http://www.ncbi.nlm.nih.gov/protein/655898757","gi|655898757")</f>
        <v>gi|655898757</v>
      </c>
      <c r="X29" s="1">
        <v>664</v>
      </c>
      <c r="Y29" s="1">
        <v>323</v>
      </c>
      <c r="Z29" s="1">
        <v>337</v>
      </c>
      <c r="AA29" s="1">
        <v>99</v>
      </c>
      <c r="AB29" s="1">
        <v>99</v>
      </c>
      <c r="AC29" s="1">
        <v>96</v>
      </c>
      <c r="AD29" s="1">
        <v>3</v>
      </c>
      <c r="AE29" s="1">
        <v>0</v>
      </c>
      <c r="AF29" s="1">
        <v>15</v>
      </c>
      <c r="AG29" s="1">
        <v>1</v>
      </c>
      <c r="AH29" s="1">
        <v>1</v>
      </c>
      <c r="AI29" s="1" t="s">
        <v>34</v>
      </c>
      <c r="AJ29" s="1" t="str">
        <f>HYPERLINK(".\links\CDD\sp_P01870_IGHG_RABIT-CDD.txt","IgC_CH1")</f>
        <v>IgC_CH1</v>
      </c>
      <c r="AK29" s="1" t="str">
        <f>HYPERLINK("http://www.ncbi.nlm.nih.gov/Structure/cdd/cddsrv.cgi?uid=cd04985&amp;version=v4.0","6E-023")</f>
        <v>6E-023</v>
      </c>
      <c r="AL29" s="1" t="s">
        <v>252</v>
      </c>
      <c r="AM29" s="1" t="s">
        <v>253</v>
      </c>
      <c r="AN29" s="1">
        <f>HYPERLINK(".\links\GO\sp_P01870_IGHG_RABIT-GO.txt",0)</f>
        <v>0</v>
      </c>
      <c r="AO29" s="1" t="str">
        <f>HYPERLINK("http://amigo.geneontology.org/cgi-bin/amigo/term_details?term=GO:0003823","GO:0003823")</f>
        <v>GO:0003823</v>
      </c>
      <c r="AP29" s="1" t="s">
        <v>67</v>
      </c>
      <c r="AQ29" s="1" t="s">
        <v>68</v>
      </c>
      <c r="AR29" s="1" t="s">
        <v>69</v>
      </c>
      <c r="AS29" s="1" t="s">
        <v>33</v>
      </c>
      <c r="AU29" s="2">
        <v>1.0000000000000001E-133</v>
      </c>
      <c r="AV29" s="1" t="str">
        <f>HYPERLINK("http://amigo.geneontology.org/cgi-bin/amigo/term_details?term=GO:0005576","GO:0005576")</f>
        <v>GO:0005576</v>
      </c>
      <c r="AW29" s="1" t="s">
        <v>51</v>
      </c>
      <c r="AX29" s="1" t="s">
        <v>52</v>
      </c>
      <c r="AY29" s="1" t="s">
        <v>53</v>
      </c>
      <c r="AZ29" s="1" t="s">
        <v>33</v>
      </c>
      <c r="BB29" s="2">
        <v>1.0000000000000001E-133</v>
      </c>
      <c r="BC29" s="1" t="str">
        <f>HYPERLINK("http://amigo.geneontology.org/cgi-bin/amigo/term_details?term=GO:0006956","GO:0006956")</f>
        <v>GO:0006956</v>
      </c>
      <c r="BD29" s="1" t="s">
        <v>214</v>
      </c>
      <c r="BE29" s="1" t="s">
        <v>215</v>
      </c>
      <c r="BF29" s="1" t="s">
        <v>216</v>
      </c>
      <c r="BG29" s="1" t="s">
        <v>33</v>
      </c>
      <c r="BI29" s="2">
        <v>1.0000000000000001E-133</v>
      </c>
    </row>
    <row r="30" spans="1:61" x14ac:dyDescent="0.2">
      <c r="A30" s="1" t="str">
        <f>HYPERLINK(".\links\\sp_P04221_MUCM_RABIT-.txt","sp|P04221|MUCM_RABIT")</f>
        <v>sp|P04221|MUCM_RABIT</v>
      </c>
      <c r="B30" s="1" t="s">
        <v>312</v>
      </c>
      <c r="C30" s="1">
        <v>479</v>
      </c>
      <c r="D30" s="1" t="s">
        <v>646</v>
      </c>
      <c r="E30" s="1" t="s">
        <v>700</v>
      </c>
      <c r="F30" s="1" t="str">
        <f>HYPERLINK(".\links\RABBIT-NCBI\sp_P04221_MUCM_RABIT-RABBIT-NCBI.txt","Ig mu chain C region membrane-bound form")</f>
        <v>Ig mu chain C region membrane-bound form</v>
      </c>
      <c r="G30" s="1" t="str">
        <f>HYPERLINK("http://www.ncbi.nlm.nih.gov/sutils/blink.cgi?pid=127511","0.0")</f>
        <v>0.0</v>
      </c>
      <c r="H30" s="1" t="str">
        <f>HYPERLINK("http://www.ncbi.nlm.nih.gov/protein/127511","gi|127511")</f>
        <v>gi|127511</v>
      </c>
      <c r="I30" s="1">
        <v>966</v>
      </c>
      <c r="J30" s="1">
        <v>479</v>
      </c>
      <c r="K30" s="1">
        <v>479</v>
      </c>
      <c r="L30" s="1">
        <v>100</v>
      </c>
      <c r="M30" s="1">
        <v>100</v>
      </c>
      <c r="N30" s="1">
        <v>100</v>
      </c>
      <c r="O30" s="1">
        <v>0</v>
      </c>
      <c r="P30" s="1">
        <v>0</v>
      </c>
      <c r="Q30" s="1">
        <v>1</v>
      </c>
      <c r="R30" s="1">
        <v>1</v>
      </c>
      <c r="S30" s="1">
        <v>1</v>
      </c>
      <c r="T30" s="1" t="s">
        <v>33</v>
      </c>
      <c r="U30" s="1" t="str">
        <f>HYPERLINK(".\links\REFSEQ-VERTEBRATES\sp_P04221_MUCM_RABIT-REFSEQ-VERTEBRATES.txt","Ig mu chain C region membrane-bound form-like")</f>
        <v>Ig mu chain C region membrane-bound form-like</v>
      </c>
      <c r="V30" s="1" t="str">
        <f>HYPERLINK("http://www.ncbi.nlm.nih.gov/sutils/blink.cgi?pid=512892287","0.0")</f>
        <v>0.0</v>
      </c>
      <c r="W30" s="1" t="str">
        <f>HYPERLINK("http://www.ncbi.nlm.nih.gov/protein/512892287","gi|512892287")</f>
        <v>gi|512892287</v>
      </c>
      <c r="X30" s="1">
        <v>639</v>
      </c>
      <c r="Y30" s="1">
        <v>467</v>
      </c>
      <c r="Z30" s="1">
        <v>1164</v>
      </c>
      <c r="AA30" s="1">
        <v>68</v>
      </c>
      <c r="AB30" s="1">
        <v>79</v>
      </c>
      <c r="AC30" s="1">
        <v>40</v>
      </c>
      <c r="AD30" s="1">
        <v>146</v>
      </c>
      <c r="AE30" s="1">
        <v>5</v>
      </c>
      <c r="AF30" s="1">
        <v>147</v>
      </c>
      <c r="AG30" s="1">
        <v>2</v>
      </c>
      <c r="AH30" s="1">
        <v>1</v>
      </c>
      <c r="AI30" s="1" t="s">
        <v>414</v>
      </c>
      <c r="AJ30" s="1" t="str">
        <f>HYPERLINK(".\links\CDD\sp_P04221_MUCM_RABIT-CDD.txt","IgC_CH4")</f>
        <v>IgC_CH4</v>
      </c>
      <c r="AK30" s="1" t="str">
        <f>HYPERLINK("http://www.ncbi.nlm.nih.gov/Structure/cdd/cddsrv.cgi?uid=cd05768&amp;version=v4.0","1E-034")</f>
        <v>1E-034</v>
      </c>
      <c r="AL30" s="1" t="s">
        <v>415</v>
      </c>
      <c r="AM30" s="1" t="s">
        <v>416</v>
      </c>
      <c r="AN30" s="1">
        <f>HYPERLINK(".\links\GO\sp_P04221_MUCM_RABIT-GO.txt",0)</f>
        <v>0</v>
      </c>
      <c r="AO30" s="1" t="str">
        <f>HYPERLINK("http://amigo.geneontology.org/cgi-bin/amigo/term_details?term=GO:0003823","GO:0003823")</f>
        <v>GO:0003823</v>
      </c>
      <c r="AP30" s="1" t="s">
        <v>67</v>
      </c>
      <c r="AQ30" s="1" t="s">
        <v>68</v>
      </c>
      <c r="AR30" s="1" t="s">
        <v>69</v>
      </c>
      <c r="AS30" s="1" t="s">
        <v>33</v>
      </c>
      <c r="AU30" s="2">
        <v>9.9999999999999998E-172</v>
      </c>
      <c r="AV30" s="1" t="str">
        <f>HYPERLINK("http://amigo.geneontology.org/cgi-bin/amigo/term_details?term=GO:0005615","GO:0005615")</f>
        <v>GO:0005615</v>
      </c>
      <c r="AW30" s="1" t="s">
        <v>40</v>
      </c>
      <c r="AX30" s="1" t="s">
        <v>41</v>
      </c>
      <c r="AY30" s="1" t="s">
        <v>42</v>
      </c>
      <c r="AZ30" s="1" t="s">
        <v>33</v>
      </c>
      <c r="BB30" s="2">
        <v>9.9999999999999998E-172</v>
      </c>
      <c r="BC30" s="1" t="str">
        <f>HYPERLINK("http://amigo.geneontology.org/cgi-bin/amigo/term_details?term=GO:0002250","GO:0002250")</f>
        <v>GO:0002250</v>
      </c>
      <c r="BD30" s="1" t="s">
        <v>417</v>
      </c>
      <c r="BE30" s="1" t="s">
        <v>418</v>
      </c>
      <c r="BF30" s="1" t="s">
        <v>419</v>
      </c>
      <c r="BG30" s="1" t="s">
        <v>33</v>
      </c>
      <c r="BI30" s="2">
        <v>9.9999999999999998E-172</v>
      </c>
    </row>
    <row r="31" spans="1:61" x14ac:dyDescent="0.2">
      <c r="A31" s="1" t="str">
        <f>HYPERLINK(".\links\\tr_G1T3X1_G1T3X1_RABIT-.txt","tr|G1T3X1|G1T3X1_RABIT")</f>
        <v>tr|G1T3X1|G1T3X1_RABIT</v>
      </c>
      <c r="B31" s="1" t="s">
        <v>32</v>
      </c>
      <c r="C31" s="1">
        <v>557</v>
      </c>
      <c r="D31" s="1" t="s">
        <v>679</v>
      </c>
      <c r="E31" s="1" t="s">
        <v>700</v>
      </c>
      <c r="F31" s="1" t="str">
        <f>HYPERLINK(".\links\RABBIT-NCBI\tr_G1T3X1_G1T3X1_RABIT-RABBIT-NCBI.txt","Complement component C9; Flags: Precursor")</f>
        <v>Complement component C9; Flags: Precursor</v>
      </c>
      <c r="G31" s="1" t="str">
        <f>HYPERLINK("http://www.ncbi.nlm.nih.gov/sutils/blink.cgi?pid=1352109","0.0")</f>
        <v>0.0</v>
      </c>
      <c r="H31" s="1" t="str">
        <f>HYPERLINK("http://www.ncbi.nlm.nih.gov/protein/1352109","gi|1352109")</f>
        <v>gi|1352109</v>
      </c>
      <c r="I31" s="1">
        <v>1134</v>
      </c>
      <c r="J31" s="1">
        <v>557</v>
      </c>
      <c r="K31" s="1">
        <v>557</v>
      </c>
      <c r="L31" s="1">
        <v>98</v>
      </c>
      <c r="M31" s="1">
        <v>99</v>
      </c>
      <c r="N31" s="1">
        <v>100</v>
      </c>
      <c r="O31" s="1">
        <v>10</v>
      </c>
      <c r="P31" s="1">
        <v>0</v>
      </c>
      <c r="Q31" s="1">
        <v>1</v>
      </c>
      <c r="R31" s="1">
        <v>1</v>
      </c>
      <c r="S31" s="1">
        <v>1</v>
      </c>
      <c r="T31" s="1" t="s">
        <v>33</v>
      </c>
      <c r="U31" s="1" t="str">
        <f>HYPERLINK(".\links\REFSEQ-VERTEBRATES\tr_G1T3X1_G1T3X1_RABIT-REFSEQ-VERTEBRATES.txt","complement component C9 precursor")</f>
        <v>complement component C9 precursor</v>
      </c>
      <c r="V31" s="1" t="str">
        <f>HYPERLINK("http://www.ncbi.nlm.nih.gov/sutils/blink.cgi?pid=126723572","0.0")</f>
        <v>0.0</v>
      </c>
      <c r="W31" s="1" t="str">
        <f>HYPERLINK("http://www.ncbi.nlm.nih.gov/protein/126723572","gi|126723572")</f>
        <v>gi|126723572</v>
      </c>
      <c r="X31" s="1">
        <v>1134</v>
      </c>
      <c r="Y31" s="1">
        <v>557</v>
      </c>
      <c r="Z31" s="1">
        <v>557</v>
      </c>
      <c r="AA31" s="1">
        <v>98</v>
      </c>
      <c r="AB31" s="1">
        <v>99</v>
      </c>
      <c r="AC31" s="1">
        <v>100</v>
      </c>
      <c r="AD31" s="1">
        <v>10</v>
      </c>
      <c r="AE31" s="1">
        <v>0</v>
      </c>
      <c r="AF31" s="1">
        <v>1</v>
      </c>
      <c r="AG31" s="1">
        <v>1</v>
      </c>
      <c r="AH31" s="1">
        <v>1</v>
      </c>
      <c r="AI31" s="1" t="s">
        <v>34</v>
      </c>
      <c r="AJ31" s="1" t="str">
        <f>HYPERLINK(".\links\CDD\tr_G1T3X1_G1T3X1_RABIT-CDD.txt","MACPF")</f>
        <v>MACPF</v>
      </c>
      <c r="AK31" s="1" t="str">
        <f>HYPERLINK("http://www.ncbi.nlm.nih.gov/Structure/cdd/cddsrv.cgi?uid=smart00457&amp;version=v4.0","3E-023")</f>
        <v>3E-023</v>
      </c>
      <c r="AL31" s="1" t="s">
        <v>462</v>
      </c>
      <c r="AM31" s="1" t="s">
        <v>463</v>
      </c>
      <c r="AN31" s="1">
        <f>HYPERLINK(".\links\GO\tr_G1T3X1_G1T3X1_RABIT-GO.txt",0)</f>
        <v>0</v>
      </c>
      <c r="AO31" s="1" t="s">
        <v>33</v>
      </c>
      <c r="AP31" s="1" t="s">
        <v>33</v>
      </c>
      <c r="AQ31" s="1" t="s">
        <v>33</v>
      </c>
      <c r="AR31" s="1" t="s">
        <v>33</v>
      </c>
      <c r="AT31" s="1" t="s">
        <v>33</v>
      </c>
      <c r="AU31" s="1" t="s">
        <v>33</v>
      </c>
      <c r="AV31" s="1" t="str">
        <f>HYPERLINK("http://amigo.geneontology.org/cgi-bin/amigo/term_details?term=GO:0005579","GO:0005579")</f>
        <v>GO:0005579</v>
      </c>
      <c r="AW31" s="1" t="s">
        <v>464</v>
      </c>
      <c r="AX31" s="1" t="s">
        <v>465</v>
      </c>
      <c r="AY31" s="1" t="s">
        <v>466</v>
      </c>
      <c r="AZ31" s="1" t="s">
        <v>33</v>
      </c>
      <c r="BB31" s="2">
        <v>2E-66</v>
      </c>
      <c r="BC31" s="1" t="str">
        <f>HYPERLINK("http://amigo.geneontology.org/cgi-bin/amigo/term_details?term=GO:0006956","GO:0006956")</f>
        <v>GO:0006956</v>
      </c>
      <c r="BD31" s="1" t="s">
        <v>214</v>
      </c>
      <c r="BE31" s="1" t="s">
        <v>215</v>
      </c>
      <c r="BF31" s="1" t="s">
        <v>216</v>
      </c>
      <c r="BG31" s="1" t="s">
        <v>33</v>
      </c>
      <c r="BI31" s="2">
        <v>2E-66</v>
      </c>
    </row>
    <row r="32" spans="1:61" x14ac:dyDescent="0.2">
      <c r="A32" s="1" t="str">
        <f>HYPERLINK(".\links\\tr_G1SUZ1_G1SUZ1_RABIT-.txt","tr|G1SUZ1|G1SUZ1_RABIT")</f>
        <v>tr|G1SUZ1|G1SUZ1_RABIT</v>
      </c>
      <c r="B32" s="1" t="s">
        <v>32</v>
      </c>
      <c r="C32" s="1">
        <v>1114</v>
      </c>
      <c r="D32" s="1" t="s">
        <v>680</v>
      </c>
      <c r="E32" s="1" t="s">
        <v>700</v>
      </c>
      <c r="F32" s="1" t="str">
        <f>HYPERLINK(".\links\RABBIT-NCBI\tr_G1SUZ1_G1SUZ1_RABIT-RABBIT-NCBI.txt","Complement C3 alpha chain")</f>
        <v>Complement C3 alpha chain</v>
      </c>
      <c r="G32" s="1" t="str">
        <f>HYPERLINK("http://www.ncbi.nlm.nih.gov/sutils/blink.cgi?pid=116596","0.0")</f>
        <v>0.0</v>
      </c>
      <c r="H32" s="1" t="str">
        <f>HYPERLINK("http://www.ncbi.nlm.nih.gov/protein/116596","gi|116596")</f>
        <v>gi|116596</v>
      </c>
      <c r="I32" s="1">
        <v>1367</v>
      </c>
      <c r="J32" s="1">
        <v>710</v>
      </c>
      <c r="K32" s="1">
        <v>726</v>
      </c>
      <c r="L32" s="1">
        <v>96</v>
      </c>
      <c r="M32" s="1">
        <v>97</v>
      </c>
      <c r="N32" s="1">
        <v>98</v>
      </c>
      <c r="O32" s="1">
        <v>27</v>
      </c>
      <c r="P32" s="1">
        <v>1</v>
      </c>
      <c r="Q32" s="1">
        <v>1</v>
      </c>
      <c r="R32" s="1">
        <v>148</v>
      </c>
      <c r="S32" s="1">
        <v>1</v>
      </c>
      <c r="T32" s="1" t="s">
        <v>33</v>
      </c>
      <c r="U32" s="1" t="str">
        <f>HYPERLINK(".\links\REFSEQ-VERTEBRATES\tr_G1SUZ1_G1SUZ1_RABIT-REFSEQ-VERTEBRATES.txt","complement C3 alpha chain isoform X1, partial")</f>
        <v>complement C3 alpha chain isoform X1, partial</v>
      </c>
      <c r="V32" s="1" t="str">
        <f>HYPERLINK("http://www.ncbi.nlm.nih.gov/sutils/blink.cgi?pid=655899294","0.0")</f>
        <v>0.0</v>
      </c>
      <c r="W32" s="1" t="str">
        <f>HYPERLINK("http://www.ncbi.nlm.nih.gov/protein/655899294","gi|655899294")</f>
        <v>gi|655899294</v>
      </c>
      <c r="X32" s="1">
        <v>1706</v>
      </c>
      <c r="Y32" s="1">
        <v>857</v>
      </c>
      <c r="Z32" s="1">
        <v>906</v>
      </c>
      <c r="AA32" s="1">
        <v>99</v>
      </c>
      <c r="AB32" s="1">
        <v>99</v>
      </c>
      <c r="AC32" s="1">
        <v>95</v>
      </c>
      <c r="AD32" s="1">
        <v>5</v>
      </c>
      <c r="AE32" s="1">
        <v>1</v>
      </c>
      <c r="AF32" s="1">
        <v>34</v>
      </c>
      <c r="AG32" s="1">
        <v>1</v>
      </c>
      <c r="AH32" s="1">
        <v>1</v>
      </c>
      <c r="AI32" s="1" t="s">
        <v>34</v>
      </c>
      <c r="AJ32" s="1" t="str">
        <f>HYPERLINK(".\links\CDD\tr_G1SUZ1_G1SUZ1_RABIT-CDD.txt","complement_C3_C")</f>
        <v>complement_C3_C</v>
      </c>
      <c r="AK32" s="1" t="str">
        <f>HYPERLINK("http://www.ncbi.nlm.nih.gov/Structure/cdd/cddsrv.cgi?uid=cd02896&amp;version=v4.0","5E-076")</f>
        <v>5E-076</v>
      </c>
      <c r="AL32" s="1" t="s">
        <v>566</v>
      </c>
      <c r="AM32" s="1" t="s">
        <v>567</v>
      </c>
      <c r="AN32" s="1">
        <f>HYPERLINK(".\links\GO\tr_G1SUZ1_G1SUZ1_RABIT-GO.txt",0)</f>
        <v>0</v>
      </c>
      <c r="AO32" s="1" t="str">
        <f>HYPERLINK("http://amigo.geneontology.org/cgi-bin/amigo/term_details?term=GO:0004866","GO:0004866")</f>
        <v>GO:0004866</v>
      </c>
      <c r="AP32" s="1" t="s">
        <v>568</v>
      </c>
      <c r="AQ32" s="1" t="s">
        <v>569</v>
      </c>
      <c r="AR32" s="1" t="s">
        <v>570</v>
      </c>
      <c r="AS32" s="1" t="s">
        <v>33</v>
      </c>
      <c r="AU32" s="1">
        <v>0</v>
      </c>
      <c r="AV32" s="1" t="str">
        <f>HYPERLINK("http://amigo.geneontology.org/cgi-bin/amigo/term_details?term=GO:0005615","GO:0005615")</f>
        <v>GO:0005615</v>
      </c>
      <c r="AW32" s="1" t="s">
        <v>40</v>
      </c>
      <c r="AX32" s="1" t="s">
        <v>41</v>
      </c>
      <c r="AY32" s="1" t="s">
        <v>42</v>
      </c>
      <c r="AZ32" s="1" t="s">
        <v>33</v>
      </c>
      <c r="BB32" s="1">
        <v>0</v>
      </c>
      <c r="BC32" s="1" t="str">
        <f>HYPERLINK("http://amigo.geneontology.org/cgi-bin/amigo/term_details?term=GO:0001798","GO:0001798")</f>
        <v>GO:0001798</v>
      </c>
      <c r="BD32" s="1" t="s">
        <v>571</v>
      </c>
      <c r="BE32" s="1" t="s">
        <v>572</v>
      </c>
      <c r="BF32" s="1" t="s">
        <v>573</v>
      </c>
      <c r="BG32" s="1" t="s">
        <v>33</v>
      </c>
      <c r="BI32" s="1">
        <v>0</v>
      </c>
    </row>
    <row r="33" spans="1:61" x14ac:dyDescent="0.2">
      <c r="A33" s="1" t="str">
        <f>HYPERLINK(".\links\\tr_G1SS91_G1SS91_RABIT-.txt","tr|G1SS91|G1SS91_RABIT")</f>
        <v>tr|G1SS91|G1SS91_RABIT</v>
      </c>
      <c r="B33" s="1" t="s">
        <v>318</v>
      </c>
      <c r="C33" s="1">
        <v>1752</v>
      </c>
      <c r="D33" s="1" t="s">
        <v>681</v>
      </c>
      <c r="E33" s="1" t="s">
        <v>700</v>
      </c>
      <c r="F33" s="1" t="str">
        <f>HYPERLINK(".\links\RABBIT-NCBI\tr_G1SS91_G1SS91_RABIT-RABBIT-NCBI.txt","Complement C3 alpha chain")</f>
        <v>Complement C3 alpha chain</v>
      </c>
      <c r="G33" s="1" t="str">
        <f>HYPERLINK("http://www.ncbi.nlm.nih.gov/sutils/blink.cgi?pid=116596","6E-061")</f>
        <v>6E-061</v>
      </c>
      <c r="H33" s="1" t="str">
        <f>HYPERLINK("http://www.ncbi.nlm.nih.gov/protein/116596","gi|116596")</f>
        <v>gi|116596</v>
      </c>
      <c r="I33" s="1">
        <v>229</v>
      </c>
      <c r="J33" s="1">
        <v>767</v>
      </c>
      <c r="K33" s="1">
        <v>726</v>
      </c>
      <c r="L33" s="1">
        <v>27</v>
      </c>
      <c r="M33" s="1">
        <v>44</v>
      </c>
      <c r="N33" s="1">
        <v>106</v>
      </c>
      <c r="O33" s="1">
        <v>557</v>
      </c>
      <c r="P33" s="1">
        <v>109</v>
      </c>
      <c r="Q33" s="1">
        <v>54</v>
      </c>
      <c r="R33" s="1">
        <v>997</v>
      </c>
      <c r="S33" s="1">
        <v>1</v>
      </c>
      <c r="T33" s="1" t="s">
        <v>33</v>
      </c>
      <c r="U33" s="1" t="str">
        <f>HYPERLINK(".\links\REFSEQ-VERTEBRATES\tr_G1SS91_G1SS91_RABIT-REFSEQ-VERTEBRATES.txt","complement C4-A")</f>
        <v>complement C4-A</v>
      </c>
      <c r="V33" s="1" t="str">
        <f>HYPERLINK("http://www.ncbi.nlm.nih.gov/sutils/blink.cgi?pid=291395827","0.0")</f>
        <v>0.0</v>
      </c>
      <c r="W33" s="1" t="str">
        <f>HYPERLINK("http://www.ncbi.nlm.nih.gov/protein/291395827","gi|291395827")</f>
        <v>gi|291395827</v>
      </c>
      <c r="X33" s="1">
        <v>3461</v>
      </c>
      <c r="Y33" s="1">
        <v>1745</v>
      </c>
      <c r="Z33" s="1">
        <v>1743</v>
      </c>
      <c r="AA33" s="1">
        <v>99</v>
      </c>
      <c r="AB33" s="1">
        <v>99</v>
      </c>
      <c r="AC33" s="1">
        <v>100</v>
      </c>
      <c r="AD33" s="1">
        <v>2</v>
      </c>
      <c r="AE33" s="1">
        <v>2</v>
      </c>
      <c r="AF33" s="1">
        <v>1</v>
      </c>
      <c r="AG33" s="1">
        <v>8</v>
      </c>
      <c r="AH33" s="1">
        <v>1</v>
      </c>
      <c r="AI33" s="1" t="s">
        <v>34</v>
      </c>
      <c r="AJ33" s="1" t="str">
        <f>HYPERLINK(".\links\CDD\tr_G1SS91_G1SS91_RABIT-CDD.txt","complement_C3_C")</f>
        <v>complement_C3_C</v>
      </c>
      <c r="AK33" s="1" t="str">
        <f>HYPERLINK("http://www.ncbi.nlm.nih.gov/Structure/cdd/cddsrv.cgi?uid=cd02896&amp;version=v4.0","1E-067")</f>
        <v>1E-067</v>
      </c>
      <c r="AL33" s="1" t="s">
        <v>600</v>
      </c>
      <c r="AM33" s="1" t="s">
        <v>601</v>
      </c>
      <c r="AN33" s="1">
        <f>HYPERLINK(".\links\GO\tr_G1SS91_G1SS91_RABIT-GO.txt",0)</f>
        <v>0</v>
      </c>
      <c r="AO33" s="1" t="str">
        <f>HYPERLINK("http://amigo.geneontology.org/cgi-bin/amigo/term_details?term=GO:0001849","GO:0001849")</f>
        <v>GO:0001849</v>
      </c>
      <c r="AP33" s="1" t="s">
        <v>602</v>
      </c>
      <c r="AQ33" s="1" t="s">
        <v>603</v>
      </c>
      <c r="AR33" s="1" t="s">
        <v>33</v>
      </c>
      <c r="AS33" s="1" t="s">
        <v>33</v>
      </c>
      <c r="AU33" s="1">
        <v>0</v>
      </c>
      <c r="AV33" s="1" t="str">
        <f>HYPERLINK("http://amigo.geneontology.org/cgi-bin/amigo/term_details?term=GO:0005576","GO:0005576")</f>
        <v>GO:0005576</v>
      </c>
      <c r="AW33" s="1" t="s">
        <v>51</v>
      </c>
      <c r="AX33" s="1" t="s">
        <v>52</v>
      </c>
      <c r="AY33" s="1" t="s">
        <v>53</v>
      </c>
      <c r="AZ33" s="1" t="s">
        <v>33</v>
      </c>
      <c r="BB33" s="1">
        <v>0</v>
      </c>
      <c r="BC33" s="1" t="str">
        <f>HYPERLINK("http://amigo.geneontology.org/cgi-bin/amigo/term_details?term=GO:0006954","GO:0006954")</f>
        <v>GO:0006954</v>
      </c>
      <c r="BD33" s="1" t="s">
        <v>604</v>
      </c>
      <c r="BE33" s="1" t="s">
        <v>605</v>
      </c>
      <c r="BF33" s="1" t="s">
        <v>606</v>
      </c>
      <c r="BG33" s="1" t="s">
        <v>33</v>
      </c>
      <c r="BI33" s="1">
        <v>0</v>
      </c>
    </row>
    <row r="34" spans="1:61" x14ac:dyDescent="0.2">
      <c r="A34" s="1" t="str">
        <f>HYPERLINK(".\links\\tr_G1THZ6_G1THZ6_RABIT-.txt","tr|G1THZ6|G1THZ6_RABIT")</f>
        <v>tr|G1THZ6|G1THZ6_RABIT</v>
      </c>
      <c r="B34" s="1" t="s">
        <v>32</v>
      </c>
      <c r="C34" s="1">
        <v>480</v>
      </c>
      <c r="D34" s="1" t="s">
        <v>647</v>
      </c>
      <c r="E34" s="1" t="s">
        <v>700</v>
      </c>
      <c r="F34" s="1" t="str">
        <f>HYPERLINK(".\links\RABBIT-NCBI\tr_G1THZ6_G1THZ6_RABIT-RABBIT-NCBI.txt","Ig gamma chain C region")</f>
        <v>Ig gamma chain C region</v>
      </c>
      <c r="G34" s="1" t="str">
        <f>HYPERLINK("http://www.ncbi.nlm.nih.gov/sutils/blink.cgi?pid=121088","1E-155")</f>
        <v>1E-155</v>
      </c>
      <c r="H34" s="1" t="str">
        <f>HYPERLINK("http://www.ncbi.nlm.nih.gov/protein/121088","gi|121088")</f>
        <v>gi|121088</v>
      </c>
      <c r="I34" s="1">
        <v>540</v>
      </c>
      <c r="J34" s="1">
        <v>321</v>
      </c>
      <c r="K34" s="1">
        <v>323</v>
      </c>
      <c r="L34" s="1">
        <v>84</v>
      </c>
      <c r="M34" s="1">
        <v>84</v>
      </c>
      <c r="N34" s="1">
        <v>99</v>
      </c>
      <c r="O34" s="1">
        <v>50</v>
      </c>
      <c r="P34" s="1">
        <v>47</v>
      </c>
      <c r="Q34" s="1">
        <v>1</v>
      </c>
      <c r="R34" s="1">
        <v>136</v>
      </c>
      <c r="S34" s="1">
        <v>1</v>
      </c>
      <c r="T34" s="1" t="s">
        <v>33</v>
      </c>
      <c r="U34" s="1" t="str">
        <f>HYPERLINK(".\links\REFSEQ-VERTEBRATES\tr_G1THZ6_G1THZ6_RABIT-REFSEQ-VERTEBRATES.txt","Ig gamma chain C region isoform X1")</f>
        <v>Ig gamma chain C region isoform X1</v>
      </c>
      <c r="V34" s="1" t="str">
        <f>HYPERLINK("http://www.ncbi.nlm.nih.gov/sutils/blink.cgi?pid=655898754","1E-162")</f>
        <v>1E-162</v>
      </c>
      <c r="W34" s="1" t="str">
        <f>HYPERLINK("http://www.ncbi.nlm.nih.gov/protein/655898754","gi|655898754")</f>
        <v>gi|655898754</v>
      </c>
      <c r="X34" s="1">
        <v>575</v>
      </c>
      <c r="Y34" s="1">
        <v>338</v>
      </c>
      <c r="Z34" s="1">
        <v>392</v>
      </c>
      <c r="AA34" s="1">
        <v>85</v>
      </c>
      <c r="AB34" s="1">
        <v>85</v>
      </c>
      <c r="AC34" s="1">
        <v>86</v>
      </c>
      <c r="AD34" s="1">
        <v>50</v>
      </c>
      <c r="AE34" s="1">
        <v>47</v>
      </c>
      <c r="AF34" s="1">
        <v>53</v>
      </c>
      <c r="AG34" s="1">
        <v>119</v>
      </c>
      <c r="AH34" s="1">
        <v>1</v>
      </c>
      <c r="AI34" s="1" t="s">
        <v>34</v>
      </c>
      <c r="AJ34" s="1" t="str">
        <f>HYPERLINK(".\links\CDD\tr_G1THZ6_G1THZ6_RABIT-CDD.txt","IgV_H")</f>
        <v>IgV_H</v>
      </c>
      <c r="AK34" s="1" t="str">
        <f>HYPERLINK("http://www.ncbi.nlm.nih.gov/Structure/cdd/cddsrv.cgi?uid=cd04981&amp;version=v4.0","6E-027")</f>
        <v>6E-027</v>
      </c>
      <c r="AL34" s="1" t="s">
        <v>420</v>
      </c>
      <c r="AM34" s="1" t="s">
        <v>416</v>
      </c>
      <c r="AN34" s="1">
        <f>HYPERLINK(".\links\GO\tr_G1THZ6_G1THZ6_RABIT-GO.txt",0)</f>
        <v>0</v>
      </c>
      <c r="AO34" s="1" t="str">
        <f>HYPERLINK("http://amigo.geneontology.org/cgi-bin/amigo/term_details?term=GO:0003823","GO:0003823")</f>
        <v>GO:0003823</v>
      </c>
      <c r="AP34" s="1" t="s">
        <v>67</v>
      </c>
      <c r="AQ34" s="1" t="s">
        <v>68</v>
      </c>
      <c r="AR34" s="1" t="s">
        <v>69</v>
      </c>
      <c r="AS34" s="1" t="s">
        <v>33</v>
      </c>
      <c r="AU34" s="2">
        <v>9.9999999999999993E-103</v>
      </c>
      <c r="AV34" s="1" t="str">
        <f>HYPERLINK("http://amigo.geneontology.org/cgi-bin/amigo/term_details?term=GO:0005576","GO:0005576")</f>
        <v>GO:0005576</v>
      </c>
      <c r="AW34" s="1" t="s">
        <v>51</v>
      </c>
      <c r="AX34" s="1" t="s">
        <v>52</v>
      </c>
      <c r="AY34" s="1" t="s">
        <v>53</v>
      </c>
      <c r="AZ34" s="1" t="s">
        <v>33</v>
      </c>
      <c r="BB34" s="2">
        <v>9.9999999999999993E-103</v>
      </c>
      <c r="BC34" s="1" t="str">
        <f>HYPERLINK("http://amigo.geneontology.org/cgi-bin/amigo/term_details?term=GO:0006956","GO:0006956")</f>
        <v>GO:0006956</v>
      </c>
      <c r="BD34" s="1" t="s">
        <v>214</v>
      </c>
      <c r="BE34" s="1" t="s">
        <v>215</v>
      </c>
      <c r="BF34" s="1" t="s">
        <v>216</v>
      </c>
      <c r="BG34" s="1" t="s">
        <v>33</v>
      </c>
      <c r="BI34" s="2">
        <v>9.9999999999999993E-103</v>
      </c>
    </row>
    <row r="35" spans="1:61" x14ac:dyDescent="0.2">
      <c r="A35" s="1" t="str">
        <f>HYPERLINK(".\links\\tr_G1SYM4_G1SYM4_RABIT-.txt","tr|G1SYM4|G1SYM4_RABIT")</f>
        <v>tr|G1SYM4|G1SYM4_RABIT</v>
      </c>
      <c r="B35" s="1" t="s">
        <v>32</v>
      </c>
      <c r="C35" s="1">
        <v>480</v>
      </c>
      <c r="D35" s="1" t="s">
        <v>682</v>
      </c>
      <c r="E35" s="1" t="s">
        <v>700</v>
      </c>
      <c r="F35" s="1" t="str">
        <f>HYPERLINK(".\links\RABBIT-NCBI\tr_G1SYM4_G1SYM4_RABIT-RABBIT-NCBI.txt","Alpha-1B-glycoprotein {ECO:0000250|UniProtKB:P39090}; AltName: Full=Alpha-1-B")</f>
        <v>Alpha-1B-glycoprotein {ECO:0000250|UniProtKB:P39090}; AltName: Full=Alpha-1-B</v>
      </c>
      <c r="G35" s="1" t="str">
        <f>HYPERLINK("http://www.ncbi.nlm.nih.gov/sutils/blink.cgi?pid=205686172","0.055")</f>
        <v>0.055</v>
      </c>
      <c r="H35" s="1" t="str">
        <f>HYPERLINK("http://www.ncbi.nlm.nih.gov/protein/205686172","gi|205686172")</f>
        <v>gi|205686172</v>
      </c>
      <c r="I35" s="1">
        <v>31.2</v>
      </c>
      <c r="J35" s="1">
        <v>13</v>
      </c>
      <c r="K35" s="1">
        <v>13</v>
      </c>
      <c r="L35" s="1">
        <v>100</v>
      </c>
      <c r="M35" s="1">
        <v>100</v>
      </c>
      <c r="N35" s="1">
        <v>100</v>
      </c>
      <c r="O35" s="1">
        <v>0</v>
      </c>
      <c r="P35" s="1">
        <v>0</v>
      </c>
      <c r="Q35" s="1">
        <v>1</v>
      </c>
      <c r="R35" s="1">
        <v>22</v>
      </c>
      <c r="S35" s="1">
        <v>1</v>
      </c>
      <c r="T35" s="1" t="s">
        <v>33</v>
      </c>
      <c r="U35" s="1" t="str">
        <f>HYPERLINK(".\links\REFSEQ-VERTEBRATES\tr_G1SYM4_G1SYM4_RABIT-REFSEQ-VERTEBRATES.txt","alpha-1B-glycoprotein")</f>
        <v>alpha-1B-glycoprotein</v>
      </c>
      <c r="V35" s="1" t="str">
        <f>HYPERLINK("http://www.ncbi.nlm.nih.gov/sutils/blink.cgi?pid=655887241","0.0")</f>
        <v>0.0</v>
      </c>
      <c r="W35" s="1" t="str">
        <f>HYPERLINK("http://www.ncbi.nlm.nih.gov/protein/655887241","gi|655887241")</f>
        <v>gi|655887241</v>
      </c>
      <c r="X35" s="1">
        <v>961</v>
      </c>
      <c r="Y35" s="1">
        <v>493</v>
      </c>
      <c r="Z35" s="1">
        <v>494</v>
      </c>
      <c r="AA35" s="1">
        <v>97</v>
      </c>
      <c r="AB35" s="1">
        <v>97</v>
      </c>
      <c r="AC35" s="1">
        <v>100</v>
      </c>
      <c r="AD35" s="1">
        <v>14</v>
      </c>
      <c r="AE35" s="1">
        <v>14</v>
      </c>
      <c r="AF35" s="1">
        <v>1</v>
      </c>
      <c r="AG35" s="1">
        <v>1</v>
      </c>
      <c r="AH35" s="1">
        <v>1</v>
      </c>
      <c r="AI35" s="1" t="s">
        <v>34</v>
      </c>
      <c r="AJ35" s="1" t="str">
        <f>HYPERLINK(".\links\CDD\tr_G1SYM4_G1SYM4_RABIT-CDD.txt","Ig1_LILRB1_like")</f>
        <v>Ig1_LILRB1_like</v>
      </c>
      <c r="AK35" s="1" t="str">
        <f>HYPERLINK("http://www.ncbi.nlm.nih.gov/Structure/cdd/cddsrv.cgi?uid=cd05751&amp;version=v4.0","2E-005")</f>
        <v>2E-005</v>
      </c>
      <c r="AL35" s="1" t="s">
        <v>421</v>
      </c>
      <c r="AM35" s="1" t="s">
        <v>422</v>
      </c>
      <c r="AN35" s="1">
        <f>HYPERLINK(".\links\GO\tr_G1SYM4_G1SYM4_RABIT-GO.txt",0)</f>
        <v>0</v>
      </c>
      <c r="AO35" s="1" t="str">
        <f>HYPERLINK("http://amigo.geneontology.org/cgi-bin/amigo/term_details?term=GO:0003674","GO:0003674")</f>
        <v>GO:0003674</v>
      </c>
      <c r="AP35" s="1" t="s">
        <v>321</v>
      </c>
      <c r="AQ35" s="1" t="s">
        <v>322</v>
      </c>
      <c r="AR35" s="1" t="s">
        <v>323</v>
      </c>
      <c r="AS35" s="1" t="s">
        <v>33</v>
      </c>
      <c r="AU35" s="2">
        <v>1E-166</v>
      </c>
      <c r="AV35" s="1" t="str">
        <f>HYPERLINK("http://amigo.geneontology.org/cgi-bin/amigo/term_details?term=GO:0005576","GO:0005576")</f>
        <v>GO:0005576</v>
      </c>
      <c r="AW35" s="1" t="s">
        <v>51</v>
      </c>
      <c r="AX35" s="1" t="s">
        <v>52</v>
      </c>
      <c r="AY35" s="1" t="s">
        <v>53</v>
      </c>
      <c r="AZ35" s="1" t="s">
        <v>33</v>
      </c>
      <c r="BB35" s="2">
        <v>1E-166</v>
      </c>
      <c r="BC35" s="1" t="str">
        <f>HYPERLINK("http://amigo.geneontology.org/cgi-bin/amigo/term_details?term=GO:0008150","GO:0008150")</f>
        <v>GO:0008150</v>
      </c>
      <c r="BD35" s="1" t="s">
        <v>327</v>
      </c>
      <c r="BE35" s="1" t="s">
        <v>328</v>
      </c>
      <c r="BF35" s="1" t="s">
        <v>329</v>
      </c>
      <c r="BG35" s="1" t="s">
        <v>33</v>
      </c>
      <c r="BI35" s="2">
        <v>1E-166</v>
      </c>
    </row>
    <row r="36" spans="1:61" x14ac:dyDescent="0.2">
      <c r="A36" s="1" t="str">
        <f>HYPERLINK(".\links\\tr_G1TRW8_G1TRW8_RABIT-.txt","tr|G1TRW8|G1TRW8_RABIT")</f>
        <v>tr|G1TRW8|G1TRW8_RABIT</v>
      </c>
      <c r="B36" s="1" t="s">
        <v>32</v>
      </c>
      <c r="C36" s="1">
        <v>198</v>
      </c>
      <c r="D36" s="1" t="s">
        <v>637</v>
      </c>
      <c r="E36" s="1" t="s">
        <v>700</v>
      </c>
      <c r="F36" s="1" t="str">
        <f>HYPERLINK(".\links\RABBIT-NCBI\tr_G1TRW8_G1TRW8_RABIT-RABBIT-NCBI.txt","Complement component C8 gamma chain; Flags: Precursor")</f>
        <v>Complement component C8 gamma chain; Flags: Precursor</v>
      </c>
      <c r="G36" s="1" t="str">
        <f>HYPERLINK("http://www.ncbi.nlm.nih.gov/sutils/blink.cgi?pid=20137777","7E-004")</f>
        <v>7E-004</v>
      </c>
      <c r="H36" s="1" t="str">
        <f>HYPERLINK("http://www.ncbi.nlm.nih.gov/protein/20137777","gi|20137777")</f>
        <v>gi|20137777</v>
      </c>
      <c r="I36" s="1">
        <v>35.799999999999997</v>
      </c>
      <c r="J36" s="1">
        <v>181</v>
      </c>
      <c r="K36" s="1">
        <v>202</v>
      </c>
      <c r="L36" s="1">
        <v>21</v>
      </c>
      <c r="M36" s="1">
        <v>40</v>
      </c>
      <c r="N36" s="1">
        <v>90</v>
      </c>
      <c r="O36" s="1">
        <v>142</v>
      </c>
      <c r="P36" s="1">
        <v>14</v>
      </c>
      <c r="Q36" s="1">
        <v>13</v>
      </c>
      <c r="R36" s="1">
        <v>10</v>
      </c>
      <c r="S36" s="1">
        <v>1</v>
      </c>
      <c r="T36" s="1" t="s">
        <v>33</v>
      </c>
      <c r="U36" s="1" t="str">
        <f>HYPERLINK(".\links\REFSEQ-VERTEBRATES\tr_G1TRW8_G1TRW8_RABIT-REFSEQ-VERTEBRATES.txt","neutrophil gelatinase-associated lipocalin")</f>
        <v>neutrophil gelatinase-associated lipocalin</v>
      </c>
      <c r="V36" s="1" t="str">
        <f>HYPERLINK("http://www.ncbi.nlm.nih.gov/sutils/blink.cgi?pid=291413525","1E-113")</f>
        <v>1E-113</v>
      </c>
      <c r="W36" s="1" t="str">
        <f>HYPERLINK("http://www.ncbi.nlm.nih.gov/protein/291413525","gi|291413525")</f>
        <v>gi|291413525</v>
      </c>
      <c r="X36" s="1">
        <v>410</v>
      </c>
      <c r="Y36" s="1">
        <v>198</v>
      </c>
      <c r="Z36" s="1">
        <v>198</v>
      </c>
      <c r="AA36" s="1">
        <v>100</v>
      </c>
      <c r="AB36" s="1">
        <v>100</v>
      </c>
      <c r="AC36" s="1">
        <v>100</v>
      </c>
      <c r="AD36" s="1">
        <v>0</v>
      </c>
      <c r="AE36" s="1">
        <v>0</v>
      </c>
      <c r="AF36" s="1">
        <v>1</v>
      </c>
      <c r="AG36" s="1">
        <v>1</v>
      </c>
      <c r="AH36" s="1">
        <v>1</v>
      </c>
      <c r="AI36" s="1" t="s">
        <v>34</v>
      </c>
      <c r="AJ36" s="1" t="str">
        <f>HYPERLINK(".\links\CDD\tr_G1TRW8_G1TRW8_RABIT-CDD.txt","Lipocalin")</f>
        <v>Lipocalin</v>
      </c>
      <c r="AK36" s="1" t="str">
        <f>HYPERLINK("http://www.ncbi.nlm.nih.gov/Structure/cdd/cddsrv.cgi?uid=pfam00061&amp;version=v4.0","4E-011")</f>
        <v>4E-011</v>
      </c>
      <c r="AL36" s="1" t="s">
        <v>162</v>
      </c>
      <c r="AM36" s="1" t="s">
        <v>163</v>
      </c>
      <c r="AN36" s="1">
        <f>HYPERLINK(".\links\GO\tr_G1TRW8_G1TRW8_RABIT-GO.txt",4E-79)</f>
        <v>4E-79</v>
      </c>
      <c r="AO36" s="1" t="str">
        <f>HYPERLINK("http://amigo.geneontology.org/cgi-bin/amigo/term_details?term=GO:0002020","GO:0002020")</f>
        <v>GO:0002020</v>
      </c>
      <c r="AP36" s="1" t="s">
        <v>164</v>
      </c>
      <c r="AQ36" s="1" t="s">
        <v>165</v>
      </c>
      <c r="AR36" s="1" t="s">
        <v>33</v>
      </c>
      <c r="AS36" s="1" t="s">
        <v>33</v>
      </c>
      <c r="AU36" s="2">
        <v>4E-79</v>
      </c>
      <c r="AV36" s="1" t="str">
        <f>HYPERLINK("http://amigo.geneontology.org/cgi-bin/amigo/term_details?term=GO:0005576","GO:0005576")</f>
        <v>GO:0005576</v>
      </c>
      <c r="AW36" s="1" t="s">
        <v>51</v>
      </c>
      <c r="AX36" s="1" t="s">
        <v>52</v>
      </c>
      <c r="AY36" s="1" t="s">
        <v>53</v>
      </c>
      <c r="AZ36" s="1" t="s">
        <v>33</v>
      </c>
      <c r="BB36" s="2">
        <v>4E-79</v>
      </c>
      <c r="BC36" s="1" t="str">
        <f>HYPERLINK("http://amigo.geneontology.org/cgi-bin/amigo/term_details?term=GO:0006811","GO:0006811")</f>
        <v>GO:0006811</v>
      </c>
      <c r="BD36" s="1" t="s">
        <v>166</v>
      </c>
      <c r="BE36" s="1" t="s">
        <v>167</v>
      </c>
      <c r="BF36" s="1" t="s">
        <v>33</v>
      </c>
      <c r="BG36" s="1" t="s">
        <v>33</v>
      </c>
      <c r="BI36" s="2">
        <v>4E-79</v>
      </c>
    </row>
    <row r="37" spans="1:61" x14ac:dyDescent="0.2">
      <c r="A37" s="1" t="str">
        <f>HYPERLINK(".\links\\tr_G1SQA8_G1SQA8_RABIT-.txt","tr|G1SQA8|G1SQA8_RABIT")</f>
        <v>tr|G1SQA8|G1SQA8_RABIT</v>
      </c>
      <c r="B37" s="1" t="s">
        <v>32</v>
      </c>
      <c r="C37" s="1">
        <v>567</v>
      </c>
      <c r="D37" s="1" t="s">
        <v>480</v>
      </c>
      <c r="E37" s="6" t="s">
        <v>701</v>
      </c>
      <c r="F37" s="1" t="str">
        <f>HYPERLINK(".\links\RABBIT-NCBI\tr_G1SQA8_G1SQA8_RABIT-RABBIT-NCBI.txt","Creatine kinase S-type, mitochondrial; AltName: Full=Basic-type mitochondrial")</f>
        <v>Creatine kinase S-type, mitochondrial; AltName: Full=Basic-type mitochondrial</v>
      </c>
      <c r="G37" s="1" t="str">
        <f>HYPERLINK("http://www.ncbi.nlm.nih.gov/sutils/blink.cgi?pid=6016429","0.25")</f>
        <v>0.25</v>
      </c>
      <c r="H37" s="1" t="str">
        <f>HYPERLINK("http://www.ncbi.nlm.nih.gov/protein/6016429","gi|6016429")</f>
        <v>gi|6016429</v>
      </c>
      <c r="I37" s="1">
        <v>29.3</v>
      </c>
      <c r="J37" s="1">
        <v>92</v>
      </c>
      <c r="K37" s="1">
        <v>419</v>
      </c>
      <c r="L37" s="1">
        <v>30</v>
      </c>
      <c r="M37" s="1">
        <v>42</v>
      </c>
      <c r="N37" s="1">
        <v>22</v>
      </c>
      <c r="O37" s="1">
        <v>64</v>
      </c>
      <c r="P37" s="1">
        <v>12</v>
      </c>
      <c r="Q37" s="1">
        <v>319</v>
      </c>
      <c r="R37" s="1">
        <v>95</v>
      </c>
      <c r="S37" s="1">
        <v>1</v>
      </c>
      <c r="T37" s="1" t="s">
        <v>33</v>
      </c>
      <c r="U37" s="1" t="str">
        <f>HYPERLINK(".\links\REFSEQ-VERTEBRATES\tr_G1SQA8_G1SQA8_RABIT-REFSEQ-VERTEBRATES.txt","ATP synthase subunit beta, mitochondrial")</f>
        <v>ATP synthase subunit beta, mitochondrial</v>
      </c>
      <c r="V37" s="1" t="str">
        <f>HYPERLINK("http://www.ncbi.nlm.nih.gov/sutils/blink.cgi?pid=655739959","0.0")</f>
        <v>0.0</v>
      </c>
      <c r="W37" s="1" t="str">
        <f>HYPERLINK("http://www.ncbi.nlm.nih.gov/protein/655739959","gi|655739959")</f>
        <v>gi|655739959</v>
      </c>
      <c r="X37" s="1">
        <v>1099</v>
      </c>
      <c r="Y37" s="1">
        <v>567</v>
      </c>
      <c r="Z37" s="1">
        <v>567</v>
      </c>
      <c r="AA37" s="1">
        <v>100</v>
      </c>
      <c r="AB37" s="1">
        <v>100</v>
      </c>
      <c r="AC37" s="1">
        <v>100</v>
      </c>
      <c r="AD37" s="1">
        <v>0</v>
      </c>
      <c r="AE37" s="1">
        <v>0</v>
      </c>
      <c r="AF37" s="1">
        <v>1</v>
      </c>
      <c r="AG37" s="1">
        <v>1</v>
      </c>
      <c r="AH37" s="1">
        <v>1</v>
      </c>
      <c r="AI37" s="1" t="s">
        <v>34</v>
      </c>
      <c r="AJ37" s="1" t="str">
        <f>HYPERLINK(".\links\CDD\tr_G1SQA8_G1SQA8_RABIT-CDD.txt","atpD")</f>
        <v>atpD</v>
      </c>
      <c r="AK37" s="1" t="str">
        <f>HYPERLINK("http://www.ncbi.nlm.nih.gov/Structure/cdd/cddsrv.cgi?uid=TIGR01039&amp;version=v4.0","0.0")</f>
        <v>0.0</v>
      </c>
      <c r="AL37" s="1" t="s">
        <v>473</v>
      </c>
      <c r="AM37" s="1" t="s">
        <v>474</v>
      </c>
      <c r="AN37" s="1">
        <f>HYPERLINK(".\links\GO\tr_G1SQA8_G1SQA8_RABIT-GO.txt",0)</f>
        <v>0</v>
      </c>
      <c r="AO37" s="1" t="str">
        <f>HYPERLINK("http://amigo.geneontology.org/cgi-bin/amigo/term_details?term=GO:0005524","GO:0005524")</f>
        <v>GO:0005524</v>
      </c>
      <c r="AP37" s="1" t="s">
        <v>475</v>
      </c>
      <c r="AQ37" s="1" t="s">
        <v>476</v>
      </c>
      <c r="AR37" s="1" t="s">
        <v>33</v>
      </c>
      <c r="AS37" s="1" t="s">
        <v>33</v>
      </c>
      <c r="AU37" s="1">
        <v>0</v>
      </c>
      <c r="AV37" s="1" t="str">
        <f>HYPERLINK("http://amigo.geneontology.org/cgi-bin/amigo/term_details?term=GO:0005753","GO:0005753")</f>
        <v>GO:0005753</v>
      </c>
      <c r="AW37" s="1" t="s">
        <v>477</v>
      </c>
      <c r="AX37" s="1" t="s">
        <v>478</v>
      </c>
      <c r="AY37" s="1" t="s">
        <v>479</v>
      </c>
      <c r="AZ37" s="1" t="s">
        <v>33</v>
      </c>
      <c r="BB37" s="1">
        <v>0</v>
      </c>
      <c r="BC37" s="1" t="str">
        <f>HYPERLINK("http://amigo.geneontology.org/cgi-bin/amigo/term_details?term=GO:0001525","GO:0001525")</f>
        <v>GO:0001525</v>
      </c>
      <c r="BD37" s="1" t="s">
        <v>458</v>
      </c>
      <c r="BE37" s="1" t="s">
        <v>459</v>
      </c>
      <c r="BF37" s="1" t="s">
        <v>460</v>
      </c>
      <c r="BG37" s="1" t="s">
        <v>33</v>
      </c>
      <c r="BI37" s="1">
        <v>0</v>
      </c>
    </row>
    <row r="38" spans="1:61" x14ac:dyDescent="0.2">
      <c r="A38" s="1" t="str">
        <f>HYPERLINK(".\links\\tr_G1TS29_G1TS29_RABIT-.txt","tr|G1TS29|G1TS29_RABIT")</f>
        <v>tr|G1TS29|G1TS29_RABIT</v>
      </c>
      <c r="B38" s="1" t="s">
        <v>32</v>
      </c>
      <c r="C38" s="1">
        <v>288</v>
      </c>
      <c r="D38" s="1" t="s">
        <v>683</v>
      </c>
      <c r="E38" s="6" t="s">
        <v>701</v>
      </c>
      <c r="F38" s="1" t="str">
        <f>HYPERLINK(".\links\RABBIT-NCBI\tr_G1TS29_G1TS29_RABIT-RABBIT-NCBI.txt","Triosephosphate isomerase; Short=TIM; AltName: Full=Triose-phosphate isomerase")</f>
        <v>Triosephosphate isomerase; Short=TIM; AltName: Full=Triose-phosphate isomerase</v>
      </c>
      <c r="G38" s="1" t="str">
        <f>HYPERLINK("http://www.ncbi.nlm.nih.gov/sutils/blink.cgi?pid=136066","1E-143")</f>
        <v>1E-143</v>
      </c>
      <c r="H38" s="1" t="str">
        <f>HYPERLINK("http://www.ncbi.nlm.nih.gov/protein/136066","gi|136066")</f>
        <v>gi|136066</v>
      </c>
      <c r="I38" s="1">
        <v>501</v>
      </c>
      <c r="J38" s="1">
        <v>248</v>
      </c>
      <c r="K38" s="1">
        <v>248</v>
      </c>
      <c r="L38" s="1">
        <v>100</v>
      </c>
      <c r="M38" s="1">
        <v>100</v>
      </c>
      <c r="N38" s="1">
        <v>100</v>
      </c>
      <c r="O38" s="1">
        <v>0</v>
      </c>
      <c r="P38" s="1">
        <v>0</v>
      </c>
      <c r="Q38" s="1">
        <v>1</v>
      </c>
      <c r="R38" s="1">
        <v>41</v>
      </c>
      <c r="S38" s="1">
        <v>1</v>
      </c>
      <c r="T38" s="1" t="s">
        <v>33</v>
      </c>
      <c r="U38" s="1" t="str">
        <f>HYPERLINK(".\links\REFSEQ-VERTEBRATES\tr_G1TS29_G1TS29_RABIT-REFSEQ-VERTEBRATES.txt","triosephosphate isomerase")</f>
        <v>triosephosphate isomerase</v>
      </c>
      <c r="V38" s="1" t="str">
        <f>HYPERLINK("http://www.ncbi.nlm.nih.gov/sutils/blink.cgi?pid=291392777","1E-165")</f>
        <v>1E-165</v>
      </c>
      <c r="W38" s="1" t="str">
        <f>HYPERLINK("http://www.ncbi.nlm.nih.gov/protein/291392777","gi|291392777")</f>
        <v>gi|291392777</v>
      </c>
      <c r="X38" s="1">
        <v>584</v>
      </c>
      <c r="Y38" s="1">
        <v>288</v>
      </c>
      <c r="Z38" s="1">
        <v>288</v>
      </c>
      <c r="AA38" s="1">
        <v>100</v>
      </c>
      <c r="AB38" s="1">
        <v>100</v>
      </c>
      <c r="AC38" s="1">
        <v>100</v>
      </c>
      <c r="AD38" s="1">
        <v>0</v>
      </c>
      <c r="AE38" s="1">
        <v>0</v>
      </c>
      <c r="AF38" s="1">
        <v>1</v>
      </c>
      <c r="AG38" s="1">
        <v>1</v>
      </c>
      <c r="AH38" s="1">
        <v>1</v>
      </c>
      <c r="AI38" s="1" t="s">
        <v>34</v>
      </c>
      <c r="AJ38" s="1" t="str">
        <f>HYPERLINK(".\links\CDD\tr_G1TS29_G1TS29_RABIT-CDD.txt","PLN02561")</f>
        <v>PLN02561</v>
      </c>
      <c r="AK38" s="1" t="str">
        <f>HYPERLINK("http://www.ncbi.nlm.nih.gov/Structure/cdd/cddsrv.cgi?uid=PLN02561&amp;version=v4.0","8E-088")</f>
        <v>8E-088</v>
      </c>
      <c r="AL38" s="1" t="s">
        <v>233</v>
      </c>
      <c r="AM38" s="1" t="s">
        <v>234</v>
      </c>
      <c r="AN38" s="1">
        <f>HYPERLINK(".\links\GO\tr_G1TS29_G1TS29_RABIT-GO.txt",0)</f>
        <v>0</v>
      </c>
      <c r="AO38" s="1" t="str">
        <f>HYPERLINK("http://amigo.geneontology.org/cgi-bin/amigo/term_details?term=GO:0004807","GO:0004807")</f>
        <v>GO:0004807</v>
      </c>
      <c r="AP38" s="1" t="s">
        <v>235</v>
      </c>
      <c r="AQ38" s="1" t="s">
        <v>236</v>
      </c>
      <c r="AR38" s="1" t="s">
        <v>237</v>
      </c>
      <c r="AS38" s="1" t="str">
        <f>HYPERLINK("http://www.genome.jp/dbget-bin/www_bfind_sub?mode=bfind&amp;max_hit=1000&amp;dbkey=kegg&amp;keywords=EC:5.3.1.1","EC:5.3.1.1")</f>
        <v>EC:5.3.1.1</v>
      </c>
      <c r="AT38" s="1" t="str">
        <f>HYPERLINK("http://www.genome.jp/dbget-bin/www_bget?rn:R01015","KEGG:R01015")</f>
        <v>KEGG:R01015</v>
      </c>
      <c r="AU38" s="2">
        <v>9.9999999999999998E-150</v>
      </c>
      <c r="AV38" s="1" t="str">
        <f>HYPERLINK("http://amigo.geneontology.org/cgi-bin/amigo/term_details?term=GO:0005615","GO:0005615")</f>
        <v>GO:0005615</v>
      </c>
      <c r="AW38" s="1" t="s">
        <v>40</v>
      </c>
      <c r="AX38" s="1" t="s">
        <v>41</v>
      </c>
      <c r="AY38" s="1" t="s">
        <v>42</v>
      </c>
      <c r="AZ38" s="1" t="s">
        <v>33</v>
      </c>
      <c r="BB38" s="2">
        <v>9.9999999999999998E-150</v>
      </c>
      <c r="BC38" s="1" t="str">
        <f>HYPERLINK("http://amigo.geneontology.org/cgi-bin/amigo/term_details?term=GO:0005975","GO:0005975")</f>
        <v>GO:0005975</v>
      </c>
      <c r="BD38" s="1" t="s">
        <v>238</v>
      </c>
      <c r="BE38" s="1" t="s">
        <v>239</v>
      </c>
      <c r="BF38" s="1" t="s">
        <v>240</v>
      </c>
      <c r="BG38" s="1" t="s">
        <v>33</v>
      </c>
      <c r="BI38" s="2">
        <v>9.9999999999999998E-150</v>
      </c>
    </row>
    <row r="39" spans="1:61" x14ac:dyDescent="0.2">
      <c r="A39" s="1" t="str">
        <f>HYPERLINK(".\links\\tr_G1TYA7_G1TYA7_RABIT-.txt","tr|G1TYA7|G1TYA7_RABIT")</f>
        <v>tr|G1TYA7|G1TYA7_RABIT</v>
      </c>
      <c r="B39" s="1" t="s">
        <v>32</v>
      </c>
      <c r="C39" s="1">
        <v>331</v>
      </c>
      <c r="D39" s="1" t="s">
        <v>639</v>
      </c>
      <c r="E39" s="6" t="s">
        <v>701</v>
      </c>
      <c r="F39" s="1" t="str">
        <f>HYPERLINK(".\links\RABBIT-NCBI\tr_G1TYA7_G1TYA7_RABIT-RABBIT-NCBI.txt","L-lactate dehydrogenase A chain; Short=LDH-A; AltName: Full=LDH muscle subunit;")</f>
        <v>L-lactate dehydrogenase A chain; Short=LDH-A; AltName: Full=LDH muscle subunit;</v>
      </c>
      <c r="G39" s="1" t="str">
        <f>HYPERLINK("http://www.ncbi.nlm.nih.gov/sutils/blink.cgi?pid=126050","1E-133")</f>
        <v>1E-133</v>
      </c>
      <c r="H39" s="1" t="str">
        <f>HYPERLINK("http://www.ncbi.nlm.nih.gov/protein/126050","gi|126050")</f>
        <v>gi|126050</v>
      </c>
      <c r="I39" s="1">
        <v>467</v>
      </c>
      <c r="J39" s="1">
        <v>288</v>
      </c>
      <c r="K39" s="1">
        <v>332</v>
      </c>
      <c r="L39" s="1">
        <v>76</v>
      </c>
      <c r="M39" s="1">
        <v>89</v>
      </c>
      <c r="N39" s="1">
        <v>87</v>
      </c>
      <c r="O39" s="1">
        <v>68</v>
      </c>
      <c r="P39" s="1">
        <v>0</v>
      </c>
      <c r="Q39" s="1">
        <v>44</v>
      </c>
      <c r="R39" s="1">
        <v>42</v>
      </c>
      <c r="S39" s="1">
        <v>1</v>
      </c>
      <c r="T39" s="1" t="s">
        <v>33</v>
      </c>
      <c r="U39" s="1" t="str">
        <f>HYPERLINK(".\links\REFSEQ-VERTEBRATES\tr_G1TYA7_G1TYA7_RABIT-REFSEQ-VERTEBRATES.txt","RWD domain-containing protein 2A-like")</f>
        <v>RWD domain-containing protein 2A-like</v>
      </c>
      <c r="V39" s="1" t="str">
        <f>HYPERLINK("http://www.ncbi.nlm.nih.gov/sutils/blink.cgi?pid=301779710","1E-164")</f>
        <v>1E-164</v>
      </c>
      <c r="W39" s="1" t="str">
        <f>HYPERLINK("http://www.ncbi.nlm.nih.gov/protein/301779710","gi|301779710")</f>
        <v>gi|301779710</v>
      </c>
      <c r="X39" s="1">
        <v>579</v>
      </c>
      <c r="Y39" s="1">
        <v>323</v>
      </c>
      <c r="Z39" s="1">
        <v>292</v>
      </c>
      <c r="AA39" s="1">
        <v>99</v>
      </c>
      <c r="AC39" s="1">
        <v>96</v>
      </c>
      <c r="AE39" s="1">
        <v>0</v>
      </c>
      <c r="AF39" s="1">
        <v>44</v>
      </c>
      <c r="AG39" s="1">
        <v>41</v>
      </c>
      <c r="AH39" s="1">
        <v>1</v>
      </c>
      <c r="AI39" s="1" t="s">
        <v>254</v>
      </c>
      <c r="AJ39" s="1" t="str">
        <f>HYPERLINK(".\links\CDD\tr_G1TYA7_G1TYA7_RABIT-CDD.txt","LDH_1")</f>
        <v>LDH_1</v>
      </c>
      <c r="AK39" s="1" t="str">
        <f>HYPERLINK("http://www.ncbi.nlm.nih.gov/Structure/cdd/cddsrv.cgi?uid=cd05293&amp;version=v4.0","1E-129")</f>
        <v>1E-129</v>
      </c>
      <c r="AL39" s="1" t="s">
        <v>255</v>
      </c>
      <c r="AM39" s="1" t="s">
        <v>256</v>
      </c>
      <c r="AN39" s="1">
        <f>HYPERLINK(".\links\GO\tr_G1TYA7_G1TYA7_RABIT-GO.txt",0)</f>
        <v>0</v>
      </c>
      <c r="AO39" s="1" t="str">
        <f>HYPERLINK("http://amigo.geneontology.org/cgi-bin/amigo/term_details?term=GO:0004459","GO:0004459")</f>
        <v>GO:0004459</v>
      </c>
      <c r="AP39" s="1" t="s">
        <v>257</v>
      </c>
      <c r="AQ39" s="1" t="s">
        <v>258</v>
      </c>
      <c r="AR39" s="1" t="s">
        <v>259</v>
      </c>
      <c r="AS39" s="1" t="str">
        <f>HYPERLINK("http://www.genome.jp/dbget-bin/www_bfind_sub?mode=bfind&amp;max_hit=1000&amp;dbkey=kegg&amp;keywords=EC:1.1.1.27","EC:1.1.1.27")</f>
        <v>EC:1.1.1.27</v>
      </c>
      <c r="AU39" s="2">
        <v>9.9999999999999996E-165</v>
      </c>
      <c r="AV39" s="1" t="str">
        <f>HYPERLINK("http://amigo.geneontology.org/cgi-bin/amigo/term_details?term=GO:0005737","GO:0005737")</f>
        <v>GO:0005737</v>
      </c>
      <c r="AW39" s="1" t="s">
        <v>260</v>
      </c>
      <c r="AX39" s="1" t="s">
        <v>261</v>
      </c>
      <c r="AY39" s="1" t="s">
        <v>33</v>
      </c>
      <c r="AZ39" s="1" t="s">
        <v>33</v>
      </c>
      <c r="BB39" s="2">
        <v>9.9999999999999996E-165</v>
      </c>
      <c r="BC39" s="1" t="str">
        <f>HYPERLINK("http://amigo.geneontology.org/cgi-bin/amigo/term_details?term=GO:0006089","GO:0006089")</f>
        <v>GO:0006089</v>
      </c>
      <c r="BD39" s="1" t="s">
        <v>262</v>
      </c>
      <c r="BE39" s="1" t="s">
        <v>263</v>
      </c>
      <c r="BF39" s="1" t="s">
        <v>264</v>
      </c>
      <c r="BG39" s="1" t="s">
        <v>33</v>
      </c>
      <c r="BI39" s="2">
        <v>9.9999999999999996E-165</v>
      </c>
    </row>
    <row r="40" spans="1:61" x14ac:dyDescent="0.2">
      <c r="A40" s="6" t="str">
        <f>HYPERLINK(".\links\\tr_G1TJG6_G1TJG6_RABIT-.txt","tr|G1TJG6|G1TJG6_RABIT")</f>
        <v>tr|G1TJG6|G1TJG6_RABIT</v>
      </c>
      <c r="B40" s="6" t="s">
        <v>32</v>
      </c>
      <c r="C40" s="6">
        <v>333</v>
      </c>
      <c r="D40" s="6" t="s">
        <v>674</v>
      </c>
      <c r="E40" s="6" t="s">
        <v>701</v>
      </c>
      <c r="F40" s="6" t="str">
        <f>HYPERLINK(".\links\RABBIT-NCBI\tr_G1TJG6_G1TJG6_RABIT-RABBIT-NCBI.txt","Glyceraldehyde-3-phosphate dehydrogenase; Short=GAPDH; AltName:")</f>
        <v>Glyceraldehyde-3-phosphate dehydrogenase; Short=GAPDH; AltName:</v>
      </c>
      <c r="G40" s="6" t="str">
        <f>HYPERLINK("http://www.ncbi.nlm.nih.gov/sutils/blink.cgi?pid=160332366","0.0")</f>
        <v>0.0</v>
      </c>
      <c r="H40" s="6" t="str">
        <f>HYPERLINK("http://www.ncbi.nlm.nih.gov/protein/160332366","gi|160332366")</f>
        <v>gi|160332366</v>
      </c>
      <c r="I40" s="6">
        <v>667</v>
      </c>
      <c r="J40" s="6">
        <v>333</v>
      </c>
      <c r="K40" s="6">
        <v>333</v>
      </c>
      <c r="L40" s="6">
        <v>99</v>
      </c>
      <c r="M40" s="6">
        <v>99</v>
      </c>
      <c r="N40" s="6">
        <v>100</v>
      </c>
      <c r="O40" s="6">
        <v>2</v>
      </c>
      <c r="P40" s="6">
        <v>0</v>
      </c>
      <c r="Q40" s="6">
        <v>1</v>
      </c>
      <c r="R40" s="6">
        <v>1</v>
      </c>
      <c r="S40" s="6">
        <v>1</v>
      </c>
      <c r="T40" s="6" t="s">
        <v>33</v>
      </c>
      <c r="U40" s="6" t="str">
        <f>HYPERLINK(".\links\REFSEQ-VERTEBRATES\tr_G1TJG6_G1TJG6_RABIT-REFSEQ-VERTEBRATES.txt","Glyceraldehyde-3-phosphate dehydrogenase-like")</f>
        <v>Glyceraldehyde-3-phosphate dehydrogenase-like</v>
      </c>
      <c r="V40" s="6" t="str">
        <f>HYPERLINK("http://www.ncbi.nlm.nih.gov/sutils/blink.cgi?pid=291383425","0.0")</f>
        <v>0.0</v>
      </c>
      <c r="W40" s="6" t="str">
        <f>HYPERLINK("http://www.ncbi.nlm.nih.gov/protein/291383425","gi|291383425")</f>
        <v>gi|291383425</v>
      </c>
      <c r="X40" s="6">
        <v>671</v>
      </c>
      <c r="Y40" s="6">
        <v>333</v>
      </c>
      <c r="Z40" s="6">
        <v>333</v>
      </c>
      <c r="AA40" s="6">
        <v>100</v>
      </c>
      <c r="AB40" s="6">
        <v>100</v>
      </c>
      <c r="AC40" s="6">
        <v>100</v>
      </c>
      <c r="AD40" s="6">
        <v>0</v>
      </c>
      <c r="AE40" s="6">
        <v>0</v>
      </c>
      <c r="AF40" s="6">
        <v>1</v>
      </c>
      <c r="AG40" s="6">
        <v>1</v>
      </c>
      <c r="AH40" s="6">
        <v>1</v>
      </c>
      <c r="AI40" s="6" t="s">
        <v>34</v>
      </c>
      <c r="AJ40" s="6" t="str">
        <f>HYPERLINK(".\links\CDD\tr_G1TJG6_G1TJG6_RABIT-CDD.txt","PLN02272")</f>
        <v>PLN02272</v>
      </c>
      <c r="AK40" s="6" t="str">
        <f>HYPERLINK("http://www.ncbi.nlm.nih.gov/Structure/cdd/cddsrv.cgi?uid=PLN02272&amp;version=v4.0","1E-139")</f>
        <v>1E-139</v>
      </c>
      <c r="AL40" s="6" t="s">
        <v>265</v>
      </c>
      <c r="AM40" s="6" t="s">
        <v>266</v>
      </c>
      <c r="AN40" s="6">
        <f>HYPERLINK(".\links\GO\tr_G1TJG6_G1TJG6_RABIT-GO.txt",0)</f>
        <v>0</v>
      </c>
      <c r="AO40" s="6" t="str">
        <f>HYPERLINK("http://amigo.geneontology.org/cgi-bin/amigo/term_details?term=GO:0004365","GO:0004365")</f>
        <v>GO:0004365</v>
      </c>
      <c r="AP40" s="6" t="s">
        <v>267</v>
      </c>
      <c r="AQ40" s="6" t="s">
        <v>268</v>
      </c>
      <c r="AR40" s="6" t="s">
        <v>269</v>
      </c>
      <c r="AS40" s="6" t="str">
        <f>HYPERLINK("http://www.genome.jp/dbget-bin/www_bfind_sub?mode=bfind&amp;max_hit=1000&amp;dbkey=kegg&amp;keywords=EC:1.2.1.12","EC:1.2.1.12")</f>
        <v>EC:1.2.1.12</v>
      </c>
      <c r="AT40" s="6"/>
      <c r="AU40" s="6">
        <v>0</v>
      </c>
      <c r="AV40" s="6" t="str">
        <f>HYPERLINK("http://amigo.geneontology.org/cgi-bin/amigo/term_details?term=GO:0005634","GO:0005634")</f>
        <v>GO:0005634</v>
      </c>
      <c r="AW40" s="6" t="s">
        <v>81</v>
      </c>
      <c r="AX40" s="6" t="s">
        <v>82</v>
      </c>
      <c r="AY40" s="6" t="s">
        <v>83</v>
      </c>
      <c r="AZ40" s="6" t="s">
        <v>33</v>
      </c>
      <c r="BA40" s="6"/>
      <c r="BB40" s="6">
        <v>0</v>
      </c>
      <c r="BC40" s="6" t="str">
        <f>HYPERLINK("http://amigo.geneontology.org/cgi-bin/amigo/term_details?term=GO:0000226","GO:0000226")</f>
        <v>GO:0000226</v>
      </c>
      <c r="BD40" s="6" t="s">
        <v>270</v>
      </c>
      <c r="BE40" s="6" t="s">
        <v>271</v>
      </c>
      <c r="BF40" s="6" t="s">
        <v>272</v>
      </c>
      <c r="BG40" s="6" t="s">
        <v>33</v>
      </c>
      <c r="BH40" s="6"/>
      <c r="BI40" s="6">
        <v>0</v>
      </c>
    </row>
    <row r="41" spans="1:61" x14ac:dyDescent="0.2">
      <c r="A41" s="1" t="str">
        <f>HYPERLINK(".\links\\tr_G1TB24_G1TB24_RABIT-.txt","tr|G1TB24|G1TB24_RABIT")</f>
        <v>tr|G1TB24|G1TB24_RABIT</v>
      </c>
      <c r="B41" s="1" t="s">
        <v>241</v>
      </c>
      <c r="C41" s="1">
        <v>660</v>
      </c>
      <c r="D41" s="1" t="s">
        <v>684</v>
      </c>
      <c r="E41" s="6" t="s">
        <v>702</v>
      </c>
      <c r="F41" s="1" t="str">
        <f>HYPERLINK(".\links\RABBIT-NCBI\tr_G1TB24_G1TB24_RABIT-RABBIT-NCBI.txt","Bile salt export pump; AltName: Full=ATP-binding cassette sub-family B member")</f>
        <v>Bile salt export pump; AltName: Full=ATP-binding cassette sub-family B member</v>
      </c>
      <c r="G41" s="1" t="str">
        <f>HYPERLINK("http://www.ncbi.nlm.nih.gov/sutils/blink.cgi?pid=12585141","5E-009")</f>
        <v>5E-009</v>
      </c>
      <c r="H41" s="1" t="str">
        <f>HYPERLINK("http://www.ncbi.nlm.nih.gov/protein/12585141","gi|12585141")</f>
        <v>gi|12585141</v>
      </c>
      <c r="I41" s="1">
        <v>55.1</v>
      </c>
      <c r="J41" s="1">
        <v>189</v>
      </c>
      <c r="K41" s="1">
        <v>1321</v>
      </c>
      <c r="L41" s="1">
        <v>22</v>
      </c>
      <c r="M41" s="1">
        <v>46</v>
      </c>
      <c r="N41" s="1">
        <v>14</v>
      </c>
      <c r="O41" s="1">
        <v>147</v>
      </c>
      <c r="P41" s="1">
        <v>21</v>
      </c>
      <c r="Q41" s="1">
        <v>437</v>
      </c>
      <c r="R41" s="1">
        <v>412</v>
      </c>
      <c r="S41" s="1">
        <v>1</v>
      </c>
      <c r="T41" s="1" t="s">
        <v>33</v>
      </c>
      <c r="U41" s="1" t="str">
        <f>HYPERLINK(".\links\REFSEQ-VERTEBRATES\tr_G1TB24_G1TB24_RABIT-REFSEQ-VERTEBRATES.txt","LOW QUALITY PROTEIN: ATP-binding cassette sub-family D member 2")</f>
        <v>LOW QUALITY PROTEIN: ATP-binding cassette sub-family D member 2</v>
      </c>
      <c r="V41" s="1" t="str">
        <f>HYPERLINK("http://www.ncbi.nlm.nih.gov/sutils/blink.cgi?pid=655830185","0.0")</f>
        <v>0.0</v>
      </c>
      <c r="W41" s="1" t="str">
        <f>HYPERLINK("http://www.ncbi.nlm.nih.gov/protein/655830185","gi|655830185")</f>
        <v>gi|655830185</v>
      </c>
      <c r="X41" s="1">
        <v>1311</v>
      </c>
      <c r="Y41" s="1">
        <v>660</v>
      </c>
      <c r="Z41" s="1">
        <v>734</v>
      </c>
      <c r="AA41" s="1">
        <v>99</v>
      </c>
      <c r="AB41" s="1">
        <v>99</v>
      </c>
      <c r="AC41" s="1">
        <v>90</v>
      </c>
      <c r="AD41" s="1">
        <v>1</v>
      </c>
      <c r="AE41" s="1">
        <v>1</v>
      </c>
      <c r="AF41" s="1">
        <v>76</v>
      </c>
      <c r="AG41" s="1">
        <v>1</v>
      </c>
      <c r="AH41" s="1">
        <v>1</v>
      </c>
      <c r="AI41" s="1" t="s">
        <v>34</v>
      </c>
      <c r="AJ41" s="1" t="str">
        <f>HYPERLINK(".\links\CDD\tr_G1TB24_G1TB24_RABIT-CDD.txt","3a01203")</f>
        <v>3a01203</v>
      </c>
      <c r="AK41" s="1" t="str">
        <f>HYPERLINK("http://www.ncbi.nlm.nih.gov/Structure/cdd/cddsrv.cgi?uid=TIGR00954&amp;version=v4.0","1E-160")</f>
        <v>1E-160</v>
      </c>
      <c r="AL41" s="1" t="s">
        <v>527</v>
      </c>
      <c r="AM41" s="1" t="s">
        <v>528</v>
      </c>
      <c r="AN41" s="1">
        <f>HYPERLINK(".\links\GO\tr_G1TB24_G1TB24_RABIT-GO.txt",0)</f>
        <v>0</v>
      </c>
      <c r="AO41" s="1" t="str">
        <f>HYPERLINK("http://amigo.geneontology.org/cgi-bin/amigo/term_details?term=GO:0005524","GO:0005524")</f>
        <v>GO:0005524</v>
      </c>
      <c r="AP41" s="1" t="s">
        <v>475</v>
      </c>
      <c r="AQ41" s="1" t="s">
        <v>476</v>
      </c>
      <c r="AR41" s="1" t="s">
        <v>33</v>
      </c>
      <c r="AS41" s="1" t="s">
        <v>33</v>
      </c>
      <c r="AU41" s="1">
        <v>0</v>
      </c>
      <c r="AV41" s="1" t="str">
        <f>HYPERLINK("http://amigo.geneontology.org/cgi-bin/amigo/term_details?term=GO:0005739","GO:0005739")</f>
        <v>GO:0005739</v>
      </c>
      <c r="AW41" s="1" t="s">
        <v>529</v>
      </c>
      <c r="AX41" s="1" t="s">
        <v>530</v>
      </c>
      <c r="AY41" s="1" t="s">
        <v>531</v>
      </c>
      <c r="AZ41" s="1" t="s">
        <v>33</v>
      </c>
      <c r="BB41" s="1">
        <v>0</v>
      </c>
      <c r="BC41" s="1" t="str">
        <f>HYPERLINK("http://amigo.geneontology.org/cgi-bin/amigo/term_details?term=GO:0006200","GO:0006200")</f>
        <v>GO:0006200</v>
      </c>
      <c r="BD41" s="1" t="s">
        <v>523</v>
      </c>
      <c r="BE41" s="1" t="s">
        <v>524</v>
      </c>
      <c r="BF41" s="1" t="s">
        <v>525</v>
      </c>
      <c r="BG41" s="1" t="s">
        <v>33</v>
      </c>
      <c r="BI41" s="1">
        <v>0</v>
      </c>
    </row>
    <row r="42" spans="1:61" x14ac:dyDescent="0.2">
      <c r="A42" s="1" t="str">
        <f>HYPERLINK(".\links\\tr_G1U9T4_G1U9T4_RABIT-.txt","tr|G1U9T4|G1U9T4_RABIT")</f>
        <v>tr|G1U9T4|G1U9T4_RABIT</v>
      </c>
      <c r="B42" s="1" t="s">
        <v>32</v>
      </c>
      <c r="C42" s="1">
        <v>152</v>
      </c>
      <c r="D42" s="1" t="s">
        <v>666</v>
      </c>
      <c r="E42" s="6" t="s">
        <v>703</v>
      </c>
      <c r="F42" s="1" t="str">
        <f>HYPERLINK(".\links\RABBIT-NCBI\tr_G1U9T4_G1U9T4_RABIT-RABBIT-NCBI.txt","Osteopontin; AltName: Full=Bone sialoprotein 1; AltName: Full=OC-1; AltName:")</f>
        <v>Osteopontin; AltName: Full=Bone sialoprotein 1; AltName: Full=OC-1; AltName:</v>
      </c>
      <c r="G42" s="1" t="str">
        <f>HYPERLINK("http://www.ncbi.nlm.nih.gov/sutils/blink.cgi?pid=400685","2.5")</f>
        <v>2.5</v>
      </c>
      <c r="H42" s="1" t="str">
        <f>HYPERLINK("http://www.ncbi.nlm.nih.gov/protein/400685","gi|400685")</f>
        <v>gi|400685</v>
      </c>
      <c r="I42" s="1">
        <v>23.5</v>
      </c>
      <c r="J42" s="1">
        <v>47</v>
      </c>
      <c r="K42" s="1">
        <v>311</v>
      </c>
      <c r="L42" s="1">
        <v>31</v>
      </c>
      <c r="M42" s="1">
        <v>51</v>
      </c>
      <c r="N42" s="1">
        <v>15</v>
      </c>
      <c r="O42" s="1">
        <v>32</v>
      </c>
      <c r="P42" s="1">
        <v>2</v>
      </c>
      <c r="Q42" s="1">
        <v>163</v>
      </c>
      <c r="R42" s="1">
        <v>25</v>
      </c>
      <c r="S42" s="1">
        <v>1</v>
      </c>
      <c r="T42" s="1" t="s">
        <v>33</v>
      </c>
      <c r="U42" s="1" t="str">
        <f>HYPERLINK(".\links\REFSEQ-VERTEBRATES\tr_G1U9T4_G1U9T4_RABIT-REFSEQ-VERTEBRATES.txt","nucleoside diphosphate kinase B")</f>
        <v>nucleoside diphosphate kinase B</v>
      </c>
      <c r="V42" s="1" t="str">
        <f>HYPERLINK("http://www.ncbi.nlm.nih.gov/sutils/blink.cgi?pid=325297009","9E-085")</f>
        <v>9E-085</v>
      </c>
      <c r="W42" s="1" t="str">
        <f>HYPERLINK("http://www.ncbi.nlm.nih.gov/protein/325297009","gi|325297009")</f>
        <v>gi|325297009</v>
      </c>
      <c r="X42" s="1">
        <v>314</v>
      </c>
      <c r="Y42" s="1">
        <v>152</v>
      </c>
      <c r="Z42" s="1">
        <v>152</v>
      </c>
      <c r="AA42" s="1">
        <v>100</v>
      </c>
      <c r="AB42" s="1">
        <v>100</v>
      </c>
      <c r="AC42" s="1">
        <v>100</v>
      </c>
      <c r="AD42" s="1">
        <v>0</v>
      </c>
      <c r="AE42" s="1">
        <v>0</v>
      </c>
      <c r="AF42" s="1">
        <v>1</v>
      </c>
      <c r="AG42" s="1">
        <v>1</v>
      </c>
      <c r="AH42" s="1">
        <v>1</v>
      </c>
      <c r="AI42" s="1" t="s">
        <v>34</v>
      </c>
      <c r="AJ42" s="1" t="str">
        <f>HYPERLINK(".\links\CDD\tr_G1U9T4_G1U9T4_RABIT-CDD.txt","PTZ00093")</f>
        <v>PTZ00093</v>
      </c>
      <c r="AK42" s="1" t="str">
        <f>HYPERLINK("http://www.ncbi.nlm.nih.gov/Structure/cdd/cddsrv.cgi?uid=PTZ00093&amp;version=v4.0","6E-058")</f>
        <v>6E-058</v>
      </c>
      <c r="AL42" s="1" t="s">
        <v>147</v>
      </c>
      <c r="AM42" s="1" t="s">
        <v>148</v>
      </c>
      <c r="AN42" s="1">
        <f>HYPERLINK(".\links\GO\tr_G1U9T4_G1U9T4_RABIT-GO.txt",3E-84)</f>
        <v>3.0000000000000001E-84</v>
      </c>
      <c r="AO42" s="1" t="str">
        <f>HYPERLINK("http://amigo.geneontology.org/cgi-bin/amigo/term_details?term=GO:0003677","GO:0003677")</f>
        <v>GO:0003677</v>
      </c>
      <c r="AP42" s="1" t="s">
        <v>94</v>
      </c>
      <c r="AQ42" s="1" t="s">
        <v>95</v>
      </c>
      <c r="AR42" s="1" t="s">
        <v>96</v>
      </c>
      <c r="AS42" s="1" t="s">
        <v>33</v>
      </c>
      <c r="AU42" s="2">
        <v>3.0000000000000001E-84</v>
      </c>
      <c r="AV42" s="1" t="str">
        <f>HYPERLINK("http://amigo.geneontology.org/cgi-bin/amigo/term_details?term=GO:0001726","GO:0001726")</f>
        <v>GO:0001726</v>
      </c>
      <c r="AW42" s="1" t="s">
        <v>149</v>
      </c>
      <c r="AX42" s="1" t="s">
        <v>150</v>
      </c>
      <c r="AY42" s="1" t="s">
        <v>151</v>
      </c>
      <c r="AZ42" s="1" t="s">
        <v>33</v>
      </c>
      <c r="BB42" s="2">
        <v>3.0000000000000001E-84</v>
      </c>
      <c r="BC42" s="1" t="str">
        <f>HYPERLINK("http://amigo.geneontology.org/cgi-bin/amigo/term_details?term=GO:0006165","GO:0006165")</f>
        <v>GO:0006165</v>
      </c>
      <c r="BD42" s="1" t="s">
        <v>152</v>
      </c>
      <c r="BE42" s="1" t="s">
        <v>153</v>
      </c>
      <c r="BF42" s="1" t="s">
        <v>33</v>
      </c>
      <c r="BG42" s="1" t="s">
        <v>33</v>
      </c>
      <c r="BI42" s="2">
        <v>3.0000000000000001E-84</v>
      </c>
    </row>
    <row r="43" spans="1:61" x14ac:dyDescent="0.2">
      <c r="A43" s="1" t="str">
        <f>HYPERLINK(".\links\\tr_G1TXI1_G1TXI1_RABIT-.txt","tr|G1TXI1|G1TXI1_RABIT")</f>
        <v>tr|G1TXI1|G1TXI1_RABIT</v>
      </c>
      <c r="B43" s="1" t="s">
        <v>32</v>
      </c>
      <c r="C43" s="1">
        <v>238</v>
      </c>
      <c r="D43" s="1" t="s">
        <v>685</v>
      </c>
      <c r="E43" s="6" t="s">
        <v>703</v>
      </c>
      <c r="F43" s="1" t="str">
        <f>HYPERLINK(".\links\RABBIT-NCBI\tr_G1TXI1_G1TXI1_RABIT-RABBIT-NCBI.txt","Triadin")</f>
        <v>Triadin</v>
      </c>
      <c r="G43" s="1" t="str">
        <f>HYPERLINK("http://www.ncbi.nlm.nih.gov/sutils/blink.cgi?pid=8134743","2E-005")</f>
        <v>2E-005</v>
      </c>
      <c r="H43" s="1" t="str">
        <f>HYPERLINK("http://www.ncbi.nlm.nih.gov/protein/8134743","gi|8134743")</f>
        <v>gi|8134743</v>
      </c>
      <c r="I43" s="1">
        <v>41.6</v>
      </c>
      <c r="J43" s="1">
        <v>89</v>
      </c>
      <c r="K43" s="1">
        <v>706</v>
      </c>
      <c r="L43" s="1">
        <v>31</v>
      </c>
      <c r="M43" s="1">
        <v>47</v>
      </c>
      <c r="N43" s="1">
        <v>13</v>
      </c>
      <c r="O43" s="1">
        <v>61</v>
      </c>
      <c r="P43" s="1">
        <v>1</v>
      </c>
      <c r="Q43" s="1">
        <v>314</v>
      </c>
      <c r="R43" s="1">
        <v>114</v>
      </c>
      <c r="S43" s="1">
        <v>1</v>
      </c>
      <c r="T43" s="1" t="s">
        <v>33</v>
      </c>
      <c r="U43" s="1" t="str">
        <f>HYPERLINK(".\links\REFSEQ-VERTEBRATES\tr_G1TXI1_G1TXI1_RABIT-REFSEQ-VERTEBRATES.txt","LOW QUALITY PROTEIN: nucleophosmin (nucleolar phosphoprotein B23, numatrin)")</f>
        <v>LOW QUALITY PROTEIN: nucleophosmin (nucleolar phosphoprotein B23, numatrin)</v>
      </c>
      <c r="V43" s="1" t="str">
        <f>HYPERLINK("http://www.ncbi.nlm.nih.gov/sutils/blink.cgi?pid=533122623","1E-115")</f>
        <v>1E-115</v>
      </c>
      <c r="W43" s="1" t="str">
        <f>HYPERLINK("http://www.ncbi.nlm.nih.gov/protein/533122623","gi|533122623")</f>
        <v>gi|533122623</v>
      </c>
      <c r="X43" s="1">
        <v>416</v>
      </c>
      <c r="Y43" s="1">
        <v>262</v>
      </c>
      <c r="Z43" s="1">
        <v>367</v>
      </c>
      <c r="AA43" s="1">
        <v>83</v>
      </c>
      <c r="AB43" s="1">
        <v>84</v>
      </c>
      <c r="AC43" s="1">
        <v>71</v>
      </c>
      <c r="AD43" s="1">
        <v>42</v>
      </c>
      <c r="AE43" s="1">
        <v>25</v>
      </c>
      <c r="AF43" s="1">
        <v>68</v>
      </c>
      <c r="AG43" s="1">
        <v>2</v>
      </c>
      <c r="AH43" s="1">
        <v>1</v>
      </c>
      <c r="AI43" s="1" t="s">
        <v>201</v>
      </c>
      <c r="AJ43" s="1" t="str">
        <f>HYPERLINK(".\links\CDD\tr_G1TXI1_G1TXI1_RABIT-CDD.txt","Nucleoplasmin")</f>
        <v>Nucleoplasmin</v>
      </c>
      <c r="AK43" s="1" t="str">
        <f>HYPERLINK("http://www.ncbi.nlm.nih.gov/Structure/cdd/cddsrv.cgi?uid=pfam03066&amp;version=v4.0","3E-027")</f>
        <v>3E-027</v>
      </c>
      <c r="AL43" s="1" t="s">
        <v>202</v>
      </c>
      <c r="AM43" s="1" t="s">
        <v>203</v>
      </c>
      <c r="AN43" s="1">
        <f>HYPERLINK(".\links\GO\tr_G1TXI1_G1TXI1_RABIT-GO.txt",0)</f>
        <v>0</v>
      </c>
      <c r="AO43" s="1" t="str">
        <f>HYPERLINK("http://amigo.geneontology.org/cgi-bin/amigo/term_details?term=GO:0003713","GO:0003713")</f>
        <v>GO:0003713</v>
      </c>
      <c r="AP43" s="1" t="s">
        <v>204</v>
      </c>
      <c r="AQ43" s="1" t="s">
        <v>205</v>
      </c>
      <c r="AR43" s="1" t="s">
        <v>206</v>
      </c>
      <c r="AS43" s="1" t="s">
        <v>33</v>
      </c>
      <c r="AU43" s="2">
        <v>9.9999999999999993E-125</v>
      </c>
      <c r="AV43" s="1" t="str">
        <f>HYPERLINK("http://amigo.geneontology.org/cgi-bin/amigo/term_details?term=GO:0005654","GO:0005654")</f>
        <v>GO:0005654</v>
      </c>
      <c r="AW43" s="1" t="s">
        <v>207</v>
      </c>
      <c r="AX43" s="1" t="s">
        <v>208</v>
      </c>
      <c r="AY43" s="1" t="s">
        <v>33</v>
      </c>
      <c r="AZ43" s="1" t="s">
        <v>33</v>
      </c>
      <c r="BB43" s="2">
        <v>9.9999999999999993E-125</v>
      </c>
      <c r="BC43" s="1" t="str">
        <f>HYPERLINK("http://amigo.geneontology.org/cgi-bin/amigo/term_details?term=GO:0006281","GO:0006281")</f>
        <v>GO:0006281</v>
      </c>
      <c r="BD43" s="1" t="s">
        <v>209</v>
      </c>
      <c r="BE43" s="1" t="s">
        <v>210</v>
      </c>
      <c r="BF43" s="1" t="s">
        <v>33</v>
      </c>
      <c r="BG43" s="1" t="s">
        <v>33</v>
      </c>
      <c r="BI43" s="2">
        <v>9.9999999999999993E-125</v>
      </c>
    </row>
    <row r="44" spans="1:61" x14ac:dyDescent="0.2">
      <c r="A44" s="1" t="str">
        <f>HYPERLINK(".\links\\tr_G1SN21_G1SN21_RABIT-.txt","tr|G1SN21|G1SN21_RABIT")</f>
        <v>tr|G1SN21|G1SN21_RABIT</v>
      </c>
      <c r="B44" s="1" t="s">
        <v>241</v>
      </c>
      <c r="C44" s="1">
        <v>289</v>
      </c>
      <c r="D44" s="1" t="s">
        <v>686</v>
      </c>
      <c r="E44" s="6" t="s">
        <v>703</v>
      </c>
      <c r="F44" s="1" t="str">
        <f>HYPERLINK(".\links\RABBIT-NCBI\tr_G1SN21_G1SN21_RABIT-RABBIT-NCBI.txt","Na(+)/H(+) exchange regulatory cofactor NHE-RF3; Short=NHERF-3; AltName:")</f>
        <v>Na(+)/H(+) exchange regulatory cofactor NHE-RF3; Short=NHERF-3; AltName:</v>
      </c>
      <c r="G44" s="1" t="str">
        <f>HYPERLINK("http://www.ncbi.nlm.nih.gov/sutils/blink.cgi?pid=73621375","0.96")</f>
        <v>0.96</v>
      </c>
      <c r="H44" s="1" t="str">
        <f>HYPERLINK("http://www.ncbi.nlm.nih.gov/protein/73621375","gi|73621375")</f>
        <v>gi|73621375</v>
      </c>
      <c r="I44" s="1">
        <v>26.2</v>
      </c>
      <c r="J44" s="1">
        <v>22</v>
      </c>
      <c r="K44" s="1">
        <v>518</v>
      </c>
      <c r="L44" s="1">
        <v>45</v>
      </c>
      <c r="M44" s="1">
        <v>77</v>
      </c>
      <c r="N44" s="1">
        <v>4</v>
      </c>
      <c r="O44" s="1">
        <v>12</v>
      </c>
      <c r="P44" s="1">
        <v>0</v>
      </c>
      <c r="Q44" s="1">
        <v>186</v>
      </c>
      <c r="R44" s="1">
        <v>250</v>
      </c>
      <c r="S44" s="1">
        <v>1</v>
      </c>
      <c r="T44" s="1" t="s">
        <v>33</v>
      </c>
      <c r="U44" s="1" t="str">
        <f>HYPERLINK(".\links\REFSEQ-VERTEBRATES\tr_G1SN21_G1SN21_RABIT-REFSEQ-VERTEBRATES.txt","purine nucleoside phosphorylase")</f>
        <v>purine nucleoside phosphorylase</v>
      </c>
      <c r="V44" s="1" t="str">
        <f>HYPERLINK("http://www.ncbi.nlm.nih.gov/sutils/blink.cgi?pid=291403445","1E-164")</f>
        <v>1E-164</v>
      </c>
      <c r="W44" s="1" t="str">
        <f>HYPERLINK("http://www.ncbi.nlm.nih.gov/protein/291403445","gi|291403445")</f>
        <v>gi|291403445</v>
      </c>
      <c r="X44" s="1">
        <v>580</v>
      </c>
      <c r="Y44" s="1">
        <v>285</v>
      </c>
      <c r="Z44" s="1">
        <v>289</v>
      </c>
      <c r="AA44" s="1">
        <v>100</v>
      </c>
      <c r="AB44" s="1">
        <v>100</v>
      </c>
      <c r="AC44" s="1">
        <v>99</v>
      </c>
      <c r="AD44" s="1">
        <v>0</v>
      </c>
      <c r="AE44" s="1">
        <v>0</v>
      </c>
      <c r="AF44" s="1">
        <v>5</v>
      </c>
      <c r="AG44" s="1">
        <v>5</v>
      </c>
      <c r="AH44" s="1">
        <v>1</v>
      </c>
      <c r="AI44" s="1" t="s">
        <v>34</v>
      </c>
      <c r="AJ44" s="1" t="str">
        <f>HYPERLINK(".\links\CDD\tr_G1SN21_G1SN21_RABIT-CDD.txt","PNPH")</f>
        <v>PNPH</v>
      </c>
      <c r="AK44" s="1" t="str">
        <f>HYPERLINK("http://www.ncbi.nlm.nih.gov/Structure/cdd/cddsrv.cgi?uid=TIGR01700&amp;version=v4.0","1E-097")</f>
        <v>1E-097</v>
      </c>
      <c r="AL44" s="1" t="s">
        <v>242</v>
      </c>
      <c r="AM44" s="1" t="s">
        <v>243</v>
      </c>
      <c r="AN44" s="1">
        <f>HYPERLINK(".\links\GO\tr_G1SN21_G1SN21_RABIT-GO.txt",0)</f>
        <v>0</v>
      </c>
      <c r="AO44" s="1" t="str">
        <f>HYPERLINK("http://amigo.geneontology.org/cgi-bin/amigo/term_details?term=GO:0001882","GO:0001882")</f>
        <v>GO:0001882</v>
      </c>
      <c r="AP44" s="1" t="s">
        <v>244</v>
      </c>
      <c r="AQ44" s="1" t="s">
        <v>245</v>
      </c>
      <c r="AR44" s="1" t="s">
        <v>33</v>
      </c>
      <c r="AS44" s="1" t="s">
        <v>33</v>
      </c>
      <c r="AU44" s="2">
        <v>1.0000000000000001E-152</v>
      </c>
      <c r="AV44" s="1" t="str">
        <f>HYPERLINK("http://amigo.geneontology.org/cgi-bin/amigo/term_details?term=GO:0005622","GO:0005622")</f>
        <v>GO:0005622</v>
      </c>
      <c r="AW44" s="1" t="s">
        <v>246</v>
      </c>
      <c r="AX44" s="1" t="s">
        <v>247</v>
      </c>
      <c r="AY44" s="1" t="s">
        <v>248</v>
      </c>
      <c r="AZ44" s="1" t="s">
        <v>33</v>
      </c>
      <c r="BB44" s="2">
        <v>1.0000000000000001E-152</v>
      </c>
      <c r="BC44" s="1" t="str">
        <f>HYPERLINK("http://amigo.geneontology.org/cgi-bin/amigo/term_details?term=GO:0006139","GO:0006139")</f>
        <v>GO:0006139</v>
      </c>
      <c r="BD44" s="1" t="s">
        <v>249</v>
      </c>
      <c r="BE44" s="1" t="s">
        <v>250</v>
      </c>
      <c r="BF44" s="1" t="s">
        <v>251</v>
      </c>
      <c r="BG44" s="1" t="s">
        <v>33</v>
      </c>
      <c r="BI44" s="2">
        <v>1.0000000000000001E-152</v>
      </c>
    </row>
    <row r="45" spans="1:61" x14ac:dyDescent="0.2">
      <c r="A45" s="1" t="str">
        <f>HYPERLINK(".\links\\tr_G1U155_G1U155_RABIT-.txt","tr|G1U155|G1U155_RABIT")</f>
        <v>tr|G1U155|G1U155_RABIT</v>
      </c>
      <c r="B45" s="1" t="s">
        <v>32</v>
      </c>
      <c r="C45" s="1">
        <v>126</v>
      </c>
      <c r="D45" s="1" t="s">
        <v>102</v>
      </c>
      <c r="E45" s="1" t="s">
        <v>704</v>
      </c>
      <c r="F45" s="1" t="str">
        <f>HYPERLINK(".\links\RABBIT-NCBI\tr_G1U155_G1U155_RABIT-RABBIT-NCBI.txt","Histone H1.4")</f>
        <v>Histone H1.4</v>
      </c>
      <c r="G45" s="1" t="str">
        <f>HYPERLINK("http://www.ncbi.nlm.nih.gov/sutils/blink.cgi?pid=408360127","0.025")</f>
        <v>0.025</v>
      </c>
      <c r="H45" s="1" t="str">
        <f>HYPERLINK("http://www.ncbi.nlm.nih.gov/protein/408360127","gi|408360127")</f>
        <v>gi|408360127</v>
      </c>
      <c r="I45" s="1">
        <v>29.6</v>
      </c>
      <c r="J45" s="1">
        <v>61</v>
      </c>
      <c r="K45" s="1">
        <v>219</v>
      </c>
      <c r="L45" s="1">
        <v>32</v>
      </c>
      <c r="M45" s="1">
        <v>45</v>
      </c>
      <c r="N45" s="1">
        <v>28</v>
      </c>
      <c r="O45" s="1">
        <v>41</v>
      </c>
      <c r="P45" s="1">
        <v>3</v>
      </c>
      <c r="Q45" s="1">
        <v>138</v>
      </c>
      <c r="R45" s="1">
        <v>2</v>
      </c>
      <c r="S45" s="1">
        <v>1</v>
      </c>
      <c r="T45" s="1" t="s">
        <v>33</v>
      </c>
      <c r="U45" s="1" t="str">
        <f>HYPERLINK(".\links\REFSEQ-VERTEBRATES\tr_G1U155_G1U155_RABIT-REFSEQ-VERTEBRATES.txt","histone H2B type 1-H-like")</f>
        <v>histone H2B type 1-H-like</v>
      </c>
      <c r="V45" s="1" t="str">
        <f>HYPERLINK("http://www.ncbi.nlm.nih.gov/sutils/blink.cgi?pid=532054528","2E-064")</f>
        <v>2E-064</v>
      </c>
      <c r="W45" s="1" t="str">
        <f>HYPERLINK("http://www.ncbi.nlm.nih.gov/protein/532054528","gi|532054528")</f>
        <v>gi|532054528</v>
      </c>
      <c r="X45" s="1">
        <v>246</v>
      </c>
      <c r="Y45" s="1">
        <v>126</v>
      </c>
      <c r="Z45" s="1">
        <v>126</v>
      </c>
      <c r="AA45" s="1">
        <v>100</v>
      </c>
      <c r="AB45" s="1">
        <v>100</v>
      </c>
      <c r="AC45" s="1">
        <v>100</v>
      </c>
      <c r="AD45" s="1">
        <v>0</v>
      </c>
      <c r="AE45" s="1">
        <v>0</v>
      </c>
      <c r="AF45" s="1">
        <v>1</v>
      </c>
      <c r="AG45" s="1">
        <v>1</v>
      </c>
      <c r="AH45" s="1">
        <v>1</v>
      </c>
      <c r="AI45" s="1" t="s">
        <v>91</v>
      </c>
      <c r="AJ45" s="1" t="str">
        <f>HYPERLINK(".\links\CDD\tr_G1U155_G1U155_RABIT-CDD.txt","PLN00158")</f>
        <v>PLN00158</v>
      </c>
      <c r="AK45" s="1" t="str">
        <f>HYPERLINK("http://www.ncbi.nlm.nih.gov/Structure/cdd/cddsrv.cgi?uid=PLN00158&amp;version=v4.0","1E-042")</f>
        <v>1E-042</v>
      </c>
      <c r="AL45" s="1" t="s">
        <v>92</v>
      </c>
      <c r="AM45" s="1" t="s">
        <v>93</v>
      </c>
      <c r="AN45" s="1">
        <f>HYPERLINK(".\links\GO\tr_G1U155_G1U155_RABIT-GO.txt",3E-65)</f>
        <v>3E-65</v>
      </c>
      <c r="AO45" s="1" t="str">
        <f>HYPERLINK("http://amigo.geneontology.org/cgi-bin/amigo/term_details?term=GO:0003677","GO:0003677")</f>
        <v>GO:0003677</v>
      </c>
      <c r="AP45" s="1" t="s">
        <v>94</v>
      </c>
      <c r="AQ45" s="1" t="s">
        <v>95</v>
      </c>
      <c r="AR45" s="1" t="s">
        <v>96</v>
      </c>
      <c r="AS45" s="1" t="s">
        <v>33</v>
      </c>
      <c r="AU45" s="2">
        <v>3E-65</v>
      </c>
      <c r="AV45" s="1" t="str">
        <f>HYPERLINK("http://amigo.geneontology.org/cgi-bin/amigo/term_details?term=GO:0000786","GO:0000786")</f>
        <v>GO:0000786</v>
      </c>
      <c r="AW45" s="1" t="s">
        <v>97</v>
      </c>
      <c r="AX45" s="1" t="s">
        <v>98</v>
      </c>
      <c r="AY45" s="1" t="s">
        <v>33</v>
      </c>
      <c r="AZ45" s="1" t="s">
        <v>33</v>
      </c>
      <c r="BB45" s="2">
        <v>3E-65</v>
      </c>
      <c r="BC45" s="1" t="str">
        <f>HYPERLINK("http://amigo.geneontology.org/cgi-bin/amigo/term_details?term=GO:0006334","GO:0006334")</f>
        <v>GO:0006334</v>
      </c>
      <c r="BD45" s="1" t="s">
        <v>99</v>
      </c>
      <c r="BE45" s="1" t="s">
        <v>100</v>
      </c>
      <c r="BF45" s="1" t="s">
        <v>101</v>
      </c>
      <c r="BG45" s="1" t="s">
        <v>33</v>
      </c>
      <c r="BI45" s="2">
        <v>3E-65</v>
      </c>
    </row>
    <row r="46" spans="1:61" x14ac:dyDescent="0.2">
      <c r="A46" s="1" t="str">
        <f>HYPERLINK(".\links\\tr_G1T0Z2_G1T0Z2_RABIT-.txt","tr|G1T0Z2|G1T0Z2_RABIT")</f>
        <v>tr|G1T0Z2|G1T0Z2_RABIT</v>
      </c>
      <c r="B46" s="1" t="s">
        <v>32</v>
      </c>
      <c r="C46" s="1">
        <v>131</v>
      </c>
      <c r="D46" s="1" t="s">
        <v>112</v>
      </c>
      <c r="E46" s="1" t="s">
        <v>704</v>
      </c>
      <c r="F46" s="1" t="str">
        <f>HYPERLINK(".\links\RABBIT-NCBI\tr_G1T0Z2_G1T0Z2_RABIT-RABBIT-NCBI.txt","Histone H2A.V; AltName: Full=H2A.F/Z")</f>
        <v>Histone H2A.V; AltName: Full=H2A.F/Z</v>
      </c>
      <c r="G46" s="1" t="str">
        <f>HYPERLINK("http://www.ncbi.nlm.nih.gov/sutils/blink.cgi?pid=110826505","5E-034")</f>
        <v>5E-034</v>
      </c>
      <c r="H46" s="1" t="str">
        <f>HYPERLINK("http://www.ncbi.nlm.nih.gov/protein/110826505","gi|110826505")</f>
        <v>gi|110826505</v>
      </c>
      <c r="I46" s="1">
        <v>135</v>
      </c>
      <c r="J46" s="1">
        <v>117</v>
      </c>
      <c r="K46" s="1">
        <v>128</v>
      </c>
      <c r="L46" s="1">
        <v>64</v>
      </c>
      <c r="M46" s="1">
        <v>76</v>
      </c>
      <c r="N46" s="1">
        <v>91</v>
      </c>
      <c r="O46" s="1">
        <v>42</v>
      </c>
      <c r="P46" s="1">
        <v>2</v>
      </c>
      <c r="Q46" s="1">
        <v>7</v>
      </c>
      <c r="R46" s="1">
        <v>5</v>
      </c>
      <c r="S46" s="1">
        <v>1</v>
      </c>
      <c r="T46" s="1" t="s">
        <v>33</v>
      </c>
      <c r="U46" s="1" t="str">
        <f>HYPERLINK(".\links\REFSEQ-VERTEBRATES\tr_G1T0Z2_G1T0Z2_RABIT-REFSEQ-VERTEBRATES.txt","histone H2A type 1-A")</f>
        <v>histone H2A type 1-A</v>
      </c>
      <c r="V46" s="1" t="str">
        <f>HYPERLINK("http://www.ncbi.nlm.nih.gov/sutils/blink.cgi?pid=291395705","5E-067")</f>
        <v>5E-067</v>
      </c>
      <c r="W46" s="1" t="str">
        <f>HYPERLINK("http://www.ncbi.nlm.nih.gov/protein/291395705","gi|291395705")</f>
        <v>gi|291395705</v>
      </c>
      <c r="X46" s="1">
        <v>255</v>
      </c>
      <c r="Y46" s="1">
        <v>131</v>
      </c>
      <c r="Z46" s="1">
        <v>131</v>
      </c>
      <c r="AA46" s="1">
        <v>100</v>
      </c>
      <c r="AB46" s="1">
        <v>100</v>
      </c>
      <c r="AC46" s="1">
        <v>100</v>
      </c>
      <c r="AD46" s="1">
        <v>0</v>
      </c>
      <c r="AE46" s="1">
        <v>0</v>
      </c>
      <c r="AF46" s="1">
        <v>1</v>
      </c>
      <c r="AG46" s="1">
        <v>1</v>
      </c>
      <c r="AH46" s="1">
        <v>1</v>
      </c>
      <c r="AI46" s="1" t="s">
        <v>34</v>
      </c>
      <c r="AJ46" s="1" t="str">
        <f>HYPERLINK(".\links\CDD\tr_G1T0Z2_G1T0Z2_RABIT-CDD.txt","H2A")</f>
        <v>H2A</v>
      </c>
      <c r="AK46" s="1" t="str">
        <f>HYPERLINK("http://www.ncbi.nlm.nih.gov/Structure/cdd/cddsrv.cgi?uid=cd00074&amp;version=v4.0","3E-049")</f>
        <v>3E-049</v>
      </c>
      <c r="AL46" s="1" t="s">
        <v>110</v>
      </c>
      <c r="AM46" s="1" t="s">
        <v>111</v>
      </c>
      <c r="AN46" s="1">
        <f>HYPERLINK(".\links\GO\tr_G1T0Z2_G1T0Z2_RABIT-GO.txt",3E-64)</f>
        <v>3.0000000000000001E-64</v>
      </c>
      <c r="AO46" s="1" t="str">
        <f>HYPERLINK("http://amigo.geneontology.org/cgi-bin/amigo/term_details?term=GO:0003677","GO:0003677")</f>
        <v>GO:0003677</v>
      </c>
      <c r="AP46" s="1" t="s">
        <v>94</v>
      </c>
      <c r="AQ46" s="1" t="s">
        <v>95</v>
      </c>
      <c r="AR46" s="1" t="s">
        <v>96</v>
      </c>
      <c r="AS46" s="1" t="s">
        <v>33</v>
      </c>
      <c r="AU46" s="2">
        <v>3.0000000000000001E-64</v>
      </c>
      <c r="AV46" s="1" t="str">
        <f>HYPERLINK("http://amigo.geneontology.org/cgi-bin/amigo/term_details?term=GO:0000786","GO:0000786")</f>
        <v>GO:0000786</v>
      </c>
      <c r="AW46" s="1" t="s">
        <v>97</v>
      </c>
      <c r="AX46" s="1" t="s">
        <v>98</v>
      </c>
      <c r="AY46" s="1" t="s">
        <v>33</v>
      </c>
      <c r="AZ46" s="1" t="s">
        <v>33</v>
      </c>
      <c r="BB46" s="2">
        <v>3.0000000000000001E-64</v>
      </c>
      <c r="BC46" s="1" t="str">
        <f>HYPERLINK("http://amigo.geneontology.org/cgi-bin/amigo/term_details?term=GO:0006334","GO:0006334")</f>
        <v>GO:0006334</v>
      </c>
      <c r="BD46" s="1" t="s">
        <v>99</v>
      </c>
      <c r="BE46" s="1" t="s">
        <v>100</v>
      </c>
      <c r="BF46" s="1" t="s">
        <v>101</v>
      </c>
      <c r="BG46" s="1" t="s">
        <v>33</v>
      </c>
      <c r="BI46" s="2">
        <v>3.0000000000000001E-64</v>
      </c>
    </row>
    <row r="47" spans="1:61" s="6" customFormat="1" x14ac:dyDescent="0.2">
      <c r="A47" s="1" t="str">
        <f>HYPERLINK(".\links\\tr_G1TDI4_G1TDI4_RABIT-.txt","tr|G1TDI4|G1TDI4_RABIT")</f>
        <v>tr|G1TDI4|G1TDI4_RABIT</v>
      </c>
      <c r="B47" s="1" t="s">
        <v>32</v>
      </c>
      <c r="C47" s="1">
        <v>147</v>
      </c>
      <c r="D47" s="1" t="s">
        <v>687</v>
      </c>
      <c r="E47" s="6" t="s">
        <v>705</v>
      </c>
      <c r="F47" s="1" t="str">
        <f>HYPERLINK(".\links\RABBIT-NCBI\tr_G1TDI4_G1TDI4_RABIT-RABBIT-NCBI.txt","Transthyretin; AltName: Full=Prealbumin")</f>
        <v>Transthyretin; AltName: Full=Prealbumin</v>
      </c>
      <c r="G47" s="1" t="str">
        <f>HYPERLINK("http://www.ncbi.nlm.nih.gov/sutils/blink.cgi?pid=136466","3E-071")</f>
        <v>3E-071</v>
      </c>
      <c r="H47" s="1" t="str">
        <f>HYPERLINK("http://www.ncbi.nlm.nih.gov/protein/136466","gi|136466")</f>
        <v>gi|136466</v>
      </c>
      <c r="I47" s="1">
        <v>259</v>
      </c>
      <c r="J47" s="1">
        <v>127</v>
      </c>
      <c r="K47" s="1">
        <v>127</v>
      </c>
      <c r="L47" s="1">
        <v>100</v>
      </c>
      <c r="M47" s="1">
        <v>100</v>
      </c>
      <c r="N47" s="1">
        <v>100</v>
      </c>
      <c r="O47" s="1">
        <v>0</v>
      </c>
      <c r="P47" s="1">
        <v>0</v>
      </c>
      <c r="Q47" s="1">
        <v>1</v>
      </c>
      <c r="R47" s="1">
        <v>21</v>
      </c>
      <c r="S47" s="1">
        <v>1</v>
      </c>
      <c r="T47" s="1" t="s">
        <v>33</v>
      </c>
      <c r="U47" s="1" t="str">
        <f>HYPERLINK(".\links\REFSEQ-VERTEBRATES\tr_G1TDI4_G1TDI4_RABIT-REFSEQ-VERTEBRATES.txt","transthyretin")</f>
        <v>transthyretin</v>
      </c>
      <c r="V47" s="1" t="str">
        <f>HYPERLINK("http://www.ncbi.nlm.nih.gov/sutils/blink.cgi?pid=291394246","3E-079")</f>
        <v>3E-079</v>
      </c>
      <c r="W47" s="1" t="str">
        <f>HYPERLINK("http://www.ncbi.nlm.nih.gov/protein/291394246","gi|291394246")</f>
        <v>gi|291394246</v>
      </c>
      <c r="X47" s="1">
        <v>296</v>
      </c>
      <c r="Y47" s="1">
        <v>147</v>
      </c>
      <c r="Z47" s="1">
        <v>147</v>
      </c>
      <c r="AA47" s="1">
        <v>100</v>
      </c>
      <c r="AB47" s="1">
        <v>100</v>
      </c>
      <c r="AC47" s="1">
        <v>100</v>
      </c>
      <c r="AD47" s="1">
        <v>0</v>
      </c>
      <c r="AE47" s="1">
        <v>0</v>
      </c>
      <c r="AF47" s="1">
        <v>1</v>
      </c>
      <c r="AG47" s="1">
        <v>1</v>
      </c>
      <c r="AH47" s="1">
        <v>1</v>
      </c>
      <c r="AI47" s="1" t="s">
        <v>34</v>
      </c>
      <c r="AJ47" s="1" t="str">
        <f>HYPERLINK(".\links\CDD\tr_G1TDI4_G1TDI4_RABIT-CDD.txt","TR_THY")</f>
        <v>TR_THY</v>
      </c>
      <c r="AK47" s="1" t="str">
        <f>HYPERLINK("http://www.ncbi.nlm.nih.gov/Structure/cdd/cddsrv.cgi?uid=smart00095&amp;version=v4.0","2E-056")</f>
        <v>2E-056</v>
      </c>
      <c r="AL47" s="1" t="s">
        <v>138</v>
      </c>
      <c r="AM47" s="1" t="s">
        <v>139</v>
      </c>
      <c r="AN47" s="1">
        <f>HYPERLINK(".\links\GO\tr_G1TDI4_G1TDI4_RABIT-GO.txt",3E-70)</f>
        <v>3.0000000000000001E-70</v>
      </c>
      <c r="AO47" s="1" t="str">
        <f>HYPERLINK("http://amigo.geneontology.org/cgi-bin/amigo/term_details?term=GO:0005179","GO:0005179")</f>
        <v>GO:0005179</v>
      </c>
      <c r="AP47" s="1" t="s">
        <v>140</v>
      </c>
      <c r="AQ47" s="1" t="s">
        <v>141</v>
      </c>
      <c r="AR47" s="1" t="s">
        <v>142</v>
      </c>
      <c r="AS47" s="1" t="s">
        <v>33</v>
      </c>
      <c r="AT47" s="1"/>
      <c r="AU47" s="2">
        <v>3.0000000000000001E-70</v>
      </c>
      <c r="AV47" s="1" t="str">
        <f>HYPERLINK("http://amigo.geneontology.org/cgi-bin/amigo/term_details?term=GO:0005576","GO:0005576")</f>
        <v>GO:0005576</v>
      </c>
      <c r="AW47" s="1" t="s">
        <v>51</v>
      </c>
      <c r="AX47" s="1" t="s">
        <v>52</v>
      </c>
      <c r="AY47" s="1" t="s">
        <v>53</v>
      </c>
      <c r="AZ47" s="1" t="s">
        <v>33</v>
      </c>
      <c r="BA47" s="1"/>
      <c r="BB47" s="2">
        <v>3.0000000000000001E-70</v>
      </c>
      <c r="BC47" s="1" t="str">
        <f>HYPERLINK("http://amigo.geneontology.org/cgi-bin/amigo/term_details?term=GO:0001523","GO:0001523")</f>
        <v>GO:0001523</v>
      </c>
      <c r="BD47" s="1" t="s">
        <v>143</v>
      </c>
      <c r="BE47" s="1" t="s">
        <v>144</v>
      </c>
      <c r="BF47" s="1" t="s">
        <v>145</v>
      </c>
      <c r="BG47" s="1" t="s">
        <v>33</v>
      </c>
      <c r="BH47" s="1"/>
      <c r="BI47" s="2">
        <v>3.0000000000000001E-70</v>
      </c>
    </row>
    <row r="48" spans="1:61" s="6" customFormat="1" x14ac:dyDescent="0.2">
      <c r="A48" s="1" t="str">
        <f>HYPERLINK(".\links\\sp_P51662_ANXA1_RABIT-.txt","sp|P51662|ANXA1_RABIT")</f>
        <v>sp|P51662|ANXA1_RABIT</v>
      </c>
      <c r="B48" s="1" t="s">
        <v>32</v>
      </c>
      <c r="C48" s="1">
        <v>346</v>
      </c>
      <c r="D48" s="1" t="s">
        <v>279</v>
      </c>
      <c r="E48" s="6" t="s">
        <v>705</v>
      </c>
      <c r="F48" s="1" t="str">
        <f>HYPERLINK(".\links\RABBIT-NCBI\sp_P51662_ANXA1_RABIT-RABBIT-NCBI.txt","Annexin A1; AltName: Full=Annexin I; AltName: Full=Annexin-1; AltName:")</f>
        <v>Annexin A1; AltName: Full=Annexin I; AltName: Full=Annexin-1; AltName:</v>
      </c>
      <c r="G48" s="1" t="str">
        <f>HYPERLINK("http://www.ncbi.nlm.nih.gov/sutils/blink.cgi?pid=1703316","0.0")</f>
        <v>0.0</v>
      </c>
      <c r="H48" s="1" t="str">
        <f>HYPERLINK("http://www.ncbi.nlm.nih.gov/protein/1703316","gi|1703316")</f>
        <v>gi|1703316</v>
      </c>
      <c r="I48" s="1">
        <v>680</v>
      </c>
      <c r="J48" s="1">
        <v>346</v>
      </c>
      <c r="K48" s="1">
        <v>346</v>
      </c>
      <c r="L48" s="1">
        <v>100</v>
      </c>
      <c r="M48" s="1">
        <v>100</v>
      </c>
      <c r="N48" s="1">
        <v>100</v>
      </c>
      <c r="O48" s="1">
        <v>0</v>
      </c>
      <c r="P48" s="1">
        <v>0</v>
      </c>
      <c r="Q48" s="1">
        <v>1</v>
      </c>
      <c r="R48" s="1">
        <v>1</v>
      </c>
      <c r="S48" s="1">
        <v>1</v>
      </c>
      <c r="T48" s="1" t="s">
        <v>33</v>
      </c>
      <c r="U48" s="1" t="str">
        <f>HYPERLINK(".\links\REFSEQ-VERTEBRATES\sp_P51662_ANXA1_RABIT-REFSEQ-VERTEBRATES.txt","annexin A1")</f>
        <v>annexin A1</v>
      </c>
      <c r="V48" s="1" t="str">
        <f>HYPERLINK("http://www.ncbi.nlm.nih.gov/sutils/blink.cgi?pid=283837861","0.0")</f>
        <v>0.0</v>
      </c>
      <c r="W48" s="1" t="str">
        <f>HYPERLINK("http://www.ncbi.nlm.nih.gov/protein/283837861","gi|283837861")</f>
        <v>gi|283837861</v>
      </c>
      <c r="X48" s="1">
        <v>680</v>
      </c>
      <c r="Y48" s="1">
        <v>346</v>
      </c>
      <c r="Z48" s="1">
        <v>346</v>
      </c>
      <c r="AA48" s="1">
        <v>100</v>
      </c>
      <c r="AB48" s="1">
        <v>100</v>
      </c>
      <c r="AC48" s="1">
        <v>100</v>
      </c>
      <c r="AD48" s="1">
        <v>0</v>
      </c>
      <c r="AE48" s="1">
        <v>0</v>
      </c>
      <c r="AF48" s="1">
        <v>1</v>
      </c>
      <c r="AG48" s="1">
        <v>1</v>
      </c>
      <c r="AH48" s="1">
        <v>1</v>
      </c>
      <c r="AI48" s="1" t="s">
        <v>34</v>
      </c>
      <c r="AJ48" s="1" t="str">
        <f>HYPERLINK(".\links\CDD\sp_P51662_ANXA1_RABIT-CDD.txt","Annexin")</f>
        <v>Annexin</v>
      </c>
      <c r="AK48" s="1" t="str">
        <f>HYPERLINK("http://www.ncbi.nlm.nih.gov/Structure/cdd/cddsrv.cgi?uid=pfam00191&amp;version=v4.0","9E-017")</f>
        <v>9E-017</v>
      </c>
      <c r="AL48" s="1" t="s">
        <v>273</v>
      </c>
      <c r="AM48" s="1" t="s">
        <v>274</v>
      </c>
      <c r="AN48" s="1">
        <f>HYPERLINK(".\links\GO\sp_P51662_ANXA1_RABIT-GO.txt",0)</f>
        <v>0</v>
      </c>
      <c r="AO48" s="1" t="str">
        <f>HYPERLINK("http://amigo.geneontology.org/cgi-bin/amigo/term_details?term=GO:0005102","GO:0005102")</f>
        <v>GO:0005102</v>
      </c>
      <c r="AP48" s="1" t="s">
        <v>182</v>
      </c>
      <c r="AQ48" s="1" t="s">
        <v>183</v>
      </c>
      <c r="AR48" s="1" t="s">
        <v>184</v>
      </c>
      <c r="AS48" s="1" t="s">
        <v>33</v>
      </c>
      <c r="AT48" s="1"/>
      <c r="AU48" s="2">
        <v>1E-179</v>
      </c>
      <c r="AV48" s="1" t="str">
        <f>HYPERLINK("http://amigo.geneontology.org/cgi-bin/amigo/term_details?term=GO:0001533","GO:0001533")</f>
        <v>GO:0001533</v>
      </c>
      <c r="AW48" s="1" t="s">
        <v>275</v>
      </c>
      <c r="AX48" s="1" t="s">
        <v>276</v>
      </c>
      <c r="AY48" s="1" t="s">
        <v>33</v>
      </c>
      <c r="AZ48" s="1" t="s">
        <v>33</v>
      </c>
      <c r="BA48" s="1"/>
      <c r="BB48" s="2">
        <v>1E-179</v>
      </c>
      <c r="BC48" s="1" t="str">
        <f>HYPERLINK("http://amigo.geneontology.org/cgi-bin/amigo/term_details?term=GO:0001780","GO:0001780")</f>
        <v>GO:0001780</v>
      </c>
      <c r="BD48" s="1" t="s">
        <v>277</v>
      </c>
      <c r="BE48" s="1" t="s">
        <v>278</v>
      </c>
      <c r="BF48" s="1" t="s">
        <v>33</v>
      </c>
      <c r="BG48" s="1" t="s">
        <v>33</v>
      </c>
      <c r="BH48" s="1"/>
      <c r="BI48" s="2">
        <v>1E-179</v>
      </c>
    </row>
    <row r="49" spans="1:61" x14ac:dyDescent="0.2">
      <c r="A49" s="1" t="str">
        <f>HYPERLINK(".\links\\tr_G1T9M9_G1T9M9_RABIT-.txt","tr|G1T9M9|G1T9M9_RABIT")</f>
        <v>tr|G1T9M9|G1T9M9_RABIT</v>
      </c>
      <c r="B49" s="1" t="s">
        <v>517</v>
      </c>
      <c r="C49" s="1">
        <v>648</v>
      </c>
      <c r="D49" s="1" t="s">
        <v>526</v>
      </c>
      <c r="E49" s="1" t="s">
        <v>706</v>
      </c>
      <c r="F49" s="1" t="str">
        <f>HYPERLINK(".\links\RABBIT-NCBI\tr_G1T9M9_G1T9M9_RABIT-RABBIT-NCBI.txt","Myosin-11; AltName: Full=Myosin heavy chain 11; AltName: Full=Myosin heavy")</f>
        <v>Myosin-11; AltName: Full=Myosin heavy chain 11; AltName: Full=Myosin heavy</v>
      </c>
      <c r="G49" s="1" t="str">
        <f>HYPERLINK("http://www.ncbi.nlm.nih.gov/sutils/blink.cgi?pid=1346644","6E-004")</f>
        <v>6E-004</v>
      </c>
      <c r="H49" s="1" t="str">
        <f>HYPERLINK("http://www.ncbi.nlm.nih.gov/protein/1346644","gi|1346644")</f>
        <v>gi|1346644</v>
      </c>
      <c r="I49" s="1">
        <v>38.1</v>
      </c>
      <c r="J49" s="1">
        <v>87</v>
      </c>
      <c r="K49" s="1">
        <v>1972</v>
      </c>
      <c r="L49" s="1">
        <v>27</v>
      </c>
      <c r="M49" s="1">
        <v>50</v>
      </c>
      <c r="N49" s="1">
        <v>4</v>
      </c>
      <c r="O49" s="1">
        <v>63</v>
      </c>
      <c r="P49" s="1">
        <v>6</v>
      </c>
      <c r="Q49" s="1">
        <v>894</v>
      </c>
      <c r="R49" s="1">
        <v>518</v>
      </c>
      <c r="S49" s="1">
        <v>1</v>
      </c>
      <c r="T49" s="1" t="s">
        <v>33</v>
      </c>
      <c r="U49" s="1" t="str">
        <f>HYPERLINK(".\links\REFSEQ-VERTEBRATES\tr_G1T9M9_G1T9M9_RABIT-REFSEQ-VERTEBRATES.txt","sodium bicarbonate cotransporter 3 isoform 5")</f>
        <v>sodium bicarbonate cotransporter 3 isoform 5</v>
      </c>
      <c r="V49" s="1" t="str">
        <f>HYPERLINK("http://www.ncbi.nlm.nih.gov/sutils/blink.cgi?pid=332215406","0.0")</f>
        <v>0.0</v>
      </c>
      <c r="W49" s="1" t="str">
        <f>HYPERLINK("http://www.ncbi.nlm.nih.gov/protein/332215406","gi|332215406")</f>
        <v>gi|332215406</v>
      </c>
      <c r="X49" s="1">
        <v>1275</v>
      </c>
      <c r="Y49" s="1">
        <v>632</v>
      </c>
      <c r="Z49" s="1">
        <v>1090</v>
      </c>
      <c r="AA49" s="1">
        <v>99</v>
      </c>
      <c r="AC49" s="1">
        <v>100</v>
      </c>
      <c r="AE49" s="1">
        <v>0</v>
      </c>
      <c r="AF49" s="1">
        <v>34</v>
      </c>
      <c r="AG49" s="1">
        <v>1</v>
      </c>
      <c r="AH49" s="1">
        <v>1</v>
      </c>
      <c r="AI49" s="1" t="s">
        <v>74</v>
      </c>
      <c r="AJ49" s="1" t="str">
        <f>HYPERLINK(".\links\CDD\tr_G1T9M9_G1T9M9_RABIT-CDD.txt","PTZ00009")</f>
        <v>PTZ00009</v>
      </c>
      <c r="AK49" s="1" t="str">
        <f>HYPERLINK("http://www.ncbi.nlm.nih.gov/Structure/cdd/cddsrv.cgi?uid=PTZ00009&amp;version=v4.0","0.0")</f>
        <v>0.0</v>
      </c>
      <c r="AL49" s="1" t="s">
        <v>518</v>
      </c>
      <c r="AM49" s="1" t="s">
        <v>519</v>
      </c>
      <c r="AN49" s="1">
        <f>HYPERLINK(".\links\GO\tr_G1T9M9_G1T9M9_RABIT-GO.txt",0)</f>
        <v>0</v>
      </c>
      <c r="AO49" s="1" t="str">
        <f>HYPERLINK("http://amigo.geneontology.org/cgi-bin/amigo/term_details?term=GO:0005515","GO:0005515")</f>
        <v>GO:0005515</v>
      </c>
      <c r="AP49" s="1" t="s">
        <v>37</v>
      </c>
      <c r="AQ49" s="1" t="s">
        <v>38</v>
      </c>
      <c r="AR49" s="1" t="s">
        <v>39</v>
      </c>
      <c r="AS49" s="1" t="s">
        <v>33</v>
      </c>
      <c r="AU49" s="1">
        <v>0</v>
      </c>
      <c r="AV49" s="1" t="str">
        <f>HYPERLINK("http://amigo.geneontology.org/cgi-bin/amigo/term_details?term=GO:0000974","GO:0000974")</f>
        <v>GO:0000974</v>
      </c>
      <c r="AW49" s="1" t="s">
        <v>520</v>
      </c>
      <c r="AX49" s="1" t="s">
        <v>521</v>
      </c>
      <c r="AY49" s="1" t="s">
        <v>522</v>
      </c>
      <c r="AZ49" s="1" t="s">
        <v>33</v>
      </c>
      <c r="BB49" s="1">
        <v>0</v>
      </c>
      <c r="BC49" s="1" t="str">
        <f>HYPERLINK("http://amigo.geneontology.org/cgi-bin/amigo/term_details?term=GO:0006200","GO:0006200")</f>
        <v>GO:0006200</v>
      </c>
      <c r="BD49" s="1" t="s">
        <v>523</v>
      </c>
      <c r="BE49" s="1" t="s">
        <v>524</v>
      </c>
      <c r="BF49" s="1" t="s">
        <v>525</v>
      </c>
      <c r="BG49" s="1" t="s">
        <v>33</v>
      </c>
      <c r="BI49" s="1">
        <v>0</v>
      </c>
    </row>
    <row r="50" spans="1:61" x14ac:dyDescent="0.2">
      <c r="A50" s="1" t="str">
        <f>HYPERLINK(".\links\\tr_G1SJZ9_G1SJZ9_RABIT-.txt","tr|G1SJZ9|G1SJZ9_RABIT")</f>
        <v>tr|G1SJZ9|G1SJZ9_RABIT</v>
      </c>
      <c r="B50" s="1" t="s">
        <v>32</v>
      </c>
      <c r="C50" s="1">
        <v>105</v>
      </c>
      <c r="D50" s="1" t="s">
        <v>84</v>
      </c>
      <c r="E50" s="1" t="s">
        <v>706</v>
      </c>
      <c r="F50" s="1" t="str">
        <f>HYPERLINK(".\links\RABBIT-NCBI\tr_G1SJZ9_G1SJZ9_RABIT-RABBIT-NCBI.txt","Thioredoxin; Short=Trx")</f>
        <v>Thioredoxin; Short=Trx</v>
      </c>
      <c r="G50" s="1" t="str">
        <f>HYPERLINK("http://www.ncbi.nlm.nih.gov/sutils/blink.cgi?pid=146291083","3E-058")</f>
        <v>3E-058</v>
      </c>
      <c r="H50" s="1" t="str">
        <f>HYPERLINK("http://www.ncbi.nlm.nih.gov/protein/146291083","gi|146291083")</f>
        <v>gi|146291083</v>
      </c>
      <c r="I50" s="1">
        <v>214</v>
      </c>
      <c r="J50" s="1">
        <v>105</v>
      </c>
      <c r="K50" s="1">
        <v>105</v>
      </c>
      <c r="L50" s="1">
        <v>99</v>
      </c>
      <c r="M50" s="1">
        <v>100</v>
      </c>
      <c r="N50" s="1">
        <v>100</v>
      </c>
      <c r="O50" s="1">
        <v>1</v>
      </c>
      <c r="P50" s="1">
        <v>0</v>
      </c>
      <c r="Q50" s="1">
        <v>1</v>
      </c>
      <c r="R50" s="1">
        <v>1</v>
      </c>
      <c r="S50" s="1">
        <v>1</v>
      </c>
      <c r="T50" s="1" t="s">
        <v>33</v>
      </c>
      <c r="U50" s="1" t="str">
        <f>HYPERLINK(".\links\REFSEQ-VERTEBRATES\tr_G1SJZ9_G1SJZ9_RABIT-REFSEQ-VERTEBRATES.txt","thioredoxin")</f>
        <v>thioredoxin</v>
      </c>
      <c r="V50" s="1" t="str">
        <f>HYPERLINK("http://www.ncbi.nlm.nih.gov/sutils/blink.cgi?pid=291408521","4E-055")</f>
        <v>4E-055</v>
      </c>
      <c r="W50" s="1" t="str">
        <f>HYPERLINK("http://www.ncbi.nlm.nih.gov/protein/291408521","gi|291408521")</f>
        <v>gi|291408521</v>
      </c>
      <c r="X50" s="1">
        <v>216</v>
      </c>
      <c r="Y50" s="1">
        <v>105</v>
      </c>
      <c r="Z50" s="1">
        <v>105</v>
      </c>
      <c r="AA50" s="1">
        <v>100</v>
      </c>
      <c r="AB50" s="1">
        <v>100</v>
      </c>
      <c r="AC50" s="1">
        <v>100</v>
      </c>
      <c r="AD50" s="1">
        <v>0</v>
      </c>
      <c r="AE50" s="1">
        <v>0</v>
      </c>
      <c r="AF50" s="1">
        <v>1</v>
      </c>
      <c r="AG50" s="1">
        <v>1</v>
      </c>
      <c r="AH50" s="1">
        <v>1</v>
      </c>
      <c r="AI50" s="1" t="s">
        <v>34</v>
      </c>
      <c r="AJ50" s="1" t="str">
        <f>HYPERLINK(".\links\CDD\tr_G1SJZ9_G1SJZ9_RABIT-CDD.txt","PTZ00051")</f>
        <v>PTZ00051</v>
      </c>
      <c r="AK50" s="1" t="str">
        <f>HYPERLINK("http://www.ncbi.nlm.nih.gov/Structure/cdd/cddsrv.cgi?uid=PTZ00051&amp;version=v4.0","8E-019")</f>
        <v>8E-019</v>
      </c>
      <c r="AL50" s="1" t="s">
        <v>79</v>
      </c>
      <c r="AM50" s="1" t="s">
        <v>80</v>
      </c>
      <c r="AN50" s="1">
        <f>HYPERLINK(".\links\GO\tr_G1SJZ9_G1SJZ9_RABIT-GO.txt",1E-55)</f>
        <v>9.9999999999999999E-56</v>
      </c>
      <c r="AO50" s="1" t="str">
        <f>HYPERLINK("http://amigo.geneontology.org/cgi-bin/amigo/term_details?term=GO:0005515","GO:0005515")</f>
        <v>GO:0005515</v>
      </c>
      <c r="AP50" s="1" t="s">
        <v>37</v>
      </c>
      <c r="AQ50" s="1" t="s">
        <v>38</v>
      </c>
      <c r="AR50" s="1" t="s">
        <v>39</v>
      </c>
      <c r="AS50" s="1" t="s">
        <v>33</v>
      </c>
      <c r="AU50" s="2">
        <v>2E-52</v>
      </c>
      <c r="AV50" s="1" t="str">
        <f>HYPERLINK("http://amigo.geneontology.org/cgi-bin/amigo/term_details?term=GO:0005634","GO:0005634")</f>
        <v>GO:0005634</v>
      </c>
      <c r="AW50" s="1" t="s">
        <v>81</v>
      </c>
      <c r="AX50" s="1" t="s">
        <v>82</v>
      </c>
      <c r="AY50" s="1" t="s">
        <v>83</v>
      </c>
      <c r="AZ50" s="1" t="s">
        <v>33</v>
      </c>
      <c r="BB50" s="2">
        <v>2E-52</v>
      </c>
      <c r="BC50" s="1" t="str">
        <f>HYPERLINK("http://amigo.geneontology.org/cgi-bin/amigo/term_details?term=GO:0000122","GO:0000122")</f>
        <v>GO:0000122</v>
      </c>
      <c r="BD50" s="1" t="s">
        <v>43</v>
      </c>
      <c r="BE50" s="1" t="s">
        <v>44</v>
      </c>
      <c r="BF50" s="1" t="s">
        <v>45</v>
      </c>
      <c r="BG50" s="1" t="s">
        <v>33</v>
      </c>
      <c r="BI50" s="2">
        <v>2E-52</v>
      </c>
    </row>
    <row r="51" spans="1:61" x14ac:dyDescent="0.2">
      <c r="A51" s="1" t="str">
        <f>HYPERLINK(".\links\\tr_G1SEK8_G1SEK8_RABIT-.txt","tr|G1SEK8|G1SEK8_RABIT")</f>
        <v>tr|G1SEK8|G1SEK8_RABIT</v>
      </c>
      <c r="B51" s="1" t="s">
        <v>312</v>
      </c>
      <c r="C51" s="1">
        <v>392</v>
      </c>
      <c r="D51" s="1" t="s">
        <v>640</v>
      </c>
      <c r="E51" s="1" t="s">
        <v>707</v>
      </c>
      <c r="F51" s="1" t="str">
        <f>HYPERLINK(".\links\RABBIT-NCBI\tr_G1SEK8_G1SEK8_RABIT-RABBIT-NCBI.txt","Alpha-2-HS-glycoprotein; AltName: Full=Fetuin-A; AltName: Full=Haemonectin;")</f>
        <v>Alpha-2-HS-glycoprotein; AltName: Full=Fetuin-A; AltName: Full=Haemonectin;</v>
      </c>
      <c r="G51" s="1" t="str">
        <f>HYPERLINK("http://www.ncbi.nlm.nih.gov/sutils/blink.cgi?pid=12644357","1E-024")</f>
        <v>1E-024</v>
      </c>
      <c r="H51" s="1" t="str">
        <f>HYPERLINK("http://www.ncbi.nlm.nih.gov/protein/12644357","gi|12644357")</f>
        <v>gi|12644357</v>
      </c>
      <c r="I51" s="1">
        <v>105</v>
      </c>
      <c r="J51" s="1">
        <v>302</v>
      </c>
      <c r="K51" s="1">
        <v>360</v>
      </c>
      <c r="L51" s="1">
        <v>27</v>
      </c>
      <c r="M51" s="1">
        <v>44</v>
      </c>
      <c r="N51" s="1">
        <v>84</v>
      </c>
      <c r="O51" s="1">
        <v>220</v>
      </c>
      <c r="P51" s="1">
        <v>17</v>
      </c>
      <c r="Q51" s="1">
        <v>1</v>
      </c>
      <c r="R51" s="1">
        <v>15</v>
      </c>
      <c r="S51" s="1">
        <v>1</v>
      </c>
      <c r="T51" s="1" t="s">
        <v>33</v>
      </c>
      <c r="U51" s="1" t="str">
        <f>HYPERLINK(".\links\REFSEQ-VERTEBRATES\tr_G1SEK8_G1SEK8_RABIT-REFSEQ-VERTEBRATES.txt","fetuin-B isoform X1")</f>
        <v>fetuin-B isoform X1</v>
      </c>
      <c r="V51" s="1" t="str">
        <f>HYPERLINK("http://www.ncbi.nlm.nih.gov/sutils/blink.cgi?pid=655853655","0.0")</f>
        <v>0.0</v>
      </c>
      <c r="W51" s="1" t="str">
        <f>HYPERLINK("http://www.ncbi.nlm.nih.gov/protein/655853655","gi|655853655")</f>
        <v>gi|655853655</v>
      </c>
      <c r="X51" s="1">
        <v>798</v>
      </c>
      <c r="Y51" s="1">
        <v>392</v>
      </c>
      <c r="Z51" s="1">
        <v>417</v>
      </c>
      <c r="AA51" s="1">
        <v>99</v>
      </c>
      <c r="AB51" s="1">
        <v>99</v>
      </c>
      <c r="AC51" s="1">
        <v>94</v>
      </c>
      <c r="AD51" s="1">
        <v>1</v>
      </c>
      <c r="AE51" s="1">
        <v>1</v>
      </c>
      <c r="AF51" s="1">
        <v>22</v>
      </c>
      <c r="AG51" s="1">
        <v>1</v>
      </c>
      <c r="AH51" s="1">
        <v>1</v>
      </c>
      <c r="AI51" s="1" t="s">
        <v>34</v>
      </c>
      <c r="AJ51" s="1" t="str">
        <f>HYPERLINK(".\links\CDD\tr_G1SEK8_G1SEK8_RABIT-CDD.txt","Cystatin")</f>
        <v>Cystatin</v>
      </c>
      <c r="AK51" s="1" t="str">
        <f>HYPERLINK("http://www.ncbi.nlm.nih.gov/Structure/cdd/cddsrv.cgi?uid=pfam00031&amp;version=v4.0","1E-006")</f>
        <v>1E-006</v>
      </c>
      <c r="AL51" s="1" t="s">
        <v>313</v>
      </c>
      <c r="AM51" s="1" t="s">
        <v>314</v>
      </c>
      <c r="AN51" s="1">
        <f>HYPERLINK(".\links\GO\tr_G1SEK8_G1SEK8_RABIT-GO.txt",0)</f>
        <v>0</v>
      </c>
      <c r="AO51" s="1" t="str">
        <f>HYPERLINK("http://amigo.geneontology.org/cgi-bin/amigo/term_details?term=GO:0004869","GO:0004869")</f>
        <v>GO:0004869</v>
      </c>
      <c r="AP51" s="1" t="s">
        <v>298</v>
      </c>
      <c r="AQ51" s="1" t="s">
        <v>299</v>
      </c>
      <c r="AR51" s="1" t="s">
        <v>300</v>
      </c>
      <c r="AS51" s="1" t="s">
        <v>33</v>
      </c>
      <c r="AU51" s="2">
        <v>9.9999999999999998E-150</v>
      </c>
      <c r="AV51" s="1" t="str">
        <f>HYPERLINK("http://amigo.geneontology.org/cgi-bin/amigo/term_details?term=GO:0005615","GO:0005615")</f>
        <v>GO:0005615</v>
      </c>
      <c r="AW51" s="1" t="s">
        <v>40</v>
      </c>
      <c r="AX51" s="1" t="s">
        <v>41</v>
      </c>
      <c r="AY51" s="1" t="s">
        <v>42</v>
      </c>
      <c r="AZ51" s="1" t="s">
        <v>33</v>
      </c>
      <c r="BB51" s="2">
        <v>9.9999999999999998E-150</v>
      </c>
      <c r="BC51" s="1" t="str">
        <f>HYPERLINK("http://amigo.geneontology.org/cgi-bin/amigo/term_details?term=GO:0007339","GO:0007339")</f>
        <v>GO:0007339</v>
      </c>
      <c r="BD51" s="1" t="s">
        <v>315</v>
      </c>
      <c r="BE51" s="1" t="s">
        <v>316</v>
      </c>
      <c r="BF51" s="1" t="s">
        <v>317</v>
      </c>
      <c r="BG51" s="1" t="s">
        <v>33</v>
      </c>
      <c r="BI51" s="2">
        <v>9.9999999999999998E-150</v>
      </c>
    </row>
    <row r="52" spans="1:61" s="6" customFormat="1" x14ac:dyDescent="0.2">
      <c r="A52" s="1" t="str">
        <f>HYPERLINK(".\links\\tr_Q28665_Q28665_RABIT-.txt","tr|Q28665|Q28665_RABIT")</f>
        <v>tr|Q28665|Q28665_RABIT</v>
      </c>
      <c r="B52" s="1" t="s">
        <v>32</v>
      </c>
      <c r="C52" s="1">
        <v>413</v>
      </c>
      <c r="D52" s="1" t="s">
        <v>642</v>
      </c>
      <c r="E52" s="1" t="s">
        <v>707</v>
      </c>
      <c r="F52" s="1" t="str">
        <f>HYPERLINK(".\links\RABBIT-NCBI\tr_Q28665_Q28665_RABIT-RABBIT-NCBI.txt","Alpha-1-antiproteinase F; Short=APF; AltName: Full=Alpha-1-antitrypsin; AltName:")</f>
        <v>Alpha-1-antiproteinase F; Short=APF; AltName: Full=Alpha-1-antitrypsin; AltName:</v>
      </c>
      <c r="G52" s="1" t="str">
        <f>HYPERLINK("http://www.ncbi.nlm.nih.gov/sutils/blink.cgi?pid=112876","0.0")</f>
        <v>0.0</v>
      </c>
      <c r="H52" s="1" t="str">
        <f>HYPERLINK("http://www.ncbi.nlm.nih.gov/protein/112876","gi|112876")</f>
        <v>gi|112876</v>
      </c>
      <c r="I52" s="1">
        <v>786</v>
      </c>
      <c r="J52" s="1">
        <v>413</v>
      </c>
      <c r="K52" s="1">
        <v>413</v>
      </c>
      <c r="L52" s="1">
        <v>96</v>
      </c>
      <c r="M52" s="1">
        <v>98</v>
      </c>
      <c r="N52" s="1">
        <v>100</v>
      </c>
      <c r="O52" s="1">
        <v>15</v>
      </c>
      <c r="P52" s="1">
        <v>0</v>
      </c>
      <c r="Q52" s="1">
        <v>1</v>
      </c>
      <c r="R52" s="1">
        <v>1</v>
      </c>
      <c r="S52" s="1">
        <v>1</v>
      </c>
      <c r="T52" s="1" t="s">
        <v>33</v>
      </c>
      <c r="U52" s="1" t="str">
        <f>HYPERLINK(".\links\REFSEQ-VERTEBRATES\tr_Q28665_Q28665_RABIT-REFSEQ-VERTEBRATES.txt","alpha-1-antiproteinase E precursor")</f>
        <v>alpha-1-antiproteinase E precursor</v>
      </c>
      <c r="V52" s="1" t="str">
        <f>HYPERLINK("http://www.ncbi.nlm.nih.gov/sutils/blink.cgi?pid=126722876","0.0")</f>
        <v>0.0</v>
      </c>
      <c r="W52" s="1" t="str">
        <f>HYPERLINK("http://www.ncbi.nlm.nih.gov/protein/126722876","gi|126722876")</f>
        <v>gi|126722876</v>
      </c>
      <c r="X52" s="1">
        <v>813</v>
      </c>
      <c r="Y52" s="1">
        <v>413</v>
      </c>
      <c r="Z52" s="1">
        <v>413</v>
      </c>
      <c r="AA52" s="1">
        <v>100</v>
      </c>
      <c r="AB52" s="1">
        <v>100</v>
      </c>
      <c r="AC52" s="1">
        <v>100</v>
      </c>
      <c r="AD52" s="1">
        <v>0</v>
      </c>
      <c r="AE52" s="1">
        <v>0</v>
      </c>
      <c r="AF52" s="1">
        <v>1</v>
      </c>
      <c r="AG52" s="1">
        <v>1</v>
      </c>
      <c r="AH52" s="1">
        <v>1</v>
      </c>
      <c r="AI52" s="1" t="s">
        <v>34</v>
      </c>
      <c r="AJ52" s="1" t="str">
        <f>HYPERLINK(".\links\CDD\tr_Q28665_Q28665_RABIT-CDD.txt","alpha-1-antitry")</f>
        <v>alpha-1-antitry</v>
      </c>
      <c r="AK52" s="1" t="str">
        <f>HYPERLINK("http://www.ncbi.nlm.nih.gov/Structure/cdd/cddsrv.cgi?uid=cd02056&amp;version=v4.0","1E-115")</f>
        <v>1E-115</v>
      </c>
      <c r="AL52" s="1" t="s">
        <v>330</v>
      </c>
      <c r="AM52" s="1" t="s">
        <v>331</v>
      </c>
      <c r="AN52" s="1">
        <f>HYPERLINK(".\links\GO\tr_Q28665_Q28665_RABIT-GO.txt",0)</f>
        <v>0</v>
      </c>
      <c r="AO52" s="1" t="str">
        <f>HYPERLINK("http://amigo.geneontology.org/cgi-bin/amigo/term_details?term=GO:0001948","GO:0001948")</f>
        <v>GO:0001948</v>
      </c>
      <c r="AP52" s="1" t="s">
        <v>120</v>
      </c>
      <c r="AQ52" s="1" t="s">
        <v>121</v>
      </c>
      <c r="AR52" s="1" t="s">
        <v>33</v>
      </c>
      <c r="AS52" s="1" t="s">
        <v>33</v>
      </c>
      <c r="AT52" s="1"/>
      <c r="AU52" s="2">
        <v>1E-153</v>
      </c>
      <c r="AV52" s="1" t="str">
        <f>HYPERLINK("http://amigo.geneontology.org/cgi-bin/amigo/term_details?term=GO:0005576","GO:0005576")</f>
        <v>GO:0005576</v>
      </c>
      <c r="AW52" s="1" t="s">
        <v>51</v>
      </c>
      <c r="AX52" s="1" t="s">
        <v>52</v>
      </c>
      <c r="AY52" s="1" t="s">
        <v>53</v>
      </c>
      <c r="AZ52" s="1" t="s">
        <v>33</v>
      </c>
      <c r="BA52" s="1"/>
      <c r="BB52" s="2">
        <v>1E-153</v>
      </c>
      <c r="BC52" s="1" t="str">
        <f>HYPERLINK("http://amigo.geneontology.org/cgi-bin/amigo/term_details?term=GO:0001666","GO:0001666")</f>
        <v>GO:0001666</v>
      </c>
      <c r="BD52" s="1" t="s">
        <v>332</v>
      </c>
      <c r="BE52" s="1" t="s">
        <v>333</v>
      </c>
      <c r="BF52" s="1" t="s">
        <v>334</v>
      </c>
      <c r="BG52" s="1" t="s">
        <v>33</v>
      </c>
      <c r="BH52" s="1"/>
      <c r="BI52" s="2">
        <v>1E-153</v>
      </c>
    </row>
    <row r="53" spans="1:61" s="6" customFormat="1" x14ac:dyDescent="0.2">
      <c r="A53" s="1" t="str">
        <f>HYPERLINK(".\links\\tr_G1TFX2_G1TFX2_RABIT-.txt","tr|G1TFX2|G1TFX2_RABIT")</f>
        <v>tr|G1TFX2|G1TFX2_RABIT</v>
      </c>
      <c r="B53" s="1" t="s">
        <v>32</v>
      </c>
      <c r="C53" s="1">
        <v>413</v>
      </c>
      <c r="D53" s="1" t="s">
        <v>642</v>
      </c>
      <c r="E53" s="1" t="s">
        <v>707</v>
      </c>
      <c r="F53" s="1" t="str">
        <f>HYPERLINK(".\links\RABBIT-NCBI\tr_G1TFX2_G1TFX2_RABIT-RABBIT-NCBI.txt","Alpha-1-antiproteinase F; Short=APF; AltName: Full=Alpha-1-antitrypsin; AltName:")</f>
        <v>Alpha-1-antiproteinase F; Short=APF; AltName: Full=Alpha-1-antitrypsin; AltName:</v>
      </c>
      <c r="G53" s="1" t="str">
        <f>HYPERLINK("http://www.ncbi.nlm.nih.gov/sutils/blink.cgi?pid=112876","0.0")</f>
        <v>0.0</v>
      </c>
      <c r="H53" s="1" t="str">
        <f>HYPERLINK("http://www.ncbi.nlm.nih.gov/protein/112876","gi|112876")</f>
        <v>gi|112876</v>
      </c>
      <c r="I53" s="1">
        <v>770</v>
      </c>
      <c r="J53" s="1">
        <v>413</v>
      </c>
      <c r="K53" s="1">
        <v>413</v>
      </c>
      <c r="L53" s="1">
        <v>94</v>
      </c>
      <c r="M53" s="1">
        <v>96</v>
      </c>
      <c r="N53" s="1">
        <v>100</v>
      </c>
      <c r="O53" s="1">
        <v>23</v>
      </c>
      <c r="P53" s="1">
        <v>0</v>
      </c>
      <c r="Q53" s="1">
        <v>1</v>
      </c>
      <c r="R53" s="1">
        <v>1</v>
      </c>
      <c r="S53" s="1">
        <v>1</v>
      </c>
      <c r="T53" s="1" t="s">
        <v>33</v>
      </c>
      <c r="U53" s="1" t="str">
        <f>HYPERLINK(".\links\REFSEQ-VERTEBRATES\tr_G1TFX2_G1TFX2_RABIT-REFSEQ-VERTEBRATES.txt","alpha-1-antitrypsin isoform X1")</f>
        <v>alpha-1-antitrypsin isoform X1</v>
      </c>
      <c r="V53" s="1" t="str">
        <f>HYPERLINK("http://www.ncbi.nlm.nih.gov/sutils/blink.cgi?pid=655894359","0.0")</f>
        <v>0.0</v>
      </c>
      <c r="W53" s="1" t="str">
        <f>HYPERLINK("http://www.ncbi.nlm.nih.gov/protein/655894359","gi|655894359")</f>
        <v>gi|655894359</v>
      </c>
      <c r="X53" s="1">
        <v>813</v>
      </c>
      <c r="Y53" s="1">
        <v>413</v>
      </c>
      <c r="Z53" s="1">
        <v>458</v>
      </c>
      <c r="AA53" s="1">
        <v>100</v>
      </c>
      <c r="AB53" s="1">
        <v>100</v>
      </c>
      <c r="AC53" s="1">
        <v>90</v>
      </c>
      <c r="AD53" s="1">
        <v>0</v>
      </c>
      <c r="AE53" s="1">
        <v>0</v>
      </c>
      <c r="AF53" s="1">
        <v>46</v>
      </c>
      <c r="AG53" s="1">
        <v>1</v>
      </c>
      <c r="AH53" s="1">
        <v>1</v>
      </c>
      <c r="AI53" s="1" t="s">
        <v>34</v>
      </c>
      <c r="AJ53" s="1" t="str">
        <f>HYPERLINK(".\links\CDD\tr_G1TFX2_G1TFX2_RABIT-CDD.txt","alpha-1-antitry")</f>
        <v>alpha-1-antitry</v>
      </c>
      <c r="AK53" s="1" t="str">
        <f>HYPERLINK("http://www.ncbi.nlm.nih.gov/Structure/cdd/cddsrv.cgi?uid=cd02056&amp;version=v4.0","1E-115")</f>
        <v>1E-115</v>
      </c>
      <c r="AL53" s="1" t="s">
        <v>335</v>
      </c>
      <c r="AM53" s="1" t="s">
        <v>336</v>
      </c>
      <c r="AN53" s="1">
        <f>HYPERLINK(".\links\GO\tr_G1TFX2_G1TFX2_RABIT-GO.txt",0)</f>
        <v>0</v>
      </c>
      <c r="AO53" s="1" t="str">
        <f>HYPERLINK("http://amigo.geneontology.org/cgi-bin/amigo/term_details?term=GO:0004867","GO:0004867")</f>
        <v>GO:0004867</v>
      </c>
      <c r="AP53" s="1" t="s">
        <v>337</v>
      </c>
      <c r="AQ53" s="1" t="s">
        <v>338</v>
      </c>
      <c r="AR53" s="1" t="s">
        <v>339</v>
      </c>
      <c r="AS53" s="1" t="s">
        <v>33</v>
      </c>
      <c r="AT53" s="1"/>
      <c r="AU53" s="2">
        <v>1.0000000000000001E-152</v>
      </c>
      <c r="AV53" s="1" t="str">
        <f>HYPERLINK("http://amigo.geneontology.org/cgi-bin/amigo/term_details?term=GO:0005576","GO:0005576")</f>
        <v>GO:0005576</v>
      </c>
      <c r="AW53" s="1" t="s">
        <v>51</v>
      </c>
      <c r="AX53" s="1" t="s">
        <v>52</v>
      </c>
      <c r="AY53" s="1" t="s">
        <v>53</v>
      </c>
      <c r="AZ53" s="1" t="s">
        <v>33</v>
      </c>
      <c r="BA53" s="1"/>
      <c r="BB53" s="2">
        <v>1.0000000000000001E-152</v>
      </c>
      <c r="BC53" s="1" t="str">
        <f>HYPERLINK("http://amigo.geneontology.org/cgi-bin/amigo/term_details?term=GO:0010951","GO:0010951")</f>
        <v>GO:0010951</v>
      </c>
      <c r="BD53" s="1" t="s">
        <v>340</v>
      </c>
      <c r="BE53" s="1" t="s">
        <v>341</v>
      </c>
      <c r="BF53" s="1" t="s">
        <v>33</v>
      </c>
      <c r="BG53" s="1" t="s">
        <v>33</v>
      </c>
      <c r="BH53" s="1"/>
      <c r="BI53" s="2">
        <v>1.0000000000000001E-152</v>
      </c>
    </row>
    <row r="54" spans="1:61" s="6" customFormat="1" x14ac:dyDescent="0.2">
      <c r="A54" s="1" t="str">
        <f>HYPERLINK(".\links\\tr_Q07298_Q07298_RABIT-.txt","tr|Q07298|Q07298_RABIT")</f>
        <v>tr|Q07298|Q07298_RABIT</v>
      </c>
      <c r="B54" s="1" t="s">
        <v>32</v>
      </c>
      <c r="C54" s="1">
        <v>413</v>
      </c>
      <c r="D54" s="1" t="s">
        <v>642</v>
      </c>
      <c r="E54" s="1" t="s">
        <v>707</v>
      </c>
      <c r="F54" s="1" t="str">
        <f>HYPERLINK(".\links\RABBIT-NCBI\tr_Q07298_Q07298_RABIT-RABBIT-NCBI.txt","Alpha-1-antiproteinase F; Short=APF; AltName: Full=Alpha-1-antitrypsin; AltName:")</f>
        <v>Alpha-1-antiproteinase F; Short=APF; AltName: Full=Alpha-1-antitrypsin; AltName:</v>
      </c>
      <c r="G54" s="1" t="str">
        <f>HYPERLINK("http://www.ncbi.nlm.nih.gov/sutils/blink.cgi?pid=112876","0.0")</f>
        <v>0.0</v>
      </c>
      <c r="H54" s="1" t="str">
        <f>HYPERLINK("http://www.ncbi.nlm.nih.gov/protein/112876","gi|112876")</f>
        <v>gi|112876</v>
      </c>
      <c r="I54" s="1">
        <v>776</v>
      </c>
      <c r="J54" s="1">
        <v>413</v>
      </c>
      <c r="K54" s="1">
        <v>413</v>
      </c>
      <c r="L54" s="1">
        <v>95</v>
      </c>
      <c r="M54" s="1">
        <v>96</v>
      </c>
      <c r="N54" s="1">
        <v>100</v>
      </c>
      <c r="O54" s="1">
        <v>20</v>
      </c>
      <c r="P54" s="1">
        <v>0</v>
      </c>
      <c r="Q54" s="1">
        <v>1</v>
      </c>
      <c r="R54" s="1">
        <v>1</v>
      </c>
      <c r="S54" s="1">
        <v>1</v>
      </c>
      <c r="T54" s="1" t="s">
        <v>33</v>
      </c>
      <c r="U54" s="1" t="str">
        <f>HYPERLINK(".\links\REFSEQ-VERTEBRATES\tr_Q07298_Q07298_RABIT-REFSEQ-VERTEBRATES.txt","alpha-1-antiproteinase S-1 precursor")</f>
        <v>alpha-1-antiproteinase S-1 precursor</v>
      </c>
      <c r="V54" s="1" t="str">
        <f>HYPERLINK("http://www.ncbi.nlm.nih.gov/sutils/blink.cgi?pid=126722957","0.0")</f>
        <v>0.0</v>
      </c>
      <c r="W54" s="1" t="str">
        <f>HYPERLINK("http://www.ncbi.nlm.nih.gov/protein/126722957","gi|126722957")</f>
        <v>gi|126722957</v>
      </c>
      <c r="X54" s="1">
        <v>814</v>
      </c>
      <c r="Y54" s="1">
        <v>413</v>
      </c>
      <c r="Z54" s="1">
        <v>413</v>
      </c>
      <c r="AA54" s="1">
        <v>100</v>
      </c>
      <c r="AB54" s="1">
        <v>100</v>
      </c>
      <c r="AC54" s="1">
        <v>100</v>
      </c>
      <c r="AD54" s="1">
        <v>0</v>
      </c>
      <c r="AE54" s="1">
        <v>0</v>
      </c>
      <c r="AF54" s="1">
        <v>1</v>
      </c>
      <c r="AG54" s="1">
        <v>1</v>
      </c>
      <c r="AH54" s="1">
        <v>1</v>
      </c>
      <c r="AI54" s="1" t="s">
        <v>34</v>
      </c>
      <c r="AJ54" s="1" t="str">
        <f>HYPERLINK(".\links\CDD\tr_Q07298_Q07298_RABIT-CDD.txt","alpha-1-antitry")</f>
        <v>alpha-1-antitry</v>
      </c>
      <c r="AK54" s="1" t="str">
        <f>HYPERLINK("http://www.ncbi.nlm.nih.gov/Structure/cdd/cddsrv.cgi?uid=cd02056&amp;version=v4.0","1E-116")</f>
        <v>1E-116</v>
      </c>
      <c r="AL54" s="1" t="s">
        <v>342</v>
      </c>
      <c r="AM54" s="1" t="s">
        <v>336</v>
      </c>
      <c r="AN54" s="1">
        <f>HYPERLINK(".\links\GO\tr_Q07298_Q07298_RABIT-GO.txt",0)</f>
        <v>0</v>
      </c>
      <c r="AO54" s="1" t="str">
        <f>HYPERLINK("http://amigo.geneontology.org/cgi-bin/amigo/term_details?term=GO:0004867","GO:0004867")</f>
        <v>GO:0004867</v>
      </c>
      <c r="AP54" s="1" t="s">
        <v>337</v>
      </c>
      <c r="AQ54" s="1" t="s">
        <v>338</v>
      </c>
      <c r="AR54" s="1" t="s">
        <v>339</v>
      </c>
      <c r="AS54" s="1" t="s">
        <v>33</v>
      </c>
      <c r="AT54" s="1"/>
      <c r="AU54" s="2">
        <v>9.9999999999999994E-152</v>
      </c>
      <c r="AV54" s="1" t="str">
        <f>HYPERLINK("http://amigo.geneontology.org/cgi-bin/amigo/term_details?term=GO:0005576","GO:0005576")</f>
        <v>GO:0005576</v>
      </c>
      <c r="AW54" s="1" t="s">
        <v>51</v>
      </c>
      <c r="AX54" s="1" t="s">
        <v>52</v>
      </c>
      <c r="AY54" s="1" t="s">
        <v>53</v>
      </c>
      <c r="AZ54" s="1" t="s">
        <v>33</v>
      </c>
      <c r="BA54" s="1"/>
      <c r="BB54" s="2">
        <v>9.9999999999999994E-152</v>
      </c>
      <c r="BC54" s="1" t="str">
        <f>HYPERLINK("http://amigo.geneontology.org/cgi-bin/amigo/term_details?term=GO:0010951","GO:0010951")</f>
        <v>GO:0010951</v>
      </c>
      <c r="BD54" s="1" t="s">
        <v>340</v>
      </c>
      <c r="BE54" s="1" t="s">
        <v>341</v>
      </c>
      <c r="BF54" s="1" t="s">
        <v>33</v>
      </c>
      <c r="BG54" s="1" t="s">
        <v>33</v>
      </c>
      <c r="BH54" s="1"/>
      <c r="BI54" s="2">
        <v>9.9999999999999994E-152</v>
      </c>
    </row>
    <row r="55" spans="1:61" x14ac:dyDescent="0.2">
      <c r="A55" s="1" t="str">
        <f>HYPERLINK(".\links\\tr_G1TFV7_G1TFV7_RABIT-.txt","tr|G1TFV7|G1TFV7_RABIT")</f>
        <v>tr|G1TFV7|G1TFV7_RABIT</v>
      </c>
      <c r="B55" s="1" t="s">
        <v>32</v>
      </c>
      <c r="C55" s="1">
        <v>413</v>
      </c>
      <c r="D55" s="1" t="s">
        <v>642</v>
      </c>
      <c r="E55" s="1" t="s">
        <v>707</v>
      </c>
      <c r="F55" s="1" t="str">
        <f>HYPERLINK(".\links\RABBIT-NCBI\tr_G1TFV7_G1TFV7_RABIT-RABBIT-NCBI.txt","Alpha-1-antiproteinase F; Short=APF; AltName: Full=Alpha-1-antitrypsin; AltName:")</f>
        <v>Alpha-1-antiproteinase F; Short=APF; AltName: Full=Alpha-1-antitrypsin; AltName:</v>
      </c>
      <c r="G55" s="1" t="str">
        <f>HYPERLINK("http://www.ncbi.nlm.nih.gov/sutils/blink.cgi?pid=112876","0.0")</f>
        <v>0.0</v>
      </c>
      <c r="H55" s="1" t="str">
        <f>HYPERLINK("http://www.ncbi.nlm.nih.gov/protein/112876","gi|112876")</f>
        <v>gi|112876</v>
      </c>
      <c r="I55" s="1">
        <v>811</v>
      </c>
      <c r="J55" s="1">
        <v>413</v>
      </c>
      <c r="K55" s="1">
        <v>413</v>
      </c>
      <c r="L55" s="1">
        <v>99</v>
      </c>
      <c r="M55" s="1">
        <v>99</v>
      </c>
      <c r="N55" s="1">
        <v>100</v>
      </c>
      <c r="O55" s="1">
        <v>2</v>
      </c>
      <c r="P55" s="1">
        <v>0</v>
      </c>
      <c r="Q55" s="1">
        <v>1</v>
      </c>
      <c r="R55" s="1">
        <v>1</v>
      </c>
      <c r="S55" s="1">
        <v>1</v>
      </c>
      <c r="T55" s="1" t="s">
        <v>33</v>
      </c>
      <c r="U55" s="1" t="str">
        <f>HYPERLINK(".\links\REFSEQ-VERTEBRATES\tr_G1TFV7_G1TFV7_RABIT-REFSEQ-VERTEBRATES.txt","alpha-1-antiproteinase F precursor")</f>
        <v>alpha-1-antiproteinase F precursor</v>
      </c>
      <c r="V55" s="1" t="str">
        <f>HYPERLINK("http://www.ncbi.nlm.nih.gov/sutils/blink.cgi?pid=126722912","0.0")</f>
        <v>0.0</v>
      </c>
      <c r="W55" s="1" t="str">
        <f>HYPERLINK("http://www.ncbi.nlm.nih.gov/protein/126722912","gi|126722912")</f>
        <v>gi|126722912</v>
      </c>
      <c r="X55" s="1">
        <v>811</v>
      </c>
      <c r="Y55" s="1">
        <v>413</v>
      </c>
      <c r="Z55" s="1">
        <v>413</v>
      </c>
      <c r="AA55" s="1">
        <v>99</v>
      </c>
      <c r="AB55" s="1">
        <v>99</v>
      </c>
      <c r="AC55" s="1">
        <v>100</v>
      </c>
      <c r="AD55" s="1">
        <v>2</v>
      </c>
      <c r="AE55" s="1">
        <v>0</v>
      </c>
      <c r="AF55" s="1">
        <v>1</v>
      </c>
      <c r="AG55" s="1">
        <v>1</v>
      </c>
      <c r="AH55" s="1">
        <v>1</v>
      </c>
      <c r="AI55" s="1" t="s">
        <v>34</v>
      </c>
      <c r="AJ55" s="1" t="str">
        <f>HYPERLINK(".\links\CDD\tr_G1TFV7_G1TFV7_RABIT-CDD.txt","alpha-1-antitry")</f>
        <v>alpha-1-antitry</v>
      </c>
      <c r="AK55" s="1" t="str">
        <f>HYPERLINK("http://www.ncbi.nlm.nih.gov/Structure/cdd/cddsrv.cgi?uid=cd02056&amp;version=v4.0","1E-118")</f>
        <v>1E-118</v>
      </c>
      <c r="AL55" s="1" t="s">
        <v>343</v>
      </c>
      <c r="AM55" s="1" t="s">
        <v>331</v>
      </c>
      <c r="AN55" s="1">
        <f>HYPERLINK(".\links\GO\tr_G1TFV7_G1TFV7_RABIT-GO.txt",0)</f>
        <v>0</v>
      </c>
      <c r="AO55" s="1" t="str">
        <f>HYPERLINK("http://amigo.geneontology.org/cgi-bin/amigo/term_details?term=GO:0001948","GO:0001948")</f>
        <v>GO:0001948</v>
      </c>
      <c r="AP55" s="1" t="s">
        <v>120</v>
      </c>
      <c r="AQ55" s="1" t="s">
        <v>121</v>
      </c>
      <c r="AR55" s="1" t="s">
        <v>33</v>
      </c>
      <c r="AS55" s="1" t="s">
        <v>33</v>
      </c>
      <c r="AU55" s="2">
        <v>9.9999999999999997E-155</v>
      </c>
      <c r="AV55" s="1" t="str">
        <f>HYPERLINK("http://amigo.geneontology.org/cgi-bin/amigo/term_details?term=GO:0005576","GO:0005576")</f>
        <v>GO:0005576</v>
      </c>
      <c r="AW55" s="1" t="s">
        <v>51</v>
      </c>
      <c r="AX55" s="1" t="s">
        <v>52</v>
      </c>
      <c r="AY55" s="1" t="s">
        <v>53</v>
      </c>
      <c r="AZ55" s="1" t="s">
        <v>33</v>
      </c>
      <c r="BB55" s="2">
        <v>9.9999999999999997E-155</v>
      </c>
      <c r="BC55" s="1" t="str">
        <f>HYPERLINK("http://amigo.geneontology.org/cgi-bin/amigo/term_details?term=GO:0001666","GO:0001666")</f>
        <v>GO:0001666</v>
      </c>
      <c r="BD55" s="1" t="s">
        <v>332</v>
      </c>
      <c r="BE55" s="1" t="s">
        <v>333</v>
      </c>
      <c r="BF55" s="1" t="s">
        <v>334</v>
      </c>
      <c r="BG55" s="1" t="s">
        <v>33</v>
      </c>
      <c r="BI55" s="2">
        <v>9.9999999999999997E-155</v>
      </c>
    </row>
    <row r="56" spans="1:61" x14ac:dyDescent="0.2">
      <c r="A56" s="1" t="str">
        <f>HYPERLINK(".\links\\tr_G1TM88_G1TM88_RABIT-.txt","tr|G1TM88|G1TM88_RABIT")</f>
        <v>tr|G1TM88|G1TM88_RABIT</v>
      </c>
      <c r="B56" s="1" t="s">
        <v>32</v>
      </c>
      <c r="C56" s="1">
        <v>419</v>
      </c>
      <c r="D56" s="1" t="s">
        <v>643</v>
      </c>
      <c r="E56" s="1" t="s">
        <v>707</v>
      </c>
      <c r="F56" s="1" t="str">
        <f>HYPERLINK(".\links\RABBIT-NCBI\tr_G1TM88_G1TM88_RABIT-RABBIT-NCBI.txt","Corticosteroid-binding globulin; Short=CBG; AltName: Full=Serpin A6; AltName:")</f>
        <v>Corticosteroid-binding globulin; Short=CBG; AltName: Full=Serpin A6; AltName:</v>
      </c>
      <c r="G56" s="1" t="str">
        <f>HYPERLINK("http://www.ncbi.nlm.nih.gov/sutils/blink.cgi?pid=115852","1E-087")</f>
        <v>1E-087</v>
      </c>
      <c r="H56" s="1" t="str">
        <f>HYPERLINK("http://www.ncbi.nlm.nih.gov/protein/115852","gi|115852")</f>
        <v>gi|115852</v>
      </c>
      <c r="I56" s="1">
        <v>315</v>
      </c>
      <c r="J56" s="1">
        <v>373</v>
      </c>
      <c r="K56" s="1">
        <v>383</v>
      </c>
      <c r="L56" s="1">
        <v>47</v>
      </c>
      <c r="M56" s="1">
        <v>63</v>
      </c>
      <c r="N56" s="1">
        <v>97</v>
      </c>
      <c r="O56" s="1">
        <v>197</v>
      </c>
      <c r="P56" s="1">
        <v>6</v>
      </c>
      <c r="Q56" s="1">
        <v>16</v>
      </c>
      <c r="R56" s="1">
        <v>44</v>
      </c>
      <c r="S56" s="1">
        <v>1</v>
      </c>
      <c r="T56" s="1" t="s">
        <v>33</v>
      </c>
      <c r="U56" s="1" t="str">
        <f>HYPERLINK(".\links\REFSEQ-VERTEBRATES\tr_G1TM88_G1TM88_RABIT-REFSEQ-VERTEBRATES.txt","alpha-1-antichymotrypsin")</f>
        <v>alpha-1-antichymotrypsin</v>
      </c>
      <c r="V56" s="1" t="str">
        <f>HYPERLINK("http://www.ncbi.nlm.nih.gov/sutils/blink.cgi?pid=291414084","0.0")</f>
        <v>0.0</v>
      </c>
      <c r="W56" s="1" t="str">
        <f>HYPERLINK("http://www.ncbi.nlm.nih.gov/protein/291414084","gi|291414084")</f>
        <v>gi|291414084</v>
      </c>
      <c r="X56" s="1">
        <v>817</v>
      </c>
      <c r="Y56" s="1">
        <v>419</v>
      </c>
      <c r="Z56" s="1">
        <v>419</v>
      </c>
      <c r="AA56" s="1">
        <v>100</v>
      </c>
      <c r="AB56" s="1">
        <v>100</v>
      </c>
      <c r="AC56" s="1">
        <v>100</v>
      </c>
      <c r="AD56" s="1">
        <v>0</v>
      </c>
      <c r="AE56" s="1">
        <v>0</v>
      </c>
      <c r="AF56" s="1">
        <v>1</v>
      </c>
      <c r="AG56" s="1">
        <v>1</v>
      </c>
      <c r="AH56" s="1">
        <v>1</v>
      </c>
      <c r="AI56" s="1" t="s">
        <v>34</v>
      </c>
      <c r="AJ56" s="1" t="str">
        <f>HYPERLINK(".\links\CDD\tr_G1TM88_G1TM88_RABIT-CDD.txt","alpha-1-antitry")</f>
        <v>alpha-1-antitry</v>
      </c>
      <c r="AK56" s="1" t="str">
        <f>HYPERLINK("http://www.ncbi.nlm.nih.gov/Structure/cdd/cddsrv.cgi?uid=cd02056&amp;version=v4.0","1E-107")</f>
        <v>1E-107</v>
      </c>
      <c r="AL56" s="1" t="s">
        <v>344</v>
      </c>
      <c r="AM56" s="1" t="s">
        <v>345</v>
      </c>
      <c r="AN56" s="1">
        <f>HYPERLINK(".\links\GO\tr_G1TM88_G1TM88_RABIT-GO.txt",0)</f>
        <v>0</v>
      </c>
      <c r="AO56" s="1" t="str">
        <f>HYPERLINK("http://amigo.geneontology.org/cgi-bin/amigo/term_details?term=GO:0003677","GO:0003677")</f>
        <v>GO:0003677</v>
      </c>
      <c r="AP56" s="1" t="s">
        <v>94</v>
      </c>
      <c r="AQ56" s="1" t="s">
        <v>95</v>
      </c>
      <c r="AR56" s="1" t="s">
        <v>96</v>
      </c>
      <c r="AS56" s="1" t="s">
        <v>33</v>
      </c>
      <c r="AU56" s="2">
        <v>9.9999999999999991E-146</v>
      </c>
      <c r="AV56" s="1" t="str">
        <f>HYPERLINK("http://amigo.geneontology.org/cgi-bin/amigo/term_details?term=GO:0005576","GO:0005576")</f>
        <v>GO:0005576</v>
      </c>
      <c r="AW56" s="1" t="s">
        <v>51</v>
      </c>
      <c r="AX56" s="1" t="s">
        <v>52</v>
      </c>
      <c r="AY56" s="1" t="s">
        <v>53</v>
      </c>
      <c r="AZ56" s="1" t="s">
        <v>33</v>
      </c>
      <c r="BB56" s="2">
        <v>9.9999999999999991E-146</v>
      </c>
      <c r="BC56" s="1" t="str">
        <f>HYPERLINK("http://amigo.geneontology.org/cgi-bin/amigo/term_details?term=GO:0006953","GO:0006953")</f>
        <v>GO:0006953</v>
      </c>
      <c r="BD56" s="1" t="s">
        <v>346</v>
      </c>
      <c r="BE56" s="1" t="s">
        <v>347</v>
      </c>
      <c r="BF56" s="1" t="s">
        <v>33</v>
      </c>
      <c r="BG56" s="1" t="s">
        <v>33</v>
      </c>
      <c r="BI56" s="2">
        <v>9.9999999999999991E-146</v>
      </c>
    </row>
    <row r="57" spans="1:61" s="6" customFormat="1" x14ac:dyDescent="0.2">
      <c r="A57" s="1" t="str">
        <f>HYPERLINK(".\links\\tr_G1SIK0_G1SIK0_RABIT-.txt","tr|G1SIK0|G1SIK0_RABIT")</f>
        <v>tr|G1SIK0|G1SIK0_RABIT</v>
      </c>
      <c r="B57" s="1" t="s">
        <v>32</v>
      </c>
      <c r="C57" s="1">
        <v>465</v>
      </c>
      <c r="D57" s="1" t="s">
        <v>665</v>
      </c>
      <c r="E57" s="1" t="s">
        <v>707</v>
      </c>
      <c r="F57" s="1" t="str">
        <f>HYPERLINK(".\links\RABBIT-NCBI\tr_G1SIK0_G1SIK0_RABIT-RABBIT-NCBI.txt","Heparin cofactor 2; AltName: Full=Heparin cofactor II; Short=HC-II; AltName:")</f>
        <v>Heparin cofactor 2; AltName: Full=Heparin cofactor II; Short=HC-II; AltName:</v>
      </c>
      <c r="G57" s="1" t="str">
        <f>HYPERLINK("http://www.ncbi.nlm.nih.gov/sutils/blink.cgi?pid=1346272","4E-050")</f>
        <v>4E-050</v>
      </c>
      <c r="H57" s="1" t="str">
        <f>HYPERLINK("http://www.ncbi.nlm.nih.gov/protein/1346272","gi|1346272")</f>
        <v>gi|1346272</v>
      </c>
      <c r="I57" s="1">
        <v>191</v>
      </c>
      <c r="J57" s="1">
        <v>389</v>
      </c>
      <c r="K57" s="1">
        <v>480</v>
      </c>
      <c r="L57" s="1">
        <v>33</v>
      </c>
      <c r="M57" s="1">
        <v>51</v>
      </c>
      <c r="N57" s="1">
        <v>81</v>
      </c>
      <c r="O57" s="1">
        <v>260</v>
      </c>
      <c r="P57" s="1">
        <v>20</v>
      </c>
      <c r="Q57" s="1">
        <v>103</v>
      </c>
      <c r="R57" s="1">
        <v>80</v>
      </c>
      <c r="S57" s="1">
        <v>1</v>
      </c>
      <c r="T57" s="1" t="s">
        <v>33</v>
      </c>
      <c r="U57" s="1" t="str">
        <f>HYPERLINK(".\links\REFSEQ-VERTEBRATES\tr_G1SIK0_G1SIK0_RABIT-REFSEQ-VERTEBRATES.txt","antithrombin-III")</f>
        <v>antithrombin-III</v>
      </c>
      <c r="V57" s="1" t="str">
        <f>HYPERLINK("http://www.ncbi.nlm.nih.gov/sutils/blink.cgi?pid=291397262","0.0")</f>
        <v>0.0</v>
      </c>
      <c r="W57" s="1" t="str">
        <f>HYPERLINK("http://www.ncbi.nlm.nih.gov/protein/291397262","gi|291397262")</f>
        <v>gi|291397262</v>
      </c>
      <c r="X57" s="1">
        <v>923</v>
      </c>
      <c r="Y57" s="1">
        <v>465</v>
      </c>
      <c r="Z57" s="1">
        <v>465</v>
      </c>
      <c r="AA57" s="1">
        <v>100</v>
      </c>
      <c r="AB57" s="1">
        <v>100</v>
      </c>
      <c r="AC57" s="1">
        <v>100</v>
      </c>
      <c r="AD57" s="1">
        <v>0</v>
      </c>
      <c r="AE57" s="1">
        <v>0</v>
      </c>
      <c r="AF57" s="1">
        <v>1</v>
      </c>
      <c r="AG57" s="1">
        <v>1</v>
      </c>
      <c r="AH57" s="1">
        <v>1</v>
      </c>
      <c r="AI57" s="1" t="s">
        <v>34</v>
      </c>
      <c r="AJ57" s="1" t="str">
        <f>HYPERLINK(".\links\CDD\tr_G1SIK0_G1SIK0_RABIT-CDD.txt","antithrombin-II")</f>
        <v>antithrombin-II</v>
      </c>
      <c r="AK57" s="1" t="str">
        <f>HYPERLINK("http://www.ncbi.nlm.nih.gov/Structure/cdd/cddsrv.cgi?uid=cd02045&amp;version=v4.0","1E-164")</f>
        <v>1E-164</v>
      </c>
      <c r="AL57" s="1" t="s">
        <v>404</v>
      </c>
      <c r="AM57" s="1" t="s">
        <v>405</v>
      </c>
      <c r="AN57" s="1">
        <f>HYPERLINK(".\links\GO\tr_G1SIK0_G1SIK0_RABIT-GO.txt",0)</f>
        <v>0</v>
      </c>
      <c r="AO57" s="1" t="str">
        <f>HYPERLINK("http://amigo.geneontology.org/cgi-bin/amigo/term_details?term=GO:0002020","GO:0002020")</f>
        <v>GO:0002020</v>
      </c>
      <c r="AP57" s="1" t="s">
        <v>164</v>
      </c>
      <c r="AQ57" s="1" t="s">
        <v>165</v>
      </c>
      <c r="AR57" s="1" t="s">
        <v>33</v>
      </c>
      <c r="AS57" s="1" t="s">
        <v>33</v>
      </c>
      <c r="AT57" s="1"/>
      <c r="AU57" s="1">
        <v>0</v>
      </c>
      <c r="AV57" s="1" t="str">
        <f>HYPERLINK("http://amigo.geneontology.org/cgi-bin/amigo/term_details?term=GO:0005615","GO:0005615")</f>
        <v>GO:0005615</v>
      </c>
      <c r="AW57" s="1" t="s">
        <v>40</v>
      </c>
      <c r="AX57" s="1" t="s">
        <v>41</v>
      </c>
      <c r="AY57" s="1" t="s">
        <v>42</v>
      </c>
      <c r="AZ57" s="1" t="s">
        <v>33</v>
      </c>
      <c r="BA57" s="1"/>
      <c r="BB57" s="1">
        <v>0</v>
      </c>
      <c r="BC57" s="1" t="str">
        <f>HYPERLINK("http://amigo.geneontology.org/cgi-bin/amigo/term_details?term=GO:0010951","GO:0010951")</f>
        <v>GO:0010951</v>
      </c>
      <c r="BD57" s="1" t="s">
        <v>340</v>
      </c>
      <c r="BE57" s="1" t="s">
        <v>341</v>
      </c>
      <c r="BF57" s="1" t="s">
        <v>33</v>
      </c>
      <c r="BG57" s="1" t="s">
        <v>33</v>
      </c>
      <c r="BH57" s="1"/>
      <c r="BI57" s="1">
        <v>0</v>
      </c>
    </row>
    <row r="58" spans="1:61" s="6" customFormat="1" x14ac:dyDescent="0.2">
      <c r="A58" s="1" t="str">
        <f>HYPERLINK(".\links\\tr_G1SZA4_G1SZA4_RABIT-.txt","tr|G1SZA4|G1SZA4_RABIT")</f>
        <v>tr|G1SZA4|G1SZA4_RABIT</v>
      </c>
      <c r="B58" s="1" t="s">
        <v>32</v>
      </c>
      <c r="C58" s="1">
        <v>918</v>
      </c>
      <c r="D58" s="1" t="s">
        <v>552</v>
      </c>
      <c r="E58" s="1" t="s">
        <v>707</v>
      </c>
      <c r="F58" s="1" t="str">
        <f>HYPERLINK(".\links\RABBIT-NCBI\tr_G1SZA4_G1SZA4_RABIT-RABBIT-NCBI.txt","Inter-alpha-trypsin inhibitor heavy chain H3; Short=ITI heavy chain H3;")</f>
        <v>Inter-alpha-trypsin inhibitor heavy chain H3; Short=ITI heavy chain H3;</v>
      </c>
      <c r="G58" s="1" t="str">
        <f>HYPERLINK("http://www.ncbi.nlm.nih.gov/sutils/blink.cgi?pid=75056157","0.0")</f>
        <v>0.0</v>
      </c>
      <c r="H58" s="1" t="str">
        <f>HYPERLINK("http://www.ncbi.nlm.nih.gov/protein/75056157","gi|75056157")</f>
        <v>gi|75056157</v>
      </c>
      <c r="I58" s="1">
        <v>940</v>
      </c>
      <c r="J58" s="1">
        <v>897</v>
      </c>
      <c r="K58" s="1">
        <v>903</v>
      </c>
      <c r="L58" s="1">
        <v>53</v>
      </c>
      <c r="M58" s="1">
        <v>71</v>
      </c>
      <c r="N58" s="1">
        <v>99</v>
      </c>
      <c r="O58" s="1">
        <v>420</v>
      </c>
      <c r="P58" s="1">
        <v>3</v>
      </c>
      <c r="Q58" s="1">
        <v>8</v>
      </c>
      <c r="R58" s="1">
        <v>24</v>
      </c>
      <c r="S58" s="1">
        <v>1</v>
      </c>
      <c r="T58" s="1" t="s">
        <v>33</v>
      </c>
      <c r="U58" s="1" t="str">
        <f>HYPERLINK(".\links\REFSEQ-VERTEBRATES\tr_G1SZA4_G1SZA4_RABIT-REFSEQ-VERTEBRATES.txt","inter-alpha-trypsin inhibitor heavy chain H1 precursor")</f>
        <v>inter-alpha-trypsin inhibitor heavy chain H1 precursor</v>
      </c>
      <c r="V58" s="1" t="str">
        <f>HYPERLINK("http://www.ncbi.nlm.nih.gov/sutils/blink.cgi?pid=130491439","0.0")</f>
        <v>0.0</v>
      </c>
      <c r="W58" s="1" t="str">
        <f>HYPERLINK("http://www.ncbi.nlm.nih.gov/protein/130491439","gi|130491439")</f>
        <v>gi|130491439</v>
      </c>
      <c r="X58" s="1">
        <v>1790</v>
      </c>
      <c r="Y58" s="1">
        <v>906</v>
      </c>
      <c r="Z58" s="1">
        <v>906</v>
      </c>
      <c r="AA58" s="1">
        <v>99</v>
      </c>
      <c r="AB58" s="1">
        <v>99</v>
      </c>
      <c r="AC58" s="1">
        <v>100</v>
      </c>
      <c r="AD58" s="1">
        <v>9</v>
      </c>
      <c r="AE58" s="1">
        <v>7</v>
      </c>
      <c r="AF58" s="1">
        <v>1</v>
      </c>
      <c r="AG58" s="1">
        <v>20</v>
      </c>
      <c r="AH58" s="1">
        <v>1</v>
      </c>
      <c r="AI58" s="1" t="s">
        <v>34</v>
      </c>
      <c r="AJ58" s="1" t="str">
        <f>HYPERLINK(".\links\CDD\tr_G1SZA4_G1SZA4_RABIT-CDD.txt","ITI_HC_C")</f>
        <v>ITI_HC_C</v>
      </c>
      <c r="AK58" s="1" t="str">
        <f>HYPERLINK("http://www.ncbi.nlm.nih.gov/Structure/cdd/cddsrv.cgi?uid=pfam06668&amp;version=v4.0","9E-057")</f>
        <v>9E-057</v>
      </c>
      <c r="AL58" s="1" t="s">
        <v>550</v>
      </c>
      <c r="AM58" s="1" t="s">
        <v>551</v>
      </c>
      <c r="AN58" s="1">
        <f>HYPERLINK(".\links\GO\tr_G1SZA4_G1SZA4_RABIT-GO.txt",0)</f>
        <v>0</v>
      </c>
      <c r="AO58" s="1" t="str">
        <f>HYPERLINK("http://amigo.geneontology.org/cgi-bin/amigo/term_details?term=GO:0004867","GO:0004867")</f>
        <v>GO:0004867</v>
      </c>
      <c r="AP58" s="1" t="s">
        <v>337</v>
      </c>
      <c r="AQ58" s="1" t="s">
        <v>338</v>
      </c>
      <c r="AR58" s="1" t="s">
        <v>339</v>
      </c>
      <c r="AS58" s="1" t="s">
        <v>33</v>
      </c>
      <c r="AT58" s="1"/>
      <c r="AU58" s="1">
        <v>0</v>
      </c>
      <c r="AV58" s="1" t="str">
        <f>HYPERLINK("http://amigo.geneontology.org/cgi-bin/amigo/term_details?term=GO:0005576","GO:0005576")</f>
        <v>GO:0005576</v>
      </c>
      <c r="AW58" s="1" t="s">
        <v>51</v>
      </c>
      <c r="AX58" s="1" t="s">
        <v>52</v>
      </c>
      <c r="AY58" s="1" t="s">
        <v>53</v>
      </c>
      <c r="AZ58" s="1" t="s">
        <v>33</v>
      </c>
      <c r="BA58" s="1"/>
      <c r="BB58" s="1">
        <v>0</v>
      </c>
      <c r="BC58" s="1" t="str">
        <f>HYPERLINK("http://amigo.geneontology.org/cgi-bin/amigo/term_details?term=GO:0010951","GO:0010951")</f>
        <v>GO:0010951</v>
      </c>
      <c r="BD58" s="1" t="s">
        <v>340</v>
      </c>
      <c r="BE58" s="1" t="s">
        <v>341</v>
      </c>
      <c r="BF58" s="1" t="s">
        <v>33</v>
      </c>
      <c r="BG58" s="1" t="s">
        <v>33</v>
      </c>
      <c r="BH58" s="1"/>
      <c r="BI58" s="1">
        <v>0</v>
      </c>
    </row>
    <row r="59" spans="1:61" s="6" customFormat="1" x14ac:dyDescent="0.2">
      <c r="A59" s="1" t="str">
        <f>HYPERLINK(".\links\\tr_G1SQ70_G1SQ70_RABIT-.txt","tr|G1SQ70|G1SQ70_RABIT")</f>
        <v>tr|G1SQ70|G1SQ70_RABIT</v>
      </c>
      <c r="B59" s="1" t="s">
        <v>32</v>
      </c>
      <c r="C59" s="1">
        <v>1460</v>
      </c>
      <c r="D59" s="1" t="s">
        <v>670</v>
      </c>
      <c r="E59" s="1" t="s">
        <v>707</v>
      </c>
      <c r="F59" s="1" t="str">
        <f>HYPERLINK(".\links\RABBIT-NCBI\tr_G1SQ70_G1SQ70_RABIT-RABBIT-NCBI.txt","Complement C3 alpha chain")</f>
        <v>Complement C3 alpha chain</v>
      </c>
      <c r="G59" s="1" t="str">
        <f>HYPERLINK("http://www.ncbi.nlm.nih.gov/sutils/blink.cgi?pid=116596","5E-039")</f>
        <v>5E-039</v>
      </c>
      <c r="H59" s="1" t="str">
        <f>HYPERLINK("http://www.ncbi.nlm.nih.gov/protein/116596","gi|116596")</f>
        <v>gi|116596</v>
      </c>
      <c r="I59" s="1">
        <v>155</v>
      </c>
      <c r="J59" s="1">
        <v>529</v>
      </c>
      <c r="K59" s="1">
        <v>726</v>
      </c>
      <c r="L59" s="1">
        <v>28</v>
      </c>
      <c r="M59" s="1">
        <v>46</v>
      </c>
      <c r="N59" s="1">
        <v>73</v>
      </c>
      <c r="O59" s="1">
        <v>380</v>
      </c>
      <c r="P59" s="1">
        <v>49</v>
      </c>
      <c r="Q59" s="1">
        <v>61</v>
      </c>
      <c r="R59" s="1">
        <v>952</v>
      </c>
      <c r="S59" s="1">
        <v>1</v>
      </c>
      <c r="T59" s="1" t="s">
        <v>33</v>
      </c>
      <c r="U59" s="1" t="str">
        <f>HYPERLINK(".\links\REFSEQ-VERTEBRATES\tr_G1SQ70_G1SQ70_RABIT-REFSEQ-VERTEBRATES.txt","alpha-2-macroglobulin-like isoform X1")</f>
        <v>alpha-2-macroglobulin-like isoform X1</v>
      </c>
      <c r="V59" s="1" t="str">
        <f>HYPERLINK("http://www.ncbi.nlm.nih.gov/sutils/blink.cgi?pid=655831565","0.0")</f>
        <v>0.0</v>
      </c>
      <c r="W59" s="1" t="str">
        <f>HYPERLINK("http://www.ncbi.nlm.nih.gov/protein/655831565","gi|655831565")</f>
        <v>gi|655831565</v>
      </c>
      <c r="X59" s="1">
        <v>2895</v>
      </c>
      <c r="Y59" s="1">
        <v>1467</v>
      </c>
      <c r="Z59" s="1">
        <v>1467</v>
      </c>
      <c r="AA59" s="1">
        <v>99</v>
      </c>
      <c r="AB59" s="1">
        <v>99</v>
      </c>
      <c r="AC59" s="1">
        <v>100</v>
      </c>
      <c r="AD59" s="1">
        <v>7</v>
      </c>
      <c r="AE59" s="1">
        <v>7</v>
      </c>
      <c r="AF59" s="1">
        <v>1</v>
      </c>
      <c r="AG59" s="1">
        <v>1</v>
      </c>
      <c r="AH59" s="1">
        <v>1</v>
      </c>
      <c r="AI59" s="1" t="s">
        <v>34</v>
      </c>
      <c r="AJ59" s="1" t="str">
        <f>HYPERLINK(".\links\CDD\tr_G1SQ70_G1SQ70_RABIT-CDD.txt","A2M_2")</f>
        <v>A2M_2</v>
      </c>
      <c r="AK59" s="1" t="str">
        <f>HYPERLINK("http://www.ncbi.nlm.nih.gov/Structure/cdd/cddsrv.cgi?uid=cd02897&amp;version=v4.0","6E-093")</f>
        <v>6E-093</v>
      </c>
      <c r="AL59" s="1" t="s">
        <v>585</v>
      </c>
      <c r="AM59" s="1" t="s">
        <v>586</v>
      </c>
      <c r="AN59" s="1">
        <f>HYPERLINK(".\links\GO\tr_G1SQ70_G1SQ70_RABIT-GO.txt",0)</f>
        <v>0</v>
      </c>
      <c r="AO59" s="1" t="str">
        <f>HYPERLINK("http://amigo.geneontology.org/cgi-bin/amigo/term_details?term=GO:0002020","GO:0002020")</f>
        <v>GO:0002020</v>
      </c>
      <c r="AP59" s="1" t="s">
        <v>164</v>
      </c>
      <c r="AQ59" s="1" t="s">
        <v>165</v>
      </c>
      <c r="AR59" s="1" t="s">
        <v>33</v>
      </c>
      <c r="AS59" s="1" t="s">
        <v>33</v>
      </c>
      <c r="AT59" s="1"/>
      <c r="AU59" s="1">
        <v>0</v>
      </c>
      <c r="AV59" s="1" t="str">
        <f>HYPERLINK("http://amigo.geneontology.org/cgi-bin/amigo/term_details?term=GO:0005576","GO:0005576")</f>
        <v>GO:0005576</v>
      </c>
      <c r="AW59" s="1" t="s">
        <v>51</v>
      </c>
      <c r="AX59" s="1" t="s">
        <v>52</v>
      </c>
      <c r="AY59" s="1" t="s">
        <v>53</v>
      </c>
      <c r="AZ59" s="1" t="s">
        <v>33</v>
      </c>
      <c r="BA59" s="1"/>
      <c r="BB59" s="1">
        <v>0</v>
      </c>
      <c r="BC59" s="1" t="str">
        <f>HYPERLINK("http://amigo.geneontology.org/cgi-bin/amigo/term_details?term=GO:0001869","GO:0001869")</f>
        <v>GO:0001869</v>
      </c>
      <c r="BD59" s="1" t="s">
        <v>587</v>
      </c>
      <c r="BE59" s="1" t="s">
        <v>588</v>
      </c>
      <c r="BF59" s="1" t="s">
        <v>589</v>
      </c>
      <c r="BG59" s="1" t="s">
        <v>33</v>
      </c>
      <c r="BH59" s="1"/>
      <c r="BI59" s="1">
        <v>0</v>
      </c>
    </row>
    <row r="60" spans="1:61" s="6" customFormat="1" x14ac:dyDescent="0.2">
      <c r="A60" s="1" t="str">
        <f>HYPERLINK(".\links\\tr_G1U6R8_G1U6R8_RABIT-.txt","tr|G1U6R8|G1U6R8_RABIT")</f>
        <v>tr|G1U6R8|G1U6R8_RABIT</v>
      </c>
      <c r="B60" s="1" t="s">
        <v>32</v>
      </c>
      <c r="C60" s="1">
        <v>1493</v>
      </c>
      <c r="D60" s="1" t="s">
        <v>655</v>
      </c>
      <c r="E60" s="1" t="s">
        <v>707</v>
      </c>
      <c r="F60" s="1" t="str">
        <f>HYPERLINK(".\links\RABBIT-NCBI\tr_G1U6R8_G1U6R8_RABIT-RABBIT-NCBI.txt","Complement C3 alpha chain")</f>
        <v>Complement C3 alpha chain</v>
      </c>
      <c r="G60" s="1" t="str">
        <f>HYPERLINK("http://www.ncbi.nlm.nih.gov/sutils/blink.cgi?pid=116596","1E-033")</f>
        <v>1E-033</v>
      </c>
      <c r="H60" s="1" t="str">
        <f>HYPERLINK("http://www.ncbi.nlm.nih.gov/protein/116596","gi|116596")</f>
        <v>gi|116596</v>
      </c>
      <c r="I60" s="1">
        <v>137</v>
      </c>
      <c r="J60" s="1">
        <v>530</v>
      </c>
      <c r="K60" s="1">
        <v>726</v>
      </c>
      <c r="L60" s="1">
        <v>24</v>
      </c>
      <c r="M60" s="1">
        <v>44</v>
      </c>
      <c r="N60" s="1">
        <v>73</v>
      </c>
      <c r="O60" s="1">
        <v>399</v>
      </c>
      <c r="P60" s="1">
        <v>57</v>
      </c>
      <c r="Q60" s="1">
        <v>61</v>
      </c>
      <c r="R60" s="1">
        <v>974</v>
      </c>
      <c r="S60" s="1">
        <v>1</v>
      </c>
      <c r="T60" s="1" t="s">
        <v>33</v>
      </c>
      <c r="U60" s="1" t="str">
        <f>HYPERLINK(".\links\REFSEQ-VERTEBRATES\tr_G1U6R8_G1U6R8_RABIT-REFSEQ-VERTEBRATES.txt","alpha-2-macroglobulin")</f>
        <v>alpha-2-macroglobulin</v>
      </c>
      <c r="V60" s="1" t="str">
        <f>HYPERLINK("http://www.ncbi.nlm.nih.gov/sutils/blink.cgi?pid=655831556","0.0")</f>
        <v>0.0</v>
      </c>
      <c r="W60" s="1" t="str">
        <f>HYPERLINK("http://www.ncbi.nlm.nih.gov/protein/655831556","gi|655831556")</f>
        <v>gi|655831556</v>
      </c>
      <c r="X60" s="1">
        <v>2830</v>
      </c>
      <c r="Y60" s="1">
        <v>1503</v>
      </c>
      <c r="Z60" s="1">
        <v>1500</v>
      </c>
      <c r="AA60" s="1">
        <v>95</v>
      </c>
      <c r="AB60" s="1">
        <v>96</v>
      </c>
      <c r="AC60" s="1">
        <v>100</v>
      </c>
      <c r="AD60" s="1">
        <v>62</v>
      </c>
      <c r="AE60" s="1">
        <v>13</v>
      </c>
      <c r="AF60" s="1">
        <v>1</v>
      </c>
      <c r="AG60" s="1">
        <v>1</v>
      </c>
      <c r="AH60" s="1">
        <v>1</v>
      </c>
      <c r="AI60" s="1" t="s">
        <v>34</v>
      </c>
      <c r="AJ60" s="1" t="str">
        <f>HYPERLINK(".\links\CDD\tr_G1U6R8_G1U6R8_RABIT-CDD.txt","A2M_2")</f>
        <v>A2M_2</v>
      </c>
      <c r="AK60" s="1" t="str">
        <f>HYPERLINK("http://www.ncbi.nlm.nih.gov/Structure/cdd/cddsrv.cgi?uid=cd02897&amp;version=v4.0","3E-084")</f>
        <v>3E-084</v>
      </c>
      <c r="AL60" s="1" t="s">
        <v>590</v>
      </c>
      <c r="AM60" s="1" t="s">
        <v>591</v>
      </c>
      <c r="AN60" s="1">
        <f>HYPERLINK(".\links\GO\tr_G1U6R8_G1U6R8_RABIT-GO.txt",0)</f>
        <v>0</v>
      </c>
      <c r="AO60" s="1" t="str">
        <f>HYPERLINK("http://amigo.geneontology.org/cgi-bin/amigo/term_details?term=GO:0004866","GO:0004866")</f>
        <v>GO:0004866</v>
      </c>
      <c r="AP60" s="1" t="s">
        <v>568</v>
      </c>
      <c r="AQ60" s="1" t="s">
        <v>569</v>
      </c>
      <c r="AR60" s="1" t="s">
        <v>570</v>
      </c>
      <c r="AS60" s="1" t="s">
        <v>33</v>
      </c>
      <c r="AT60" s="1"/>
      <c r="AU60" s="1">
        <v>0</v>
      </c>
      <c r="AV60" s="1" t="str">
        <f>HYPERLINK("http://amigo.geneontology.org/cgi-bin/amigo/term_details?term=GO:0005615","GO:0005615")</f>
        <v>GO:0005615</v>
      </c>
      <c r="AW60" s="1" t="s">
        <v>40</v>
      </c>
      <c r="AX60" s="1" t="s">
        <v>41</v>
      </c>
      <c r="AY60" s="1" t="s">
        <v>42</v>
      </c>
      <c r="AZ60" s="1" t="s">
        <v>33</v>
      </c>
      <c r="BA60" s="1"/>
      <c r="BB60" s="1">
        <v>0</v>
      </c>
      <c r="BC60" s="1" t="str">
        <f>HYPERLINK("http://amigo.geneontology.org/cgi-bin/amigo/term_details?term=GO:0010951","GO:0010951")</f>
        <v>GO:0010951</v>
      </c>
      <c r="BD60" s="1" t="s">
        <v>340</v>
      </c>
      <c r="BE60" s="1" t="s">
        <v>341</v>
      </c>
      <c r="BF60" s="1" t="s">
        <v>33</v>
      </c>
      <c r="BG60" s="1" t="s">
        <v>33</v>
      </c>
      <c r="BH60" s="1"/>
      <c r="BI60" s="1">
        <v>0</v>
      </c>
    </row>
    <row r="61" spans="1:61" s="6" customFormat="1" x14ac:dyDescent="0.2">
      <c r="A61" s="6" t="str">
        <f>HYPERLINK(".\links\\tr_Q45GR2_Q45GR2_RABIT-.txt","tr|Q45GR2|Q45GR2_RABIT")</f>
        <v>tr|Q45GR2|Q45GR2_RABIT</v>
      </c>
      <c r="B61" s="6" t="s">
        <v>32</v>
      </c>
      <c r="C61" s="6">
        <v>491</v>
      </c>
      <c r="D61" s="6" t="s">
        <v>669</v>
      </c>
      <c r="E61" s="1" t="s">
        <v>707</v>
      </c>
      <c r="F61" s="6" t="str">
        <f>HYPERLINK(".\links\RABBIT-NCBI\tr_Q45GR2_Q45GR2_RABIT-RABBIT-NCBI.txt","Heparin cofactor 2; AltName: Full=Heparin cofactor II; Short=HC-II; AltName:")</f>
        <v>Heparin cofactor 2; AltName: Full=Heparin cofactor II; Short=HC-II; AltName:</v>
      </c>
      <c r="G61" s="6" t="str">
        <f>HYPERLINK("http://www.ncbi.nlm.nih.gov/sutils/blink.cgi?pid=1346272","2E-036")</f>
        <v>2E-036</v>
      </c>
      <c r="H61" s="6" t="str">
        <f>HYPERLINK("http://www.ncbi.nlm.nih.gov/protein/1346272","gi|1346272")</f>
        <v>gi|1346272</v>
      </c>
      <c r="I61" s="6">
        <v>145</v>
      </c>
      <c r="J61" s="6">
        <v>357</v>
      </c>
      <c r="K61" s="6">
        <v>480</v>
      </c>
      <c r="L61" s="6">
        <v>28</v>
      </c>
      <c r="M61" s="6">
        <v>49</v>
      </c>
      <c r="N61" s="6">
        <v>74</v>
      </c>
      <c r="O61" s="6">
        <v>255</v>
      </c>
      <c r="P61" s="6">
        <v>23</v>
      </c>
      <c r="Q61" s="6">
        <v>125</v>
      </c>
      <c r="R61" s="6">
        <v>99</v>
      </c>
      <c r="S61" s="6">
        <v>1</v>
      </c>
      <c r="T61" s="6" t="s">
        <v>33</v>
      </c>
      <c r="U61" s="6" t="str">
        <f>HYPERLINK(".\links\REFSEQ-VERTEBRATES\tr_Q45GR2_Q45GR2_RABIT-REFSEQ-VERTEBRATES.txt","alpha-2-antiplasmin precursor")</f>
        <v>alpha-2-antiplasmin precursor</v>
      </c>
      <c r="V61" s="6" t="str">
        <f>HYPERLINK("http://www.ncbi.nlm.nih.gov/sutils/blink.cgi?pid=130488651","0.0")</f>
        <v>0.0</v>
      </c>
      <c r="W61" s="6" t="str">
        <f>HYPERLINK("http://www.ncbi.nlm.nih.gov/protein/130488651","gi|130488651")</f>
        <v>gi|130488651</v>
      </c>
      <c r="X61" s="6">
        <v>976</v>
      </c>
      <c r="Y61" s="6">
        <v>491</v>
      </c>
      <c r="Z61" s="6">
        <v>491</v>
      </c>
      <c r="AA61" s="6">
        <v>100</v>
      </c>
      <c r="AB61" s="6">
        <v>100</v>
      </c>
      <c r="AC61" s="6">
        <v>100</v>
      </c>
      <c r="AD61" s="6">
        <v>0</v>
      </c>
      <c r="AE61" s="6">
        <v>0</v>
      </c>
      <c r="AF61" s="6">
        <v>1</v>
      </c>
      <c r="AG61" s="6">
        <v>1</v>
      </c>
      <c r="AH61" s="6">
        <v>1</v>
      </c>
      <c r="AI61" s="6" t="s">
        <v>34</v>
      </c>
      <c r="AJ61" s="6" t="str">
        <f>HYPERLINK(".\links\CDD\tr_Q45GR2_Q45GR2_RABIT-CDD.txt","alpha2AP")</f>
        <v>alpha2AP</v>
      </c>
      <c r="AK61" s="6" t="str">
        <f>HYPERLINK("http://www.ncbi.nlm.nih.gov/Structure/cdd/cddsrv.cgi?uid=cd02053&amp;version=v4.0","1E-145")</f>
        <v>1E-145</v>
      </c>
      <c r="AL61" s="6" t="s">
        <v>437</v>
      </c>
      <c r="AM61" s="6" t="s">
        <v>438</v>
      </c>
      <c r="AN61" s="6">
        <f>HYPERLINK(".\links\GO\tr_Q45GR2_Q45GR2_RABIT-GO.txt",0)</f>
        <v>0</v>
      </c>
      <c r="AO61" s="6" t="str">
        <f>HYPERLINK("http://amigo.geneontology.org/cgi-bin/amigo/term_details?term=GO:0002020","GO:0002020")</f>
        <v>GO:0002020</v>
      </c>
      <c r="AP61" s="6" t="s">
        <v>164</v>
      </c>
      <c r="AQ61" s="6" t="s">
        <v>165</v>
      </c>
      <c r="AR61" s="6" t="s">
        <v>33</v>
      </c>
      <c r="AS61" s="6" t="s">
        <v>33</v>
      </c>
      <c r="AU61" s="6">
        <v>0</v>
      </c>
      <c r="AV61" s="6" t="str">
        <f>HYPERLINK("http://amigo.geneontology.org/cgi-bin/amigo/term_details?term=GO:0005577","GO:0005577")</f>
        <v>GO:0005577</v>
      </c>
      <c r="AW61" s="6" t="s">
        <v>355</v>
      </c>
      <c r="AX61" s="6" t="s">
        <v>356</v>
      </c>
      <c r="AY61" s="6" t="s">
        <v>357</v>
      </c>
      <c r="AZ61" s="6" t="s">
        <v>33</v>
      </c>
      <c r="BB61" s="6">
        <v>0</v>
      </c>
      <c r="BC61" s="6" t="str">
        <f>HYPERLINK("http://amigo.geneontology.org/cgi-bin/amigo/term_details?term=GO:0002034","GO:0002034")</f>
        <v>GO:0002034</v>
      </c>
      <c r="BD61" s="6" t="s">
        <v>439</v>
      </c>
      <c r="BE61" s="6" t="s">
        <v>440</v>
      </c>
      <c r="BF61" s="6" t="s">
        <v>441</v>
      </c>
      <c r="BG61" s="6" t="s">
        <v>33</v>
      </c>
      <c r="BI61" s="6">
        <v>0</v>
      </c>
    </row>
    <row r="62" spans="1:61" s="6" customFormat="1" x14ac:dyDescent="0.2">
      <c r="A62" s="6" t="str">
        <f>HYPERLINK(".\links\\tr_G1SNP6_G1SNP6_RABIT-.txt","tr|G1SNP6|G1SNP6_RABIT")</f>
        <v>tr|G1SNP6|G1SNP6_RABIT</v>
      </c>
      <c r="B62" s="6" t="s">
        <v>318</v>
      </c>
      <c r="C62" s="6">
        <v>441</v>
      </c>
      <c r="D62" s="6" t="s">
        <v>645</v>
      </c>
      <c r="E62" s="6" t="s">
        <v>708</v>
      </c>
      <c r="F62" s="6" t="str">
        <f>HYPERLINK(".\links\RABBIT-NCBI\tr_G1SNP6_G1SNP6_RABIT-RABBIT-NCBI.txt","Calcium/calmodulin-dependent protein kinase type II subunit delta; Short=CaM")</f>
        <v>Calcium/calmodulin-dependent protein kinase type II subunit delta; Short=CaM</v>
      </c>
      <c r="G62" s="6" t="str">
        <f>HYPERLINK("http://www.ncbi.nlm.nih.gov/sutils/blink.cgi?pid=126215729","3E-021")</f>
        <v>3E-021</v>
      </c>
      <c r="H62" s="6" t="str">
        <f>HYPERLINK("http://www.ncbi.nlm.nih.gov/protein/126215729","gi|126215729")</f>
        <v>gi|126215729</v>
      </c>
      <c r="I62" s="6">
        <v>95.1</v>
      </c>
      <c r="J62" s="6">
        <v>219</v>
      </c>
      <c r="K62" s="6">
        <v>533</v>
      </c>
      <c r="L62" s="6">
        <v>30</v>
      </c>
      <c r="M62" s="6">
        <v>49</v>
      </c>
      <c r="N62" s="6">
        <v>41</v>
      </c>
      <c r="O62" s="6">
        <v>152</v>
      </c>
      <c r="P62" s="6">
        <v>19</v>
      </c>
      <c r="Q62" s="6">
        <v>51</v>
      </c>
      <c r="R62" s="6">
        <v>132</v>
      </c>
      <c r="S62" s="6">
        <v>1</v>
      </c>
      <c r="T62" s="6" t="s">
        <v>33</v>
      </c>
      <c r="U62" s="6" t="str">
        <f>HYPERLINK(".\links\REFSEQ-VERTEBRATES\tr_G1SNP6_G1SNP6_RABIT-REFSEQ-VERTEBRATES.txt","serine/threonine kinase 40")</f>
        <v>serine/threonine kinase 40</v>
      </c>
      <c r="V62" s="6" t="str">
        <f>HYPERLINK("http://www.ncbi.nlm.nih.gov/sutils/blink.cgi?pid=291408788","0.0")</f>
        <v>0.0</v>
      </c>
      <c r="W62" s="6" t="str">
        <f>HYPERLINK("http://www.ncbi.nlm.nih.gov/protein/291408788","gi|291408788")</f>
        <v>gi|291408788</v>
      </c>
      <c r="X62" s="6">
        <v>871</v>
      </c>
      <c r="Y62" s="6">
        <v>438</v>
      </c>
      <c r="Z62" s="6">
        <v>571</v>
      </c>
      <c r="AA62" s="6">
        <v>100</v>
      </c>
      <c r="AB62" s="6">
        <v>100</v>
      </c>
      <c r="AC62" s="6">
        <v>77</v>
      </c>
      <c r="AD62" s="6">
        <v>0</v>
      </c>
      <c r="AE62" s="6">
        <v>0</v>
      </c>
      <c r="AF62" s="6">
        <v>134</v>
      </c>
      <c r="AG62" s="6">
        <v>4</v>
      </c>
      <c r="AH62" s="6">
        <v>1</v>
      </c>
      <c r="AI62" s="6" t="s">
        <v>34</v>
      </c>
      <c r="AJ62" s="6" t="str">
        <f>HYPERLINK(".\links\CDD\tr_G1SNP6_G1SNP6_RABIT-CDD.txt","STKc_PKB_beta")</f>
        <v>STKc_PKB_beta</v>
      </c>
      <c r="AK62" s="6" t="str">
        <f>HYPERLINK("http://www.ncbi.nlm.nih.gov/Structure/cdd/cddsrv.cgi?uid=cd05595&amp;version=v4.0","2E-022")</f>
        <v>2E-022</v>
      </c>
      <c r="AL62" s="6" t="s">
        <v>361</v>
      </c>
      <c r="AM62" s="6" t="s">
        <v>362</v>
      </c>
      <c r="AN62" s="6">
        <f>HYPERLINK(".\links\GO\tr_G1SNP6_G1SNP6_RABIT-GO.txt",0)</f>
        <v>0</v>
      </c>
      <c r="AO62" s="6" t="str">
        <f>HYPERLINK("http://amigo.geneontology.org/cgi-bin/amigo/term_details?term=GO:0004674","GO:0004674")</f>
        <v>GO:0004674</v>
      </c>
      <c r="AP62" s="6" t="s">
        <v>363</v>
      </c>
      <c r="AQ62" s="6" t="s">
        <v>364</v>
      </c>
      <c r="AR62" s="6" t="s">
        <v>365</v>
      </c>
      <c r="AS62" s="6" t="str">
        <f>HYPERLINK("http://www.genome.jp/dbget-bin/www_bfind_sub?mode=bfind&amp;max_hit=1000&amp;dbkey=kegg&amp;keywords=EC:2.7.11","EC:2.7.11")</f>
        <v>EC:2.7.11</v>
      </c>
      <c r="AU62" s="6">
        <v>0</v>
      </c>
      <c r="AV62" s="6" t="str">
        <f>HYPERLINK("http://amigo.geneontology.org/cgi-bin/amigo/term_details?term=GO:0005634","GO:0005634")</f>
        <v>GO:0005634</v>
      </c>
      <c r="AW62" s="6" t="s">
        <v>81</v>
      </c>
      <c r="AX62" s="6" t="s">
        <v>82</v>
      </c>
      <c r="AY62" s="6" t="s">
        <v>83</v>
      </c>
      <c r="AZ62" s="6" t="s">
        <v>33</v>
      </c>
      <c r="BB62" s="6">
        <v>0</v>
      </c>
      <c r="BC62" s="6" t="str">
        <f>HYPERLINK("http://amigo.geneontology.org/cgi-bin/amigo/term_details?term=GO:0006468","GO:0006468")</f>
        <v>GO:0006468</v>
      </c>
      <c r="BD62" s="6" t="s">
        <v>366</v>
      </c>
      <c r="BE62" s="6" t="s">
        <v>367</v>
      </c>
      <c r="BF62" s="6" t="s">
        <v>368</v>
      </c>
      <c r="BG62" s="6" t="s">
        <v>33</v>
      </c>
      <c r="BI62" s="6">
        <v>0</v>
      </c>
    </row>
    <row r="63" spans="1:61" s="6" customFormat="1" x14ac:dyDescent="0.2">
      <c r="A63" s="6" t="str">
        <f>HYPERLINK(".\links\\tr_G1SWF6_G1SWF6_RABIT-.txt","tr|G1SWF6|G1SWF6_RABIT")</f>
        <v>tr|G1SWF6|G1SWF6_RABIT</v>
      </c>
      <c r="B63" s="6" t="s">
        <v>32</v>
      </c>
      <c r="C63" s="6">
        <v>347</v>
      </c>
      <c r="D63" s="6" t="s">
        <v>658</v>
      </c>
      <c r="E63" s="6" t="s">
        <v>709</v>
      </c>
      <c r="F63" s="6" t="str">
        <f>HYPERLINK(".\links\RABBIT-NCBI\tr_G1SWF6_G1SWF6_RABIT-RABBIT-NCBI.txt","Haptoglobin; AltName: Full=Zonulin; Contains: RecName: Full=Haptoglobin alpha")</f>
        <v>Haptoglobin; AltName: Full=Zonulin; Contains: RecName: Full=Haptoglobin alpha</v>
      </c>
      <c r="G63" s="6" t="str">
        <f>HYPERLINK("http://www.ncbi.nlm.nih.gov/sutils/blink.cgi?pid=38605642","0.0")</f>
        <v>0.0</v>
      </c>
      <c r="H63" s="6" t="str">
        <f>HYPERLINK("http://www.ncbi.nlm.nih.gov/protein/38605642","gi|38605642")</f>
        <v>gi|38605642</v>
      </c>
      <c r="I63" s="6">
        <v>717</v>
      </c>
      <c r="J63" s="6">
        <v>347</v>
      </c>
      <c r="K63" s="6">
        <v>347</v>
      </c>
      <c r="L63" s="6">
        <v>99</v>
      </c>
      <c r="M63" s="6">
        <v>99</v>
      </c>
      <c r="N63" s="6">
        <v>100</v>
      </c>
      <c r="O63" s="6">
        <v>2</v>
      </c>
      <c r="P63" s="6">
        <v>0</v>
      </c>
      <c r="Q63" s="6">
        <v>1</v>
      </c>
      <c r="R63" s="6">
        <v>1</v>
      </c>
      <c r="S63" s="6">
        <v>1</v>
      </c>
      <c r="T63" s="6" t="s">
        <v>33</v>
      </c>
      <c r="U63" s="6" t="str">
        <f>HYPERLINK(".\links\REFSEQ-VERTEBRATES\tr_G1SWF6_G1SWF6_RABIT-REFSEQ-VERTEBRATES.txt","haptoglobin precursor")</f>
        <v>haptoglobin precursor</v>
      </c>
      <c r="V63" s="6" t="str">
        <f>HYPERLINK("http://www.ncbi.nlm.nih.gov/sutils/blink.cgi?pid=126723706","0.0")</f>
        <v>0.0</v>
      </c>
      <c r="W63" s="6" t="str">
        <f>HYPERLINK("http://www.ncbi.nlm.nih.gov/protein/126723706","gi|126723706")</f>
        <v>gi|126723706</v>
      </c>
      <c r="X63" s="6">
        <v>717</v>
      </c>
      <c r="Y63" s="6">
        <v>347</v>
      </c>
      <c r="Z63" s="6">
        <v>347</v>
      </c>
      <c r="AA63" s="6">
        <v>99</v>
      </c>
      <c r="AB63" s="6">
        <v>99</v>
      </c>
      <c r="AC63" s="6">
        <v>100</v>
      </c>
      <c r="AD63" s="6">
        <v>2</v>
      </c>
      <c r="AE63" s="6">
        <v>0</v>
      </c>
      <c r="AF63" s="6">
        <v>1</v>
      </c>
      <c r="AG63" s="6">
        <v>1</v>
      </c>
      <c r="AH63" s="6">
        <v>1</v>
      </c>
      <c r="AI63" s="6" t="s">
        <v>34</v>
      </c>
      <c r="AJ63" s="6" t="str">
        <f>HYPERLINK(".\links\CDD\tr_G1SWF6_G1SWF6_RABIT-CDD.txt","Tryp_SPc")</f>
        <v>Tryp_SPc</v>
      </c>
      <c r="AK63" s="6" t="str">
        <f>HYPERLINK("http://www.ncbi.nlm.nih.gov/Structure/cdd/cddsrv.cgi?uid=cd00190&amp;version=v4.0","5E-029")</f>
        <v>5E-029</v>
      </c>
      <c r="AL63" s="6" t="s">
        <v>280</v>
      </c>
      <c r="AM63" s="6" t="s">
        <v>281</v>
      </c>
      <c r="AN63" s="6">
        <f>HYPERLINK(".\links\GO\tr_G1SWF6_G1SWF6_RABIT-GO.txt",0)</f>
        <v>0</v>
      </c>
      <c r="AO63" s="6" t="str">
        <f>HYPERLINK("http://amigo.geneontology.org/cgi-bin/amigo/term_details?term=GO:0003824","GO:0003824")</f>
        <v>GO:0003824</v>
      </c>
      <c r="AP63" s="6" t="s">
        <v>282</v>
      </c>
      <c r="AQ63" s="6" t="s">
        <v>283</v>
      </c>
      <c r="AR63" s="6" t="s">
        <v>284</v>
      </c>
      <c r="AS63" s="6" t="s">
        <v>33</v>
      </c>
      <c r="AU63" s="7">
        <v>9.9999999999999998E-172</v>
      </c>
      <c r="AV63" s="6" t="str">
        <f>HYPERLINK("http://amigo.geneontology.org/cgi-bin/amigo/term_details?term=GO:0005576","GO:0005576")</f>
        <v>GO:0005576</v>
      </c>
      <c r="AW63" s="6" t="s">
        <v>51</v>
      </c>
      <c r="AX63" s="6" t="s">
        <v>52</v>
      </c>
      <c r="AY63" s="6" t="s">
        <v>53</v>
      </c>
      <c r="AZ63" s="6" t="s">
        <v>33</v>
      </c>
      <c r="BB63" s="7">
        <v>9.9999999999999998E-172</v>
      </c>
      <c r="BC63" s="6" t="str">
        <f>HYPERLINK("http://amigo.geneontology.org/cgi-bin/amigo/term_details?term=GO:0001889","GO:0001889")</f>
        <v>GO:0001889</v>
      </c>
      <c r="BD63" s="6" t="s">
        <v>285</v>
      </c>
      <c r="BE63" s="6" t="s">
        <v>286</v>
      </c>
      <c r="BF63" s="6" t="s">
        <v>33</v>
      </c>
      <c r="BG63" s="6" t="s">
        <v>33</v>
      </c>
      <c r="BI63" s="7">
        <v>9.9999999999999998E-172</v>
      </c>
    </row>
    <row r="64" spans="1:61" s="6" customFormat="1" x14ac:dyDescent="0.2">
      <c r="A64" s="6" t="str">
        <f>HYPERLINK(".\links\\tr_G1TVS4_G1TVS4_RABIT-.txt","tr|G1TVS4|G1TVS4_RABIT")</f>
        <v>tr|G1TVS4|G1TVS4_RABIT</v>
      </c>
      <c r="B64" s="6" t="s">
        <v>32</v>
      </c>
      <c r="C64" s="6">
        <v>462</v>
      </c>
      <c r="D64" s="6" t="s">
        <v>659</v>
      </c>
      <c r="E64" s="6" t="s">
        <v>709</v>
      </c>
      <c r="F64" s="6" t="str">
        <f>HYPERLINK(".\links\RABBIT-NCBI\tr_G1TVS4_G1TVS4_RABIT-RABBIT-NCBI.txt","Hemopexin; Flags: Precursor")</f>
        <v>Hemopexin; Flags: Precursor</v>
      </c>
      <c r="G64" s="6" t="str">
        <f>HYPERLINK("http://www.ncbi.nlm.nih.gov/sutils/blink.cgi?pid=1708184","0.0")</f>
        <v>0.0</v>
      </c>
      <c r="H64" s="6" t="str">
        <f>HYPERLINK("http://www.ncbi.nlm.nih.gov/protein/1708184","gi|1708184")</f>
        <v>gi|1708184</v>
      </c>
      <c r="I64" s="6">
        <v>977</v>
      </c>
      <c r="J64" s="6">
        <v>462</v>
      </c>
      <c r="K64" s="6">
        <v>460</v>
      </c>
      <c r="L64" s="6">
        <v>98</v>
      </c>
      <c r="M64" s="6">
        <v>98</v>
      </c>
      <c r="N64" s="6">
        <v>100</v>
      </c>
      <c r="O64" s="6">
        <v>6</v>
      </c>
      <c r="P64" s="6">
        <v>2</v>
      </c>
      <c r="Q64" s="6">
        <v>1</v>
      </c>
      <c r="R64" s="6">
        <v>1</v>
      </c>
      <c r="S64" s="6">
        <v>1</v>
      </c>
      <c r="T64" s="6" t="s">
        <v>33</v>
      </c>
      <c r="U64" s="6" t="str">
        <f>HYPERLINK(".\links\REFSEQ-VERTEBRATES\tr_G1TVS4_G1TVS4_RABIT-REFSEQ-VERTEBRATES.txt","hemopexin precursor")</f>
        <v>hemopexin precursor</v>
      </c>
      <c r="V64" s="6" t="str">
        <f>HYPERLINK("http://www.ncbi.nlm.nih.gov/sutils/blink.cgi?pid=130500366","0.0")</f>
        <v>0.0</v>
      </c>
      <c r="W64" s="6" t="str">
        <f>HYPERLINK("http://www.ncbi.nlm.nih.gov/protein/130500366","gi|130500366")</f>
        <v>gi|130500366</v>
      </c>
      <c r="X64" s="6">
        <v>977</v>
      </c>
      <c r="Y64" s="6">
        <v>462</v>
      </c>
      <c r="Z64" s="6">
        <v>460</v>
      </c>
      <c r="AA64" s="6">
        <v>98</v>
      </c>
      <c r="AB64" s="6">
        <v>98</v>
      </c>
      <c r="AC64" s="6">
        <v>100</v>
      </c>
      <c r="AD64" s="6">
        <v>6</v>
      </c>
      <c r="AE64" s="6">
        <v>2</v>
      </c>
      <c r="AF64" s="6">
        <v>1</v>
      </c>
      <c r="AG64" s="6">
        <v>1</v>
      </c>
      <c r="AH64" s="6">
        <v>1</v>
      </c>
      <c r="AI64" s="6" t="s">
        <v>34</v>
      </c>
      <c r="AJ64" s="6" t="str">
        <f>HYPERLINK(".\links\CDD\tr_G1TVS4_G1TVS4_RABIT-CDD.txt","HX")</f>
        <v>HX</v>
      </c>
      <c r="AK64" s="6" t="str">
        <f>HYPERLINK("http://www.ncbi.nlm.nih.gov/Structure/cdd/cddsrv.cgi?uid=cd00094&amp;version=v4.0","7E-023")</f>
        <v>7E-023</v>
      </c>
      <c r="AL64" s="6" t="s">
        <v>403</v>
      </c>
      <c r="AM64" s="6" t="s">
        <v>399</v>
      </c>
      <c r="AN64" s="6">
        <f>HYPERLINK(".\links\GO\tr_G1TVS4_G1TVS4_RABIT-GO.txt",0)</f>
        <v>0</v>
      </c>
      <c r="AO64" s="6" t="str">
        <f>HYPERLINK("http://amigo.geneontology.org/cgi-bin/amigo/term_details?term=GO:0005515","GO:0005515")</f>
        <v>GO:0005515</v>
      </c>
      <c r="AP64" s="6" t="s">
        <v>37</v>
      </c>
      <c r="AQ64" s="6" t="s">
        <v>38</v>
      </c>
      <c r="AR64" s="6" t="s">
        <v>39</v>
      </c>
      <c r="AS64" s="6" t="s">
        <v>33</v>
      </c>
      <c r="AU64" s="6">
        <v>0</v>
      </c>
      <c r="AV64" s="6" t="str">
        <f>HYPERLINK("http://amigo.geneontology.org/cgi-bin/amigo/term_details?term=GO:0005576","GO:0005576")</f>
        <v>GO:0005576</v>
      </c>
      <c r="AW64" s="6" t="s">
        <v>51</v>
      </c>
      <c r="AX64" s="6" t="s">
        <v>52</v>
      </c>
      <c r="AY64" s="6" t="s">
        <v>53</v>
      </c>
      <c r="AZ64" s="6" t="s">
        <v>33</v>
      </c>
      <c r="BB64" s="6">
        <v>0</v>
      </c>
      <c r="BC64" s="6" t="str">
        <f>HYPERLINK("http://amigo.geneontology.org/cgi-bin/amigo/term_details?term=GO:0002639","GO:0002639")</f>
        <v>GO:0002639</v>
      </c>
      <c r="BD64" s="6" t="s">
        <v>400</v>
      </c>
      <c r="BE64" s="6" t="s">
        <v>401</v>
      </c>
      <c r="BF64" s="6" t="s">
        <v>402</v>
      </c>
      <c r="BG64" s="6" t="s">
        <v>33</v>
      </c>
      <c r="BI64" s="6">
        <v>0</v>
      </c>
    </row>
    <row r="65" spans="1:61" x14ac:dyDescent="0.2">
      <c r="A65" s="1" t="str">
        <f>HYPERLINK(".\links\\tr_G1SQ02_G1SQ02_RABIT-.txt","tr|G1SQ02|G1SQ02_RABIT")</f>
        <v>tr|G1SQ02|G1SQ02_RABIT</v>
      </c>
      <c r="B65" s="1" t="s">
        <v>32</v>
      </c>
      <c r="C65" s="1">
        <v>199</v>
      </c>
      <c r="D65" s="1" t="s">
        <v>660</v>
      </c>
      <c r="E65" s="1" t="s">
        <v>709</v>
      </c>
      <c r="F65" s="1" t="str">
        <f>HYPERLINK(".\links\RABBIT-NCBI\tr_G1SQ02_G1SQ02_RABIT-RABBIT-NCBI.txt","Endothelin-2; Short=ET-2; AltName: Full=Preproendothelin-2; Short=PPET2; Flags:")</f>
        <v>Endothelin-2; Short=ET-2; AltName: Full=Preproendothelin-2; Short=PPET2; Flags:</v>
      </c>
      <c r="G65" s="1" t="str">
        <f>HYPERLINK("http://www.ncbi.nlm.nih.gov/sutils/blink.cgi?pid=62286558","1.7")</f>
        <v>1.7</v>
      </c>
      <c r="H65" s="1" t="str">
        <f>HYPERLINK("http://www.ncbi.nlm.nih.gov/protein/62286558","gi|62286558")</f>
        <v>gi|62286558</v>
      </c>
      <c r="I65" s="1">
        <v>24.6</v>
      </c>
      <c r="J65" s="1">
        <v>25</v>
      </c>
      <c r="K65" s="1">
        <v>178</v>
      </c>
      <c r="L65" s="1">
        <v>44</v>
      </c>
      <c r="M65" s="1">
        <v>56</v>
      </c>
      <c r="N65" s="1">
        <v>14</v>
      </c>
      <c r="O65" s="1">
        <v>14</v>
      </c>
      <c r="P65" s="1">
        <v>2</v>
      </c>
      <c r="Q65" s="1">
        <v>61</v>
      </c>
      <c r="R65" s="1">
        <v>81</v>
      </c>
      <c r="S65" s="1">
        <v>1</v>
      </c>
      <c r="T65" s="1" t="s">
        <v>33</v>
      </c>
      <c r="U65" s="1" t="str">
        <f>HYPERLINK(".\links\REFSEQ-VERTEBRATES\tr_G1SQ02_G1SQ02_RABIT-REFSEQ-VERTEBRATES.txt","peroxiredoxin-1")</f>
        <v>peroxiredoxin-1</v>
      </c>
      <c r="V65" s="1" t="str">
        <f>HYPERLINK("http://www.ncbi.nlm.nih.gov/sutils/blink.cgi?pid=291399010","1E-114")</f>
        <v>1E-114</v>
      </c>
      <c r="W65" s="1" t="str">
        <f>HYPERLINK("http://www.ncbi.nlm.nih.gov/protein/291399010","gi|291399010")</f>
        <v>gi|291399010</v>
      </c>
      <c r="X65" s="1">
        <v>412</v>
      </c>
      <c r="Y65" s="1">
        <v>199</v>
      </c>
      <c r="Z65" s="1">
        <v>199</v>
      </c>
      <c r="AA65" s="1">
        <v>100</v>
      </c>
      <c r="AB65" s="1">
        <v>100</v>
      </c>
      <c r="AC65" s="1">
        <v>100</v>
      </c>
      <c r="AD65" s="1">
        <v>0</v>
      </c>
      <c r="AE65" s="1">
        <v>0</v>
      </c>
      <c r="AF65" s="1">
        <v>1</v>
      </c>
      <c r="AG65" s="1">
        <v>1</v>
      </c>
      <c r="AH65" s="1">
        <v>1</v>
      </c>
      <c r="AI65" s="1" t="s">
        <v>34</v>
      </c>
      <c r="AJ65" s="1" t="str">
        <f>HYPERLINK(".\links\CDD\tr_G1SQ02_G1SQ02_RABIT-CDD.txt","PRX_Typ2cys")</f>
        <v>PRX_Typ2cys</v>
      </c>
      <c r="AK65" s="1" t="str">
        <f>HYPERLINK("http://www.ncbi.nlm.nih.gov/Structure/cdd/cddsrv.cgi?uid=cd03015&amp;version=v4.0","5E-075")</f>
        <v>5E-075</v>
      </c>
      <c r="AL65" s="1" t="s">
        <v>168</v>
      </c>
      <c r="AM65" s="1" t="s">
        <v>169</v>
      </c>
      <c r="AN65" s="1">
        <f>HYPERLINK(".\links\GO\tr_G1SQ02_G1SQ02_RABIT-GO.txt",0)</f>
        <v>0</v>
      </c>
      <c r="AO65" s="1" t="str">
        <f>HYPERLINK("http://amigo.geneontology.org/cgi-bin/amigo/term_details?term=GO:0004601","GO:0004601")</f>
        <v>GO:0004601</v>
      </c>
      <c r="AP65" s="1" t="s">
        <v>170</v>
      </c>
      <c r="AQ65" s="1" t="s">
        <v>171</v>
      </c>
      <c r="AR65" s="1" t="s">
        <v>172</v>
      </c>
      <c r="AS65" s="1" t="str">
        <f>HYPERLINK("http://www.genome.jp/dbget-bin/www_bfind_sub?mode=bfind&amp;max_hit=1000&amp;dbkey=kegg&amp;keywords=EC:1.11.1.7","EC:1.11.1.7")</f>
        <v>EC:1.11.1.7</v>
      </c>
      <c r="AT65" s="1" t="str">
        <f>HYPERLINK("http://www.genome.jp/dbget-bin/www_bget?rn:R03532","KEGG:R03532")</f>
        <v>KEGG:R03532</v>
      </c>
      <c r="AU65" s="2">
        <v>1.0000000000000001E-114</v>
      </c>
      <c r="AV65" s="1" t="str">
        <f>HYPERLINK("http://amigo.geneontology.org/cgi-bin/amigo/term_details?term=GO:0005615","GO:0005615")</f>
        <v>GO:0005615</v>
      </c>
      <c r="AW65" s="1" t="s">
        <v>40</v>
      </c>
      <c r="AX65" s="1" t="s">
        <v>41</v>
      </c>
      <c r="AY65" s="1" t="s">
        <v>42</v>
      </c>
      <c r="AZ65" s="1" t="s">
        <v>33</v>
      </c>
      <c r="BB65" s="2">
        <v>1.0000000000000001E-114</v>
      </c>
      <c r="BC65" s="1" t="str">
        <f>HYPERLINK("http://amigo.geneontology.org/cgi-bin/amigo/term_details?term=GO:0001501","GO:0001501")</f>
        <v>GO:0001501</v>
      </c>
      <c r="BD65" s="1" t="s">
        <v>173</v>
      </c>
      <c r="BE65" s="1" t="s">
        <v>174</v>
      </c>
      <c r="BF65" s="1" t="s">
        <v>175</v>
      </c>
      <c r="BG65" s="1" t="s">
        <v>33</v>
      </c>
      <c r="BI65" s="2">
        <v>1.0000000000000001E-114</v>
      </c>
    </row>
    <row r="66" spans="1:61" x14ac:dyDescent="0.2">
      <c r="A66" s="1" t="str">
        <f>HYPERLINK(".\links\\sp_P20058_HEMO_RABIT-.txt","sp|P20058|HEMO_RABIT")</f>
        <v>sp|P20058|HEMO_RABIT</v>
      </c>
      <c r="B66" s="1" t="s">
        <v>32</v>
      </c>
      <c r="C66" s="1">
        <v>460</v>
      </c>
      <c r="D66" s="1" t="s">
        <v>661</v>
      </c>
      <c r="E66" s="1" t="s">
        <v>709</v>
      </c>
      <c r="F66" s="1" t="str">
        <f>HYPERLINK(".\links\RABBIT-NCBI\sp_P20058_HEMO_RABIT-RABBIT-NCBI.txt","Hemopexin; Flags: Precursor")</f>
        <v>Hemopexin; Flags: Precursor</v>
      </c>
      <c r="G66" s="1" t="str">
        <f>HYPERLINK("http://www.ncbi.nlm.nih.gov/sutils/blink.cgi?pid=1708184","0.0")</f>
        <v>0.0</v>
      </c>
      <c r="H66" s="1" t="str">
        <f>HYPERLINK("http://www.ncbi.nlm.nih.gov/protein/1708184","gi|1708184")</f>
        <v>gi|1708184</v>
      </c>
      <c r="I66" s="1">
        <v>994</v>
      </c>
      <c r="J66" s="1">
        <v>460</v>
      </c>
      <c r="K66" s="1">
        <v>460</v>
      </c>
      <c r="L66" s="1">
        <v>100</v>
      </c>
      <c r="M66" s="1">
        <v>100</v>
      </c>
      <c r="N66" s="1">
        <v>100</v>
      </c>
      <c r="O66" s="1">
        <v>0</v>
      </c>
      <c r="P66" s="1">
        <v>0</v>
      </c>
      <c r="Q66" s="1">
        <v>1</v>
      </c>
      <c r="R66" s="1">
        <v>1</v>
      </c>
      <c r="S66" s="1">
        <v>1</v>
      </c>
      <c r="T66" s="1" t="s">
        <v>33</v>
      </c>
      <c r="U66" s="1" t="str">
        <f>HYPERLINK(".\links\REFSEQ-VERTEBRATES\sp_P20058_HEMO_RABIT-REFSEQ-VERTEBRATES.txt","hemopexin precursor")</f>
        <v>hemopexin precursor</v>
      </c>
      <c r="V66" s="1" t="str">
        <f>HYPERLINK("http://www.ncbi.nlm.nih.gov/sutils/blink.cgi?pid=130500366","0.0")</f>
        <v>0.0</v>
      </c>
      <c r="W66" s="1" t="str">
        <f>HYPERLINK("http://www.ncbi.nlm.nih.gov/protein/130500366","gi|130500366")</f>
        <v>gi|130500366</v>
      </c>
      <c r="X66" s="1">
        <v>994</v>
      </c>
      <c r="Y66" s="1">
        <v>460</v>
      </c>
      <c r="Z66" s="1">
        <v>460</v>
      </c>
      <c r="AA66" s="1">
        <v>100</v>
      </c>
      <c r="AB66" s="1">
        <v>100</v>
      </c>
      <c r="AC66" s="1">
        <v>100</v>
      </c>
      <c r="AD66" s="1">
        <v>0</v>
      </c>
      <c r="AE66" s="1">
        <v>0</v>
      </c>
      <c r="AF66" s="1">
        <v>1</v>
      </c>
      <c r="AG66" s="1">
        <v>1</v>
      </c>
      <c r="AH66" s="1">
        <v>1</v>
      </c>
      <c r="AI66" s="1" t="s">
        <v>34</v>
      </c>
      <c r="AJ66" s="1" t="str">
        <f>HYPERLINK(".\links\CDD\sp_P20058_HEMO_RABIT-CDD.txt","HX")</f>
        <v>HX</v>
      </c>
      <c r="AK66" s="1" t="str">
        <f>HYPERLINK("http://www.ncbi.nlm.nih.gov/Structure/cdd/cddsrv.cgi?uid=cd00094&amp;version=v4.0","7E-023")</f>
        <v>7E-023</v>
      </c>
      <c r="AL66" s="1" t="s">
        <v>398</v>
      </c>
      <c r="AM66" s="1" t="s">
        <v>399</v>
      </c>
      <c r="AN66" s="1">
        <f>HYPERLINK(".\links\GO\sp_P20058_HEMO_RABIT-GO.txt",0)</f>
        <v>0</v>
      </c>
      <c r="AO66" s="1" t="str">
        <f>HYPERLINK("http://amigo.geneontology.org/cgi-bin/amigo/term_details?term=GO:0005515","GO:0005515")</f>
        <v>GO:0005515</v>
      </c>
      <c r="AP66" s="1" t="s">
        <v>37</v>
      </c>
      <c r="AQ66" s="1" t="s">
        <v>38</v>
      </c>
      <c r="AR66" s="1" t="s">
        <v>39</v>
      </c>
      <c r="AS66" s="1" t="s">
        <v>33</v>
      </c>
      <c r="AU66" s="1">
        <v>0</v>
      </c>
      <c r="AV66" s="1" t="str">
        <f>HYPERLINK("http://amigo.geneontology.org/cgi-bin/amigo/term_details?term=GO:0005576","GO:0005576")</f>
        <v>GO:0005576</v>
      </c>
      <c r="AW66" s="1" t="s">
        <v>51</v>
      </c>
      <c r="AX66" s="1" t="s">
        <v>52</v>
      </c>
      <c r="AY66" s="1" t="s">
        <v>53</v>
      </c>
      <c r="AZ66" s="1" t="s">
        <v>33</v>
      </c>
      <c r="BB66" s="1">
        <v>0</v>
      </c>
      <c r="BC66" s="1" t="str">
        <f>HYPERLINK("http://amigo.geneontology.org/cgi-bin/amigo/term_details?term=GO:0002639","GO:0002639")</f>
        <v>GO:0002639</v>
      </c>
      <c r="BD66" s="1" t="s">
        <v>400</v>
      </c>
      <c r="BE66" s="1" t="s">
        <v>401</v>
      </c>
      <c r="BF66" s="1" t="s">
        <v>402</v>
      </c>
      <c r="BG66" s="1" t="s">
        <v>33</v>
      </c>
      <c r="BI66" s="1">
        <v>0</v>
      </c>
    </row>
    <row r="67" spans="1:61" x14ac:dyDescent="0.2">
      <c r="A67" s="1" t="str">
        <f>HYPERLINK(".\links\\sp_P09809_APOA1_RABIT-.txt","sp|P09809|APOA1_RABIT")</f>
        <v>sp|P09809|APOA1_RABIT</v>
      </c>
      <c r="B67" s="1" t="s">
        <v>32</v>
      </c>
      <c r="C67" s="1">
        <v>266</v>
      </c>
      <c r="D67" s="1" t="s">
        <v>672</v>
      </c>
      <c r="E67" s="1" t="s">
        <v>709</v>
      </c>
      <c r="F67" s="1" t="str">
        <f>HYPERLINK(".\links\RABBIT-NCBI\sp_P09809_APOA1_RABIT-RABBIT-NCBI.txt","Apolipoprotein A-I; Short=Apo-AI; Short=ApoA-I; AltName: Full=Apolipoprotein A1;")</f>
        <v>Apolipoprotein A-I; Short=Apo-AI; Short=ApoA-I; AltName: Full=Apolipoprotein A1;</v>
      </c>
      <c r="G67" s="1" t="str">
        <f>HYPERLINK("http://www.ncbi.nlm.nih.gov/sutils/blink.cgi?pid=113996","1E-149")</f>
        <v>1E-149</v>
      </c>
      <c r="H67" s="1" t="str">
        <f>HYPERLINK("http://www.ncbi.nlm.nih.gov/protein/113996","gi|113996")</f>
        <v>gi|113996</v>
      </c>
      <c r="I67" s="1">
        <v>520</v>
      </c>
      <c r="J67" s="1">
        <v>266</v>
      </c>
      <c r="K67" s="1">
        <v>266</v>
      </c>
      <c r="L67" s="1">
        <v>100</v>
      </c>
      <c r="M67" s="1">
        <v>100</v>
      </c>
      <c r="N67" s="1">
        <v>100</v>
      </c>
      <c r="O67" s="1">
        <v>0</v>
      </c>
      <c r="P67" s="1">
        <v>0</v>
      </c>
      <c r="Q67" s="1">
        <v>1</v>
      </c>
      <c r="R67" s="1">
        <v>1</v>
      </c>
      <c r="S67" s="1">
        <v>1</v>
      </c>
      <c r="T67" s="1" t="s">
        <v>33</v>
      </c>
      <c r="U67" s="1" t="str">
        <f>HYPERLINK(".\links\REFSEQ-VERTEBRATES\sp_P09809_APOA1_RABIT-REFSEQ-VERTEBRATES.txt","apolipoprotein A-I isoform X1")</f>
        <v>apolipoprotein A-I isoform X1</v>
      </c>
      <c r="V67" s="1" t="str">
        <f>HYPERLINK("http://www.ncbi.nlm.nih.gov/sutils/blink.cgi?pid=655601008","1E-145")</f>
        <v>1E-145</v>
      </c>
      <c r="W67" s="1" t="str">
        <f>HYPERLINK("http://www.ncbi.nlm.nih.gov/protein/655601008","gi|655601008")</f>
        <v>gi|655601008</v>
      </c>
      <c r="X67" s="1">
        <v>518</v>
      </c>
      <c r="Y67" s="1">
        <v>266</v>
      </c>
      <c r="Z67" s="1">
        <v>266</v>
      </c>
      <c r="AA67" s="1">
        <v>99</v>
      </c>
      <c r="AB67" s="1">
        <v>99</v>
      </c>
      <c r="AC67" s="1">
        <v>100</v>
      </c>
      <c r="AD67" s="1">
        <v>2</v>
      </c>
      <c r="AE67" s="1">
        <v>0</v>
      </c>
      <c r="AF67" s="1">
        <v>1</v>
      </c>
      <c r="AG67" s="1">
        <v>1</v>
      </c>
      <c r="AH67" s="1">
        <v>1</v>
      </c>
      <c r="AI67" s="1" t="s">
        <v>34</v>
      </c>
      <c r="AJ67" s="1" t="str">
        <f>HYPERLINK(".\links\CDD\sp_P09809_APOA1_RABIT-CDD.txt","Apolipoprotein")</f>
        <v>Apolipoprotein</v>
      </c>
      <c r="AK67" s="1" t="str">
        <f>HYPERLINK("http://www.ncbi.nlm.nih.gov/Structure/cdd/cddsrv.cgi?uid=pfam01442&amp;version=v4.0","1E-037")</f>
        <v>1E-037</v>
      </c>
      <c r="AL67" s="1" t="s">
        <v>224</v>
      </c>
      <c r="AM67" s="1" t="s">
        <v>225</v>
      </c>
      <c r="AN67" s="1">
        <f>HYPERLINK(".\links\GO\sp_P09809_APOA1_RABIT-GO.txt",0)</f>
        <v>0</v>
      </c>
      <c r="AO67" s="1" t="str">
        <f>HYPERLINK("http://amigo.geneontology.org/cgi-bin/amigo/term_details?term=GO:0008289","GO:0008289")</f>
        <v>GO:0008289</v>
      </c>
      <c r="AP67" s="1" t="s">
        <v>226</v>
      </c>
      <c r="AQ67" s="1" t="s">
        <v>227</v>
      </c>
      <c r="AR67" s="1" t="s">
        <v>33</v>
      </c>
      <c r="AS67" s="1" t="s">
        <v>33</v>
      </c>
      <c r="AU67" s="2">
        <v>1.0000000000000001E-123</v>
      </c>
      <c r="AV67" s="1" t="str">
        <f>HYPERLINK("http://amigo.geneontology.org/cgi-bin/amigo/term_details?term=GO:0034364","GO:0034364")</f>
        <v>GO:0034364</v>
      </c>
      <c r="AW67" s="1" t="s">
        <v>228</v>
      </c>
      <c r="AX67" s="1" t="s">
        <v>229</v>
      </c>
      <c r="AY67" s="1" t="s">
        <v>230</v>
      </c>
      <c r="AZ67" s="1" t="s">
        <v>33</v>
      </c>
      <c r="BB67" s="2">
        <v>1.0000000000000001E-123</v>
      </c>
      <c r="BC67" s="1" t="str">
        <f>HYPERLINK("http://amigo.geneontology.org/cgi-bin/amigo/term_details?term=GO:0006869","GO:0006869")</f>
        <v>GO:0006869</v>
      </c>
      <c r="BD67" s="1" t="s">
        <v>231</v>
      </c>
      <c r="BE67" s="1" t="s">
        <v>232</v>
      </c>
      <c r="BF67" s="1" t="s">
        <v>33</v>
      </c>
      <c r="BG67" s="1" t="s">
        <v>33</v>
      </c>
      <c r="BI67" s="2">
        <v>1.0000000000000001E-123</v>
      </c>
    </row>
    <row r="68" spans="1:61" x14ac:dyDescent="0.2">
      <c r="A68" s="1" t="str">
        <f>HYPERLINK(".\links\\sp_P19134_TRFE_RABIT-.txt","sp|P19134|TRFE_RABIT")</f>
        <v>sp|P19134|TRFE_RABIT</v>
      </c>
      <c r="B68" s="1" t="s">
        <v>32</v>
      </c>
      <c r="C68" s="1">
        <v>695</v>
      </c>
      <c r="D68" s="1" t="s">
        <v>652</v>
      </c>
      <c r="E68" s="1" t="s">
        <v>709</v>
      </c>
      <c r="F68" s="1" t="str">
        <f>HYPERLINK(".\links\RABBIT-NCBI\sp_P19134_TRFE_RABIT-RABBIT-NCBI.txt","Serotransferrin; Short=Transferrin; AltName: Full=Beta-1 metal-binding globulin;")</f>
        <v>Serotransferrin; Short=Transferrin; AltName: Full=Beta-1 metal-binding globulin;</v>
      </c>
      <c r="G68" s="1" t="str">
        <f>HYPERLINK("http://www.ncbi.nlm.nih.gov/sutils/blink.cgi?pid=6175087","0.0")</f>
        <v>0.0</v>
      </c>
      <c r="H68" s="1" t="str">
        <f>HYPERLINK("http://www.ncbi.nlm.nih.gov/protein/6175087","gi|6175087")</f>
        <v>gi|6175087</v>
      </c>
      <c r="I68" s="1">
        <v>1455</v>
      </c>
      <c r="J68" s="1">
        <v>695</v>
      </c>
      <c r="K68" s="1">
        <v>695</v>
      </c>
      <c r="L68" s="1">
        <v>100</v>
      </c>
      <c r="M68" s="1">
        <v>100</v>
      </c>
      <c r="N68" s="1">
        <v>100</v>
      </c>
      <c r="O68" s="1">
        <v>0</v>
      </c>
      <c r="P68" s="1">
        <v>0</v>
      </c>
      <c r="Q68" s="1">
        <v>1</v>
      </c>
      <c r="R68" s="1">
        <v>1</v>
      </c>
      <c r="S68" s="1">
        <v>1</v>
      </c>
      <c r="T68" s="1" t="s">
        <v>33</v>
      </c>
      <c r="U68" s="1" t="str">
        <f>HYPERLINK(".\links\REFSEQ-VERTEBRATES\sp_P19134_TRFE_RABIT-REFSEQ-VERTEBRATES.txt","serotransferrin precursor")</f>
        <v>serotransferrin precursor</v>
      </c>
      <c r="V68" s="1" t="str">
        <f>HYPERLINK("http://www.ncbi.nlm.nih.gov/sutils/blink.cgi?pid=156119356","0.0")</f>
        <v>0.0</v>
      </c>
      <c r="W68" s="1" t="str">
        <f>HYPERLINK("http://www.ncbi.nlm.nih.gov/protein/156119356","gi|156119356")</f>
        <v>gi|156119356</v>
      </c>
      <c r="X68" s="1">
        <v>1449</v>
      </c>
      <c r="Y68" s="1">
        <v>695</v>
      </c>
      <c r="Z68" s="1">
        <v>694</v>
      </c>
      <c r="AA68" s="1">
        <v>99</v>
      </c>
      <c r="AB68" s="1">
        <v>99</v>
      </c>
      <c r="AC68" s="1">
        <v>100</v>
      </c>
      <c r="AD68" s="1">
        <v>2</v>
      </c>
      <c r="AE68" s="1">
        <v>1</v>
      </c>
      <c r="AF68" s="1">
        <v>1</v>
      </c>
      <c r="AG68" s="1">
        <v>1</v>
      </c>
      <c r="AH68" s="1">
        <v>1</v>
      </c>
      <c r="AI68" s="1" t="s">
        <v>34</v>
      </c>
      <c r="AJ68" s="1" t="str">
        <f>HYPERLINK(".\links\CDD\sp_P19134_TRFE_RABIT-CDD.txt","Transferrin")</f>
        <v>Transferrin</v>
      </c>
      <c r="AK68" s="1" t="str">
        <f>HYPERLINK("http://www.ncbi.nlm.nih.gov/Structure/cdd/cddsrv.cgi?uid=pfam00405&amp;version=v4.0","1E-143")</f>
        <v>1E-143</v>
      </c>
      <c r="AL68" s="1" t="s">
        <v>532</v>
      </c>
      <c r="AM68" s="1" t="s">
        <v>533</v>
      </c>
      <c r="AN68" s="1">
        <f>HYPERLINK(".\links\GO\sp_P19134_TRFE_RABIT-GO.txt",0)</f>
        <v>0</v>
      </c>
      <c r="AO68" s="1" t="str">
        <f>HYPERLINK("http://amigo.geneontology.org/cgi-bin/amigo/term_details?term=GO:0005515","GO:0005515")</f>
        <v>GO:0005515</v>
      </c>
      <c r="AP68" s="1" t="s">
        <v>37</v>
      </c>
      <c r="AQ68" s="1" t="s">
        <v>38</v>
      </c>
      <c r="AR68" s="1" t="s">
        <v>39</v>
      </c>
      <c r="AS68" s="1" t="s">
        <v>33</v>
      </c>
      <c r="AU68" s="1">
        <v>0</v>
      </c>
      <c r="AV68" s="1" t="str">
        <f>HYPERLINK("http://amigo.geneontology.org/cgi-bin/amigo/term_details?term=GO:0005576","GO:0005576")</f>
        <v>GO:0005576</v>
      </c>
      <c r="AW68" s="1" t="s">
        <v>51</v>
      </c>
      <c r="AX68" s="1" t="s">
        <v>52</v>
      </c>
      <c r="AY68" s="1" t="s">
        <v>53</v>
      </c>
      <c r="AZ68" s="1" t="s">
        <v>33</v>
      </c>
      <c r="BB68" s="1">
        <v>0</v>
      </c>
      <c r="BC68" s="1" t="str">
        <f>HYPERLINK("http://amigo.geneontology.org/cgi-bin/amigo/term_details?term=GO:0001895","GO:0001895")</f>
        <v>GO:0001895</v>
      </c>
      <c r="BD68" s="1" t="s">
        <v>77</v>
      </c>
      <c r="BE68" s="1" t="s">
        <v>78</v>
      </c>
      <c r="BF68" s="1" t="s">
        <v>33</v>
      </c>
      <c r="BG68" s="1" t="s">
        <v>33</v>
      </c>
      <c r="BI68" s="1">
        <v>0</v>
      </c>
    </row>
    <row r="69" spans="1:61" x14ac:dyDescent="0.2">
      <c r="A69" s="1" t="str">
        <f>HYPERLINK(".\links\\tr_G1TFW8_G1TFW8_RABIT-.txt","tr|G1TFW8|G1TFW8_RABIT")</f>
        <v>tr|G1TFW8|G1TFW8_RABIT</v>
      </c>
      <c r="B69" s="1" t="s">
        <v>32</v>
      </c>
      <c r="C69" s="1">
        <v>708</v>
      </c>
      <c r="D69" s="1" t="s">
        <v>540</v>
      </c>
      <c r="E69" s="1" t="s">
        <v>709</v>
      </c>
      <c r="F69" s="1" t="str">
        <f>HYPERLINK(".\links\RABBIT-NCBI\tr_G1TFW8_G1TFW8_RABIT-RABBIT-NCBI.txt","Serotransferrin; Short=Transferrin; AltName: Full=Beta-1 metal-binding globulin;")</f>
        <v>Serotransferrin; Short=Transferrin; AltName: Full=Beta-1 metal-binding globulin;</v>
      </c>
      <c r="G69" s="1" t="str">
        <f>HYPERLINK("http://www.ncbi.nlm.nih.gov/sutils/blink.cgi?pid=6175087","0.0")</f>
        <v>0.0</v>
      </c>
      <c r="H69" s="1" t="str">
        <f>HYPERLINK("http://www.ncbi.nlm.nih.gov/protein/6175087","gi|6175087")</f>
        <v>gi|6175087</v>
      </c>
      <c r="I69" s="1">
        <v>857</v>
      </c>
      <c r="J69" s="1">
        <v>710</v>
      </c>
      <c r="K69" s="1">
        <v>695</v>
      </c>
      <c r="L69" s="1">
        <v>59</v>
      </c>
      <c r="M69" s="1">
        <v>72</v>
      </c>
      <c r="N69" s="1">
        <v>102</v>
      </c>
      <c r="O69" s="1">
        <v>288</v>
      </c>
      <c r="P69" s="1">
        <v>23</v>
      </c>
      <c r="Q69" s="1">
        <v>1</v>
      </c>
      <c r="R69" s="1">
        <v>1</v>
      </c>
      <c r="S69" s="1">
        <v>1</v>
      </c>
      <c r="T69" s="1" t="s">
        <v>33</v>
      </c>
      <c r="U69" s="1" t="str">
        <f>HYPERLINK(".\links\REFSEQ-VERTEBRATES\tr_G1TFW8_G1TFW8_RABIT-REFSEQ-VERTEBRATES.txt","lactotransferrin")</f>
        <v>lactotransferrin</v>
      </c>
      <c r="V69" s="1" t="str">
        <f>HYPERLINK("http://www.ncbi.nlm.nih.gov/sutils/blink.cgi?pid=655834100","0.0")</f>
        <v>0.0</v>
      </c>
      <c r="W69" s="1" t="str">
        <f>HYPERLINK("http://www.ncbi.nlm.nih.gov/protein/655834100","gi|655834100")</f>
        <v>gi|655834100</v>
      </c>
      <c r="X69" s="1">
        <v>1458</v>
      </c>
      <c r="Y69" s="1">
        <v>708</v>
      </c>
      <c r="Z69" s="1">
        <v>708</v>
      </c>
      <c r="AA69" s="1">
        <v>100</v>
      </c>
      <c r="AB69" s="1">
        <v>100</v>
      </c>
      <c r="AC69" s="1">
        <v>100</v>
      </c>
      <c r="AD69" s="1">
        <v>0</v>
      </c>
      <c r="AE69" s="1">
        <v>0</v>
      </c>
      <c r="AF69" s="1">
        <v>1</v>
      </c>
      <c r="AG69" s="1">
        <v>1</v>
      </c>
      <c r="AH69" s="1">
        <v>1</v>
      </c>
      <c r="AI69" s="1" t="s">
        <v>34</v>
      </c>
      <c r="AJ69" s="1" t="str">
        <f>HYPERLINK(".\links\CDD\tr_G1TFW8_G1TFW8_RABIT-CDD.txt","Transferrin")</f>
        <v>Transferrin</v>
      </c>
      <c r="AK69" s="1" t="str">
        <f>HYPERLINK("http://www.ncbi.nlm.nih.gov/Structure/cdd/cddsrv.cgi?uid=pfam00405&amp;version=v4.0","1E-140")</f>
        <v>1E-140</v>
      </c>
      <c r="AL69" s="1" t="s">
        <v>538</v>
      </c>
      <c r="AM69" s="1" t="s">
        <v>539</v>
      </c>
      <c r="AN69" s="1">
        <f>HYPERLINK(".\links\GO\tr_G1TFW8_G1TFW8_RABIT-GO.txt",0)</f>
        <v>0</v>
      </c>
      <c r="AO69" s="1" t="str">
        <f>HYPERLINK("http://amigo.geneontology.org/cgi-bin/amigo/term_details?term=GO:0003677","GO:0003677")</f>
        <v>GO:0003677</v>
      </c>
      <c r="AP69" s="1" t="s">
        <v>94</v>
      </c>
      <c r="AQ69" s="1" t="s">
        <v>95</v>
      </c>
      <c r="AR69" s="1" t="s">
        <v>96</v>
      </c>
      <c r="AS69" s="1" t="s">
        <v>33</v>
      </c>
      <c r="AU69" s="1">
        <v>0</v>
      </c>
      <c r="AV69" s="1" t="str">
        <f>HYPERLINK("http://amigo.geneontology.org/cgi-bin/amigo/term_details?term=GO:0005576","GO:0005576")</f>
        <v>GO:0005576</v>
      </c>
      <c r="AW69" s="1" t="s">
        <v>51</v>
      </c>
      <c r="AX69" s="1" t="s">
        <v>52</v>
      </c>
      <c r="AY69" s="1" t="s">
        <v>53</v>
      </c>
      <c r="AZ69" s="1" t="s">
        <v>33</v>
      </c>
      <c r="BB69" s="1">
        <v>0</v>
      </c>
      <c r="BC69" s="1" t="str">
        <f>HYPERLINK("http://amigo.geneontology.org/cgi-bin/amigo/term_details?term=GO:0001503","GO:0001503")</f>
        <v>GO:0001503</v>
      </c>
      <c r="BD69" s="1" t="s">
        <v>301</v>
      </c>
      <c r="BE69" s="1" t="s">
        <v>302</v>
      </c>
      <c r="BF69" s="1" t="s">
        <v>303</v>
      </c>
      <c r="BG69" s="1" t="s">
        <v>33</v>
      </c>
      <c r="BI69" s="1">
        <v>0</v>
      </c>
    </row>
    <row r="70" spans="1:61" x14ac:dyDescent="0.2">
      <c r="A70" s="1" t="str">
        <f>HYPERLINK(".\links\\tr_G1U9S2_G1U9S2_RABIT-.txt","tr|G1U9S2|G1U9S2_RABIT")</f>
        <v>tr|G1U9S2|G1U9S2_RABIT</v>
      </c>
      <c r="B70" s="1" t="s">
        <v>32</v>
      </c>
      <c r="C70" s="1">
        <v>608</v>
      </c>
      <c r="D70" s="1" t="s">
        <v>649</v>
      </c>
      <c r="E70" s="1" t="s">
        <v>709</v>
      </c>
      <c r="F70" s="1" t="str">
        <f>HYPERLINK(".\links\RABBIT-NCBI\tr_G1U9S2_G1U9S2_RABIT-RABBIT-NCBI.txt","Serum albumin; Flags: Precursor")</f>
        <v>Serum albumin; Flags: Precursor</v>
      </c>
      <c r="G70" s="1" t="str">
        <f>HYPERLINK("http://www.ncbi.nlm.nih.gov/sutils/blink.cgi?pid=44889024","0.0")</f>
        <v>0.0</v>
      </c>
      <c r="H70" s="1" t="str">
        <f>HYPERLINK("http://www.ncbi.nlm.nih.gov/protein/44889024","gi|44889024")</f>
        <v>gi|44889024</v>
      </c>
      <c r="I70" s="1">
        <v>1256</v>
      </c>
      <c r="J70" s="1">
        <v>608</v>
      </c>
      <c r="K70" s="1">
        <v>608</v>
      </c>
      <c r="L70" s="1">
        <v>99</v>
      </c>
      <c r="M70" s="1">
        <v>99</v>
      </c>
      <c r="N70" s="1">
        <v>100</v>
      </c>
      <c r="O70" s="1">
        <v>3</v>
      </c>
      <c r="P70" s="1">
        <v>0</v>
      </c>
      <c r="Q70" s="1">
        <v>1</v>
      </c>
      <c r="R70" s="1">
        <v>1</v>
      </c>
      <c r="S70" s="1">
        <v>1</v>
      </c>
      <c r="T70" s="1" t="s">
        <v>33</v>
      </c>
      <c r="U70" s="1" t="str">
        <f>HYPERLINK(".\links\REFSEQ-VERTEBRATES\tr_G1U9S2_G1U9S2_RABIT-REFSEQ-VERTEBRATES.txt","serum albumin precursor")</f>
        <v>serum albumin precursor</v>
      </c>
      <c r="V70" s="1" t="str">
        <f>HYPERLINK("http://www.ncbi.nlm.nih.gov/sutils/blink.cgi?pid=126723746","0.0")</f>
        <v>0.0</v>
      </c>
      <c r="W70" s="1" t="str">
        <f>HYPERLINK("http://www.ncbi.nlm.nih.gov/protein/126723746","gi|126723746")</f>
        <v>gi|126723746</v>
      </c>
      <c r="X70" s="1">
        <v>1256</v>
      </c>
      <c r="Y70" s="1">
        <v>608</v>
      </c>
      <c r="Z70" s="1">
        <v>608</v>
      </c>
      <c r="AA70" s="1">
        <v>99</v>
      </c>
      <c r="AB70" s="1">
        <v>99</v>
      </c>
      <c r="AC70" s="1">
        <v>100</v>
      </c>
      <c r="AD70" s="1">
        <v>3</v>
      </c>
      <c r="AE70" s="1">
        <v>0</v>
      </c>
      <c r="AF70" s="1">
        <v>1</v>
      </c>
      <c r="AG70" s="1">
        <v>1</v>
      </c>
      <c r="AH70" s="1">
        <v>1</v>
      </c>
      <c r="AI70" s="1" t="s">
        <v>34</v>
      </c>
      <c r="AJ70" s="1" t="str">
        <f>HYPERLINK(".\links\CDD\tr_G1U9S2_G1U9S2_RABIT-CDD.txt","ALBUMIN")</f>
        <v>ALBUMIN</v>
      </c>
      <c r="AK70" s="1" t="str">
        <f>HYPERLINK("http://www.ncbi.nlm.nih.gov/Structure/cdd/cddsrv.cgi?uid=smart00103&amp;version=v4.0","3E-047")</f>
        <v>3E-047</v>
      </c>
      <c r="AL70" s="1" t="s">
        <v>493</v>
      </c>
      <c r="AM70" s="1" t="s">
        <v>494</v>
      </c>
      <c r="AN70" s="1">
        <f>HYPERLINK(".\links\GO\tr_G1U9S2_G1U9S2_RABIT-GO.txt",0)</f>
        <v>0</v>
      </c>
      <c r="AO70" s="1" t="str">
        <f>HYPERLINK("http://amigo.geneontology.org/cgi-bin/amigo/term_details?term=GO:0003677","GO:0003677")</f>
        <v>GO:0003677</v>
      </c>
      <c r="AP70" s="1" t="s">
        <v>94</v>
      </c>
      <c r="AQ70" s="1" t="s">
        <v>95</v>
      </c>
      <c r="AR70" s="1" t="s">
        <v>96</v>
      </c>
      <c r="AS70" s="1" t="s">
        <v>33</v>
      </c>
      <c r="AU70" s="1">
        <v>0</v>
      </c>
      <c r="AV70" s="1" t="str">
        <f>HYPERLINK("http://amigo.geneontology.org/cgi-bin/amigo/term_details?term=GO:0043234","GO:0043234")</f>
        <v>GO:0043234</v>
      </c>
      <c r="AW70" s="1" t="s">
        <v>495</v>
      </c>
      <c r="AX70" s="1" t="s">
        <v>496</v>
      </c>
      <c r="AY70" s="1" t="s">
        <v>497</v>
      </c>
      <c r="AZ70" s="1" t="s">
        <v>33</v>
      </c>
      <c r="BB70" s="1">
        <v>0</v>
      </c>
      <c r="BC70" s="1" t="str">
        <f>HYPERLINK("http://amigo.geneontology.org/cgi-bin/amigo/term_details?term=GO:0009267","GO:0009267")</f>
        <v>GO:0009267</v>
      </c>
      <c r="BD70" s="1" t="s">
        <v>498</v>
      </c>
      <c r="BE70" s="1" t="s">
        <v>499</v>
      </c>
      <c r="BF70" s="1" t="s">
        <v>33</v>
      </c>
      <c r="BG70" s="1" t="s">
        <v>33</v>
      </c>
      <c r="BI70" s="1">
        <v>0</v>
      </c>
    </row>
    <row r="71" spans="1:61" x14ac:dyDescent="0.2">
      <c r="A71" s="1" t="str">
        <f>HYPERLINK(".\links\\tr_G1SGQ5_G1SGQ5_RABIT-.txt","tr|G1SGQ5|G1SGQ5_RABIT")</f>
        <v>tr|G1SGQ5|G1SGQ5_RABIT</v>
      </c>
      <c r="B71" s="1" t="s">
        <v>32</v>
      </c>
      <c r="C71" s="1">
        <v>364</v>
      </c>
      <c r="D71" s="1" t="s">
        <v>676</v>
      </c>
      <c r="E71" s="1" t="s">
        <v>710</v>
      </c>
      <c r="F71" s="1" t="str">
        <f>HYPERLINK(".\links\RABBIT-NCBI\tr_G1SGQ5_G1SGQ5_RABIT-RABBIT-NCBI.txt","Alpha-2-HS-glycoprotein; AltName: Full=Fetuin-A; AltName: Full=Haemonectin;")</f>
        <v>Alpha-2-HS-glycoprotein; AltName: Full=Fetuin-A; AltName: Full=Haemonectin;</v>
      </c>
      <c r="G71" s="1" t="str">
        <f>HYPERLINK("http://www.ncbi.nlm.nih.gov/sutils/blink.cgi?pid=12644357","0.0")</f>
        <v>0.0</v>
      </c>
      <c r="H71" s="1" t="str">
        <f>HYPERLINK("http://www.ncbi.nlm.nih.gov/protein/12644357","gi|12644357")</f>
        <v>gi|12644357</v>
      </c>
      <c r="I71" s="1">
        <v>723</v>
      </c>
      <c r="J71" s="1">
        <v>361</v>
      </c>
      <c r="K71" s="1">
        <v>360</v>
      </c>
      <c r="L71" s="1">
        <v>99</v>
      </c>
      <c r="M71" s="1">
        <v>99</v>
      </c>
      <c r="N71" s="1">
        <v>100</v>
      </c>
      <c r="O71" s="1">
        <v>3</v>
      </c>
      <c r="P71" s="1">
        <v>1</v>
      </c>
      <c r="Q71" s="1">
        <v>1</v>
      </c>
      <c r="R71" s="1">
        <v>4</v>
      </c>
      <c r="S71" s="1">
        <v>1</v>
      </c>
      <c r="T71" s="1" t="s">
        <v>33</v>
      </c>
      <c r="U71" s="1" t="str">
        <f>HYPERLINK(".\links\REFSEQ-VERTEBRATES\tr_G1SGQ5_G1SGQ5_RABIT-REFSEQ-VERTEBRATES.txt","LOW QUALITY PROTEIN: alpha-2-HS-glycoprotein")</f>
        <v>LOW QUALITY PROTEIN: alpha-2-HS-glycoprotein</v>
      </c>
      <c r="V71" s="1" t="str">
        <f>HYPERLINK("http://www.ncbi.nlm.nih.gov/sutils/blink.cgi?pid=655853666","0.0")</f>
        <v>0.0</v>
      </c>
      <c r="W71" s="1" t="str">
        <f>HYPERLINK("http://www.ncbi.nlm.nih.gov/protein/655853666","gi|655853666")</f>
        <v>gi|655853666</v>
      </c>
      <c r="X71" s="1">
        <v>735</v>
      </c>
      <c r="Y71" s="1">
        <v>364</v>
      </c>
      <c r="Z71" s="1">
        <v>410</v>
      </c>
      <c r="AA71" s="1">
        <v>99</v>
      </c>
      <c r="AB71" s="1">
        <v>99</v>
      </c>
      <c r="AC71" s="1">
        <v>89</v>
      </c>
      <c r="AD71" s="1">
        <v>1</v>
      </c>
      <c r="AE71" s="1">
        <v>1</v>
      </c>
      <c r="AF71" s="1">
        <v>48</v>
      </c>
      <c r="AG71" s="1">
        <v>1</v>
      </c>
      <c r="AH71" s="1">
        <v>1</v>
      </c>
      <c r="AI71" s="1" t="s">
        <v>34</v>
      </c>
      <c r="AJ71" s="1" t="str">
        <f>HYPERLINK(".\links\CDD\tr_G1SGQ5_G1SGQ5_RABIT-CDD.txt","Cystatin")</f>
        <v>Cystatin</v>
      </c>
      <c r="AK71" s="1" t="str">
        <f>HYPERLINK("http://www.ncbi.nlm.nih.gov/Structure/cdd/cddsrv.cgi?uid=pfam00031&amp;version=v4.0","1E-008")</f>
        <v>1E-008</v>
      </c>
      <c r="AL71" s="1" t="s">
        <v>296</v>
      </c>
      <c r="AM71" s="1" t="s">
        <v>297</v>
      </c>
      <c r="AN71" s="1">
        <f>HYPERLINK(".\links\GO\tr_G1SGQ5_G1SGQ5_RABIT-GO.txt",0)</f>
        <v>0</v>
      </c>
      <c r="AO71" s="1" t="str">
        <f>HYPERLINK("http://amigo.geneontology.org/cgi-bin/amigo/term_details?term=GO:0004869","GO:0004869")</f>
        <v>GO:0004869</v>
      </c>
      <c r="AP71" s="1" t="s">
        <v>298</v>
      </c>
      <c r="AQ71" s="1" t="s">
        <v>299</v>
      </c>
      <c r="AR71" s="1" t="s">
        <v>300</v>
      </c>
      <c r="AS71" s="1" t="s">
        <v>33</v>
      </c>
      <c r="AU71" s="2">
        <v>9.9999999999999991E-146</v>
      </c>
      <c r="AV71" s="1" t="str">
        <f>HYPERLINK("http://amigo.geneontology.org/cgi-bin/amigo/term_details?term=GO:0005615","GO:0005615")</f>
        <v>GO:0005615</v>
      </c>
      <c r="AW71" s="1" t="s">
        <v>40</v>
      </c>
      <c r="AX71" s="1" t="s">
        <v>41</v>
      </c>
      <c r="AY71" s="1" t="s">
        <v>42</v>
      </c>
      <c r="AZ71" s="1" t="s">
        <v>33</v>
      </c>
      <c r="BB71" s="2">
        <v>9.9999999999999991E-146</v>
      </c>
      <c r="BC71" s="1" t="str">
        <f>HYPERLINK("http://amigo.geneontology.org/cgi-bin/amigo/term_details?term=GO:0001503","GO:0001503")</f>
        <v>GO:0001503</v>
      </c>
      <c r="BD71" s="1" t="s">
        <v>301</v>
      </c>
      <c r="BE71" s="1" t="s">
        <v>302</v>
      </c>
      <c r="BF71" s="1" t="s">
        <v>303</v>
      </c>
      <c r="BG71" s="1" t="s">
        <v>33</v>
      </c>
      <c r="BI71" s="2">
        <v>9.9999999999999991E-146</v>
      </c>
    </row>
    <row r="72" spans="1:61" x14ac:dyDescent="0.2">
      <c r="A72" s="1" t="str">
        <f>HYPERLINK(".\links\\tr_U3KMC6_U3KMC6_RABIT-.txt","tr|U3KMC6|U3KMC6_RABIT")</f>
        <v>tr|U3KMC6|U3KMC6_RABIT</v>
      </c>
      <c r="B72" s="1" t="s">
        <v>32</v>
      </c>
      <c r="C72" s="1">
        <v>1096</v>
      </c>
      <c r="D72" s="1" t="s">
        <v>677</v>
      </c>
      <c r="E72" s="1" t="s">
        <v>710</v>
      </c>
      <c r="F72" s="1" t="str">
        <f>HYPERLINK(".\links\RABBIT-NCBI\tr_U3KMC6_U3KMC6_RABIT-RABBIT-NCBI.txt","Dimethylaniline monooxygenase")</f>
        <v>Dimethylaniline monooxygenase</v>
      </c>
      <c r="G72" s="1" t="str">
        <f>HYPERLINK("http://www.ncbi.nlm.nih.gov/sutils/blink.cgi?pid=544325","1.5")</f>
        <v>1.5</v>
      </c>
      <c r="H72" s="1" t="str">
        <f>HYPERLINK("http://www.ncbi.nlm.nih.gov/protein/544325","gi|544325")</f>
        <v>gi|544325</v>
      </c>
      <c r="I72" s="1">
        <v>27.7</v>
      </c>
      <c r="J72" s="1">
        <v>99</v>
      </c>
      <c r="K72" s="1">
        <v>531</v>
      </c>
      <c r="L72" s="1">
        <v>23</v>
      </c>
      <c r="M72" s="1">
        <v>37</v>
      </c>
      <c r="N72" s="1">
        <v>19</v>
      </c>
      <c r="O72" s="1">
        <v>76</v>
      </c>
      <c r="P72" s="1">
        <v>19</v>
      </c>
      <c r="Q72" s="1">
        <v>165</v>
      </c>
      <c r="R72" s="1">
        <v>999</v>
      </c>
      <c r="S72" s="1">
        <v>1</v>
      </c>
      <c r="T72" s="1" t="s">
        <v>558</v>
      </c>
      <c r="U72" s="1" t="str">
        <f>HYPERLINK(".\links\REFSEQ-VERTEBRATES\tr_U3KMC6_U3KMC6_RABIT-REFSEQ-VERTEBRATES.txt","ceruloplasmin isoform X1")</f>
        <v>ceruloplasmin isoform X1</v>
      </c>
      <c r="V72" s="1" t="str">
        <f>HYPERLINK("http://www.ncbi.nlm.nih.gov/sutils/blink.cgi?pid=655852769","0.0")</f>
        <v>0.0</v>
      </c>
      <c r="W72" s="1" t="str">
        <f>HYPERLINK("http://www.ncbi.nlm.nih.gov/protein/655852769","gi|655852769")</f>
        <v>gi|655852769</v>
      </c>
      <c r="X72" s="1">
        <v>2296</v>
      </c>
      <c r="Y72" s="1">
        <v>1096</v>
      </c>
      <c r="Z72" s="1">
        <v>1096</v>
      </c>
      <c r="AA72" s="1">
        <v>100</v>
      </c>
      <c r="AB72" s="1">
        <v>100</v>
      </c>
      <c r="AC72" s="1">
        <v>100</v>
      </c>
      <c r="AD72" s="1">
        <v>0</v>
      </c>
      <c r="AE72" s="1">
        <v>0</v>
      </c>
      <c r="AF72" s="1">
        <v>1</v>
      </c>
      <c r="AG72" s="1">
        <v>1</v>
      </c>
      <c r="AH72" s="1">
        <v>1</v>
      </c>
      <c r="AI72" s="1" t="s">
        <v>34</v>
      </c>
      <c r="AJ72" s="1" t="str">
        <f>HYPERLINK(".\links\CDD\tr_U3KMC6_U3KMC6_RABIT-CDD.txt","CuRO_6_cerulopl")</f>
        <v>CuRO_6_cerulopl</v>
      </c>
      <c r="AK72" s="1" t="str">
        <f>HYPERLINK("http://www.ncbi.nlm.nih.gov/Structure/cdd/cddsrv.cgi?uid=cd11012&amp;version=v4.0","1E-074")</f>
        <v>1E-074</v>
      </c>
      <c r="AL72" s="1" t="s">
        <v>559</v>
      </c>
      <c r="AM72" s="1" t="s">
        <v>560</v>
      </c>
      <c r="AN72" s="1">
        <f>HYPERLINK(".\links\GO\tr_U3KMC6_U3KMC6_RABIT-GO.txt",0)</f>
        <v>0</v>
      </c>
      <c r="AO72" s="1" t="str">
        <f>HYPERLINK("http://amigo.geneontology.org/cgi-bin/amigo/term_details?term=GO:0004322","GO:0004322")</f>
        <v>GO:0004322</v>
      </c>
      <c r="AP72" s="1" t="s">
        <v>561</v>
      </c>
      <c r="AQ72" s="1" t="s">
        <v>562</v>
      </c>
      <c r="AR72" s="1" t="s">
        <v>563</v>
      </c>
      <c r="AS72" s="1" t="str">
        <f>HYPERLINK("http://www.genome.jp/dbget-bin/www_bfind_sub?mode=bfind&amp;max_hit=1000&amp;dbkey=kegg&amp;keywords=EC:1.16.3.1","EC:1.16.3.1")</f>
        <v>EC:1.16.3.1</v>
      </c>
      <c r="AU72" s="1">
        <v>0</v>
      </c>
      <c r="AV72" s="1" t="str">
        <f>HYPERLINK("http://amigo.geneontology.org/cgi-bin/amigo/term_details?term=GO:0005576","GO:0005576")</f>
        <v>GO:0005576</v>
      </c>
      <c r="AW72" s="1" t="s">
        <v>51</v>
      </c>
      <c r="AX72" s="1" t="s">
        <v>52</v>
      </c>
      <c r="AY72" s="1" t="s">
        <v>53</v>
      </c>
      <c r="AZ72" s="1" t="s">
        <v>33</v>
      </c>
      <c r="BB72" s="1">
        <v>0</v>
      </c>
      <c r="BC72" s="1" t="str">
        <f>HYPERLINK("http://amigo.geneontology.org/cgi-bin/amigo/term_details?term=GO:0006825","GO:0006825")</f>
        <v>GO:0006825</v>
      </c>
      <c r="BD72" s="1" t="s">
        <v>564</v>
      </c>
      <c r="BE72" s="1" t="s">
        <v>565</v>
      </c>
      <c r="BF72" s="1" t="s">
        <v>33</v>
      </c>
      <c r="BG72" s="1" t="s">
        <v>33</v>
      </c>
      <c r="BI72" s="1">
        <v>0</v>
      </c>
    </row>
    <row r="73" spans="1:61" x14ac:dyDescent="0.2">
      <c r="A73" s="6" t="str">
        <f>HYPERLINK(".\links\\tr_G1SU82_G1SU82_RABIT-.txt","tr|G1SU82|G1SU82_RABIT")</f>
        <v>tr|G1SU82|G1SU82_RABIT</v>
      </c>
      <c r="B73" s="6" t="s">
        <v>32</v>
      </c>
      <c r="C73" s="6">
        <v>476</v>
      </c>
      <c r="D73" s="6" t="s">
        <v>656</v>
      </c>
      <c r="E73" s="1" t="s">
        <v>710</v>
      </c>
      <c r="F73" s="6" t="str">
        <f>HYPERLINK(".\links\RABBIT-NCBI\tr_G1SU82_G1SU82_RABIT-RABBIT-NCBI.txt","Vitamin D-binding protein; Short=DBP; Short=VDB; AltName: Full=Gc-globulin;")</f>
        <v>Vitamin D-binding protein; Short=DBP; Short=VDB; AltName: Full=Gc-globulin;</v>
      </c>
      <c r="G73" s="6" t="str">
        <f>HYPERLINK("http://www.ncbi.nlm.nih.gov/sutils/blink.cgi?pid=1722804","0.0")</f>
        <v>0.0</v>
      </c>
      <c r="H73" s="6" t="str">
        <f>HYPERLINK("http://www.ncbi.nlm.nih.gov/protein/1722804","gi|1722804")</f>
        <v>gi|1722804</v>
      </c>
      <c r="I73" s="6">
        <v>967</v>
      </c>
      <c r="J73" s="6">
        <v>476</v>
      </c>
      <c r="K73" s="6">
        <v>476</v>
      </c>
      <c r="L73" s="6">
        <v>99</v>
      </c>
      <c r="M73" s="6">
        <v>99</v>
      </c>
      <c r="N73" s="6">
        <v>100</v>
      </c>
      <c r="O73" s="6">
        <v>4</v>
      </c>
      <c r="P73" s="6">
        <v>0</v>
      </c>
      <c r="Q73" s="6">
        <v>1</v>
      </c>
      <c r="R73" s="6">
        <v>1</v>
      </c>
      <c r="S73" s="6">
        <v>1</v>
      </c>
      <c r="T73" s="6" t="s">
        <v>33</v>
      </c>
      <c r="U73" s="6" t="str">
        <f>HYPERLINK(".\links\REFSEQ-VERTEBRATES\tr_G1SU82_G1SU82_RABIT-REFSEQ-VERTEBRATES.txt","vitamin D-binding protein precursor")</f>
        <v>vitamin D-binding protein precursor</v>
      </c>
      <c r="V73" s="6" t="str">
        <f>HYPERLINK("http://www.ncbi.nlm.nih.gov/sutils/blink.cgi?pid=126723668","0.0")</f>
        <v>0.0</v>
      </c>
      <c r="W73" s="6" t="str">
        <f>HYPERLINK("http://www.ncbi.nlm.nih.gov/protein/126723668","gi|126723668")</f>
        <v>gi|126723668</v>
      </c>
      <c r="X73" s="6">
        <v>967</v>
      </c>
      <c r="Y73" s="6">
        <v>476</v>
      </c>
      <c r="Z73" s="6">
        <v>476</v>
      </c>
      <c r="AA73" s="6">
        <v>99</v>
      </c>
      <c r="AB73" s="6">
        <v>99</v>
      </c>
      <c r="AC73" s="6">
        <v>100</v>
      </c>
      <c r="AD73" s="6">
        <v>4</v>
      </c>
      <c r="AE73" s="6">
        <v>0</v>
      </c>
      <c r="AF73" s="6">
        <v>1</v>
      </c>
      <c r="AG73" s="6">
        <v>1</v>
      </c>
      <c r="AH73" s="6">
        <v>1</v>
      </c>
      <c r="AI73" s="6" t="s">
        <v>34</v>
      </c>
      <c r="AJ73" s="6" t="str">
        <f>HYPERLINK(".\links\CDD\tr_G1SU82_G1SU82_RABIT-CDD.txt","ALBUMIN")</f>
        <v>ALBUMIN</v>
      </c>
      <c r="AK73" s="6" t="str">
        <f>HYPERLINK("http://www.ncbi.nlm.nih.gov/Structure/cdd/cddsrv.cgi?uid=cd00015&amp;version=v4.0","3E-037")</f>
        <v>3E-037</v>
      </c>
      <c r="AL73" s="6" t="s">
        <v>406</v>
      </c>
      <c r="AM73" s="6" t="s">
        <v>407</v>
      </c>
      <c r="AN73" s="6">
        <f>HYPERLINK(".\links\GO\tr_G1SU82_G1SU82_RABIT-GO.txt",0)</f>
        <v>0</v>
      </c>
      <c r="AO73" s="6" t="str">
        <f>HYPERLINK("http://amigo.geneontology.org/cgi-bin/amigo/term_details?term=GO:0003779","GO:0003779")</f>
        <v>GO:0003779</v>
      </c>
      <c r="AP73" s="6" t="s">
        <v>408</v>
      </c>
      <c r="AQ73" s="6" t="s">
        <v>409</v>
      </c>
      <c r="AR73" s="6" t="s">
        <v>410</v>
      </c>
      <c r="AS73" s="6" t="s">
        <v>33</v>
      </c>
      <c r="AT73" s="6"/>
      <c r="AU73" s="6">
        <v>0</v>
      </c>
      <c r="AV73" s="6" t="str">
        <f>HYPERLINK("http://amigo.geneontology.org/cgi-bin/amigo/term_details?term=GO:0005576","GO:0005576")</f>
        <v>GO:0005576</v>
      </c>
      <c r="AW73" s="6" t="s">
        <v>51</v>
      </c>
      <c r="AX73" s="6" t="s">
        <v>52</v>
      </c>
      <c r="AY73" s="6" t="s">
        <v>53</v>
      </c>
      <c r="AZ73" s="6" t="s">
        <v>33</v>
      </c>
      <c r="BA73" s="6"/>
      <c r="BB73" s="6">
        <v>0</v>
      </c>
      <c r="BC73" s="6" t="str">
        <f>HYPERLINK("http://amigo.geneontology.org/cgi-bin/amigo/term_details?term=GO:0008202","GO:0008202")</f>
        <v>GO:0008202</v>
      </c>
      <c r="BD73" s="6" t="s">
        <v>411</v>
      </c>
      <c r="BE73" s="6" t="s">
        <v>412</v>
      </c>
      <c r="BF73" s="6" t="s">
        <v>413</v>
      </c>
      <c r="BG73" s="6" t="s">
        <v>33</v>
      </c>
      <c r="BH73" s="6"/>
      <c r="BI73" s="6">
        <v>0</v>
      </c>
    </row>
    <row r="74" spans="1:61" s="6" customFormat="1" x14ac:dyDescent="0.2">
      <c r="A74" s="1" t="str">
        <f>HYPERLINK(".\links\\tr_G1SLY0_G1SLY0_RABIT-.txt","tr|G1SLY0|G1SLY0_RABIT")</f>
        <v>tr|G1SLY0|G1SLY0_RABIT</v>
      </c>
      <c r="B74" s="1" t="s">
        <v>32</v>
      </c>
      <c r="C74" s="1">
        <v>919</v>
      </c>
      <c r="D74" s="1" t="s">
        <v>654</v>
      </c>
      <c r="E74" s="1" t="s">
        <v>710</v>
      </c>
      <c r="F74" s="1" t="str">
        <f>HYPERLINK(".\links\RABBIT-NCBI\tr_G1SLY0_G1SLY0_RABIT-RABBIT-NCBI.txt","Anion exchange protein 2; Short=AE 2; Short=Anion exchanger 2; AltName:")</f>
        <v>Anion exchange protein 2; Short=AE 2; Short=Anion exchanger 2; AltName:</v>
      </c>
      <c r="G74" s="1" t="str">
        <f>HYPERLINK("http://www.ncbi.nlm.nih.gov/sutils/blink.cgi?pid=1352062","0.0")</f>
        <v>0.0</v>
      </c>
      <c r="H74" s="1" t="str">
        <f>HYPERLINK("http://www.ncbi.nlm.nih.gov/protein/1352062","gi|1352062")</f>
        <v>gi|1352062</v>
      </c>
      <c r="I74" s="1">
        <v>1001</v>
      </c>
      <c r="J74" s="1">
        <v>976</v>
      </c>
      <c r="K74" s="1">
        <v>1237</v>
      </c>
      <c r="L74" s="1">
        <v>55</v>
      </c>
      <c r="M74" s="1">
        <v>70</v>
      </c>
      <c r="N74" s="1">
        <v>79</v>
      </c>
      <c r="O74" s="1">
        <v>434</v>
      </c>
      <c r="P74" s="1">
        <v>75</v>
      </c>
      <c r="Q74" s="1">
        <v>267</v>
      </c>
      <c r="R74" s="1">
        <v>14</v>
      </c>
      <c r="S74" s="1">
        <v>1</v>
      </c>
      <c r="T74" s="1" t="s">
        <v>33</v>
      </c>
      <c r="U74" s="1" t="str">
        <f>HYPERLINK(".\links\REFSEQ-VERTEBRATES\tr_G1SLY0_G1SLY0_RABIT-REFSEQ-VERTEBRATES.txt","band 3 anion transport protein isoform X1")</f>
        <v>band 3 anion transport protein isoform X1</v>
      </c>
      <c r="V74" s="1" t="str">
        <f>HYPERLINK("http://www.ncbi.nlm.nih.gov/sutils/blink.cgi?pid=291406239","0.0")</f>
        <v>0.0</v>
      </c>
      <c r="W74" s="1" t="str">
        <f>HYPERLINK("http://www.ncbi.nlm.nih.gov/protein/291406239","gi|291406239")</f>
        <v>gi|291406239</v>
      </c>
      <c r="X74" s="1">
        <v>1811</v>
      </c>
      <c r="Y74" s="1">
        <v>919</v>
      </c>
      <c r="Z74" s="1">
        <v>919</v>
      </c>
      <c r="AA74" s="1">
        <v>100</v>
      </c>
      <c r="AB74" s="1">
        <v>100</v>
      </c>
      <c r="AC74" s="1">
        <v>100</v>
      </c>
      <c r="AD74" s="1">
        <v>0</v>
      </c>
      <c r="AE74" s="1">
        <v>0</v>
      </c>
      <c r="AF74" s="1">
        <v>1</v>
      </c>
      <c r="AG74" s="1">
        <v>1</v>
      </c>
      <c r="AH74" s="1">
        <v>1</v>
      </c>
      <c r="AI74" s="1" t="s">
        <v>34</v>
      </c>
      <c r="AJ74" s="1" t="str">
        <f>HYPERLINK(".\links\CDD\tr_G1SLY0_G1SLY0_RABIT-CDD.txt","ae")</f>
        <v>ae</v>
      </c>
      <c r="AK74" s="1" t="str">
        <f>HYPERLINK("http://www.ncbi.nlm.nih.gov/Structure/cdd/cddsrv.cgi?uid=TIGR00834&amp;version=v4.0","0.0")</f>
        <v>0.0</v>
      </c>
      <c r="AL74" s="1" t="s">
        <v>553</v>
      </c>
      <c r="AM74" s="1" t="s">
        <v>554</v>
      </c>
      <c r="AN74" s="1">
        <f>HYPERLINK(".\links\GO\tr_G1SLY0_G1SLY0_RABIT-GO.txt",0)</f>
        <v>0</v>
      </c>
      <c r="AO74" s="1" t="str">
        <f>HYPERLINK("http://amigo.geneontology.org/cgi-bin/amigo/term_details?term=GO:0003779","GO:0003779")</f>
        <v>GO:0003779</v>
      </c>
      <c r="AP74" s="1" t="s">
        <v>408</v>
      </c>
      <c r="AQ74" s="1" t="s">
        <v>409</v>
      </c>
      <c r="AR74" s="1" t="s">
        <v>410</v>
      </c>
      <c r="AS74" s="1" t="s">
        <v>33</v>
      </c>
      <c r="AT74" s="1"/>
      <c r="AU74" s="1">
        <v>0</v>
      </c>
      <c r="AV74" s="1" t="str">
        <f>HYPERLINK("http://amigo.geneontology.org/cgi-bin/amigo/term_details?term=GO:0005886","GO:0005886")</f>
        <v>GO:0005886</v>
      </c>
      <c r="AW74" s="1" t="s">
        <v>555</v>
      </c>
      <c r="AX74" s="1" t="s">
        <v>556</v>
      </c>
      <c r="AY74" s="1" t="s">
        <v>557</v>
      </c>
      <c r="AZ74" s="1" t="s">
        <v>33</v>
      </c>
      <c r="BA74" s="1"/>
      <c r="BB74" s="1">
        <v>0</v>
      </c>
      <c r="BC74" s="1" t="str">
        <f>HYPERLINK("http://amigo.geneontology.org/cgi-bin/amigo/term_details?term=GO:0006811","GO:0006811")</f>
        <v>GO:0006811</v>
      </c>
      <c r="BD74" s="1" t="s">
        <v>166</v>
      </c>
      <c r="BE74" s="1" t="s">
        <v>167</v>
      </c>
      <c r="BF74" s="1" t="s">
        <v>33</v>
      </c>
      <c r="BG74" s="1" t="s">
        <v>33</v>
      </c>
      <c r="BH74" s="1"/>
      <c r="BI74" s="1">
        <v>0</v>
      </c>
    </row>
    <row r="75" spans="1:61" x14ac:dyDescent="0.2">
      <c r="A75" s="1" t="str">
        <f>HYPERLINK(".\links\\tr_G1T4K1_G1T4K1_RABIT-.txt","tr|G1T4K1|G1T4K1_RABIT")</f>
        <v>tr|G1T4K1|G1T4K1_RABIT</v>
      </c>
      <c r="B75" s="1" t="s">
        <v>32</v>
      </c>
      <c r="C75" s="1">
        <v>2006</v>
      </c>
      <c r="D75" s="1" t="s">
        <v>626</v>
      </c>
      <c r="E75" s="1" t="s">
        <v>710</v>
      </c>
      <c r="F75" s="1" t="str">
        <f>HYPERLINK(".\links\RABBIT-NCBI\tr_G1T4K1_G1T4K1_RABIT-RABBIT-NCBI.txt","Sodium channel protein type 9 subunit alpha; AltName: Full=Nas; AltName:")</f>
        <v>Sodium channel protein type 9 subunit alpha; AltName: Full=Nas; AltName:</v>
      </c>
      <c r="G75" s="1" t="str">
        <f>HYPERLINK("http://www.ncbi.nlm.nih.gov/sutils/blink.cgi?pid=55976305","0.0")</f>
        <v>0.0</v>
      </c>
      <c r="H75" s="1" t="str">
        <f>HYPERLINK("http://www.ncbi.nlm.nih.gov/protein/55976305","gi|55976305")</f>
        <v>gi|55976305</v>
      </c>
      <c r="I75" s="1">
        <v>3022</v>
      </c>
      <c r="J75" s="1">
        <v>2011</v>
      </c>
      <c r="K75" s="1">
        <v>1984</v>
      </c>
      <c r="L75" s="1">
        <v>76</v>
      </c>
      <c r="M75" s="1">
        <v>86</v>
      </c>
      <c r="N75" s="1">
        <v>101</v>
      </c>
      <c r="O75" s="1">
        <v>470</v>
      </c>
      <c r="P75" s="1">
        <v>45</v>
      </c>
      <c r="Q75" s="1">
        <v>3</v>
      </c>
      <c r="R75" s="1">
        <v>5</v>
      </c>
      <c r="S75" s="1">
        <v>1</v>
      </c>
      <c r="T75" s="1" t="s">
        <v>33</v>
      </c>
      <c r="U75" s="1" t="str">
        <f>HYPERLINK(".\links\REFSEQ-VERTEBRATES\tr_G1T4K1_G1T4K1_RABIT-REFSEQ-VERTEBRATES.txt","sodium channel protein type 3 subunit alpha isoform X1")</f>
        <v>sodium channel protein type 3 subunit alpha isoform X1</v>
      </c>
      <c r="V75" s="1" t="str">
        <f>HYPERLINK("http://www.ncbi.nlm.nih.gov/sutils/blink.cgi?pid=291391643","0.0")</f>
        <v>0.0</v>
      </c>
      <c r="W75" s="1" t="str">
        <f>HYPERLINK("http://www.ncbi.nlm.nih.gov/protein/291391643","gi|291391643")</f>
        <v>gi|291391643</v>
      </c>
      <c r="X75" s="1">
        <v>3965</v>
      </c>
      <c r="Y75" s="1">
        <v>2006</v>
      </c>
      <c r="Z75" s="1">
        <v>2000</v>
      </c>
      <c r="AA75" s="1">
        <v>99</v>
      </c>
      <c r="AB75" s="1">
        <v>99</v>
      </c>
      <c r="AC75" s="1">
        <v>100</v>
      </c>
      <c r="AD75" s="1">
        <v>11</v>
      </c>
      <c r="AE75" s="1">
        <v>11</v>
      </c>
      <c r="AF75" s="1">
        <v>1</v>
      </c>
      <c r="AG75" s="1">
        <v>1</v>
      </c>
      <c r="AH75" s="1">
        <v>1</v>
      </c>
      <c r="AI75" s="1" t="s">
        <v>34</v>
      </c>
      <c r="AJ75" s="1" t="str">
        <f>HYPERLINK(".\links\CDD\tr_G1T4K1_G1T4K1_RABIT-CDD.txt","Na_trans_assoc")</f>
        <v>Na_trans_assoc</v>
      </c>
      <c r="AK75" s="1" t="str">
        <f>HYPERLINK("http://www.ncbi.nlm.nih.gov/Structure/cdd/cddsrv.cgi?uid=pfam06512&amp;version=v4.0","5E-057")</f>
        <v>5E-057</v>
      </c>
      <c r="AL75" s="1" t="s">
        <v>615</v>
      </c>
      <c r="AM75" s="1" t="s">
        <v>616</v>
      </c>
      <c r="AN75" s="1">
        <f>HYPERLINK(".\links\GO\tr_G1T4K1_G1T4K1_RABIT-GO.txt",0)</f>
        <v>0</v>
      </c>
      <c r="AO75" s="1" t="str">
        <f>HYPERLINK("http://amigo.geneontology.org/cgi-bin/amigo/term_details?term=GO:0005248","GO:0005248")</f>
        <v>GO:0005248</v>
      </c>
      <c r="AP75" s="1" t="s">
        <v>617</v>
      </c>
      <c r="AQ75" s="1" t="s">
        <v>618</v>
      </c>
      <c r="AR75" s="1" t="s">
        <v>619</v>
      </c>
      <c r="AS75" s="1" t="s">
        <v>33</v>
      </c>
      <c r="AU75" s="1">
        <v>0</v>
      </c>
      <c r="AV75" s="1" t="str">
        <f>HYPERLINK("http://amigo.geneontology.org/cgi-bin/amigo/term_details?term=GO:0001518","GO:0001518")</f>
        <v>GO:0001518</v>
      </c>
      <c r="AW75" s="1" t="s">
        <v>620</v>
      </c>
      <c r="AX75" s="1" t="s">
        <v>621</v>
      </c>
      <c r="AY75" s="1" t="s">
        <v>622</v>
      </c>
      <c r="AZ75" s="1" t="s">
        <v>33</v>
      </c>
      <c r="BB75" s="1">
        <v>0</v>
      </c>
      <c r="BC75" s="1" t="str">
        <f>HYPERLINK("http://amigo.geneontology.org/cgi-bin/amigo/term_details?term=GO:0006814","GO:0006814")</f>
        <v>GO:0006814</v>
      </c>
      <c r="BD75" s="1" t="s">
        <v>623</v>
      </c>
      <c r="BE75" s="1" t="s">
        <v>624</v>
      </c>
      <c r="BF75" s="1" t="s">
        <v>625</v>
      </c>
      <c r="BG75" s="1" t="s">
        <v>33</v>
      </c>
      <c r="BI75" s="1">
        <v>0</v>
      </c>
    </row>
    <row r="76" spans="1:61" x14ac:dyDescent="0.2">
      <c r="A76" s="6" t="str">
        <f>HYPERLINK(".\links\\tr_G1TP66_G1TP66_RABIT-.txt","tr|G1TP66|G1TP66_RABIT")</f>
        <v>tr|G1TP66|G1TP66_RABIT</v>
      </c>
      <c r="B76" s="6" t="s">
        <v>32</v>
      </c>
      <c r="C76" s="6">
        <v>490</v>
      </c>
      <c r="D76" s="6" t="s">
        <v>436</v>
      </c>
      <c r="E76" s="6" t="s">
        <v>711</v>
      </c>
      <c r="F76" s="6" t="str">
        <f>HYPERLINK(".\links\RABBIT-NCBI\tr_G1TP66_G1TP66_RABIT-RABBIT-NCBI.txt","Keratin, type II cytoskeletal 3; AltName: Full=Cytokeratin-3; Short=CK-3;")</f>
        <v>Keratin, type II cytoskeletal 3; AltName: Full=Cytokeratin-3; Short=CK-3;</v>
      </c>
      <c r="G76" s="6" t="str">
        <f>HYPERLINK("http://www.ncbi.nlm.nih.gov/sutils/blink.cgi?pid=75059267","1E-114")</f>
        <v>1E-114</v>
      </c>
      <c r="H76" s="6" t="str">
        <f>HYPERLINK("http://www.ncbi.nlm.nih.gov/protein/75059267","gi|75059267")</f>
        <v>gi|75059267</v>
      </c>
      <c r="I76" s="6">
        <v>404</v>
      </c>
      <c r="J76" s="6">
        <v>410</v>
      </c>
      <c r="K76" s="6">
        <v>629</v>
      </c>
      <c r="L76" s="6">
        <v>52</v>
      </c>
      <c r="M76" s="6">
        <v>69</v>
      </c>
      <c r="N76" s="6">
        <v>65</v>
      </c>
      <c r="O76" s="6">
        <v>194</v>
      </c>
      <c r="P76" s="6">
        <v>13</v>
      </c>
      <c r="Q76" s="6">
        <v>116</v>
      </c>
      <c r="R76" s="6">
        <v>45</v>
      </c>
      <c r="S76" s="6">
        <v>1</v>
      </c>
      <c r="T76" s="6" t="s">
        <v>33</v>
      </c>
      <c r="U76" s="6" t="str">
        <f>HYPERLINK(".\links\REFSEQ-VERTEBRATES\tr_G1TP66_G1TP66_RABIT-REFSEQ-VERTEBRATES.txt","keratin, type II microfibrillar, component 7C-like")</f>
        <v>keratin, type II microfibrillar, component 7C-like</v>
      </c>
      <c r="V76" s="6" t="str">
        <f>HYPERLINK("http://www.ncbi.nlm.nih.gov/sutils/blink.cgi?pid=291389181","0.0")</f>
        <v>0.0</v>
      </c>
      <c r="W76" s="6" t="str">
        <f>HYPERLINK("http://www.ncbi.nlm.nih.gov/protein/291389181","gi|291389181")</f>
        <v>gi|291389181</v>
      </c>
      <c r="X76" s="6">
        <v>986</v>
      </c>
      <c r="Y76" s="6">
        <v>490</v>
      </c>
      <c r="Z76" s="6">
        <v>490</v>
      </c>
      <c r="AA76" s="6">
        <v>100</v>
      </c>
      <c r="AB76" s="6">
        <v>100</v>
      </c>
      <c r="AC76" s="6">
        <v>100</v>
      </c>
      <c r="AD76" s="6">
        <v>0</v>
      </c>
      <c r="AE76" s="6">
        <v>0</v>
      </c>
      <c r="AF76" s="6">
        <v>1</v>
      </c>
      <c r="AG76" s="6">
        <v>1</v>
      </c>
      <c r="AH76" s="6">
        <v>1</v>
      </c>
      <c r="AI76" s="6" t="s">
        <v>34</v>
      </c>
      <c r="AJ76" s="6" t="str">
        <f>HYPERLINK(".\links\CDD\tr_G1TP66_G1TP66_RABIT-CDD.txt","Filament")</f>
        <v>Filament</v>
      </c>
      <c r="AK76" s="6" t="str">
        <f>HYPERLINK("http://www.ncbi.nlm.nih.gov/Structure/cdd/cddsrv.cgi?uid=pfam00038&amp;version=v4.0","2E-071")</f>
        <v>2E-071</v>
      </c>
      <c r="AL76" s="6" t="s">
        <v>434</v>
      </c>
      <c r="AM76" s="6" t="s">
        <v>435</v>
      </c>
      <c r="AN76" s="6">
        <f>HYPERLINK(".\links\GO\tr_G1TP66_G1TP66_RABIT-GO.txt",0)</f>
        <v>0</v>
      </c>
      <c r="AO76" s="6" t="str">
        <f>HYPERLINK("http://amigo.geneontology.org/cgi-bin/amigo/term_details?term=GO:0003674","GO:0003674")</f>
        <v>GO:0003674</v>
      </c>
      <c r="AP76" s="6" t="s">
        <v>321</v>
      </c>
      <c r="AQ76" s="6" t="s">
        <v>322</v>
      </c>
      <c r="AR76" s="6" t="s">
        <v>323</v>
      </c>
      <c r="AS76" s="6" t="s">
        <v>33</v>
      </c>
      <c r="AT76" s="6"/>
      <c r="AU76" s="6">
        <v>0</v>
      </c>
      <c r="AV76" s="6" t="str">
        <f>HYPERLINK("http://amigo.geneontology.org/cgi-bin/amigo/term_details?term=GO:0005575","GO:0005575")</f>
        <v>GO:0005575</v>
      </c>
      <c r="AW76" s="6" t="s">
        <v>324</v>
      </c>
      <c r="AX76" s="6" t="s">
        <v>325</v>
      </c>
      <c r="AY76" s="6" t="s">
        <v>326</v>
      </c>
      <c r="AZ76" s="6" t="s">
        <v>33</v>
      </c>
      <c r="BA76" s="6"/>
      <c r="BB76" s="6">
        <v>0</v>
      </c>
      <c r="BC76" s="6" t="str">
        <f>HYPERLINK("http://amigo.geneontology.org/cgi-bin/amigo/term_details?term=GO:0008150","GO:0008150")</f>
        <v>GO:0008150</v>
      </c>
      <c r="BD76" s="6" t="s">
        <v>327</v>
      </c>
      <c r="BE76" s="6" t="s">
        <v>328</v>
      </c>
      <c r="BF76" s="6" t="s">
        <v>329</v>
      </c>
      <c r="BG76" s="6" t="s">
        <v>33</v>
      </c>
      <c r="BH76" s="6"/>
      <c r="BI76" s="6">
        <v>0</v>
      </c>
    </row>
    <row r="77" spans="1:61" x14ac:dyDescent="0.2">
      <c r="A77" s="6" t="str">
        <f>HYPERLINK(".\links\\tr_G1SHZ4_G1SHZ4_RABIT-.txt","tr|G1SHZ4|G1SHZ4_RABIT")</f>
        <v>tr|G1SHZ4|G1SHZ4_RABIT</v>
      </c>
      <c r="B77" s="6" t="s">
        <v>32</v>
      </c>
      <c r="C77" s="6">
        <v>366</v>
      </c>
      <c r="D77" s="6" t="s">
        <v>689</v>
      </c>
      <c r="E77" s="6" t="s">
        <v>711</v>
      </c>
      <c r="F77" s="6" t="str">
        <f>HYPERLINK(".\links\RABBIT-NCBI\tr_G1SHZ4_G1SHZ4_RABIT-RABBIT-NCBI.txt","Keratin, type II cytoskeletal 3; AltName: Full=Cytokeratin-3; Short=CK-3;")</f>
        <v>Keratin, type II cytoskeletal 3; AltName: Full=Cytokeratin-3; Short=CK-3;</v>
      </c>
      <c r="G77" s="6" t="str">
        <f>HYPERLINK("http://www.ncbi.nlm.nih.gov/sutils/blink.cgi?pid=75059267","1E-115")</f>
        <v>1E-115</v>
      </c>
      <c r="H77" s="6" t="str">
        <f>HYPERLINK("http://www.ncbi.nlm.nih.gov/protein/75059267","gi|75059267")</f>
        <v>gi|75059267</v>
      </c>
      <c r="I77" s="6">
        <v>406</v>
      </c>
      <c r="J77" s="6">
        <v>367</v>
      </c>
      <c r="K77" s="6">
        <v>629</v>
      </c>
      <c r="L77" s="6">
        <v>61</v>
      </c>
      <c r="M77" s="6">
        <v>74</v>
      </c>
      <c r="N77" s="6">
        <v>58</v>
      </c>
      <c r="O77" s="6">
        <v>142</v>
      </c>
      <c r="P77" s="6">
        <v>5</v>
      </c>
      <c r="Q77" s="6">
        <v>178</v>
      </c>
      <c r="R77" s="6">
        <v>2</v>
      </c>
      <c r="S77" s="6">
        <v>1</v>
      </c>
      <c r="T77" s="6" t="s">
        <v>33</v>
      </c>
      <c r="U77" s="6" t="str">
        <f>HYPERLINK(".\links\REFSEQ-VERTEBRATES\tr_G1SHZ4_G1SHZ4_RABIT-REFSEQ-VERTEBRATES.txt","keratin, type II cytoskeletal 7")</f>
        <v>keratin, type II cytoskeletal 7</v>
      </c>
      <c r="V77" s="6" t="str">
        <f>HYPERLINK("http://www.ncbi.nlm.nih.gov/sutils/blink.cgi?pid=504141836","1E-152")</f>
        <v>1E-152</v>
      </c>
      <c r="W77" s="6" t="str">
        <f>HYPERLINK("http://www.ncbi.nlm.nih.gov/protein/504141836","gi|504141836")</f>
        <v>gi|504141836</v>
      </c>
      <c r="X77" s="6">
        <v>541</v>
      </c>
      <c r="Y77" s="6">
        <v>368</v>
      </c>
      <c r="Z77" s="6">
        <v>451</v>
      </c>
      <c r="AA77" s="6">
        <v>78</v>
      </c>
      <c r="AB77" s="6">
        <v>87</v>
      </c>
      <c r="AC77" s="6">
        <v>82</v>
      </c>
      <c r="AD77" s="6">
        <v>78</v>
      </c>
      <c r="AE77" s="6">
        <v>4</v>
      </c>
      <c r="AF77" s="6">
        <v>79</v>
      </c>
      <c r="AG77" s="6">
        <v>2</v>
      </c>
      <c r="AH77" s="6">
        <v>1</v>
      </c>
      <c r="AI77" s="6" t="s">
        <v>304</v>
      </c>
      <c r="AJ77" s="6" t="str">
        <f>HYPERLINK(".\links\CDD\tr_G1SHZ4_G1SHZ4_RABIT-CDD.txt","Filament")</f>
        <v>Filament</v>
      </c>
      <c r="AK77" s="6" t="str">
        <f>HYPERLINK("http://www.ncbi.nlm.nih.gov/Structure/cdd/cddsrv.cgi?uid=pfam00038&amp;version=v4.0","5E-076")</f>
        <v>5E-076</v>
      </c>
      <c r="AL77" s="6" t="s">
        <v>305</v>
      </c>
      <c r="AM77" s="6" t="s">
        <v>306</v>
      </c>
      <c r="AN77" s="6">
        <f>HYPERLINK(".\links\GO\tr_G1SHZ4_G1SHZ4_RABIT-GO.txt",0)</f>
        <v>0</v>
      </c>
      <c r="AO77" s="6" t="str">
        <f>HYPERLINK("http://amigo.geneontology.org/cgi-bin/amigo/term_details?term=GO:0005198","GO:0005198")</f>
        <v>GO:0005198</v>
      </c>
      <c r="AP77" s="6" t="s">
        <v>307</v>
      </c>
      <c r="AQ77" s="6" t="s">
        <v>308</v>
      </c>
      <c r="AR77" s="6" t="s">
        <v>33</v>
      </c>
      <c r="AS77" s="6" t="s">
        <v>33</v>
      </c>
      <c r="AT77" s="6"/>
      <c r="AU77" s="7">
        <v>9.9999999999999998E-150</v>
      </c>
      <c r="AV77" s="6" t="str">
        <f>HYPERLINK("http://amigo.geneontology.org/cgi-bin/amigo/term_details?term=GO:0005634","GO:0005634")</f>
        <v>GO:0005634</v>
      </c>
      <c r="AW77" s="6" t="s">
        <v>81</v>
      </c>
      <c r="AX77" s="6" t="s">
        <v>82</v>
      </c>
      <c r="AY77" s="6" t="s">
        <v>83</v>
      </c>
      <c r="AZ77" s="6" t="s">
        <v>33</v>
      </c>
      <c r="BA77" s="6"/>
      <c r="BB77" s="7">
        <v>9.9999999999999998E-150</v>
      </c>
      <c r="BC77" s="6" t="str">
        <f>HYPERLINK("http://amigo.geneontology.org/cgi-bin/amigo/term_details?term=GO:0016032","GO:0016032")</f>
        <v>GO:0016032</v>
      </c>
      <c r="BD77" s="6" t="s">
        <v>309</v>
      </c>
      <c r="BE77" s="6" t="s">
        <v>310</v>
      </c>
      <c r="BF77" s="6" t="s">
        <v>311</v>
      </c>
      <c r="BG77" s="6" t="s">
        <v>33</v>
      </c>
      <c r="BH77" s="6"/>
      <c r="BI77" s="7">
        <v>9.9999999999999998E-150</v>
      </c>
    </row>
    <row r="78" spans="1:61" x14ac:dyDescent="0.2">
      <c r="A78" s="6" t="str">
        <f>HYPERLINK(".\links\\tr_G1SDN2_G1SDN2_RABIT-.txt","tr|G1SDN2|G1SDN2_RABIT")</f>
        <v>tr|G1SDN2|G1SDN2_RABIT</v>
      </c>
      <c r="B78" s="6" t="s">
        <v>32</v>
      </c>
      <c r="C78" s="6">
        <v>429</v>
      </c>
      <c r="D78" s="6" t="s">
        <v>644</v>
      </c>
      <c r="E78" s="6" t="s">
        <v>711</v>
      </c>
      <c r="F78" s="6" t="str">
        <f>HYPERLINK(".\links\RABBIT-NCBI\tr_G1SDN2_G1SDN2_RABIT-RABBIT-NCBI.txt","Keratin, type I cytoskeletal 12; AltName: Full=Cytokeratin-12; Short=CK-12;")</f>
        <v>Keratin, type I cytoskeletal 12; AltName: Full=Cytokeratin-12; Short=CK-12;</v>
      </c>
      <c r="G78" s="6" t="str">
        <f>HYPERLINK("http://www.ncbi.nlm.nih.gov/sutils/blink.cgi?pid=3183048","1E-117")</f>
        <v>1E-117</v>
      </c>
      <c r="H78" s="6" t="str">
        <f>HYPERLINK("http://www.ncbi.nlm.nih.gov/protein/3183048","gi|3183048")</f>
        <v>gi|3183048</v>
      </c>
      <c r="I78" s="6">
        <v>413</v>
      </c>
      <c r="J78" s="6">
        <v>394</v>
      </c>
      <c r="K78" s="6">
        <v>411</v>
      </c>
      <c r="L78" s="6">
        <v>58</v>
      </c>
      <c r="M78" s="6">
        <v>72</v>
      </c>
      <c r="N78" s="6">
        <v>96</v>
      </c>
      <c r="O78" s="6">
        <v>162</v>
      </c>
      <c r="P78" s="6">
        <v>33</v>
      </c>
      <c r="Q78" s="6">
        <v>14</v>
      </c>
      <c r="R78" s="6">
        <v>63</v>
      </c>
      <c r="S78" s="6">
        <v>1</v>
      </c>
      <c r="T78" s="6" t="s">
        <v>33</v>
      </c>
      <c r="U78" s="6" t="str">
        <f>HYPERLINK(".\links\REFSEQ-VERTEBRATES\tr_G1SDN2_G1SDN2_RABIT-REFSEQ-VERTEBRATES.txt","keratin, type I cytoskeletal 17")</f>
        <v>keratin, type I cytoskeletal 17</v>
      </c>
      <c r="V78" s="6" t="str">
        <f>HYPERLINK("http://www.ncbi.nlm.nih.gov/sutils/blink.cgi?pid=291406087","0.0")</f>
        <v>0.0</v>
      </c>
      <c r="W78" s="6" t="str">
        <f>HYPERLINK("http://www.ncbi.nlm.nih.gov/protein/291406087","gi|291406087")</f>
        <v>gi|291406087</v>
      </c>
      <c r="X78" s="6">
        <v>763</v>
      </c>
      <c r="Y78" s="6">
        <v>432</v>
      </c>
      <c r="Z78" s="6">
        <v>432</v>
      </c>
      <c r="AA78" s="6">
        <v>93</v>
      </c>
      <c r="AB78" s="6">
        <v>93</v>
      </c>
      <c r="AC78" s="6">
        <v>100</v>
      </c>
      <c r="AD78" s="6">
        <v>28</v>
      </c>
      <c r="AE78" s="6">
        <v>3</v>
      </c>
      <c r="AF78" s="6">
        <v>1</v>
      </c>
      <c r="AG78" s="6">
        <v>1</v>
      </c>
      <c r="AH78" s="6">
        <v>1</v>
      </c>
      <c r="AI78" s="6" t="s">
        <v>34</v>
      </c>
      <c r="AJ78" s="6" t="str">
        <f>HYPERLINK(".\links\CDD\tr_G1SDN2_G1SDN2_RABIT-CDD.txt","Filament")</f>
        <v>Filament</v>
      </c>
      <c r="AK78" s="6" t="str">
        <f>HYPERLINK("http://www.ncbi.nlm.nih.gov/Structure/cdd/cddsrv.cgi?uid=pfam00038&amp;version=v4.0","3E-083")</f>
        <v>3E-083</v>
      </c>
      <c r="AL78" s="6" t="s">
        <v>348</v>
      </c>
      <c r="AM78" s="6" t="s">
        <v>349</v>
      </c>
      <c r="AN78" s="6">
        <f>HYPERLINK(".\links\GO\tr_G1SDN2_G1SDN2_RABIT-GO.txt",0)</f>
        <v>0</v>
      </c>
      <c r="AO78" s="6" t="str">
        <f>HYPERLINK("http://amigo.geneontology.org/cgi-bin/amigo/term_details?term=GO:0005198","GO:0005198")</f>
        <v>GO:0005198</v>
      </c>
      <c r="AP78" s="6" t="s">
        <v>307</v>
      </c>
      <c r="AQ78" s="6" t="s">
        <v>308</v>
      </c>
      <c r="AR78" s="6" t="s">
        <v>33</v>
      </c>
      <c r="AS78" s="6" t="s">
        <v>33</v>
      </c>
      <c r="AT78" s="6"/>
      <c r="AU78" s="6">
        <v>0</v>
      </c>
      <c r="AV78" s="6" t="str">
        <f>HYPERLINK("http://amigo.geneontology.org/cgi-bin/amigo/term_details?term=GO:0005737","GO:0005737")</f>
        <v>GO:0005737</v>
      </c>
      <c r="AW78" s="6" t="s">
        <v>260</v>
      </c>
      <c r="AX78" s="6" t="s">
        <v>261</v>
      </c>
      <c r="AY78" s="6" t="s">
        <v>33</v>
      </c>
      <c r="AZ78" s="6" t="s">
        <v>33</v>
      </c>
      <c r="BA78" s="6"/>
      <c r="BB78" s="6">
        <v>0</v>
      </c>
      <c r="BC78" s="6" t="str">
        <f>HYPERLINK("http://amigo.geneontology.org/cgi-bin/amigo/term_details?term=GO:0002009","GO:0002009")</f>
        <v>GO:0002009</v>
      </c>
      <c r="BD78" s="6" t="s">
        <v>350</v>
      </c>
      <c r="BE78" s="6" t="s">
        <v>351</v>
      </c>
      <c r="BF78" s="6" t="s">
        <v>352</v>
      </c>
      <c r="BG78" s="6" t="s">
        <v>33</v>
      </c>
      <c r="BH78" s="6"/>
      <c r="BI78" s="6">
        <v>0</v>
      </c>
    </row>
    <row r="79" spans="1:61" x14ac:dyDescent="0.2">
      <c r="A79" s="6" t="str">
        <f>HYPERLINK(".\links\\tr_G1T4R6_G1T4R6_RABIT-.txt","tr|G1T4R6|G1T4R6_RABIT")</f>
        <v>tr|G1T4R6|G1T4R6_RABIT</v>
      </c>
      <c r="B79" s="6" t="s">
        <v>32</v>
      </c>
      <c r="C79" s="6">
        <v>449</v>
      </c>
      <c r="D79" s="6" t="s">
        <v>690</v>
      </c>
      <c r="E79" s="6" t="s">
        <v>711</v>
      </c>
      <c r="F79" s="6" t="str">
        <f>HYPERLINK(".\links\RABBIT-NCBI\tr_G1T4R6_G1T4R6_RABIT-RABBIT-NCBI.txt","Keratin, type I cytoskeletal 12; AltName: Full=Cytokeratin-12; Short=CK-12;")</f>
        <v>Keratin, type I cytoskeletal 12; AltName: Full=Cytokeratin-12; Short=CK-12;</v>
      </c>
      <c r="G79" s="6" t="str">
        <f>HYPERLINK("http://www.ncbi.nlm.nih.gov/sutils/blink.cgi?pid=3183048","1E-121")</f>
        <v>1E-121</v>
      </c>
      <c r="H79" s="6" t="str">
        <f>HYPERLINK("http://www.ncbi.nlm.nih.gov/protein/3183048","gi|3183048")</f>
        <v>gi|3183048</v>
      </c>
      <c r="I79" s="6">
        <v>426</v>
      </c>
      <c r="J79" s="6">
        <v>400</v>
      </c>
      <c r="K79" s="6">
        <v>411</v>
      </c>
      <c r="L79" s="6">
        <v>60</v>
      </c>
      <c r="M79" s="6">
        <v>72</v>
      </c>
      <c r="N79" s="6">
        <v>97</v>
      </c>
      <c r="O79" s="6">
        <v>160</v>
      </c>
      <c r="P79" s="6">
        <v>16</v>
      </c>
      <c r="Q79" s="6">
        <v>13</v>
      </c>
      <c r="R79" s="6">
        <v>53</v>
      </c>
      <c r="S79" s="6">
        <v>1</v>
      </c>
      <c r="T79" s="6" t="s">
        <v>33</v>
      </c>
      <c r="U79" s="6" t="str">
        <f>HYPERLINK(".\links\REFSEQ-VERTEBRATES\tr_G1T4R6_G1T4R6_RABIT-REFSEQ-VERTEBRATES.txt","keratin, type I cytoskeletal 16 isoform X1")</f>
        <v>keratin, type I cytoskeletal 16 isoform X1</v>
      </c>
      <c r="V79" s="6" t="str">
        <f>HYPERLINK("http://www.ncbi.nlm.nih.gov/sutils/blink.cgi?pid=291406085","0.0")</f>
        <v>0.0</v>
      </c>
      <c r="W79" s="6" t="str">
        <f>HYPERLINK("http://www.ncbi.nlm.nih.gov/protein/291406085","gi|291406085")</f>
        <v>gi|291406085</v>
      </c>
      <c r="X79" s="6">
        <v>850</v>
      </c>
      <c r="Y79" s="6">
        <v>476</v>
      </c>
      <c r="Z79" s="6">
        <v>476</v>
      </c>
      <c r="AA79" s="6">
        <v>94</v>
      </c>
      <c r="AB79" s="6">
        <v>94</v>
      </c>
      <c r="AC79" s="6">
        <v>100</v>
      </c>
      <c r="AD79" s="6">
        <v>27</v>
      </c>
      <c r="AE79" s="6">
        <v>27</v>
      </c>
      <c r="AF79" s="6">
        <v>1</v>
      </c>
      <c r="AG79" s="6">
        <v>1</v>
      </c>
      <c r="AH79" s="6">
        <v>1</v>
      </c>
      <c r="AI79" s="6" t="s">
        <v>34</v>
      </c>
      <c r="AJ79" s="6" t="str">
        <f>HYPERLINK(".\links\CDD\tr_G1T4R6_G1T4R6_RABIT-CDD.txt","Filament")</f>
        <v>Filament</v>
      </c>
      <c r="AK79" s="6" t="str">
        <f>HYPERLINK("http://www.ncbi.nlm.nih.gov/Structure/cdd/cddsrv.cgi?uid=pfam00038&amp;version=v4.0","8E-090")</f>
        <v>8E-090</v>
      </c>
      <c r="AL79" s="6" t="s">
        <v>382</v>
      </c>
      <c r="AM79" s="6" t="s">
        <v>383</v>
      </c>
      <c r="AN79" s="6">
        <f>HYPERLINK(".\links\GO\tr_G1T4R6_G1T4R6_RABIT-GO.txt",0)</f>
        <v>0</v>
      </c>
      <c r="AO79" s="6" t="str">
        <f>HYPERLINK("http://amigo.geneontology.org/cgi-bin/amigo/term_details?term=GO:0005200","GO:0005200")</f>
        <v>GO:0005200</v>
      </c>
      <c r="AP79" s="6" t="s">
        <v>384</v>
      </c>
      <c r="AQ79" s="6" t="s">
        <v>385</v>
      </c>
      <c r="AR79" s="6" t="s">
        <v>33</v>
      </c>
      <c r="AS79" s="6" t="s">
        <v>33</v>
      </c>
      <c r="AT79" s="6"/>
      <c r="AU79" s="6">
        <v>0</v>
      </c>
      <c r="AV79" s="6" t="str">
        <f>HYPERLINK("http://amigo.geneontology.org/cgi-bin/amigo/term_details?term=GO:0005634","GO:0005634")</f>
        <v>GO:0005634</v>
      </c>
      <c r="AW79" s="6" t="s">
        <v>81</v>
      </c>
      <c r="AX79" s="6" t="s">
        <v>82</v>
      </c>
      <c r="AY79" s="6" t="s">
        <v>83</v>
      </c>
      <c r="AZ79" s="6" t="s">
        <v>33</v>
      </c>
      <c r="BA79" s="6"/>
      <c r="BB79" s="6">
        <v>0</v>
      </c>
      <c r="BC79" s="6" t="str">
        <f>HYPERLINK("http://amigo.geneontology.org/cgi-bin/amigo/term_details?term=GO:0007010","GO:0007010")</f>
        <v>GO:0007010</v>
      </c>
      <c r="BD79" s="6" t="s">
        <v>386</v>
      </c>
      <c r="BE79" s="6" t="s">
        <v>387</v>
      </c>
      <c r="BF79" s="6" t="s">
        <v>388</v>
      </c>
      <c r="BG79" s="6" t="s">
        <v>33</v>
      </c>
      <c r="BH79" s="6"/>
      <c r="BI79" s="6">
        <v>0</v>
      </c>
    </row>
    <row r="80" spans="1:61" s="6" customFormat="1" x14ac:dyDescent="0.2">
      <c r="A80" s="6" t="str">
        <f>HYPERLINK(".\links\\tr_G1SKE3_G1SKE3_RABIT-.txt","tr|G1SKE3|G1SKE3_RABIT")</f>
        <v>tr|G1SKE3|G1SKE3_RABIT</v>
      </c>
      <c r="B80" s="6" t="s">
        <v>32</v>
      </c>
      <c r="C80" s="6">
        <v>485</v>
      </c>
      <c r="D80" s="6" t="s">
        <v>691</v>
      </c>
      <c r="E80" s="6" t="s">
        <v>711</v>
      </c>
      <c r="F80" s="6" t="str">
        <f>HYPERLINK(".\links\RABBIT-NCBI\tr_G1SKE3_G1SKE3_RABIT-RABBIT-NCBI.txt","Keratin, type II cytoskeletal 3; AltName: Full=Cytokeratin-3; Short=CK-3;")</f>
        <v>Keratin, type II cytoskeletal 3; AltName: Full=Cytokeratin-3; Short=CK-3;</v>
      </c>
      <c r="G80" s="6" t="str">
        <f>HYPERLINK("http://www.ncbi.nlm.nih.gov/sutils/blink.cgi?pid=75059267","1E-171")</f>
        <v>1E-171</v>
      </c>
      <c r="H80" s="6" t="str">
        <f>HYPERLINK("http://www.ncbi.nlm.nih.gov/protein/75059267","gi|75059267")</f>
        <v>gi|75059267</v>
      </c>
      <c r="I80" s="6">
        <v>595</v>
      </c>
      <c r="J80" s="6">
        <v>485</v>
      </c>
      <c r="K80" s="6">
        <v>629</v>
      </c>
      <c r="L80" s="6">
        <v>69</v>
      </c>
      <c r="M80" s="6">
        <v>75</v>
      </c>
      <c r="N80" s="6">
        <v>77</v>
      </c>
      <c r="O80" s="6">
        <v>148</v>
      </c>
      <c r="P80" s="6">
        <v>28</v>
      </c>
      <c r="Q80" s="6">
        <v>30</v>
      </c>
      <c r="R80" s="6">
        <v>28</v>
      </c>
      <c r="S80" s="6">
        <v>1</v>
      </c>
      <c r="T80" s="6" t="s">
        <v>33</v>
      </c>
      <c r="U80" s="6" t="str">
        <f>HYPERLINK(".\links\REFSEQ-VERTEBRATES\tr_G1SKE3_G1SKE3_RABIT-REFSEQ-VERTEBRATES.txt","tumor protein 63 isoform e")</f>
        <v>tumor protein 63 isoform e</v>
      </c>
      <c r="V80" s="6" t="str">
        <f>HYPERLINK("http://www.ncbi.nlm.nih.gov/sutils/blink.cgi?pid=189083861","0.0")</f>
        <v>0.0</v>
      </c>
      <c r="W80" s="6" t="str">
        <f>HYPERLINK("http://www.ncbi.nlm.nih.gov/protein/189083861","gi|189083861")</f>
        <v>gi|189083861</v>
      </c>
      <c r="X80" s="6">
        <v>789</v>
      </c>
      <c r="Y80" s="6">
        <v>493</v>
      </c>
      <c r="Z80" s="6">
        <v>461</v>
      </c>
      <c r="AA80" s="6">
        <v>97</v>
      </c>
      <c r="AC80" s="6">
        <v>100</v>
      </c>
      <c r="AE80" s="6">
        <v>0</v>
      </c>
      <c r="AF80" s="6">
        <v>1</v>
      </c>
      <c r="AG80" s="6">
        <v>1</v>
      </c>
      <c r="AH80" s="6">
        <v>1</v>
      </c>
      <c r="AI80" s="6" t="s">
        <v>423</v>
      </c>
      <c r="AJ80" s="6" t="str">
        <f>HYPERLINK(".\links\CDD\tr_G1SKE3_G1SKE3_RABIT-CDD.txt","Filament")</f>
        <v>Filament</v>
      </c>
      <c r="AK80" s="6" t="str">
        <f>HYPERLINK("http://www.ncbi.nlm.nih.gov/Structure/cdd/cddsrv.cgi?uid=pfam00038&amp;version=v4.0","4E-080")</f>
        <v>4E-080</v>
      </c>
      <c r="AL80" s="6" t="s">
        <v>424</v>
      </c>
      <c r="AM80" s="6" t="s">
        <v>425</v>
      </c>
      <c r="AN80" s="6">
        <f>HYPERLINK(".\links\GO\tr_G1SKE3_G1SKE3_RABIT-GO.txt",0)</f>
        <v>0</v>
      </c>
      <c r="AO80" s="6" t="str">
        <f>HYPERLINK("http://amigo.geneontology.org/cgi-bin/amigo/term_details?term=GO:0005200","GO:0005200")</f>
        <v>GO:0005200</v>
      </c>
      <c r="AP80" s="6" t="s">
        <v>384</v>
      </c>
      <c r="AQ80" s="6" t="s">
        <v>385</v>
      </c>
      <c r="AR80" s="6" t="s">
        <v>33</v>
      </c>
      <c r="AS80" s="6" t="s">
        <v>33</v>
      </c>
      <c r="AU80" s="6">
        <v>0</v>
      </c>
      <c r="AV80" s="6" t="str">
        <f>HYPERLINK("http://amigo.geneontology.org/cgi-bin/amigo/term_details?term=GO:0005634","GO:0005634")</f>
        <v>GO:0005634</v>
      </c>
      <c r="AW80" s="6" t="s">
        <v>81</v>
      </c>
      <c r="AX80" s="6" t="s">
        <v>82</v>
      </c>
      <c r="AY80" s="6" t="s">
        <v>83</v>
      </c>
      <c r="AZ80" s="6" t="s">
        <v>33</v>
      </c>
      <c r="BB80" s="6">
        <v>0</v>
      </c>
      <c r="BC80" s="6" t="str">
        <f>HYPERLINK("http://amigo.geneontology.org/cgi-bin/amigo/term_details?term=GO:0008284","GO:0008284")</f>
        <v>GO:0008284</v>
      </c>
      <c r="BD80" s="6" t="s">
        <v>426</v>
      </c>
      <c r="BE80" s="6" t="s">
        <v>427</v>
      </c>
      <c r="BF80" s="6" t="s">
        <v>428</v>
      </c>
      <c r="BG80" s="6" t="s">
        <v>33</v>
      </c>
      <c r="BI80" s="6">
        <v>0</v>
      </c>
    </row>
    <row r="81" spans="1:61" s="6" customFormat="1" x14ac:dyDescent="0.2">
      <c r="A81" s="6" t="str">
        <f>HYPERLINK(".\links\\tr_G1SHY2_G1SHY2_RABIT-.txt","tr|G1SHY2|G1SHY2_RABIT")</f>
        <v>tr|G1SHY2|G1SHY2_RABIT</v>
      </c>
      <c r="B81" s="6" t="s">
        <v>467</v>
      </c>
      <c r="C81" s="6">
        <v>567</v>
      </c>
      <c r="D81" s="6" t="s">
        <v>472</v>
      </c>
      <c r="E81" s="6" t="s">
        <v>711</v>
      </c>
      <c r="F81" s="6" t="str">
        <f>HYPERLINK(".\links\RABBIT-NCBI\tr_G1SHY2_G1SHY2_RABIT-RABBIT-NCBI.txt","Keratin, type II cytoskeletal 3; AltName: Full=Cytokeratin-3; Short=CK-3;")</f>
        <v>Keratin, type II cytoskeletal 3; AltName: Full=Cytokeratin-3; Short=CK-3;</v>
      </c>
      <c r="G81" s="6" t="str">
        <f>HYPERLINK("http://www.ncbi.nlm.nih.gov/sutils/blink.cgi?pid=75059267","0.0")</f>
        <v>0.0</v>
      </c>
      <c r="H81" s="6" t="str">
        <f>HYPERLINK("http://www.ncbi.nlm.nih.gov/protein/75059267","gi|75059267")</f>
        <v>gi|75059267</v>
      </c>
      <c r="I81" s="6">
        <v>645</v>
      </c>
      <c r="J81" s="6">
        <v>581</v>
      </c>
      <c r="K81" s="6">
        <v>629</v>
      </c>
      <c r="L81" s="6">
        <v>63</v>
      </c>
      <c r="M81" s="6">
        <v>71</v>
      </c>
      <c r="N81" s="6">
        <v>92</v>
      </c>
      <c r="O81" s="6">
        <v>210</v>
      </c>
      <c r="P81" s="6">
        <v>52</v>
      </c>
      <c r="Q81" s="6">
        <v>1</v>
      </c>
      <c r="R81" s="6">
        <v>17</v>
      </c>
      <c r="S81" s="6">
        <v>1</v>
      </c>
      <c r="T81" s="6" t="s">
        <v>33</v>
      </c>
      <c r="U81" s="6" t="str">
        <f>HYPERLINK(".\links\REFSEQ-VERTEBRATES\tr_G1SHY2_G1SHY2_RABIT-REFSEQ-VERTEBRATES.txt","keratin 75-like")</f>
        <v>keratin 75-like</v>
      </c>
      <c r="V81" s="6" t="str">
        <f>HYPERLINK("http://www.ncbi.nlm.nih.gov/sutils/blink.cgi?pid=291389199","0.0")</f>
        <v>0.0</v>
      </c>
      <c r="W81" s="6" t="str">
        <f>HYPERLINK("http://www.ncbi.nlm.nih.gov/protein/291389199","gi|291389199")</f>
        <v>gi|291389199</v>
      </c>
      <c r="X81" s="6">
        <v>1100</v>
      </c>
      <c r="Y81" s="6">
        <v>567</v>
      </c>
      <c r="Z81" s="6">
        <v>579</v>
      </c>
      <c r="AA81" s="6">
        <v>100</v>
      </c>
      <c r="AB81" s="6">
        <v>100</v>
      </c>
      <c r="AC81" s="6">
        <v>98</v>
      </c>
      <c r="AD81" s="6">
        <v>0</v>
      </c>
      <c r="AE81" s="6">
        <v>0</v>
      </c>
      <c r="AF81" s="6">
        <v>13</v>
      </c>
      <c r="AG81" s="6">
        <v>1</v>
      </c>
      <c r="AH81" s="6">
        <v>1</v>
      </c>
      <c r="AI81" s="6" t="s">
        <v>34</v>
      </c>
      <c r="AJ81" s="6" t="str">
        <f>HYPERLINK(".\links\CDD\tr_G1SHY2_G1SHY2_RABIT-CDD.txt","Filament")</f>
        <v>Filament</v>
      </c>
      <c r="AK81" s="6" t="str">
        <f>HYPERLINK("http://www.ncbi.nlm.nih.gov/Structure/cdd/cddsrv.cgi?uid=pfam00038&amp;version=v4.0","2E-081")</f>
        <v>2E-081</v>
      </c>
      <c r="AL81" s="6" t="s">
        <v>468</v>
      </c>
      <c r="AM81" s="6" t="s">
        <v>435</v>
      </c>
      <c r="AN81" s="6">
        <f>HYPERLINK(".\links\GO\tr_G1SHY2_G1SHY2_RABIT-GO.txt",0)</f>
        <v>0</v>
      </c>
      <c r="AO81" s="6" t="str">
        <f>HYPERLINK("http://amigo.geneontology.org/cgi-bin/amigo/term_details?term=GO:0005198","GO:0005198")</f>
        <v>GO:0005198</v>
      </c>
      <c r="AP81" s="6" t="s">
        <v>307</v>
      </c>
      <c r="AQ81" s="6" t="s">
        <v>308</v>
      </c>
      <c r="AR81" s="6" t="s">
        <v>33</v>
      </c>
      <c r="AS81" s="6" t="s">
        <v>33</v>
      </c>
      <c r="AU81" s="6">
        <v>0</v>
      </c>
      <c r="AV81" s="6" t="str">
        <f>HYPERLINK("http://amigo.geneontology.org/cgi-bin/amigo/term_details?term=GO:0005622","GO:0005622")</f>
        <v>GO:0005622</v>
      </c>
      <c r="AW81" s="6" t="s">
        <v>246</v>
      </c>
      <c r="AX81" s="6" t="s">
        <v>247</v>
      </c>
      <c r="AY81" s="6" t="s">
        <v>248</v>
      </c>
      <c r="AZ81" s="6" t="s">
        <v>33</v>
      </c>
      <c r="BB81" s="6">
        <v>0</v>
      </c>
      <c r="BC81" s="6" t="str">
        <f>HYPERLINK("http://amigo.geneontology.org/cgi-bin/amigo/term_details?term=GO:0002244","GO:0002244")</f>
        <v>GO:0002244</v>
      </c>
      <c r="BD81" s="6" t="s">
        <v>469</v>
      </c>
      <c r="BE81" s="6" t="s">
        <v>470</v>
      </c>
      <c r="BF81" s="6" t="s">
        <v>471</v>
      </c>
      <c r="BG81" s="6" t="s">
        <v>33</v>
      </c>
      <c r="BI81" s="6">
        <v>0</v>
      </c>
    </row>
    <row r="82" spans="1:61" s="6" customFormat="1" x14ac:dyDescent="0.2">
      <c r="A82" s="6" t="str">
        <f>HYPERLINK(".\links\\tr_G1T1V0_G1T1V0_RABIT-.txt","tr|G1T1V0|G1T1V0_RABIT")</f>
        <v>tr|G1T1V0|G1T1V0_RABIT</v>
      </c>
      <c r="B82" s="6" t="s">
        <v>32</v>
      </c>
      <c r="C82" s="6">
        <v>569</v>
      </c>
      <c r="D82" s="6" t="s">
        <v>692</v>
      </c>
      <c r="E82" s="6" t="s">
        <v>711</v>
      </c>
      <c r="F82" s="6" t="str">
        <f>HYPERLINK(".\links\RABBIT-NCBI\tr_G1T1V0_G1T1V0_RABIT-RABBIT-NCBI.txt","Keratin, type I cytoskeletal 12; AltName: Full=Cytokeratin-12; Short=CK-12;")</f>
        <v>Keratin, type I cytoskeletal 12; AltName: Full=Cytokeratin-12; Short=CK-12;</v>
      </c>
      <c r="G82" s="6" t="str">
        <f>HYPERLINK("http://www.ncbi.nlm.nih.gov/sutils/blink.cgi?pid=3183048","1E-128")</f>
        <v>1E-128</v>
      </c>
      <c r="H82" s="6" t="str">
        <f>HYPERLINK("http://www.ncbi.nlm.nih.gov/protein/3183048","gi|3183048")</f>
        <v>gi|3183048</v>
      </c>
      <c r="I82" s="6">
        <v>449</v>
      </c>
      <c r="J82" s="6">
        <v>345</v>
      </c>
      <c r="K82" s="6">
        <v>411</v>
      </c>
      <c r="L82" s="6">
        <v>67</v>
      </c>
      <c r="M82" s="6">
        <v>80</v>
      </c>
      <c r="N82" s="6">
        <v>84</v>
      </c>
      <c r="O82" s="6">
        <v>111</v>
      </c>
      <c r="P82" s="6">
        <v>7</v>
      </c>
      <c r="Q82" s="6">
        <v>16</v>
      </c>
      <c r="R82" s="6">
        <v>110</v>
      </c>
      <c r="S82" s="6">
        <v>1</v>
      </c>
      <c r="T82" s="6" t="s">
        <v>33</v>
      </c>
      <c r="U82" s="6" t="str">
        <f>HYPERLINK(".\links\REFSEQ-VERTEBRATES\tr_G1T1V0_G1T1V0_RABIT-REFSEQ-VERTEBRATES.txt","keratin, type I cytoskeletal 10 isoform X2")</f>
        <v>keratin, type I cytoskeletal 10 isoform X2</v>
      </c>
      <c r="V82" s="6" t="str">
        <f>HYPERLINK("http://www.ncbi.nlm.nih.gov/sutils/blink.cgi?pid=655871287","0.0")</f>
        <v>0.0</v>
      </c>
      <c r="W82" s="6" t="str">
        <f>HYPERLINK("http://www.ncbi.nlm.nih.gov/protein/655871287","gi|655871287")</f>
        <v>gi|655871287</v>
      </c>
      <c r="X82" s="6">
        <v>1094</v>
      </c>
      <c r="Y82" s="6">
        <v>569</v>
      </c>
      <c r="Z82" s="6">
        <v>551</v>
      </c>
      <c r="AA82" s="6">
        <v>96</v>
      </c>
      <c r="AB82" s="6">
        <v>96</v>
      </c>
      <c r="AC82" s="6">
        <v>103</v>
      </c>
      <c r="AD82" s="6">
        <v>19</v>
      </c>
      <c r="AE82" s="6">
        <v>19</v>
      </c>
      <c r="AF82" s="6">
        <v>1</v>
      </c>
      <c r="AG82" s="6">
        <v>1</v>
      </c>
      <c r="AH82" s="6">
        <v>1</v>
      </c>
      <c r="AI82" s="6" t="s">
        <v>34</v>
      </c>
      <c r="AJ82" s="6" t="str">
        <f>HYPERLINK(".\links\CDD\tr_G1T1V0_G1T1V0_RABIT-CDD.txt","Filament")</f>
        <v>Filament</v>
      </c>
      <c r="AK82" s="6" t="str">
        <f>HYPERLINK("http://www.ncbi.nlm.nih.gov/Structure/cdd/cddsrv.cgi?uid=pfam00038&amp;version=v4.0","2E-088")</f>
        <v>2E-088</v>
      </c>
      <c r="AL82" s="6" t="s">
        <v>481</v>
      </c>
      <c r="AM82" s="6" t="s">
        <v>482</v>
      </c>
      <c r="AN82" s="6">
        <f>HYPERLINK(".\links\GO\tr_G1T1V0_G1T1V0_RABIT-GO.txt",0)</f>
        <v>0</v>
      </c>
      <c r="AO82" s="6" t="str">
        <f>HYPERLINK("http://amigo.geneontology.org/cgi-bin/amigo/term_details?term=GO:0005198","GO:0005198")</f>
        <v>GO:0005198</v>
      </c>
      <c r="AP82" s="6" t="s">
        <v>307</v>
      </c>
      <c r="AQ82" s="6" t="s">
        <v>308</v>
      </c>
      <c r="AR82" s="6" t="s">
        <v>33</v>
      </c>
      <c r="AS82" s="6" t="s">
        <v>33</v>
      </c>
      <c r="AU82" s="6">
        <v>0</v>
      </c>
      <c r="AV82" s="6" t="str">
        <f>HYPERLINK("http://amigo.geneontology.org/cgi-bin/amigo/term_details?term=GO:0005737","GO:0005737")</f>
        <v>GO:0005737</v>
      </c>
      <c r="AW82" s="6" t="s">
        <v>260</v>
      </c>
      <c r="AX82" s="6" t="s">
        <v>261</v>
      </c>
      <c r="AY82" s="6" t="s">
        <v>33</v>
      </c>
      <c r="AZ82" s="6" t="s">
        <v>33</v>
      </c>
      <c r="BB82" s="6">
        <v>0</v>
      </c>
      <c r="BC82" s="6" t="str">
        <f>HYPERLINK("http://amigo.geneontology.org/cgi-bin/amigo/term_details?term=GO:0030216","GO:0030216")</f>
        <v>GO:0030216</v>
      </c>
      <c r="BD82" s="6" t="s">
        <v>483</v>
      </c>
      <c r="BE82" s="6" t="s">
        <v>484</v>
      </c>
      <c r="BF82" s="6" t="s">
        <v>485</v>
      </c>
      <c r="BG82" s="6" t="s">
        <v>33</v>
      </c>
      <c r="BI82" s="6">
        <v>0</v>
      </c>
    </row>
    <row r="83" spans="1:61" s="6" customFormat="1" x14ac:dyDescent="0.2">
      <c r="A83" s="6" t="str">
        <f>HYPERLINK(".\links\\tr_G1TDN6_G1TDN6_RABIT-.txt","tr|G1TDN6|G1TDN6_RABIT")</f>
        <v>tr|G1TDN6|G1TDN6_RABIT</v>
      </c>
      <c r="B83" s="6" t="s">
        <v>32</v>
      </c>
      <c r="C83" s="6">
        <v>588</v>
      </c>
      <c r="D83" s="6" t="s">
        <v>693</v>
      </c>
      <c r="E83" s="6" t="s">
        <v>711</v>
      </c>
      <c r="F83" s="6" t="str">
        <f>HYPERLINK(".\links\RABBIT-NCBI\tr_G1TDN6_G1TDN6_RABIT-RABBIT-NCBI.txt","Keratin, type II cytoskeletal 3; AltName: Full=Cytokeratin-3; Short=CK-3;")</f>
        <v>Keratin, type II cytoskeletal 3; AltName: Full=Cytokeratin-3; Short=CK-3;</v>
      </c>
      <c r="G83" s="6" t="str">
        <f>HYPERLINK("http://www.ncbi.nlm.nih.gov/sutils/blink.cgi?pid=75059267","0.0")</f>
        <v>0.0</v>
      </c>
      <c r="H83" s="6" t="str">
        <f>HYPERLINK("http://www.ncbi.nlm.nih.gov/protein/75059267","gi|75059267")</f>
        <v>gi|75059267</v>
      </c>
      <c r="I83" s="6">
        <v>708</v>
      </c>
      <c r="J83" s="6">
        <v>618</v>
      </c>
      <c r="K83" s="6">
        <v>629</v>
      </c>
      <c r="L83" s="6">
        <v>65</v>
      </c>
      <c r="M83" s="6">
        <v>73</v>
      </c>
      <c r="N83" s="6">
        <v>98</v>
      </c>
      <c r="O83" s="6">
        <v>212</v>
      </c>
      <c r="P83" s="6">
        <v>47</v>
      </c>
      <c r="Q83" s="6">
        <v>11</v>
      </c>
      <c r="R83" s="6">
        <v>12</v>
      </c>
      <c r="S83" s="6">
        <v>1</v>
      </c>
      <c r="T83" s="6" t="s">
        <v>33</v>
      </c>
      <c r="U83" s="6" t="str">
        <f>HYPERLINK(".\links\REFSEQ-VERTEBRATES\tr_G1TDN6_G1TDN6_RABIT-REFSEQ-VERTEBRATES.txt","keratin, type II cytoskeletal 5 isoform X1")</f>
        <v>keratin, type II cytoskeletal 5 isoform X1</v>
      </c>
      <c r="V83" s="6" t="str">
        <f>HYPERLINK("http://www.ncbi.nlm.nih.gov/sutils/blink.cgi?pid=291389209","0.0")</f>
        <v>0.0</v>
      </c>
      <c r="W83" s="6" t="str">
        <f>HYPERLINK("http://www.ncbi.nlm.nih.gov/protein/291389209","gi|291389209")</f>
        <v>gi|291389209</v>
      </c>
      <c r="X83" s="6">
        <v>1152</v>
      </c>
      <c r="Y83" s="6">
        <v>588</v>
      </c>
      <c r="Z83" s="6">
        <v>588</v>
      </c>
      <c r="AA83" s="6">
        <v>100</v>
      </c>
      <c r="AB83" s="6">
        <v>100</v>
      </c>
      <c r="AC83" s="6">
        <v>100</v>
      </c>
      <c r="AD83" s="6">
        <v>0</v>
      </c>
      <c r="AE83" s="6">
        <v>0</v>
      </c>
      <c r="AF83" s="6">
        <v>1</v>
      </c>
      <c r="AG83" s="6">
        <v>1</v>
      </c>
      <c r="AH83" s="6">
        <v>1</v>
      </c>
      <c r="AI83" s="6" t="s">
        <v>34</v>
      </c>
      <c r="AJ83" s="6" t="str">
        <f>HYPERLINK(".\links\CDD\tr_G1TDN6_G1TDN6_RABIT-CDD.txt","Filament")</f>
        <v>Filament</v>
      </c>
      <c r="AK83" s="6" t="str">
        <f>HYPERLINK("http://www.ncbi.nlm.nih.gov/Structure/cdd/cddsrv.cgi?uid=pfam00038&amp;version=v4.0","5E-084")</f>
        <v>5E-084</v>
      </c>
      <c r="AL83" s="6" t="s">
        <v>486</v>
      </c>
      <c r="AM83" s="6" t="s">
        <v>487</v>
      </c>
      <c r="AN83" s="6">
        <f>HYPERLINK(".\links\GO\tr_G1TDN6_G1TDN6_RABIT-GO.txt",0)</f>
        <v>0</v>
      </c>
      <c r="AO83" s="6" t="str">
        <f>HYPERLINK("http://amigo.geneontology.org/cgi-bin/amigo/term_details?term=GO:0005200","GO:0005200")</f>
        <v>GO:0005200</v>
      </c>
      <c r="AP83" s="6" t="s">
        <v>384</v>
      </c>
      <c r="AQ83" s="6" t="s">
        <v>385</v>
      </c>
      <c r="AR83" s="6" t="s">
        <v>33</v>
      </c>
      <c r="AS83" s="6" t="s">
        <v>33</v>
      </c>
      <c r="AU83" s="6">
        <v>0</v>
      </c>
      <c r="AV83" s="6" t="str">
        <f>HYPERLINK("http://amigo.geneontology.org/cgi-bin/amigo/term_details?term=GO:0005634","GO:0005634")</f>
        <v>GO:0005634</v>
      </c>
      <c r="AW83" s="6" t="s">
        <v>81</v>
      </c>
      <c r="AX83" s="6" t="s">
        <v>82</v>
      </c>
      <c r="AY83" s="6" t="s">
        <v>83</v>
      </c>
      <c r="AZ83" s="6" t="s">
        <v>33</v>
      </c>
      <c r="BB83" s="6">
        <v>0</v>
      </c>
      <c r="BC83" s="6" t="str">
        <f>HYPERLINK("http://amigo.geneontology.org/cgi-bin/amigo/term_details?term=GO:0008544","GO:0008544")</f>
        <v>GO:0008544</v>
      </c>
      <c r="BD83" s="6" t="s">
        <v>391</v>
      </c>
      <c r="BE83" s="6" t="s">
        <v>392</v>
      </c>
      <c r="BF83" s="6" t="s">
        <v>393</v>
      </c>
      <c r="BG83" s="6" t="s">
        <v>33</v>
      </c>
      <c r="BI83" s="6">
        <v>0</v>
      </c>
    </row>
    <row r="84" spans="1:61" s="6" customFormat="1" x14ac:dyDescent="0.2">
      <c r="A84" s="6" t="str">
        <f>HYPERLINK(".\links\\tr_G1U9I8_G1U9I8_RABIT-.txt","tr|G1U9I8|G1U9I8_RABIT")</f>
        <v>tr|G1U9I8|G1U9I8_RABIT</v>
      </c>
      <c r="B84" s="6" t="s">
        <v>32</v>
      </c>
      <c r="C84" s="6">
        <v>611</v>
      </c>
      <c r="D84" s="6" t="s">
        <v>694</v>
      </c>
      <c r="E84" s="6" t="s">
        <v>711</v>
      </c>
      <c r="F84" s="6" t="str">
        <f>HYPERLINK(".\links\RABBIT-NCBI\tr_G1U9I8_G1U9I8_RABIT-RABBIT-NCBI.txt","Keratin, type II cytoskeletal 3; AltName: Full=Cytokeratin-3; Short=CK-3;")</f>
        <v>Keratin, type II cytoskeletal 3; AltName: Full=Cytokeratin-3; Short=CK-3;</v>
      </c>
      <c r="G84" s="6" t="str">
        <f>HYPERLINK("http://www.ncbi.nlm.nih.gov/sutils/blink.cgi?pid=75059267","0.0")</f>
        <v>0.0</v>
      </c>
      <c r="H84" s="6" t="str">
        <f>HYPERLINK("http://www.ncbi.nlm.nih.gov/protein/75059267","gi|75059267")</f>
        <v>gi|75059267</v>
      </c>
      <c r="I84" s="6">
        <v>656</v>
      </c>
      <c r="J84" s="6">
        <v>635</v>
      </c>
      <c r="K84" s="6">
        <v>629</v>
      </c>
      <c r="L84" s="6">
        <v>60</v>
      </c>
      <c r="M84" s="6">
        <v>71</v>
      </c>
      <c r="N84" s="6">
        <v>101</v>
      </c>
      <c r="O84" s="6">
        <v>249</v>
      </c>
      <c r="P84" s="6">
        <v>45</v>
      </c>
      <c r="Q84" s="6">
        <v>1</v>
      </c>
      <c r="R84" s="6">
        <v>1</v>
      </c>
      <c r="S84" s="6">
        <v>1</v>
      </c>
      <c r="T84" s="6" t="s">
        <v>33</v>
      </c>
      <c r="U84" s="6" t="str">
        <f>HYPERLINK(".\links\REFSEQ-VERTEBRATES\tr_G1U9I8_G1U9I8_RABIT-REFSEQ-VERTEBRATES.txt","keratin, type II cytoskeletal 1")</f>
        <v>keratin, type II cytoskeletal 1</v>
      </c>
      <c r="V84" s="6" t="str">
        <f>HYPERLINK("http://www.ncbi.nlm.nih.gov/sutils/blink.cgi?pid=291389217","0.0")</f>
        <v>0.0</v>
      </c>
      <c r="W84" s="6" t="str">
        <f>HYPERLINK("http://www.ncbi.nlm.nih.gov/protein/291389217","gi|291389217")</f>
        <v>gi|291389217</v>
      </c>
      <c r="X84" s="6">
        <v>1016</v>
      </c>
      <c r="Y84" s="6">
        <v>621</v>
      </c>
      <c r="Z84" s="6">
        <v>616</v>
      </c>
      <c r="AA84" s="6">
        <v>86</v>
      </c>
      <c r="AB84" s="6">
        <v>89</v>
      </c>
      <c r="AC84" s="6">
        <v>101</v>
      </c>
      <c r="AD84" s="6">
        <v>85</v>
      </c>
      <c r="AE84" s="6">
        <v>15</v>
      </c>
      <c r="AF84" s="6">
        <v>1</v>
      </c>
      <c r="AG84" s="6">
        <v>1</v>
      </c>
      <c r="AH84" s="6">
        <v>1</v>
      </c>
      <c r="AI84" s="6" t="s">
        <v>34</v>
      </c>
      <c r="AJ84" s="6" t="str">
        <f>HYPERLINK(".\links\CDD\tr_G1U9I8_G1U9I8_RABIT-CDD.txt","Filament")</f>
        <v>Filament</v>
      </c>
      <c r="AK84" s="6" t="str">
        <f>HYPERLINK("http://www.ncbi.nlm.nih.gov/Structure/cdd/cddsrv.cgi?uid=pfam00038&amp;version=v4.0","6E-078")</f>
        <v>6E-078</v>
      </c>
      <c r="AL84" s="6" t="s">
        <v>500</v>
      </c>
      <c r="AM84" s="6" t="s">
        <v>501</v>
      </c>
      <c r="AN84" s="6">
        <f>HYPERLINK(".\links\GO\tr_G1U9I8_G1U9I8_RABIT-GO.txt",0)</f>
        <v>0</v>
      </c>
      <c r="AO84" s="6" t="str">
        <f>HYPERLINK("http://amigo.geneontology.org/cgi-bin/amigo/term_details?term=GO:0004872","GO:0004872")</f>
        <v>GO:0004872</v>
      </c>
      <c r="AP84" s="6" t="s">
        <v>502</v>
      </c>
      <c r="AQ84" s="6" t="s">
        <v>503</v>
      </c>
      <c r="AR84" s="6" t="s">
        <v>504</v>
      </c>
      <c r="AS84" s="6" t="s">
        <v>33</v>
      </c>
      <c r="AU84" s="6">
        <v>0</v>
      </c>
      <c r="AV84" s="6" t="str">
        <f>HYPERLINK("http://amigo.geneontology.org/cgi-bin/amigo/term_details?term=GO:0005615","GO:0005615")</f>
        <v>GO:0005615</v>
      </c>
      <c r="AW84" s="6" t="s">
        <v>40</v>
      </c>
      <c r="AX84" s="6" t="s">
        <v>41</v>
      </c>
      <c r="AY84" s="6" t="s">
        <v>42</v>
      </c>
      <c r="AZ84" s="6" t="s">
        <v>33</v>
      </c>
      <c r="BB84" s="6">
        <v>0</v>
      </c>
      <c r="BC84" s="6" t="str">
        <f>HYPERLINK("http://amigo.geneontology.org/cgi-bin/amigo/term_details?term=GO:0001867","GO:0001867")</f>
        <v>GO:0001867</v>
      </c>
      <c r="BD84" s="6" t="s">
        <v>505</v>
      </c>
      <c r="BE84" s="6" t="s">
        <v>506</v>
      </c>
      <c r="BF84" s="6" t="s">
        <v>507</v>
      </c>
      <c r="BG84" s="6" t="s">
        <v>33</v>
      </c>
      <c r="BI84" s="6">
        <v>0</v>
      </c>
    </row>
    <row r="85" spans="1:61" x14ac:dyDescent="0.2">
      <c r="A85" s="6" t="str">
        <f>HYPERLINK(".\links\\tr_G1SUH8_G1SUH8_RABIT-.txt","tr|G1SUH8|G1SUH8_RABIT")</f>
        <v>tr|G1SUH8|G1SUH8_RABIT</v>
      </c>
      <c r="B85" s="6" t="s">
        <v>32</v>
      </c>
      <c r="C85" s="6">
        <v>618</v>
      </c>
      <c r="D85" s="6" t="s">
        <v>650</v>
      </c>
      <c r="E85" s="6" t="s">
        <v>711</v>
      </c>
      <c r="F85" s="6" t="str">
        <f>HYPERLINK(".\links\RABBIT-NCBI\tr_G1SUH8_G1SUH8_RABIT-RABBIT-NCBI.txt","Keratin, type II cytoskeletal 3; AltName: Full=Cytokeratin-3; Short=CK-3;")</f>
        <v>Keratin, type II cytoskeletal 3; AltName: Full=Cytokeratin-3; Short=CK-3;</v>
      </c>
      <c r="G85" s="6" t="str">
        <f>HYPERLINK("http://www.ncbi.nlm.nih.gov/sutils/blink.cgi?pid=75059267","1E-171")</f>
        <v>1E-171</v>
      </c>
      <c r="H85" s="6" t="str">
        <f>HYPERLINK("http://www.ncbi.nlm.nih.gov/protein/75059267","gi|75059267")</f>
        <v>gi|75059267</v>
      </c>
      <c r="I85" s="6">
        <v>595</v>
      </c>
      <c r="J85" s="6">
        <v>621</v>
      </c>
      <c r="K85" s="6">
        <v>629</v>
      </c>
      <c r="L85" s="6">
        <v>57</v>
      </c>
      <c r="M85" s="6">
        <v>68</v>
      </c>
      <c r="N85" s="6">
        <v>99</v>
      </c>
      <c r="O85" s="6">
        <v>261</v>
      </c>
      <c r="P85" s="6">
        <v>60</v>
      </c>
      <c r="Q85" s="6">
        <v>17</v>
      </c>
      <c r="R85" s="6">
        <v>9</v>
      </c>
      <c r="S85" s="6">
        <v>1</v>
      </c>
      <c r="T85" s="6" t="s">
        <v>33</v>
      </c>
      <c r="U85" s="6" t="str">
        <f>HYPERLINK(".\links\REFSEQ-VERTEBRATES\tr_G1SUH8_G1SUH8_RABIT-REFSEQ-VERTEBRATES.txt","LOW QUALITY PROTEIN: keratin, type II cytoskeletal 2 epidermal")</f>
        <v>LOW QUALITY PROTEIN: keratin, type II cytoskeletal 2 epidermal</v>
      </c>
      <c r="V85" s="6" t="str">
        <f>HYPERLINK("http://www.ncbi.nlm.nih.gov/sutils/blink.cgi?pid=655730654","0.0")</f>
        <v>0.0</v>
      </c>
      <c r="W85" s="6" t="str">
        <f>HYPERLINK("http://www.ncbi.nlm.nih.gov/protein/655730654","gi|655730654")</f>
        <v>gi|655730654</v>
      </c>
      <c r="X85" s="6">
        <v>1121</v>
      </c>
      <c r="Y85" s="6">
        <v>665</v>
      </c>
      <c r="Z85" s="6">
        <v>659</v>
      </c>
      <c r="AA85" s="6">
        <v>88</v>
      </c>
      <c r="AB85" s="6">
        <v>89</v>
      </c>
      <c r="AC85" s="6">
        <v>101</v>
      </c>
      <c r="AD85" s="6">
        <v>75</v>
      </c>
      <c r="AE85" s="6">
        <v>53</v>
      </c>
      <c r="AF85" s="6">
        <v>1</v>
      </c>
      <c r="AG85" s="6">
        <v>1</v>
      </c>
      <c r="AH85" s="6">
        <v>1</v>
      </c>
      <c r="AI85" s="6" t="s">
        <v>34</v>
      </c>
      <c r="AJ85" s="6" t="str">
        <f>HYPERLINK(".\links\CDD\tr_G1SUH8_G1SUH8_RABIT-CDD.txt","Filament")</f>
        <v>Filament</v>
      </c>
      <c r="AK85" s="6" t="str">
        <f>HYPERLINK("http://www.ncbi.nlm.nih.gov/Structure/cdd/cddsrv.cgi?uid=pfam00038&amp;version=v4.0","7E-061")</f>
        <v>7E-061</v>
      </c>
      <c r="AL85" s="6" t="s">
        <v>508</v>
      </c>
      <c r="AM85" s="6" t="s">
        <v>509</v>
      </c>
      <c r="AN85" s="6">
        <f>HYPERLINK(".\links\GO\tr_G1SUH8_G1SUH8_RABIT-GO.txt",0)</f>
        <v>0</v>
      </c>
      <c r="AO85" s="6" t="str">
        <f>HYPERLINK("http://amigo.geneontology.org/cgi-bin/amigo/term_details?term=GO:0005198","GO:0005198")</f>
        <v>GO:0005198</v>
      </c>
      <c r="AP85" s="6" t="s">
        <v>307</v>
      </c>
      <c r="AQ85" s="6" t="s">
        <v>308</v>
      </c>
      <c r="AR85" s="6" t="s">
        <v>33</v>
      </c>
      <c r="AS85" s="6" t="s">
        <v>33</v>
      </c>
      <c r="AT85" s="6"/>
      <c r="AU85" s="6">
        <v>0</v>
      </c>
      <c r="AV85" s="6" t="str">
        <f>HYPERLINK("http://amigo.geneontology.org/cgi-bin/amigo/term_details?term=GO:0005794","GO:0005794")</f>
        <v>GO:0005794</v>
      </c>
      <c r="AW85" s="6" t="s">
        <v>194</v>
      </c>
      <c r="AX85" s="6" t="s">
        <v>195</v>
      </c>
      <c r="AY85" s="6" t="s">
        <v>196</v>
      </c>
      <c r="AZ85" s="6" t="s">
        <v>33</v>
      </c>
      <c r="BA85" s="6"/>
      <c r="BB85" s="6">
        <v>0</v>
      </c>
      <c r="BC85" s="6" t="str">
        <f>HYPERLINK("http://amigo.geneontology.org/cgi-bin/amigo/term_details?term=GO:0031424","GO:0031424")</f>
        <v>GO:0031424</v>
      </c>
      <c r="BD85" s="6" t="s">
        <v>510</v>
      </c>
      <c r="BE85" s="6" t="s">
        <v>511</v>
      </c>
      <c r="BF85" s="6" t="s">
        <v>33</v>
      </c>
      <c r="BG85" s="6" t="s">
        <v>33</v>
      </c>
      <c r="BH85" s="6"/>
      <c r="BI85" s="6">
        <v>0</v>
      </c>
    </row>
    <row r="86" spans="1:61" x14ac:dyDescent="0.2">
      <c r="A86" s="6" t="str">
        <f>HYPERLINK(".\links\\tr_G1U758_G1U758_RABIT-.txt","tr|G1U758|G1U758_RABIT")</f>
        <v>tr|G1U758|G1U758_RABIT</v>
      </c>
      <c r="B86" s="6" t="s">
        <v>374</v>
      </c>
      <c r="C86" s="6">
        <v>444</v>
      </c>
      <c r="D86" s="6" t="s">
        <v>675</v>
      </c>
      <c r="E86" s="6" t="s">
        <v>711</v>
      </c>
      <c r="F86" s="6" t="str">
        <f>HYPERLINK(".\links\RABBIT-NCBI\tr_G1U758_G1U758_RABIT-RABBIT-NCBI.txt","Keratin, type I cytoskeletal 12; AltName: Full=Cytokeratin-12; Short=CK-12;")</f>
        <v>Keratin, type I cytoskeletal 12; AltName: Full=Cytokeratin-12; Short=CK-12;</v>
      </c>
      <c r="G86" s="6" t="str">
        <f>HYPERLINK("http://www.ncbi.nlm.nih.gov/sutils/blink.cgi?pid=3183048","2E-078")</f>
        <v>2E-078</v>
      </c>
      <c r="H86" s="6" t="str">
        <f>HYPERLINK("http://www.ncbi.nlm.nih.gov/protein/3183048","gi|3183048")</f>
        <v>gi|3183048</v>
      </c>
      <c r="I86" s="6">
        <v>285</v>
      </c>
      <c r="J86" s="6">
        <v>383</v>
      </c>
      <c r="K86" s="6">
        <v>411</v>
      </c>
      <c r="L86" s="6">
        <v>44</v>
      </c>
      <c r="M86" s="6">
        <v>66</v>
      </c>
      <c r="N86" s="6">
        <v>93</v>
      </c>
      <c r="O86" s="6">
        <v>214</v>
      </c>
      <c r="P86" s="6">
        <v>19</v>
      </c>
      <c r="Q86" s="6">
        <v>20</v>
      </c>
      <c r="R86" s="6">
        <v>69</v>
      </c>
      <c r="S86" s="6">
        <v>1</v>
      </c>
      <c r="T86" s="6" t="s">
        <v>33</v>
      </c>
      <c r="U86" s="6" t="str">
        <f>HYPERLINK(".\links\REFSEQ-VERTEBRATES\tr_G1U758_G1U758_RABIT-REFSEQ-VERTEBRATES.txt","keratin 18-like")</f>
        <v>keratin 18-like</v>
      </c>
      <c r="V86" s="6" t="str">
        <f>HYPERLINK("http://www.ncbi.nlm.nih.gov/sutils/blink.cgi?pid=291389227","0.0")</f>
        <v>0.0</v>
      </c>
      <c r="W86" s="6" t="str">
        <f>HYPERLINK("http://www.ncbi.nlm.nih.gov/protein/291389227","gi|291389227")</f>
        <v>gi|291389227</v>
      </c>
      <c r="X86" s="6">
        <v>816</v>
      </c>
      <c r="Y86" s="6">
        <v>432</v>
      </c>
      <c r="Z86" s="6">
        <v>431</v>
      </c>
      <c r="AA86" s="6">
        <v>99</v>
      </c>
      <c r="AB86" s="6">
        <v>99</v>
      </c>
      <c r="AC86" s="6">
        <v>100</v>
      </c>
      <c r="AD86" s="6">
        <v>2</v>
      </c>
      <c r="AE86" s="6">
        <v>1</v>
      </c>
      <c r="AF86" s="6">
        <v>1</v>
      </c>
      <c r="AG86" s="6">
        <v>13</v>
      </c>
      <c r="AH86" s="6">
        <v>1</v>
      </c>
      <c r="AI86" s="6" t="s">
        <v>34</v>
      </c>
      <c r="AJ86" s="6" t="str">
        <f>HYPERLINK(".\links\CDD\tr_G1U758_G1U758_RABIT-CDD.txt","Filament")</f>
        <v>Filament</v>
      </c>
      <c r="AK86" s="6" t="str">
        <f>HYPERLINK("http://www.ncbi.nlm.nih.gov/Structure/cdd/cddsrv.cgi?uid=pfam00038&amp;version=v4.0","4E-076")</f>
        <v>4E-076</v>
      </c>
      <c r="AL86" s="6" t="s">
        <v>375</v>
      </c>
      <c r="AM86" s="6" t="s">
        <v>376</v>
      </c>
      <c r="AN86" s="6">
        <f>HYPERLINK(".\links\GO\tr_G1U758_G1U758_RABIT-GO.txt",0)</f>
        <v>0</v>
      </c>
      <c r="AO86" s="6" t="str">
        <f>HYPERLINK("http://amigo.geneontology.org/cgi-bin/amigo/term_details?term=GO:0005198","GO:0005198")</f>
        <v>GO:0005198</v>
      </c>
      <c r="AP86" s="6" t="s">
        <v>307</v>
      </c>
      <c r="AQ86" s="6" t="s">
        <v>308</v>
      </c>
      <c r="AR86" s="6" t="s">
        <v>33</v>
      </c>
      <c r="AS86" s="6" t="s">
        <v>33</v>
      </c>
      <c r="AT86" s="6"/>
      <c r="AU86" s="6">
        <v>0</v>
      </c>
      <c r="AV86" s="6" t="str">
        <f>HYPERLINK("http://amigo.geneontology.org/cgi-bin/amigo/term_details?term=GO:0005730","GO:0005730")</f>
        <v>GO:0005730</v>
      </c>
      <c r="AW86" s="6" t="s">
        <v>377</v>
      </c>
      <c r="AX86" s="6" t="s">
        <v>378</v>
      </c>
      <c r="AY86" s="6" t="s">
        <v>33</v>
      </c>
      <c r="AZ86" s="6" t="s">
        <v>33</v>
      </c>
      <c r="BA86" s="6"/>
      <c r="BB86" s="6">
        <v>0</v>
      </c>
      <c r="BC86" s="6" t="str">
        <f>HYPERLINK("http://amigo.geneontology.org/cgi-bin/amigo/term_details?term=GO:0007049","GO:0007049")</f>
        <v>GO:0007049</v>
      </c>
      <c r="BD86" s="6" t="s">
        <v>379</v>
      </c>
      <c r="BE86" s="6" t="s">
        <v>380</v>
      </c>
      <c r="BF86" s="6" t="s">
        <v>381</v>
      </c>
      <c r="BG86" s="6" t="s">
        <v>33</v>
      </c>
      <c r="BH86" s="6"/>
      <c r="BI86" s="6">
        <v>0</v>
      </c>
    </row>
    <row r="87" spans="1:61" s="6" customFormat="1" x14ac:dyDescent="0.2">
      <c r="A87" s="6" t="str">
        <f>HYPERLINK(".\links\\tr_G1T8T1_G1T8T1_RABIT-.txt","tr|G1T8T1|G1T8T1_RABIT")</f>
        <v>tr|G1T8T1|G1T8T1_RABIT</v>
      </c>
      <c r="B87" s="6" t="s">
        <v>318</v>
      </c>
      <c r="C87" s="6">
        <v>401</v>
      </c>
      <c r="D87" s="6" t="s">
        <v>641</v>
      </c>
      <c r="E87" s="6" t="s">
        <v>711</v>
      </c>
      <c r="F87" s="6" t="str">
        <f>HYPERLINK(".\links\RABBIT-NCBI\tr_G1T8T1_G1T8T1_RABIT-RABBIT-NCBI.txt","Keratin, type I cytoskeletal 12; AltName: Full=Cytokeratin-12; Short=CK-12;")</f>
        <v>Keratin, type I cytoskeletal 12; AltName: Full=Cytokeratin-12; Short=CK-12;</v>
      </c>
      <c r="G87" s="6" t="str">
        <f>HYPERLINK("http://www.ncbi.nlm.nih.gov/sutils/blink.cgi?pid=3183048","1E-124")</f>
        <v>1E-124</v>
      </c>
      <c r="H87" s="6" t="str">
        <f>HYPERLINK("http://www.ncbi.nlm.nih.gov/protein/3183048","gi|3183048")</f>
        <v>gi|3183048</v>
      </c>
      <c r="I87" s="6">
        <v>437</v>
      </c>
      <c r="J87" s="6">
        <v>381</v>
      </c>
      <c r="K87" s="6">
        <v>411</v>
      </c>
      <c r="L87" s="6">
        <v>59</v>
      </c>
      <c r="M87" s="6">
        <v>76</v>
      </c>
      <c r="N87" s="6">
        <v>93</v>
      </c>
      <c r="O87" s="6">
        <v>154</v>
      </c>
      <c r="P87" s="6">
        <v>10</v>
      </c>
      <c r="Q87" s="6">
        <v>32</v>
      </c>
      <c r="R87" s="6">
        <v>12</v>
      </c>
      <c r="S87" s="6">
        <v>1</v>
      </c>
      <c r="T87" s="6" t="s">
        <v>33</v>
      </c>
      <c r="U87" s="6" t="str">
        <f>HYPERLINK(".\links\REFSEQ-VERTEBRATES\tr_G1T8T1_G1T8T1_RABIT-REFSEQ-VERTEBRATES.txt","keratin, type I cytoskeletal 28")</f>
        <v>keratin, type I cytoskeletal 28</v>
      </c>
      <c r="V87" s="6" t="str">
        <f>HYPERLINK("http://www.ncbi.nlm.nih.gov/sutils/blink.cgi?pid=291406012","0.0")</f>
        <v>0.0</v>
      </c>
      <c r="W87" s="6" t="str">
        <f>HYPERLINK("http://www.ncbi.nlm.nih.gov/protein/291406012","gi|291406012")</f>
        <v>gi|291406012</v>
      </c>
      <c r="X87" s="6">
        <v>788</v>
      </c>
      <c r="Y87" s="6">
        <v>401</v>
      </c>
      <c r="Z87" s="6">
        <v>459</v>
      </c>
      <c r="AA87" s="6">
        <v>100</v>
      </c>
      <c r="AB87" s="6">
        <v>100</v>
      </c>
      <c r="AC87" s="6">
        <v>87</v>
      </c>
      <c r="AD87" s="6">
        <v>0</v>
      </c>
      <c r="AE87" s="6">
        <v>0</v>
      </c>
      <c r="AF87" s="6">
        <v>59</v>
      </c>
      <c r="AG87" s="6">
        <v>1</v>
      </c>
      <c r="AH87" s="6">
        <v>1</v>
      </c>
      <c r="AI87" s="6" t="s">
        <v>34</v>
      </c>
      <c r="AJ87" s="6" t="str">
        <f>HYPERLINK(".\links\CDD\tr_G1T8T1_G1T8T1_RABIT-CDD.txt","Filament")</f>
        <v>Filament</v>
      </c>
      <c r="AK87" s="6" t="str">
        <f>HYPERLINK("http://www.ncbi.nlm.nih.gov/Structure/cdd/cddsrv.cgi?uid=pfam00038&amp;version=v4.0","1E-074")</f>
        <v>1E-074</v>
      </c>
      <c r="AL87" s="6" t="s">
        <v>319</v>
      </c>
      <c r="AM87" s="6" t="s">
        <v>320</v>
      </c>
      <c r="AN87" s="6">
        <f>HYPERLINK(".\links\GO\tr_G1T8T1_G1T8T1_RABIT-GO.txt",0)</f>
        <v>0</v>
      </c>
      <c r="AO87" s="6" t="str">
        <f>HYPERLINK("http://amigo.geneontology.org/cgi-bin/amigo/term_details?term=GO:0003674","GO:0003674")</f>
        <v>GO:0003674</v>
      </c>
      <c r="AP87" s="6" t="s">
        <v>321</v>
      </c>
      <c r="AQ87" s="6" t="s">
        <v>322</v>
      </c>
      <c r="AR87" s="6" t="s">
        <v>323</v>
      </c>
      <c r="AS87" s="6" t="s">
        <v>33</v>
      </c>
      <c r="AU87" s="6">
        <v>0</v>
      </c>
      <c r="AV87" s="6" t="str">
        <f>HYPERLINK("http://amigo.geneontology.org/cgi-bin/amigo/term_details?term=GO:0005575","GO:0005575")</f>
        <v>GO:0005575</v>
      </c>
      <c r="AW87" s="6" t="s">
        <v>324</v>
      </c>
      <c r="AX87" s="6" t="s">
        <v>325</v>
      </c>
      <c r="AY87" s="6" t="s">
        <v>326</v>
      </c>
      <c r="AZ87" s="6" t="s">
        <v>33</v>
      </c>
      <c r="BB87" s="6">
        <v>0</v>
      </c>
      <c r="BC87" s="6" t="str">
        <f>HYPERLINK("http://amigo.geneontology.org/cgi-bin/amigo/term_details?term=GO:0008150","GO:0008150")</f>
        <v>GO:0008150</v>
      </c>
      <c r="BD87" s="6" t="s">
        <v>327</v>
      </c>
      <c r="BE87" s="6" t="s">
        <v>328</v>
      </c>
      <c r="BF87" s="6" t="s">
        <v>329</v>
      </c>
      <c r="BG87" s="6" t="s">
        <v>33</v>
      </c>
      <c r="BI87" s="6">
        <v>0</v>
      </c>
    </row>
    <row r="88" spans="1:61" s="6" customFormat="1" x14ac:dyDescent="0.2">
      <c r="A88" s="6" t="str">
        <f>HYPERLINK(".\links\\tr_G1T1Y7_G1T1Y7_RABIT-.txt","tr|G1T1Y7|G1T1Y7_RABIT")</f>
        <v>tr|G1T1Y7|G1T1Y7_RABIT</v>
      </c>
      <c r="B88" s="6" t="s">
        <v>32</v>
      </c>
      <c r="C88" s="6">
        <v>443</v>
      </c>
      <c r="D88" s="6" t="s">
        <v>373</v>
      </c>
      <c r="E88" s="6" t="s">
        <v>711</v>
      </c>
      <c r="F88" s="6" t="str">
        <f>HYPERLINK(".\links\RABBIT-NCBI\tr_G1T1Y7_G1T1Y7_RABIT-RABBIT-NCBI.txt","Keratin, type I cytoskeletal 12; AltName: Full=Cytokeratin-12; Short=CK-12;")</f>
        <v>Keratin, type I cytoskeletal 12; AltName: Full=Cytokeratin-12; Short=CK-12;</v>
      </c>
      <c r="G88" s="6" t="str">
        <f>HYPERLINK("http://www.ncbi.nlm.nih.gov/sutils/blink.cgi?pid=3183048","1E-122")</f>
        <v>1E-122</v>
      </c>
      <c r="H88" s="6" t="str">
        <f>HYPERLINK("http://www.ncbi.nlm.nih.gov/protein/3183048","gi|3183048")</f>
        <v>gi|3183048</v>
      </c>
      <c r="I88" s="6">
        <v>429</v>
      </c>
      <c r="J88" s="6">
        <v>365</v>
      </c>
      <c r="K88" s="6">
        <v>411</v>
      </c>
      <c r="L88" s="6">
        <v>62</v>
      </c>
      <c r="M88" s="6">
        <v>76</v>
      </c>
      <c r="N88" s="6">
        <v>89</v>
      </c>
      <c r="O88" s="6">
        <v>138</v>
      </c>
      <c r="P88" s="6">
        <v>12</v>
      </c>
      <c r="Q88" s="6">
        <v>13</v>
      </c>
      <c r="R88" s="6">
        <v>91</v>
      </c>
      <c r="S88" s="6">
        <v>1</v>
      </c>
      <c r="T88" s="6" t="s">
        <v>33</v>
      </c>
      <c r="U88" s="6" t="str">
        <f>HYPERLINK(".\links\REFSEQ-VERTEBRATES\tr_G1T1Y7_G1T1Y7_RABIT-REFSEQ-VERTEBRATES.txt","keratin, type I cytoskeletal 14")</f>
        <v>keratin, type I cytoskeletal 14</v>
      </c>
      <c r="V88" s="6" t="str">
        <f>HYPERLINK("http://www.ncbi.nlm.nih.gov/sutils/blink.cgi?pid=291406083","0.0")</f>
        <v>0.0</v>
      </c>
      <c r="W88" s="6" t="str">
        <f>HYPERLINK("http://www.ncbi.nlm.nih.gov/protein/291406083","gi|291406083")</f>
        <v>gi|291406083</v>
      </c>
      <c r="X88" s="6">
        <v>861</v>
      </c>
      <c r="Y88" s="6">
        <v>441</v>
      </c>
      <c r="Z88" s="6">
        <v>473</v>
      </c>
      <c r="AA88" s="6">
        <v>100</v>
      </c>
      <c r="AB88" s="6">
        <v>100</v>
      </c>
      <c r="AC88" s="6">
        <v>93</v>
      </c>
      <c r="AD88" s="6">
        <v>0</v>
      </c>
      <c r="AE88" s="6">
        <v>0</v>
      </c>
      <c r="AF88" s="6">
        <v>1</v>
      </c>
      <c r="AG88" s="6">
        <v>1</v>
      </c>
      <c r="AH88" s="6">
        <v>1</v>
      </c>
      <c r="AI88" s="6" t="s">
        <v>34</v>
      </c>
      <c r="AJ88" s="6" t="str">
        <f>HYPERLINK(".\links\CDD\tr_G1T1Y7_G1T1Y7_RABIT-CDD.txt","Filament")</f>
        <v>Filament</v>
      </c>
      <c r="AK88" s="6" t="str">
        <f>HYPERLINK("http://www.ncbi.nlm.nih.gov/Structure/cdd/cddsrv.cgi?uid=pfam00038&amp;version=v4.0","1E-091")</f>
        <v>1E-091</v>
      </c>
      <c r="AL88" s="6" t="s">
        <v>369</v>
      </c>
      <c r="AM88" s="6" t="s">
        <v>370</v>
      </c>
      <c r="AN88" s="6">
        <f>HYPERLINK(".\links\GO\tr_G1T1Y7_G1T1Y7_RABIT-GO.txt",0)</f>
        <v>0</v>
      </c>
      <c r="AO88" s="6" t="str">
        <f>HYPERLINK("http://amigo.geneontology.org/cgi-bin/amigo/term_details?term=GO:0005198","GO:0005198")</f>
        <v>GO:0005198</v>
      </c>
      <c r="AP88" s="6" t="s">
        <v>307</v>
      </c>
      <c r="AQ88" s="6" t="s">
        <v>308</v>
      </c>
      <c r="AR88" s="6" t="s">
        <v>33</v>
      </c>
      <c r="AS88" s="6" t="s">
        <v>33</v>
      </c>
      <c r="AU88" s="6">
        <v>0</v>
      </c>
      <c r="AV88" s="6" t="str">
        <f>HYPERLINK("http://amigo.geneontology.org/cgi-bin/amigo/term_details?term=GO:0005634","GO:0005634")</f>
        <v>GO:0005634</v>
      </c>
      <c r="AW88" s="6" t="s">
        <v>81</v>
      </c>
      <c r="AX88" s="6" t="s">
        <v>82</v>
      </c>
      <c r="AY88" s="6" t="s">
        <v>83</v>
      </c>
      <c r="AZ88" s="6" t="s">
        <v>33</v>
      </c>
      <c r="BB88" s="6">
        <v>0</v>
      </c>
      <c r="BC88" s="6" t="str">
        <f>HYPERLINK("http://amigo.geneontology.org/cgi-bin/amigo/term_details?term=GO:0030855","GO:0030855")</f>
        <v>GO:0030855</v>
      </c>
      <c r="BD88" s="6" t="s">
        <v>371</v>
      </c>
      <c r="BE88" s="6" t="s">
        <v>372</v>
      </c>
      <c r="BF88" s="6" t="s">
        <v>33</v>
      </c>
      <c r="BG88" s="6" t="s">
        <v>33</v>
      </c>
      <c r="BI88" s="6">
        <v>0</v>
      </c>
    </row>
    <row r="89" spans="1:61" x14ac:dyDescent="0.2">
      <c r="A89" s="6" t="str">
        <f>HYPERLINK(".\links\\tr_G1T4S1_G1T4S1_RABIT-.txt","tr|G1T4S1|G1T4S1_RABIT")</f>
        <v>tr|G1T4S1|G1T4S1_RABIT</v>
      </c>
      <c r="B89" s="6" t="s">
        <v>32</v>
      </c>
      <c r="C89" s="6">
        <v>452</v>
      </c>
      <c r="D89" s="6" t="s">
        <v>394</v>
      </c>
      <c r="E89" s="6" t="s">
        <v>711</v>
      </c>
      <c r="F89" s="6" t="str">
        <f>HYPERLINK(".\links\RABBIT-NCBI\tr_G1T4S1_G1T4S1_RABIT-RABBIT-NCBI.txt","Keratin, type I cytoskeletal 12; AltName: Full=Cytokeratin-12; Short=CK-12;")</f>
        <v>Keratin, type I cytoskeletal 12; AltName: Full=Cytokeratin-12; Short=CK-12;</v>
      </c>
      <c r="G89" s="6" t="str">
        <f>HYPERLINK("http://www.ncbi.nlm.nih.gov/sutils/blink.cgi?pid=3183048","1E-120")</f>
        <v>1E-120</v>
      </c>
      <c r="H89" s="6" t="str">
        <f>HYPERLINK("http://www.ncbi.nlm.nih.gov/protein/3183048","gi|3183048")</f>
        <v>gi|3183048</v>
      </c>
      <c r="I89" s="6">
        <v>422</v>
      </c>
      <c r="J89" s="6">
        <v>348</v>
      </c>
      <c r="K89" s="6">
        <v>411</v>
      </c>
      <c r="L89" s="6">
        <v>63</v>
      </c>
      <c r="M89" s="6">
        <v>79</v>
      </c>
      <c r="N89" s="6">
        <v>85</v>
      </c>
      <c r="O89" s="6">
        <v>128</v>
      </c>
      <c r="P89" s="6">
        <v>5</v>
      </c>
      <c r="Q89" s="6">
        <v>8</v>
      </c>
      <c r="R89" s="6">
        <v>80</v>
      </c>
      <c r="S89" s="6">
        <v>1</v>
      </c>
      <c r="T89" s="6" t="s">
        <v>33</v>
      </c>
      <c r="U89" s="6" t="str">
        <f>HYPERLINK(".\links\REFSEQ-VERTEBRATES\tr_G1T4S1_G1T4S1_RABIT-REFSEQ-VERTEBRATES.txt","keratin, type I cytoskeletal 15")</f>
        <v>keratin, type I cytoskeletal 15</v>
      </c>
      <c r="V89" s="6" t="str">
        <f>HYPERLINK("http://www.ncbi.nlm.nih.gov/sutils/blink.cgi?pid=655871198","0.0")</f>
        <v>0.0</v>
      </c>
      <c r="W89" s="6" t="str">
        <f>HYPERLINK("http://www.ncbi.nlm.nih.gov/protein/655871198","gi|655871198")</f>
        <v>gi|655871198</v>
      </c>
      <c r="X89" s="6">
        <v>766</v>
      </c>
      <c r="Y89" s="6">
        <v>444</v>
      </c>
      <c r="Z89" s="6">
        <v>464</v>
      </c>
      <c r="AA89" s="6">
        <v>87</v>
      </c>
      <c r="AB89" s="6">
        <v>92</v>
      </c>
      <c r="AC89" s="6">
        <v>96</v>
      </c>
      <c r="AD89" s="6">
        <v>57</v>
      </c>
      <c r="AE89" s="6">
        <v>4</v>
      </c>
      <c r="AF89" s="6">
        <v>1</v>
      </c>
      <c r="AG89" s="6">
        <v>1</v>
      </c>
      <c r="AH89" s="6">
        <v>1</v>
      </c>
      <c r="AI89" s="6" t="s">
        <v>34</v>
      </c>
      <c r="AJ89" s="6" t="str">
        <f>HYPERLINK(".\links\CDD\tr_G1T4S1_G1T4S1_RABIT-CDD.txt","Filament")</f>
        <v>Filament</v>
      </c>
      <c r="AK89" s="6" t="str">
        <f>HYPERLINK("http://www.ncbi.nlm.nih.gov/Structure/cdd/cddsrv.cgi?uid=pfam00038&amp;version=v4.0","5E-092")</f>
        <v>5E-092</v>
      </c>
      <c r="AL89" s="6" t="s">
        <v>389</v>
      </c>
      <c r="AM89" s="6" t="s">
        <v>390</v>
      </c>
      <c r="AN89" s="6">
        <f>HYPERLINK(".\links\GO\tr_G1T4S1_G1T4S1_RABIT-GO.txt",0)</f>
        <v>0</v>
      </c>
      <c r="AO89" s="6" t="str">
        <f>HYPERLINK("http://amigo.geneontology.org/cgi-bin/amigo/term_details?term=GO:0005200","GO:0005200")</f>
        <v>GO:0005200</v>
      </c>
      <c r="AP89" s="6" t="s">
        <v>384</v>
      </c>
      <c r="AQ89" s="6" t="s">
        <v>385</v>
      </c>
      <c r="AR89" s="6" t="s">
        <v>33</v>
      </c>
      <c r="AS89" s="6" t="s">
        <v>33</v>
      </c>
      <c r="AT89" s="6"/>
      <c r="AU89" s="6">
        <v>0</v>
      </c>
      <c r="AV89" s="6" t="str">
        <f>HYPERLINK("http://amigo.geneontology.org/cgi-bin/amigo/term_details?term=GO:0005634","GO:0005634")</f>
        <v>GO:0005634</v>
      </c>
      <c r="AW89" s="6" t="s">
        <v>81</v>
      </c>
      <c r="AX89" s="6" t="s">
        <v>82</v>
      </c>
      <c r="AY89" s="6" t="s">
        <v>83</v>
      </c>
      <c r="AZ89" s="6" t="s">
        <v>33</v>
      </c>
      <c r="BA89" s="6"/>
      <c r="BB89" s="6">
        <v>0</v>
      </c>
      <c r="BC89" s="6" t="str">
        <f>HYPERLINK("http://amigo.geneontology.org/cgi-bin/amigo/term_details?term=GO:0008544","GO:0008544")</f>
        <v>GO:0008544</v>
      </c>
      <c r="BD89" s="6" t="s">
        <v>391</v>
      </c>
      <c r="BE89" s="6" t="s">
        <v>392</v>
      </c>
      <c r="BF89" s="6" t="s">
        <v>393</v>
      </c>
      <c r="BG89" s="6" t="s">
        <v>33</v>
      </c>
      <c r="BH89" s="6"/>
      <c r="BI89" s="6">
        <v>0</v>
      </c>
    </row>
    <row r="90" spans="1:61" x14ac:dyDescent="0.2">
      <c r="A90" s="6" t="str">
        <f>HYPERLINK(".\links\\tr_G1SWB8_G1SWB8_RABIT-.txt","tr|G1SWB8|G1SWB8_RABIT")</f>
        <v>tr|G1SWB8|G1SWB8_RABIT</v>
      </c>
      <c r="B90" s="6" t="s">
        <v>32</v>
      </c>
      <c r="C90" s="6">
        <v>459</v>
      </c>
      <c r="D90" s="6" t="s">
        <v>397</v>
      </c>
      <c r="E90" s="6" t="s">
        <v>711</v>
      </c>
      <c r="F90" s="6" t="str">
        <f>HYPERLINK(".\links\RABBIT-NCBI\tr_G1SWB8_G1SWB8_RABIT-RABBIT-NCBI.txt","Keratin, type I cytoskeletal 12; AltName: Full=Cytokeratin-12; Short=CK-12;")</f>
        <v>Keratin, type I cytoskeletal 12; AltName: Full=Cytokeratin-12; Short=CK-12;</v>
      </c>
      <c r="G90" s="6" t="str">
        <f>HYPERLINK("http://www.ncbi.nlm.nih.gov/sutils/blink.cgi?pid=3183048","1E-121")</f>
        <v>1E-121</v>
      </c>
      <c r="H90" s="6" t="str">
        <f>HYPERLINK("http://www.ncbi.nlm.nih.gov/protein/3183048","gi|3183048")</f>
        <v>gi|3183048</v>
      </c>
      <c r="I90" s="6">
        <v>426</v>
      </c>
      <c r="J90" s="6">
        <v>397</v>
      </c>
      <c r="K90" s="6">
        <v>411</v>
      </c>
      <c r="L90" s="6">
        <v>57</v>
      </c>
      <c r="M90" s="6">
        <v>74</v>
      </c>
      <c r="N90" s="6">
        <v>97</v>
      </c>
      <c r="O90" s="6">
        <v>168</v>
      </c>
      <c r="P90" s="6">
        <v>14</v>
      </c>
      <c r="Q90" s="6">
        <v>18</v>
      </c>
      <c r="R90" s="6">
        <v>57</v>
      </c>
      <c r="S90" s="6">
        <v>1</v>
      </c>
      <c r="T90" s="6" t="s">
        <v>33</v>
      </c>
      <c r="U90" s="6" t="str">
        <f>HYPERLINK(".\links\REFSEQ-VERTEBRATES\tr_G1SWB8_G1SWB8_RABIT-REFSEQ-VERTEBRATES.txt","keratin, type I cytoskeletal 27")</f>
        <v>keratin, type I cytoskeletal 27</v>
      </c>
      <c r="V90" s="6" t="str">
        <f>HYPERLINK("http://www.ncbi.nlm.nih.gov/sutils/blink.cgi?pid=655871193","0.0")</f>
        <v>0.0</v>
      </c>
      <c r="W90" s="6" t="str">
        <f>HYPERLINK("http://www.ncbi.nlm.nih.gov/protein/655871193","gi|655871193")</f>
        <v>gi|655871193</v>
      </c>
      <c r="X90" s="6">
        <v>816</v>
      </c>
      <c r="Y90" s="6">
        <v>459</v>
      </c>
      <c r="Z90" s="6">
        <v>445</v>
      </c>
      <c r="AA90" s="6">
        <v>93</v>
      </c>
      <c r="AB90" s="6">
        <v>93</v>
      </c>
      <c r="AC90" s="6">
        <v>103</v>
      </c>
      <c r="AD90" s="6">
        <v>32</v>
      </c>
      <c r="AE90" s="6">
        <v>14</v>
      </c>
      <c r="AF90" s="6">
        <v>1</v>
      </c>
      <c r="AG90" s="6">
        <v>1</v>
      </c>
      <c r="AH90" s="6">
        <v>1</v>
      </c>
      <c r="AI90" s="6" t="s">
        <v>34</v>
      </c>
      <c r="AJ90" s="6" t="str">
        <f>HYPERLINK(".\links\CDD\tr_G1SWB8_G1SWB8_RABIT-CDD.txt","Filament")</f>
        <v>Filament</v>
      </c>
      <c r="AK90" s="6" t="str">
        <f>HYPERLINK("http://www.ncbi.nlm.nih.gov/Structure/cdd/cddsrv.cgi?uid=pfam00038&amp;version=v4.0","5E-076")</f>
        <v>5E-076</v>
      </c>
      <c r="AL90" s="6" t="s">
        <v>395</v>
      </c>
      <c r="AM90" s="6" t="s">
        <v>396</v>
      </c>
      <c r="AN90" s="6">
        <f>HYPERLINK(".\links\GO\tr_G1SWB8_G1SWB8_RABIT-GO.txt",0)</f>
        <v>0</v>
      </c>
      <c r="AO90" s="6" t="str">
        <f>HYPERLINK("http://amigo.geneontology.org/cgi-bin/amigo/term_details?term=GO:0003674","GO:0003674")</f>
        <v>GO:0003674</v>
      </c>
      <c r="AP90" s="6" t="s">
        <v>321</v>
      </c>
      <c r="AQ90" s="6" t="s">
        <v>322</v>
      </c>
      <c r="AR90" s="6" t="s">
        <v>323</v>
      </c>
      <c r="AS90" s="6" t="s">
        <v>33</v>
      </c>
      <c r="AT90" s="6"/>
      <c r="AU90" s="6">
        <v>0</v>
      </c>
      <c r="AV90" s="6" t="str">
        <f>HYPERLINK("http://amigo.geneontology.org/cgi-bin/amigo/term_details?term=GO:0005575","GO:0005575")</f>
        <v>GO:0005575</v>
      </c>
      <c r="AW90" s="6" t="s">
        <v>324</v>
      </c>
      <c r="AX90" s="6" t="s">
        <v>325</v>
      </c>
      <c r="AY90" s="6" t="s">
        <v>326</v>
      </c>
      <c r="AZ90" s="6" t="s">
        <v>33</v>
      </c>
      <c r="BA90" s="6"/>
      <c r="BB90" s="6">
        <v>0</v>
      </c>
      <c r="BC90" s="6" t="str">
        <f>HYPERLINK("http://amigo.geneontology.org/cgi-bin/amigo/term_details?term=GO:0008150","GO:0008150")</f>
        <v>GO:0008150</v>
      </c>
      <c r="BD90" s="6" t="s">
        <v>327</v>
      </c>
      <c r="BE90" s="6" t="s">
        <v>328</v>
      </c>
      <c r="BF90" s="6" t="s">
        <v>329</v>
      </c>
      <c r="BG90" s="6" t="s">
        <v>33</v>
      </c>
      <c r="BH90" s="6"/>
      <c r="BI90" s="6">
        <v>0</v>
      </c>
    </row>
    <row r="91" spans="1:61" x14ac:dyDescent="0.2">
      <c r="A91" s="6" t="str">
        <f>HYPERLINK(".\links\\tr_G1SUH1_G1SUH1_RABIT-.txt","tr|G1SUH1|G1SUH1_RABIT")</f>
        <v>tr|G1SUH1|G1SUH1_RABIT</v>
      </c>
      <c r="B91" s="6" t="s">
        <v>32</v>
      </c>
      <c r="C91" s="6">
        <v>513</v>
      </c>
      <c r="D91" s="6" t="s">
        <v>444</v>
      </c>
      <c r="E91" s="6" t="s">
        <v>711</v>
      </c>
      <c r="F91" s="6" t="str">
        <f>HYPERLINK(".\links\RABBIT-NCBI\tr_G1SUH1_G1SUH1_RABIT-RABBIT-NCBI.txt","Keratin, type II cytoskeletal 3; AltName: Full=Cytokeratin-3; Short=CK-3;")</f>
        <v>Keratin, type II cytoskeletal 3; AltName: Full=Cytokeratin-3; Short=CK-3;</v>
      </c>
      <c r="G91" s="6" t="str">
        <f>HYPERLINK("http://www.ncbi.nlm.nih.gov/sutils/blink.cgi?pid=75059267","1E-159")</f>
        <v>1E-159</v>
      </c>
      <c r="H91" s="6" t="str">
        <f>HYPERLINK("http://www.ncbi.nlm.nih.gov/protein/75059267","gi|75059267")</f>
        <v>gi|75059267</v>
      </c>
      <c r="I91" s="6">
        <v>552</v>
      </c>
      <c r="J91" s="6">
        <v>529</v>
      </c>
      <c r="K91" s="6">
        <v>629</v>
      </c>
      <c r="L91" s="6">
        <v>59</v>
      </c>
      <c r="M91" s="6">
        <v>73</v>
      </c>
      <c r="N91" s="6">
        <v>84</v>
      </c>
      <c r="O91" s="6">
        <v>216</v>
      </c>
      <c r="P91" s="6">
        <v>59</v>
      </c>
      <c r="Q91" s="6">
        <v>1</v>
      </c>
      <c r="R91" s="6">
        <v>1</v>
      </c>
      <c r="S91" s="6">
        <v>1</v>
      </c>
      <c r="T91" s="6" t="s">
        <v>33</v>
      </c>
      <c r="U91" s="6" t="str">
        <f>HYPERLINK(".\links\REFSEQ-VERTEBRATES\tr_G1SUH1_G1SUH1_RABIT-REFSEQ-VERTEBRATES.txt","keratin, type II cytoskeletal 72")</f>
        <v>keratin, type II cytoskeletal 72</v>
      </c>
      <c r="V91" s="6" t="str">
        <f>HYPERLINK("http://www.ncbi.nlm.nih.gov/sutils/blink.cgi?pid=655730595","0.0")</f>
        <v>0.0</v>
      </c>
      <c r="W91" s="6" t="str">
        <f>HYPERLINK("http://www.ncbi.nlm.nih.gov/protein/655730595","gi|655730595")</f>
        <v>gi|655730595</v>
      </c>
      <c r="X91" s="6">
        <v>988</v>
      </c>
      <c r="Y91" s="6">
        <v>513</v>
      </c>
      <c r="Z91" s="6">
        <v>513</v>
      </c>
      <c r="AA91" s="6">
        <v>100</v>
      </c>
      <c r="AB91" s="6">
        <v>100</v>
      </c>
      <c r="AC91" s="6">
        <v>100</v>
      </c>
      <c r="AD91" s="6">
        <v>0</v>
      </c>
      <c r="AE91" s="6">
        <v>0</v>
      </c>
      <c r="AF91" s="6">
        <v>1</v>
      </c>
      <c r="AG91" s="6">
        <v>1</v>
      </c>
      <c r="AH91" s="6">
        <v>1</v>
      </c>
      <c r="AI91" s="6" t="s">
        <v>34</v>
      </c>
      <c r="AJ91" s="6" t="str">
        <f>HYPERLINK(".\links\CDD\tr_G1SUH1_G1SUH1_RABIT-CDD.txt","Filament")</f>
        <v>Filament</v>
      </c>
      <c r="AK91" s="6" t="str">
        <f>HYPERLINK("http://www.ncbi.nlm.nih.gov/Structure/cdd/cddsrv.cgi?uid=pfam00038&amp;version=v4.0","1E-073")</f>
        <v>1E-073</v>
      </c>
      <c r="AL91" s="6" t="s">
        <v>442</v>
      </c>
      <c r="AM91" s="6" t="s">
        <v>443</v>
      </c>
      <c r="AN91" s="6">
        <f>HYPERLINK(".\links\GO\tr_G1SUH1_G1SUH1_RABIT-GO.txt",0)</f>
        <v>0</v>
      </c>
      <c r="AO91" s="6" t="str">
        <f>HYPERLINK("http://amigo.geneontology.org/cgi-bin/amigo/term_details?term=GO:0003674","GO:0003674")</f>
        <v>GO:0003674</v>
      </c>
      <c r="AP91" s="6" t="s">
        <v>321</v>
      </c>
      <c r="AQ91" s="6" t="s">
        <v>322</v>
      </c>
      <c r="AR91" s="6" t="s">
        <v>323</v>
      </c>
      <c r="AS91" s="6" t="s">
        <v>33</v>
      </c>
      <c r="AT91" s="6"/>
      <c r="AU91" s="6">
        <v>0</v>
      </c>
      <c r="AV91" s="6" t="str">
        <f>HYPERLINK("http://amigo.geneontology.org/cgi-bin/amigo/term_details?term=GO:0005575","GO:0005575")</f>
        <v>GO:0005575</v>
      </c>
      <c r="AW91" s="6" t="s">
        <v>324</v>
      </c>
      <c r="AX91" s="6" t="s">
        <v>325</v>
      </c>
      <c r="AY91" s="6" t="s">
        <v>326</v>
      </c>
      <c r="AZ91" s="6" t="s">
        <v>33</v>
      </c>
      <c r="BA91" s="6"/>
      <c r="BB91" s="6">
        <v>0</v>
      </c>
      <c r="BC91" s="6" t="str">
        <f>HYPERLINK("http://amigo.geneontology.org/cgi-bin/amigo/term_details?term=GO:0008150","GO:0008150")</f>
        <v>GO:0008150</v>
      </c>
      <c r="BD91" s="6" t="s">
        <v>327</v>
      </c>
      <c r="BE91" s="6" t="s">
        <v>328</v>
      </c>
      <c r="BF91" s="6" t="s">
        <v>329</v>
      </c>
      <c r="BG91" s="6" t="s">
        <v>33</v>
      </c>
      <c r="BH91" s="6"/>
      <c r="BI91" s="6">
        <v>0</v>
      </c>
    </row>
    <row r="92" spans="1:61" x14ac:dyDescent="0.2">
      <c r="A92" s="1" t="str">
        <f>HYPERLINK(".\links\\tr_G1U754_G1U754_RABIT-.txt","tr|G1U754|G1U754_RABIT")</f>
        <v>tr|G1U754|G1U754_RABIT</v>
      </c>
      <c r="B92" s="1" t="s">
        <v>32</v>
      </c>
      <c r="C92" s="1">
        <v>548</v>
      </c>
      <c r="D92" s="1" t="s">
        <v>461</v>
      </c>
      <c r="E92" s="1" t="s">
        <v>709</v>
      </c>
      <c r="F92" s="1" t="str">
        <f>HYPERLINK(".\links\RABBIT-NCBI\tr_G1U754_G1U754_RABIT-RABBIT-NCBI.txt","Histidine-rich glycoprotein; AltName: Full=Histidine-proline-rich glycoprotein;")</f>
        <v>Histidine-rich glycoprotein; AltName: Full=Histidine-proline-rich glycoprotein;</v>
      </c>
      <c r="G92" s="1" t="str">
        <f>HYPERLINK("http://www.ncbi.nlm.nih.gov/sutils/blink.cgi?pid=2494026","0.0")</f>
        <v>0.0</v>
      </c>
      <c r="H92" s="1" t="str">
        <f>HYPERLINK("http://www.ncbi.nlm.nih.gov/protein/2494026","gi|2494026")</f>
        <v>gi|2494026</v>
      </c>
      <c r="I92" s="1">
        <v>1126</v>
      </c>
      <c r="J92" s="1">
        <v>538</v>
      </c>
      <c r="K92" s="1">
        <v>526</v>
      </c>
      <c r="L92" s="1">
        <v>94</v>
      </c>
      <c r="M92" s="1">
        <v>95</v>
      </c>
      <c r="N92" s="1">
        <v>102</v>
      </c>
      <c r="O92" s="1">
        <v>27</v>
      </c>
      <c r="P92" s="1">
        <v>12</v>
      </c>
      <c r="Q92" s="1">
        <v>1</v>
      </c>
      <c r="R92" s="1">
        <v>11</v>
      </c>
      <c r="S92" s="1">
        <v>1</v>
      </c>
      <c r="T92" s="1" t="s">
        <v>33</v>
      </c>
      <c r="U92" s="1" t="str">
        <f>HYPERLINK(".\links\REFSEQ-VERTEBRATES\tr_G1U754_G1U754_RABIT-REFSEQ-VERTEBRATES.txt","histidine-rich glycoprotein")</f>
        <v>histidine-rich glycoprotein</v>
      </c>
      <c r="V92" s="1" t="str">
        <f>HYPERLINK("http://www.ncbi.nlm.nih.gov/sutils/blink.cgi?pid=655853659","0.0")</f>
        <v>0.0</v>
      </c>
      <c r="W92" s="1" t="str">
        <f>HYPERLINK("http://www.ncbi.nlm.nih.gov/protein/655853659","gi|655853659")</f>
        <v>gi|655853659</v>
      </c>
      <c r="X92" s="1">
        <v>1234</v>
      </c>
      <c r="Y92" s="1">
        <v>548</v>
      </c>
      <c r="Z92" s="1">
        <v>548</v>
      </c>
      <c r="AA92" s="1">
        <v>100</v>
      </c>
      <c r="AB92" s="1">
        <v>100</v>
      </c>
      <c r="AC92" s="1">
        <v>100</v>
      </c>
      <c r="AD92" s="1">
        <v>0</v>
      </c>
      <c r="AE92" s="1">
        <v>0</v>
      </c>
      <c r="AF92" s="1">
        <v>1</v>
      </c>
      <c r="AG92" s="1">
        <v>1</v>
      </c>
      <c r="AH92" s="1">
        <v>1</v>
      </c>
      <c r="AI92" s="1" t="s">
        <v>34</v>
      </c>
      <c r="AJ92" s="1" t="str">
        <f>HYPERLINK(".\links\CDD\tr_G1U754_G1U754_RABIT-CDD.txt","Pro-rich")</f>
        <v>Pro-rich</v>
      </c>
      <c r="AK92" s="1" t="str">
        <f>HYPERLINK("http://www.ncbi.nlm.nih.gov/Structure/cdd/cddsrv.cgi?uid=pfam15240&amp;version=v4.0","4E-019")</f>
        <v>4E-019</v>
      </c>
      <c r="AL92" s="1" t="s">
        <v>456</v>
      </c>
      <c r="AM92" s="1" t="s">
        <v>457</v>
      </c>
      <c r="AN92" s="1">
        <f>HYPERLINK(".\links\GO\tr_G1U754_G1U754_RABIT-GO.txt",0)</f>
        <v>0</v>
      </c>
      <c r="AO92" s="1" t="str">
        <f>HYPERLINK("http://amigo.geneontology.org/cgi-bin/amigo/term_details?term=GO:0004867","GO:0004867")</f>
        <v>GO:0004867</v>
      </c>
      <c r="AP92" s="1" t="s">
        <v>337</v>
      </c>
      <c r="AQ92" s="1" t="s">
        <v>338</v>
      </c>
      <c r="AR92" s="1" t="s">
        <v>339</v>
      </c>
      <c r="AS92" s="1" t="s">
        <v>33</v>
      </c>
      <c r="AU92" s="1">
        <v>0</v>
      </c>
      <c r="AV92" s="1" t="str">
        <f>HYPERLINK("http://amigo.geneontology.org/cgi-bin/amigo/term_details?term=GO:0005576","GO:0005576")</f>
        <v>GO:0005576</v>
      </c>
      <c r="AW92" s="1" t="s">
        <v>51</v>
      </c>
      <c r="AX92" s="1" t="s">
        <v>52</v>
      </c>
      <c r="AY92" s="1" t="s">
        <v>53</v>
      </c>
      <c r="AZ92" s="1" t="s">
        <v>33</v>
      </c>
      <c r="BB92" s="1">
        <v>0</v>
      </c>
      <c r="BC92" s="1" t="str">
        <f>HYPERLINK("http://amigo.geneontology.org/cgi-bin/amigo/term_details?term=GO:0001525","GO:0001525")</f>
        <v>GO:0001525</v>
      </c>
      <c r="BD92" s="1" t="s">
        <v>458</v>
      </c>
      <c r="BE92" s="1" t="s">
        <v>459</v>
      </c>
      <c r="BF92" s="1" t="s">
        <v>460</v>
      </c>
      <c r="BG92" s="1" t="s">
        <v>33</v>
      </c>
      <c r="BI92" s="1">
        <v>0</v>
      </c>
    </row>
    <row r="93" spans="1:61" s="6" customFormat="1" x14ac:dyDescent="0.2">
      <c r="A93" s="6" t="str">
        <f>HYPERLINK(".\links\\tr_G1SPP3_G1SPP3_RABIT-.txt","tr|G1SPP3|G1SPP3_RABIT")</f>
        <v>tr|G1SPP3|G1SPP3_RABIT</v>
      </c>
      <c r="B93" s="6" t="s">
        <v>312</v>
      </c>
      <c r="C93" s="6">
        <v>596</v>
      </c>
      <c r="D93" s="6" t="s">
        <v>648</v>
      </c>
      <c r="E93" s="6" t="s">
        <v>711</v>
      </c>
      <c r="F93" s="6" t="str">
        <f>HYPERLINK(".\links\RABBIT-NCBI\tr_G1SPP3_G1SPP3_RABIT-RABBIT-NCBI.txt","Keratin, type II cytoskeletal 3; AltName: Full=Cytokeratin-3; Short=CK-3;")</f>
        <v>Keratin, type II cytoskeletal 3; AltName: Full=Cytokeratin-3; Short=CK-3;</v>
      </c>
      <c r="G93" s="6" t="str">
        <f>HYPERLINK("http://www.ncbi.nlm.nih.gov/sutils/blink.cgi?pid=75059267","0.0")</f>
        <v>0.0</v>
      </c>
      <c r="H93" s="6" t="str">
        <f>HYPERLINK("http://www.ncbi.nlm.nih.gov/protein/75059267","gi|75059267")</f>
        <v>gi|75059267</v>
      </c>
      <c r="I93" s="6">
        <v>630</v>
      </c>
      <c r="J93" s="6">
        <v>556</v>
      </c>
      <c r="K93" s="6">
        <v>629</v>
      </c>
      <c r="L93" s="6">
        <v>65</v>
      </c>
      <c r="M93" s="6">
        <v>75</v>
      </c>
      <c r="N93" s="6">
        <v>88</v>
      </c>
      <c r="O93" s="6">
        <v>194</v>
      </c>
      <c r="P93" s="6">
        <v>51</v>
      </c>
      <c r="Q93" s="6">
        <v>3</v>
      </c>
      <c r="R93" s="6">
        <v>79</v>
      </c>
      <c r="S93" s="6">
        <v>1</v>
      </c>
      <c r="T93" s="6" t="s">
        <v>33</v>
      </c>
      <c r="U93" s="6" t="str">
        <f>HYPERLINK(".\links\REFSEQ-VERTEBRATES\tr_G1SPP3_G1SPP3_RABIT-REFSEQ-VERTEBRATES.txt","keratin, type II cytoskeletal 4 isoform 1")</f>
        <v>keratin, type II cytoskeletal 4 isoform 1</v>
      </c>
      <c r="V93" s="6" t="str">
        <f>HYPERLINK("http://www.ncbi.nlm.nih.gov/sutils/blink.cgi?pid=332206117","0.0")</f>
        <v>0.0</v>
      </c>
      <c r="W93" s="6" t="str">
        <f>HYPERLINK("http://www.ncbi.nlm.nih.gov/protein/332206117","gi|332206117")</f>
        <v>gi|332206117</v>
      </c>
      <c r="X93" s="6">
        <v>980</v>
      </c>
      <c r="Y93" s="6">
        <v>596</v>
      </c>
      <c r="Z93" s="6">
        <v>594</v>
      </c>
      <c r="AA93" s="6">
        <v>86</v>
      </c>
      <c r="AB93" s="6">
        <v>89</v>
      </c>
      <c r="AC93" s="6">
        <v>100</v>
      </c>
      <c r="AD93" s="6">
        <v>81</v>
      </c>
      <c r="AE93" s="6">
        <v>3</v>
      </c>
      <c r="AF93" s="6">
        <v>1</v>
      </c>
      <c r="AG93" s="6">
        <v>1</v>
      </c>
      <c r="AH93" s="6">
        <v>1</v>
      </c>
      <c r="AI93" s="6" t="s">
        <v>74</v>
      </c>
      <c r="AJ93" s="6" t="str">
        <f>HYPERLINK(".\links\CDD\tr_G1SPP3_G1SPP3_RABIT-CDD.txt","Filament")</f>
        <v>Filament</v>
      </c>
      <c r="AK93" s="6" t="str">
        <f>HYPERLINK("http://www.ncbi.nlm.nih.gov/Structure/cdd/cddsrv.cgi?uid=pfam00038&amp;version=v4.0","2E-079")</f>
        <v>2E-079</v>
      </c>
      <c r="AL93" s="6" t="s">
        <v>488</v>
      </c>
      <c r="AM93" s="6" t="s">
        <v>489</v>
      </c>
      <c r="AN93" s="6">
        <f>HYPERLINK(".\links\GO\tr_G1SPP3_G1SPP3_RABIT-GO.txt",0)</f>
        <v>0</v>
      </c>
      <c r="AO93" s="6" t="str">
        <f>HYPERLINK("http://amigo.geneontology.org/cgi-bin/amigo/term_details?term=GO:0005198","GO:0005198")</f>
        <v>GO:0005198</v>
      </c>
      <c r="AP93" s="6" t="s">
        <v>307</v>
      </c>
      <c r="AQ93" s="6" t="s">
        <v>308</v>
      </c>
      <c r="AR93" s="6" t="s">
        <v>33</v>
      </c>
      <c r="AS93" s="6" t="s">
        <v>33</v>
      </c>
      <c r="AU93" s="6">
        <v>0</v>
      </c>
      <c r="AV93" s="6" t="str">
        <f>HYPERLINK("http://amigo.geneontology.org/cgi-bin/amigo/term_details?term=GO:0045095","GO:0045095")</f>
        <v>GO:0045095</v>
      </c>
      <c r="AW93" s="6" t="s">
        <v>490</v>
      </c>
      <c r="AX93" s="6" t="s">
        <v>491</v>
      </c>
      <c r="AY93" s="6" t="s">
        <v>492</v>
      </c>
      <c r="AZ93" s="6" t="s">
        <v>33</v>
      </c>
      <c r="BB93" s="6">
        <v>0</v>
      </c>
      <c r="BC93" s="6" t="str">
        <f>HYPERLINK("http://amigo.geneontology.org/cgi-bin/amigo/term_details?term=GO:0030855","GO:0030855")</f>
        <v>GO:0030855</v>
      </c>
      <c r="BD93" s="6" t="s">
        <v>371</v>
      </c>
      <c r="BE93" s="6" t="s">
        <v>372</v>
      </c>
      <c r="BF93" s="6" t="s">
        <v>33</v>
      </c>
      <c r="BG93" s="6" t="s">
        <v>33</v>
      </c>
      <c r="BI93" s="6">
        <v>0</v>
      </c>
    </row>
    <row r="94" spans="1:61" s="6" customFormat="1" x14ac:dyDescent="0.2">
      <c r="A94" s="6" t="str">
        <f>HYPERLINK(".\links\\tr_G1SY72_G1SY72_RABIT-.txt","tr|G1SY72|G1SY72_RABIT")</f>
        <v>tr|G1SY72|G1SY72_RABIT</v>
      </c>
      <c r="B94" s="6" t="s">
        <v>32</v>
      </c>
      <c r="C94" s="6">
        <v>632</v>
      </c>
      <c r="D94" s="6" t="s">
        <v>651</v>
      </c>
      <c r="E94" s="6" t="s">
        <v>711</v>
      </c>
      <c r="F94" s="6" t="str">
        <f>HYPERLINK(".\links\RABBIT-NCBI\tr_G1SY72_G1SY72_RABIT-RABBIT-NCBI.txt","Keratin, type II cytoskeletal 3; AltName: Full=Cytokeratin-3; Short=CK-3;")</f>
        <v>Keratin, type II cytoskeletal 3; AltName: Full=Cytokeratin-3; Short=CK-3;</v>
      </c>
      <c r="G94" s="6" t="str">
        <f>HYPERLINK("http://www.ncbi.nlm.nih.gov/sutils/blink.cgi?pid=75059267","0.0")</f>
        <v>0.0</v>
      </c>
      <c r="H94" s="6" t="str">
        <f>HYPERLINK("http://www.ncbi.nlm.nih.gov/protein/75059267","gi|75059267")</f>
        <v>gi|75059267</v>
      </c>
      <c r="I94" s="6">
        <v>1234</v>
      </c>
      <c r="J94" s="6">
        <v>632</v>
      </c>
      <c r="K94" s="6">
        <v>629</v>
      </c>
      <c r="L94" s="6">
        <v>99</v>
      </c>
      <c r="M94" s="6">
        <v>99</v>
      </c>
      <c r="N94" s="6">
        <v>100</v>
      </c>
      <c r="O94" s="6">
        <v>3</v>
      </c>
      <c r="P94" s="6">
        <v>3</v>
      </c>
      <c r="Q94" s="6">
        <v>1</v>
      </c>
      <c r="R94" s="6">
        <v>1</v>
      </c>
      <c r="S94" s="6">
        <v>1</v>
      </c>
      <c r="T94" s="6" t="s">
        <v>33</v>
      </c>
      <c r="U94" s="6" t="str">
        <f>HYPERLINK(".\links\REFSEQ-VERTEBRATES\tr_G1SY72_G1SY72_RABIT-REFSEQ-VERTEBRATES.txt","keratin, type II cytoskeletal 3")</f>
        <v>keratin, type II cytoskeletal 3</v>
      </c>
      <c r="V94" s="6" t="str">
        <f>HYPERLINK("http://www.ncbi.nlm.nih.gov/sutils/blink.cgi?pid=291389221","0.0")</f>
        <v>0.0</v>
      </c>
      <c r="W94" s="6" t="str">
        <f>HYPERLINK("http://www.ncbi.nlm.nih.gov/protein/291389221","gi|291389221")</f>
        <v>gi|291389221</v>
      </c>
      <c r="X94" s="6">
        <v>1234</v>
      </c>
      <c r="Y94" s="6">
        <v>632</v>
      </c>
      <c r="Z94" s="6">
        <v>629</v>
      </c>
      <c r="AA94" s="6">
        <v>99</v>
      </c>
      <c r="AB94" s="6">
        <v>99</v>
      </c>
      <c r="AC94" s="6">
        <v>100</v>
      </c>
      <c r="AD94" s="6">
        <v>3</v>
      </c>
      <c r="AE94" s="6">
        <v>3</v>
      </c>
      <c r="AF94" s="6">
        <v>1</v>
      </c>
      <c r="AG94" s="6">
        <v>1</v>
      </c>
      <c r="AH94" s="6">
        <v>1</v>
      </c>
      <c r="AI94" s="6" t="s">
        <v>34</v>
      </c>
      <c r="AJ94" s="6" t="str">
        <f>HYPERLINK(".\links\CDD\tr_G1SY72_G1SY72_RABIT-CDD.txt","Filament")</f>
        <v>Filament</v>
      </c>
      <c r="AK94" s="6" t="str">
        <f>HYPERLINK("http://www.ncbi.nlm.nih.gov/Structure/cdd/cddsrv.cgi?uid=pfam00038&amp;version=v4.0","5E-080")</f>
        <v>5E-080</v>
      </c>
      <c r="AL94" s="6" t="s">
        <v>512</v>
      </c>
      <c r="AM94" s="6" t="s">
        <v>513</v>
      </c>
      <c r="AN94" s="6">
        <f>HYPERLINK(".\links\GO\tr_G1SY72_G1SY72_RABIT-GO.txt",0)</f>
        <v>0</v>
      </c>
      <c r="AO94" s="6" t="str">
        <f>HYPERLINK("http://amigo.geneontology.org/cgi-bin/amigo/term_details?term=GO:0005198","GO:0005198")</f>
        <v>GO:0005198</v>
      </c>
      <c r="AP94" s="6" t="s">
        <v>307</v>
      </c>
      <c r="AQ94" s="6" t="s">
        <v>308</v>
      </c>
      <c r="AR94" s="6" t="s">
        <v>33</v>
      </c>
      <c r="AS94" s="6" t="s">
        <v>33</v>
      </c>
      <c r="AU94" s="6">
        <v>0</v>
      </c>
      <c r="AV94" s="6" t="str">
        <f>HYPERLINK("http://amigo.geneontology.org/cgi-bin/amigo/term_details?term=GO:0045095","GO:0045095")</f>
        <v>GO:0045095</v>
      </c>
      <c r="AW94" s="6" t="s">
        <v>490</v>
      </c>
      <c r="AX94" s="6" t="s">
        <v>491</v>
      </c>
      <c r="AY94" s="6" t="s">
        <v>492</v>
      </c>
      <c r="AZ94" s="6" t="s">
        <v>33</v>
      </c>
      <c r="BB94" s="6">
        <v>0</v>
      </c>
      <c r="BC94" s="6" t="str">
        <f>HYPERLINK("http://amigo.geneontology.org/cgi-bin/amigo/term_details?term=GO:0045104","GO:0045104")</f>
        <v>GO:0045104</v>
      </c>
      <c r="BD94" s="6" t="s">
        <v>514</v>
      </c>
      <c r="BE94" s="6" t="s">
        <v>515</v>
      </c>
      <c r="BF94" s="6" t="s">
        <v>516</v>
      </c>
      <c r="BG94" s="6" t="s">
        <v>33</v>
      </c>
      <c r="BI94" s="6">
        <v>0</v>
      </c>
    </row>
    <row r="95" spans="1:61" s="6" customFormat="1" x14ac:dyDescent="0.2">
      <c r="A95" s="6" t="str">
        <f>HYPERLINK(".\links\\tr_G1T0W8_G1T0W8_RABIT-.txt","tr|G1T0W8|G1T0W8_RABIT")</f>
        <v>tr|G1T0W8|G1T0W8_RABIT</v>
      </c>
      <c r="B95" s="6" t="s">
        <v>32</v>
      </c>
      <c r="C95" s="6">
        <v>489</v>
      </c>
      <c r="D95" s="6" t="s">
        <v>695</v>
      </c>
      <c r="E95" s="6" t="s">
        <v>712</v>
      </c>
      <c r="F95" s="6" t="str">
        <f>HYPERLINK(".\links\RABBIT-NCBI\tr_G1T0W8_G1T0W8_RABIT-RABBIT-NCBI.txt","Fibrinogen beta chain; Contains: RecName: Full=Fibrinopeptide B; Contains:")</f>
        <v>Fibrinogen beta chain; Contains: RecName: Full=Fibrinopeptide B; Contains:</v>
      </c>
      <c r="G95" s="6" t="str">
        <f>HYPERLINK("http://www.ncbi.nlm.nih.gov/sutils/blink.cgi?pid=239938624","5E-020")</f>
        <v>5E-020</v>
      </c>
      <c r="H95" s="6" t="str">
        <f>HYPERLINK("http://www.ncbi.nlm.nih.gov/protein/239938624","gi|239938624")</f>
        <v>gi|239938624</v>
      </c>
      <c r="I95" s="6">
        <v>91.3</v>
      </c>
      <c r="J95" s="6">
        <v>41</v>
      </c>
      <c r="K95" s="6">
        <v>41</v>
      </c>
      <c r="L95" s="6">
        <v>100</v>
      </c>
      <c r="M95" s="6">
        <v>100</v>
      </c>
      <c r="N95" s="6">
        <v>100</v>
      </c>
      <c r="O95" s="6">
        <v>0</v>
      </c>
      <c r="P95" s="6">
        <v>0</v>
      </c>
      <c r="Q95" s="6">
        <v>1</v>
      </c>
      <c r="R95" s="6">
        <v>30</v>
      </c>
      <c r="S95" s="6">
        <v>1</v>
      </c>
      <c r="T95" s="6" t="s">
        <v>33</v>
      </c>
      <c r="U95" s="6" t="str">
        <f>HYPERLINK(".\links\REFSEQ-VERTEBRATES\tr_G1T0W8_G1T0W8_RABIT-REFSEQ-VERTEBRATES.txt","fibrinogen beta chain")</f>
        <v>fibrinogen beta chain</v>
      </c>
      <c r="V95" s="6" t="str">
        <f>HYPERLINK("http://www.ncbi.nlm.nih.gov/sutils/blink.cgi?pid=291401109","0.0")</f>
        <v>0.0</v>
      </c>
      <c r="W95" s="6" t="str">
        <f>HYPERLINK("http://www.ncbi.nlm.nih.gov/protein/291401109","gi|291401109")</f>
        <v>gi|291401109</v>
      </c>
      <c r="X95" s="6">
        <v>1032</v>
      </c>
      <c r="Y95" s="6">
        <v>489</v>
      </c>
      <c r="Z95" s="6">
        <v>489</v>
      </c>
      <c r="AA95" s="6">
        <v>100</v>
      </c>
      <c r="AB95" s="6">
        <v>100</v>
      </c>
      <c r="AC95" s="6">
        <v>100</v>
      </c>
      <c r="AD95" s="6">
        <v>0</v>
      </c>
      <c r="AE95" s="6">
        <v>0</v>
      </c>
      <c r="AF95" s="6">
        <v>1</v>
      </c>
      <c r="AG95" s="6">
        <v>1</v>
      </c>
      <c r="AH95" s="6">
        <v>1</v>
      </c>
      <c r="AI95" s="6" t="s">
        <v>34</v>
      </c>
      <c r="AJ95" s="6" t="str">
        <f>HYPERLINK(".\links\CDD\tr_G1T0W8_G1T0W8_RABIT-CDD.txt","Fibrinogen_C")</f>
        <v>Fibrinogen_C</v>
      </c>
      <c r="AK95" s="6" t="str">
        <f>HYPERLINK("http://www.ncbi.nlm.nih.gov/Structure/cdd/cddsrv.cgi?uid=pfam00147&amp;version=v4.0","3E-081")</f>
        <v>3E-081</v>
      </c>
      <c r="AL95" s="6" t="s">
        <v>429</v>
      </c>
      <c r="AM95" s="6" t="s">
        <v>430</v>
      </c>
      <c r="AN95" s="6">
        <f>HYPERLINK(".\links\GO\tr_G1T0W8_G1T0W8_RABIT-GO.txt",0)</f>
        <v>0</v>
      </c>
      <c r="AO95" s="6" t="str">
        <f>HYPERLINK("http://amigo.geneontology.org/cgi-bin/amigo/term_details?term=GO:0005198","GO:0005198")</f>
        <v>GO:0005198</v>
      </c>
      <c r="AP95" s="6" t="s">
        <v>307</v>
      </c>
      <c r="AQ95" s="6" t="s">
        <v>308</v>
      </c>
      <c r="AR95" s="6" t="s">
        <v>33</v>
      </c>
      <c r="AS95" s="6" t="s">
        <v>33</v>
      </c>
      <c r="AU95" s="6">
        <v>0</v>
      </c>
      <c r="AV95" s="6" t="str">
        <f>HYPERLINK("http://amigo.geneontology.org/cgi-bin/amigo/term_details?term=GO:0005576","GO:0005576")</f>
        <v>GO:0005576</v>
      </c>
      <c r="AW95" s="6" t="s">
        <v>51</v>
      </c>
      <c r="AX95" s="6" t="s">
        <v>52</v>
      </c>
      <c r="AY95" s="6" t="s">
        <v>53</v>
      </c>
      <c r="AZ95" s="6" t="s">
        <v>33</v>
      </c>
      <c r="BB95" s="6">
        <v>0</v>
      </c>
      <c r="BC95" s="6" t="str">
        <f>HYPERLINK("http://amigo.geneontology.org/cgi-bin/amigo/term_details?term=GO:0002576","GO:0002576")</f>
        <v>GO:0002576</v>
      </c>
      <c r="BD95" s="6" t="s">
        <v>431</v>
      </c>
      <c r="BE95" s="6" t="s">
        <v>432</v>
      </c>
      <c r="BF95" s="6" t="s">
        <v>433</v>
      </c>
      <c r="BG95" s="6" t="s">
        <v>33</v>
      </c>
      <c r="BI95" s="6">
        <v>0</v>
      </c>
    </row>
    <row r="96" spans="1:61" s="6" customFormat="1" x14ac:dyDescent="0.2">
      <c r="A96" s="6" t="str">
        <f>HYPERLINK(".\links\\tr_G1T0X2_G1T0X2_RABIT-.txt","tr|G1T0X2|G1T0X2_RABIT")</f>
        <v>tr|G1T0X2|G1T0X2_RABIT</v>
      </c>
      <c r="B96" s="6" t="s">
        <v>32</v>
      </c>
      <c r="C96" s="6">
        <v>811</v>
      </c>
      <c r="D96" s="6" t="s">
        <v>696</v>
      </c>
      <c r="E96" s="6" t="s">
        <v>712</v>
      </c>
      <c r="F96" s="6" t="str">
        <f>HYPERLINK(".\links\RABBIT-NCBI\tr_G1T0X2_G1T0X2_RABIT-RABBIT-NCBI.txt","Fibrinogen alpha chain; Contains: RecName: Full=Fibrinopeptide A")</f>
        <v>Fibrinogen alpha chain; Contains: RecName: Full=Fibrinopeptide A</v>
      </c>
      <c r="G96" s="6" t="str">
        <f>HYPERLINK("http://www.ncbi.nlm.nih.gov/sutils/blink.cgi?pid=120095","0.002")</f>
        <v>0.002</v>
      </c>
      <c r="H96" s="6" t="str">
        <f>HYPERLINK("http://www.ncbi.nlm.nih.gov/protein/120095","gi|120095")</f>
        <v>gi|120095</v>
      </c>
      <c r="I96" s="6">
        <v>37</v>
      </c>
      <c r="J96" s="6">
        <v>16</v>
      </c>
      <c r="K96" s="6">
        <v>16</v>
      </c>
      <c r="L96" s="6">
        <v>100</v>
      </c>
      <c r="M96" s="6">
        <v>100</v>
      </c>
      <c r="N96" s="6">
        <v>100</v>
      </c>
      <c r="O96" s="6">
        <v>0</v>
      </c>
      <c r="P96" s="6">
        <v>0</v>
      </c>
      <c r="Q96" s="6">
        <v>1</v>
      </c>
      <c r="R96" s="6">
        <v>20</v>
      </c>
      <c r="S96" s="6">
        <v>1</v>
      </c>
      <c r="T96" s="6" t="s">
        <v>33</v>
      </c>
      <c r="U96" s="6" t="str">
        <f>HYPERLINK(".\links\REFSEQ-VERTEBRATES\tr_G1T0X2_G1T0X2_RABIT-REFSEQ-VERTEBRATES.txt","fibrinogen alpha chain")</f>
        <v>fibrinogen alpha chain</v>
      </c>
      <c r="V96" s="6" t="str">
        <f>HYPERLINK("http://www.ncbi.nlm.nih.gov/sutils/blink.cgi?pid=291401111","0.0")</f>
        <v>0.0</v>
      </c>
      <c r="W96" s="6" t="str">
        <f>HYPERLINK("http://www.ncbi.nlm.nih.gov/protein/291401111","gi|291401111")</f>
        <v>gi|291401111</v>
      </c>
      <c r="X96" s="6">
        <v>1662</v>
      </c>
      <c r="Y96" s="6">
        <v>813</v>
      </c>
      <c r="Z96" s="6">
        <v>813</v>
      </c>
      <c r="AA96" s="6">
        <v>99</v>
      </c>
      <c r="AB96" s="6">
        <v>99</v>
      </c>
      <c r="AC96" s="6">
        <v>100</v>
      </c>
      <c r="AD96" s="6">
        <v>5</v>
      </c>
      <c r="AE96" s="6">
        <v>2</v>
      </c>
      <c r="AF96" s="6">
        <v>1</v>
      </c>
      <c r="AG96" s="6">
        <v>1</v>
      </c>
      <c r="AH96" s="6">
        <v>1</v>
      </c>
      <c r="AI96" s="6" t="s">
        <v>34</v>
      </c>
      <c r="AJ96" s="6" t="str">
        <f>HYPERLINK(".\links\CDD\tr_G1T0X2_G1T0X2_RABIT-CDD.txt","FBG")</f>
        <v>FBG</v>
      </c>
      <c r="AK96" s="6" t="str">
        <f>HYPERLINK("http://www.ncbi.nlm.nih.gov/Structure/cdd/cddsrv.cgi?uid=smart00186&amp;version=v4.0","1E-064")</f>
        <v>1E-064</v>
      </c>
      <c r="AL96" s="6" t="s">
        <v>548</v>
      </c>
      <c r="AM96" s="6" t="s">
        <v>549</v>
      </c>
      <c r="AN96" s="6">
        <f>HYPERLINK(".\links\GO\tr_G1T0X2_G1T0X2_RABIT-GO.txt",0)</f>
        <v>0</v>
      </c>
      <c r="AO96" s="6" t="str">
        <f>HYPERLINK("http://amigo.geneontology.org/cgi-bin/amigo/term_details?term=GO:0005198","GO:0005198")</f>
        <v>GO:0005198</v>
      </c>
      <c r="AP96" s="6" t="s">
        <v>307</v>
      </c>
      <c r="AQ96" s="6" t="s">
        <v>308</v>
      </c>
      <c r="AR96" s="6" t="s">
        <v>33</v>
      </c>
      <c r="AS96" s="6" t="s">
        <v>33</v>
      </c>
      <c r="AU96" s="6">
        <v>0</v>
      </c>
      <c r="AV96" s="6" t="str">
        <f>HYPERLINK("http://amigo.geneontology.org/cgi-bin/amigo/term_details?term=GO:0005576","GO:0005576")</f>
        <v>GO:0005576</v>
      </c>
      <c r="AW96" s="6" t="s">
        <v>51</v>
      </c>
      <c r="AX96" s="6" t="s">
        <v>52</v>
      </c>
      <c r="AY96" s="6" t="s">
        <v>53</v>
      </c>
      <c r="AZ96" s="6" t="s">
        <v>33</v>
      </c>
      <c r="BB96" s="6">
        <v>0</v>
      </c>
      <c r="BC96" s="6" t="str">
        <f>HYPERLINK("http://amigo.geneontology.org/cgi-bin/amigo/term_details?term=GO:0002576","GO:0002576")</f>
        <v>GO:0002576</v>
      </c>
      <c r="BD96" s="6" t="s">
        <v>431</v>
      </c>
      <c r="BE96" s="6" t="s">
        <v>432</v>
      </c>
      <c r="BF96" s="6" t="s">
        <v>433</v>
      </c>
      <c r="BG96" s="6" t="s">
        <v>33</v>
      </c>
      <c r="BI96" s="6">
        <v>0</v>
      </c>
    </row>
    <row r="97" spans="1:61" s="6" customFormat="1" x14ac:dyDescent="0.2">
      <c r="A97" s="6" t="str">
        <f>HYPERLINK(".\links\\tr_G1TKX3_G1TKX3_RABIT-.txt","tr|G1TKX3|G1TKX3_RABIT")</f>
        <v>tr|G1TKX3|G1TKX3_RABIT</v>
      </c>
      <c r="B97" s="6" t="s">
        <v>32</v>
      </c>
      <c r="C97" s="6">
        <v>437</v>
      </c>
      <c r="D97" s="6" t="s">
        <v>673</v>
      </c>
      <c r="E97" s="6" t="s">
        <v>712</v>
      </c>
      <c r="F97" s="6" t="str">
        <f>HYPERLINK(".\links\RABBIT-NCBI\tr_G1TKX3_G1TKX3_RABIT-RABBIT-NCBI.txt","Secretory phospholipase A2 receptor; Short=PLA2-R; Short=PLA2R; AltName:")</f>
        <v>Secretory phospholipase A2 receptor; Short=PLA2-R; Short=PLA2R; AltName:</v>
      </c>
      <c r="G97" s="6" t="str">
        <f>HYPERLINK("http://www.ncbi.nlm.nih.gov/sutils/blink.cgi?pid=1352705","0.017")</f>
        <v>0.017</v>
      </c>
      <c r="H97" s="6" t="str">
        <f>HYPERLINK("http://www.ncbi.nlm.nih.gov/protein/1352705","gi|1352705")</f>
        <v>gi|1352705</v>
      </c>
      <c r="I97" s="6">
        <v>32.700000000000003</v>
      </c>
      <c r="J97" s="6">
        <v>106</v>
      </c>
      <c r="K97" s="6">
        <v>1458</v>
      </c>
      <c r="L97" s="6">
        <v>24</v>
      </c>
      <c r="M97" s="6">
        <v>38</v>
      </c>
      <c r="N97" s="6">
        <v>7</v>
      </c>
      <c r="O97" s="6">
        <v>80</v>
      </c>
      <c r="P97" s="6">
        <v>11</v>
      </c>
      <c r="Q97" s="6">
        <v>1165</v>
      </c>
      <c r="R97" s="6">
        <v>301</v>
      </c>
      <c r="S97" s="6">
        <v>1</v>
      </c>
      <c r="T97" s="6" t="s">
        <v>33</v>
      </c>
      <c r="U97" s="6" t="str">
        <f>HYPERLINK(".\links\REFSEQ-VERTEBRATES\tr_G1TKX3_G1TKX3_RABIT-REFSEQ-VERTEBRATES.txt","fibrinogen gamma chain isoform X2")</f>
        <v>fibrinogen gamma chain isoform X2</v>
      </c>
      <c r="V97" s="6" t="str">
        <f>HYPERLINK("http://www.ncbi.nlm.nih.gov/sutils/blink.cgi?pid=655856160","0.0")</f>
        <v>0.0</v>
      </c>
      <c r="W97" s="6" t="str">
        <f>HYPERLINK("http://www.ncbi.nlm.nih.gov/protein/655856160","gi|655856160")</f>
        <v>gi|655856160</v>
      </c>
      <c r="X97" s="6">
        <v>916</v>
      </c>
      <c r="Y97" s="6">
        <v>437</v>
      </c>
      <c r="Z97" s="6">
        <v>437</v>
      </c>
      <c r="AA97" s="6">
        <v>100</v>
      </c>
      <c r="AB97" s="6">
        <v>100</v>
      </c>
      <c r="AC97" s="6">
        <v>100</v>
      </c>
      <c r="AD97" s="6">
        <v>0</v>
      </c>
      <c r="AE97" s="6">
        <v>0</v>
      </c>
      <c r="AF97" s="6">
        <v>1</v>
      </c>
      <c r="AG97" s="6">
        <v>1</v>
      </c>
      <c r="AH97" s="6">
        <v>1</v>
      </c>
      <c r="AI97" s="6" t="s">
        <v>34</v>
      </c>
      <c r="AJ97" s="6" t="str">
        <f>HYPERLINK(".\links\CDD\tr_G1TKX3_G1TKX3_RABIT-CDD.txt","FBG")</f>
        <v>FBG</v>
      </c>
      <c r="AK97" s="6" t="str">
        <f>HYPERLINK("http://www.ncbi.nlm.nih.gov/Structure/cdd/cddsrv.cgi?uid=smart00186&amp;version=v4.0","3E-066")</f>
        <v>3E-066</v>
      </c>
      <c r="AL97" s="6" t="s">
        <v>353</v>
      </c>
      <c r="AM97" s="6" t="s">
        <v>354</v>
      </c>
      <c r="AN97" s="6">
        <f>HYPERLINK(".\links\GO\tr_G1TKX3_G1TKX3_RABIT-GO.txt",0)</f>
        <v>0</v>
      </c>
      <c r="AO97" s="6" t="str">
        <f>HYPERLINK("http://amigo.geneontology.org/cgi-bin/amigo/term_details?term=GO:0005102","GO:0005102")</f>
        <v>GO:0005102</v>
      </c>
      <c r="AP97" s="6" t="s">
        <v>182</v>
      </c>
      <c r="AQ97" s="6" t="s">
        <v>183</v>
      </c>
      <c r="AR97" s="6" t="s">
        <v>184</v>
      </c>
      <c r="AS97" s="6" t="s">
        <v>33</v>
      </c>
      <c r="AU97" s="6">
        <v>0</v>
      </c>
      <c r="AV97" s="6" t="str">
        <f>HYPERLINK("http://amigo.geneontology.org/cgi-bin/amigo/term_details?term=GO:0005577","GO:0005577")</f>
        <v>GO:0005577</v>
      </c>
      <c r="AW97" s="6" t="s">
        <v>355</v>
      </c>
      <c r="AX97" s="6" t="s">
        <v>356</v>
      </c>
      <c r="AY97" s="6" t="s">
        <v>357</v>
      </c>
      <c r="AZ97" s="6" t="s">
        <v>33</v>
      </c>
      <c r="BB97" s="6">
        <v>0</v>
      </c>
      <c r="BC97" s="6" t="str">
        <f>HYPERLINK("http://amigo.geneontology.org/cgi-bin/amigo/term_details?term=GO:0007165","GO:0007165")</f>
        <v>GO:0007165</v>
      </c>
      <c r="BD97" s="6" t="s">
        <v>358</v>
      </c>
      <c r="BE97" s="6" t="s">
        <v>359</v>
      </c>
      <c r="BF97" s="6" t="s">
        <v>360</v>
      </c>
      <c r="BG97" s="6" t="s">
        <v>33</v>
      </c>
      <c r="BI97" s="6">
        <v>0</v>
      </c>
    </row>
    <row r="98" spans="1:61" x14ac:dyDescent="0.2">
      <c r="A98" s="6" t="str">
        <f>HYPERLINK(".\links\\sp_P01948_HBA_RABIT-.txt","sp|P01948|HBA_RABIT")</f>
        <v>sp|P01948|HBA_RABIT</v>
      </c>
      <c r="B98" s="6" t="s">
        <v>32</v>
      </c>
      <c r="C98" s="6">
        <v>142</v>
      </c>
      <c r="D98" s="6" t="s">
        <v>667</v>
      </c>
      <c r="E98" s="6" t="s">
        <v>713</v>
      </c>
      <c r="F98" s="6" t="str">
        <f>HYPERLINK(".\links\RABBIT-NCBI\sp_P01948_HBA_RABIT-RABBIT-NCBI.txt","Hemoglobin subunit alpha-1/2; AltName: Full=Alpha-1/2-globin; AltName:")</f>
        <v>Hemoglobin subunit alpha-1/2; AltName: Full=Alpha-1/2-globin; AltName:</v>
      </c>
      <c r="G98" s="6" t="str">
        <f>HYPERLINK("http://www.ncbi.nlm.nih.gov/sutils/blink.cgi?pid=122475","3E-081")</f>
        <v>3E-081</v>
      </c>
      <c r="H98" s="6" t="str">
        <f>HYPERLINK("http://www.ncbi.nlm.nih.gov/protein/122475","gi|122475")</f>
        <v>gi|122475</v>
      </c>
      <c r="I98" s="6">
        <v>292</v>
      </c>
      <c r="J98" s="6">
        <v>142</v>
      </c>
      <c r="K98" s="6">
        <v>142</v>
      </c>
      <c r="L98" s="6">
        <v>100</v>
      </c>
      <c r="M98" s="6">
        <v>100</v>
      </c>
      <c r="N98" s="6">
        <v>100</v>
      </c>
      <c r="O98" s="6">
        <v>0</v>
      </c>
      <c r="P98" s="6">
        <v>0</v>
      </c>
      <c r="Q98" s="6">
        <v>1</v>
      </c>
      <c r="R98" s="6">
        <v>1</v>
      </c>
      <c r="S98" s="6">
        <v>1</v>
      </c>
      <c r="T98" s="6" t="s">
        <v>33</v>
      </c>
      <c r="U98" s="6" t="str">
        <f>HYPERLINK(".\links\REFSEQ-VERTEBRATES\sp_P01948_HBA_RABIT-REFSEQ-VERTEBRATES.txt","hemoglobin subunit alpha-1/2")</f>
        <v>hemoglobin subunit alpha-1/2</v>
      </c>
      <c r="V98" s="6" t="str">
        <f>HYPERLINK("http://www.ncbi.nlm.nih.gov/sutils/blink.cgi?pid=126722759","5E-078")</f>
        <v>5E-078</v>
      </c>
      <c r="W98" s="6" t="str">
        <f>HYPERLINK("http://www.ncbi.nlm.nih.gov/protein/126722759","gi|126722759")</f>
        <v>gi|126722759</v>
      </c>
      <c r="X98" s="6">
        <v>292</v>
      </c>
      <c r="Y98" s="6">
        <v>142</v>
      </c>
      <c r="Z98" s="6">
        <v>142</v>
      </c>
      <c r="AA98" s="6">
        <v>100</v>
      </c>
      <c r="AB98" s="6">
        <v>100</v>
      </c>
      <c r="AC98" s="6">
        <v>100</v>
      </c>
      <c r="AD98" s="6">
        <v>0</v>
      </c>
      <c r="AE98" s="6">
        <v>0</v>
      </c>
      <c r="AF98" s="6">
        <v>1</v>
      </c>
      <c r="AG98" s="6">
        <v>1</v>
      </c>
      <c r="AH98" s="6">
        <v>1</v>
      </c>
      <c r="AI98" s="6" t="s">
        <v>34</v>
      </c>
      <c r="AJ98" s="6" t="str">
        <f>HYPERLINK(".\links\CDD\sp_P01948_HBA_RABIT-CDD.txt","Globin")</f>
        <v>Globin</v>
      </c>
      <c r="AK98" s="6" t="str">
        <f>HYPERLINK("http://www.ncbi.nlm.nih.gov/Structure/cdd/cddsrv.cgi?uid=pfam00042&amp;version=v4.0","2E-019")</f>
        <v>2E-019</v>
      </c>
      <c r="AL98" s="6" t="s">
        <v>126</v>
      </c>
      <c r="AM98" s="6" t="s">
        <v>127</v>
      </c>
      <c r="AN98" s="6">
        <f>HYPERLINK(".\links\GO\sp_P01948_HBA_RABIT-GO.txt",6E-79)</f>
        <v>6E-79</v>
      </c>
      <c r="AO98" s="6" t="str">
        <f>HYPERLINK("http://amigo.geneontology.org/cgi-bin/amigo/term_details?term=GO:0005344","GO:0005344")</f>
        <v>GO:0005344</v>
      </c>
      <c r="AP98" s="6" t="s">
        <v>128</v>
      </c>
      <c r="AQ98" s="6" t="s">
        <v>129</v>
      </c>
      <c r="AR98" s="6" t="s">
        <v>130</v>
      </c>
      <c r="AS98" s="6" t="s">
        <v>33</v>
      </c>
      <c r="AT98" s="6"/>
      <c r="AU98" s="7">
        <v>7.9999999999999998E-66</v>
      </c>
      <c r="AV98" s="6" t="str">
        <f>HYPERLINK("http://amigo.geneontology.org/cgi-bin/amigo/term_details?term=GO:0005576","GO:0005576")</f>
        <v>GO:0005576</v>
      </c>
      <c r="AW98" s="6" t="s">
        <v>51</v>
      </c>
      <c r="AX98" s="6" t="s">
        <v>52</v>
      </c>
      <c r="AY98" s="6" t="s">
        <v>53</v>
      </c>
      <c r="AZ98" s="6" t="s">
        <v>33</v>
      </c>
      <c r="BA98" s="6"/>
      <c r="BB98" s="7">
        <v>7.9999999999999998E-66</v>
      </c>
      <c r="BC98" s="6" t="str">
        <f>HYPERLINK("http://amigo.geneontology.org/cgi-bin/amigo/term_details?term=GO:0010942","GO:0010942")</f>
        <v>GO:0010942</v>
      </c>
      <c r="BD98" s="6" t="s">
        <v>131</v>
      </c>
      <c r="BE98" s="6" t="s">
        <v>132</v>
      </c>
      <c r="BF98" s="6" t="s">
        <v>33</v>
      </c>
      <c r="BG98" s="6" t="s">
        <v>33</v>
      </c>
      <c r="BH98" s="6"/>
      <c r="BI98" s="7">
        <v>7.9999999999999998E-66</v>
      </c>
    </row>
    <row r="99" spans="1:61" s="6" customFormat="1" x14ac:dyDescent="0.2">
      <c r="A99" s="6" t="str">
        <f>HYPERLINK(".\links\\sp_P02057_HBB_RABIT-.txt","sp|P02057|HBB_RABIT")</f>
        <v>sp|P02057|HBB_RABIT</v>
      </c>
      <c r="B99" s="6" t="s">
        <v>32</v>
      </c>
      <c r="C99" s="6">
        <v>147</v>
      </c>
      <c r="D99" s="6" t="s">
        <v>668</v>
      </c>
      <c r="E99" s="6" t="s">
        <v>713</v>
      </c>
      <c r="F99" s="6" t="str">
        <f>HYPERLINK(".\links\RABBIT-NCBI\sp_P02057_HBB_RABIT-RABBIT-NCBI.txt","Hemoglobin subunit beta-1/2; AltName: Full=Beta-1/2-globin; AltName:")</f>
        <v>Hemoglobin subunit beta-1/2; AltName: Full=Beta-1/2-globin; AltName:</v>
      </c>
      <c r="G99" s="6" t="str">
        <f>HYPERLINK("http://www.ncbi.nlm.nih.gov/sutils/blink.cgi?pid=122676","6E-083")</f>
        <v>6E-083</v>
      </c>
      <c r="H99" s="6" t="str">
        <f>HYPERLINK("http://www.ncbi.nlm.nih.gov/protein/122676","gi|122676")</f>
        <v>gi|122676</v>
      </c>
      <c r="I99" s="6">
        <v>297</v>
      </c>
      <c r="J99" s="6">
        <v>147</v>
      </c>
      <c r="K99" s="6">
        <v>147</v>
      </c>
      <c r="L99" s="6">
        <v>100</v>
      </c>
      <c r="M99" s="6">
        <v>100</v>
      </c>
      <c r="N99" s="6">
        <v>100</v>
      </c>
      <c r="O99" s="6">
        <v>0</v>
      </c>
      <c r="P99" s="6">
        <v>0</v>
      </c>
      <c r="Q99" s="6">
        <v>1</v>
      </c>
      <c r="R99" s="6">
        <v>1</v>
      </c>
      <c r="S99" s="6">
        <v>1</v>
      </c>
      <c r="T99" s="6" t="s">
        <v>33</v>
      </c>
      <c r="U99" s="6" t="str">
        <f>HYPERLINK(".\links\REFSEQ-VERTEBRATES\sp_P02057_HBB_RABIT-REFSEQ-VERTEBRATES.txt","hemoglobin subunit beta-1/2")</f>
        <v>hemoglobin subunit beta-1/2</v>
      </c>
      <c r="V99" s="6" t="str">
        <f>HYPERLINK("http://www.ncbi.nlm.nih.gov/sutils/blink.cgi?pid=126723457","1E-079")</f>
        <v>1E-079</v>
      </c>
      <c r="W99" s="6" t="str">
        <f>HYPERLINK("http://www.ncbi.nlm.nih.gov/protein/126723457","gi|126723457")</f>
        <v>gi|126723457</v>
      </c>
      <c r="X99" s="6">
        <v>297</v>
      </c>
      <c r="Y99" s="6">
        <v>147</v>
      </c>
      <c r="Z99" s="6">
        <v>147</v>
      </c>
      <c r="AA99" s="6">
        <v>100</v>
      </c>
      <c r="AB99" s="6">
        <v>100</v>
      </c>
      <c r="AC99" s="6">
        <v>100</v>
      </c>
      <c r="AD99" s="6">
        <v>0</v>
      </c>
      <c r="AE99" s="6">
        <v>0</v>
      </c>
      <c r="AF99" s="6">
        <v>1</v>
      </c>
      <c r="AG99" s="6">
        <v>1</v>
      </c>
      <c r="AH99" s="6">
        <v>1</v>
      </c>
      <c r="AI99" s="6" t="s">
        <v>34</v>
      </c>
      <c r="AJ99" s="6" t="str">
        <f>HYPERLINK(".\links\CDD\sp_P02057_HBB_RABIT-CDD.txt","globin")</f>
        <v>globin</v>
      </c>
      <c r="AK99" s="6" t="str">
        <f>HYPERLINK("http://www.ncbi.nlm.nih.gov/Structure/cdd/cddsrv.cgi?uid=cd01040&amp;version=v4.0","2E-023")</f>
        <v>2E-023</v>
      </c>
      <c r="AL99" s="6" t="s">
        <v>133</v>
      </c>
      <c r="AM99" s="6" t="s">
        <v>134</v>
      </c>
      <c r="AN99" s="6">
        <f>HYPERLINK(".\links\GO\sp_P02057_HBB_RABIT-GO.txt",1E-73)</f>
        <v>1E-73</v>
      </c>
      <c r="AO99" s="6" t="str">
        <f>HYPERLINK("http://amigo.geneontology.org/cgi-bin/amigo/term_details?term=GO:0005344","GO:0005344")</f>
        <v>GO:0005344</v>
      </c>
      <c r="AP99" s="6" t="s">
        <v>128</v>
      </c>
      <c r="AQ99" s="6" t="s">
        <v>129</v>
      </c>
      <c r="AR99" s="6" t="s">
        <v>130</v>
      </c>
      <c r="AS99" s="6" t="s">
        <v>33</v>
      </c>
      <c r="AU99" s="7">
        <v>1E-73</v>
      </c>
      <c r="AV99" s="6" t="str">
        <f>HYPERLINK("http://amigo.geneontology.org/cgi-bin/amigo/term_details?term=GO:0005576","GO:0005576")</f>
        <v>GO:0005576</v>
      </c>
      <c r="AW99" s="6" t="s">
        <v>51</v>
      </c>
      <c r="AX99" s="6" t="s">
        <v>52</v>
      </c>
      <c r="AY99" s="6" t="s">
        <v>53</v>
      </c>
      <c r="AZ99" s="6" t="s">
        <v>33</v>
      </c>
      <c r="BB99" s="7">
        <v>1E-73</v>
      </c>
      <c r="BC99" s="6" t="str">
        <f>HYPERLINK("http://amigo.geneontology.org/cgi-bin/amigo/term_details?term=GO:0007596","GO:0007596")</f>
        <v>GO:0007596</v>
      </c>
      <c r="BD99" s="6" t="s">
        <v>135</v>
      </c>
      <c r="BE99" s="6" t="s">
        <v>136</v>
      </c>
      <c r="BF99" s="6" t="s">
        <v>137</v>
      </c>
      <c r="BG99" s="6" t="s">
        <v>33</v>
      </c>
      <c r="BI99" s="7">
        <v>1E-73</v>
      </c>
    </row>
    <row r="100" spans="1:61" x14ac:dyDescent="0.2">
      <c r="A100" s="6" t="str">
        <f>HYPERLINK(".\links\\sp_P07452_CAH1_RABIT-.txt","sp|P07452|CAH1_RABIT")</f>
        <v>sp|P07452|CAH1_RABIT</v>
      </c>
      <c r="B100" s="6" t="s">
        <v>85</v>
      </c>
      <c r="C100" s="6">
        <v>235</v>
      </c>
      <c r="D100" s="6" t="s">
        <v>200</v>
      </c>
      <c r="E100" s="6" t="s">
        <v>713</v>
      </c>
      <c r="F100" s="6" t="str">
        <f>HYPERLINK(".\links\RABBIT-NCBI\sp_P07452_CAH1_RABIT-RABBIT-NCBI.txt","Carbonic anhydrase 1; AltName: Full=Carbonate dehydratase I; AltName:")</f>
        <v>Carbonic anhydrase 1; AltName: Full=Carbonate dehydratase I; AltName:</v>
      </c>
      <c r="G100" s="6" t="str">
        <f>HYPERLINK("http://www.ncbi.nlm.nih.gov/sutils/blink.cgi?pid=115452","1E-137")</f>
        <v>1E-137</v>
      </c>
      <c r="H100" s="6" t="str">
        <f>HYPERLINK("http://www.ncbi.nlm.nih.gov/protein/115452","gi|115452")</f>
        <v>gi|115452</v>
      </c>
      <c r="I100" s="6">
        <v>479</v>
      </c>
      <c r="J100" s="6">
        <v>235</v>
      </c>
      <c r="K100" s="6">
        <v>235</v>
      </c>
      <c r="L100" s="6">
        <v>100</v>
      </c>
      <c r="M100" s="6">
        <v>100</v>
      </c>
      <c r="N100" s="6">
        <v>100</v>
      </c>
      <c r="O100" s="6">
        <v>0</v>
      </c>
      <c r="P100" s="6">
        <v>0</v>
      </c>
      <c r="Q100" s="6">
        <v>1</v>
      </c>
      <c r="R100" s="6">
        <v>1</v>
      </c>
      <c r="S100" s="6">
        <v>1</v>
      </c>
      <c r="T100" s="6" t="s">
        <v>33</v>
      </c>
      <c r="U100" s="6" t="str">
        <f>HYPERLINK(".\links\REFSEQ-VERTEBRATES\sp_P07452_CAH1_RABIT-REFSEQ-VERTEBRATES.txt","carbonic anhydrase 1")</f>
        <v>carbonic anhydrase 1</v>
      </c>
      <c r="V100" s="6" t="str">
        <f>HYPERLINK("http://www.ncbi.nlm.nih.gov/sutils/blink.cgi?pid=655680286","1E-134")</f>
        <v>1E-134</v>
      </c>
      <c r="W100" s="6" t="str">
        <f>HYPERLINK("http://www.ncbi.nlm.nih.gov/protein/655680286","gi|655680286")</f>
        <v>gi|655680286</v>
      </c>
      <c r="X100" s="6">
        <v>479</v>
      </c>
      <c r="Y100" s="6">
        <v>235</v>
      </c>
      <c r="Z100" s="6">
        <v>260</v>
      </c>
      <c r="AA100" s="6">
        <v>100</v>
      </c>
      <c r="AB100" s="6">
        <v>100</v>
      </c>
      <c r="AC100" s="6">
        <v>90</v>
      </c>
      <c r="AD100" s="6">
        <v>0</v>
      </c>
      <c r="AE100" s="6">
        <v>0</v>
      </c>
      <c r="AF100" s="6">
        <v>26</v>
      </c>
      <c r="AG100" s="6">
        <v>1</v>
      </c>
      <c r="AH100" s="6">
        <v>1</v>
      </c>
      <c r="AI100" s="6" t="s">
        <v>34</v>
      </c>
      <c r="AJ100" s="6" t="str">
        <f>HYPERLINK(".\links\CDD\sp_P07452_CAH1_RABIT-CDD.txt","alpha_CA_I_II_I")</f>
        <v>alpha_CA_I_II_I</v>
      </c>
      <c r="AK100" s="6" t="str">
        <f>HYPERLINK("http://www.ncbi.nlm.nih.gov/Structure/cdd/cddsrv.cgi?uid=cd03119&amp;version=v4.0","5E-094")</f>
        <v>5E-094</v>
      </c>
      <c r="AL100" s="6" t="s">
        <v>189</v>
      </c>
      <c r="AM100" s="6" t="s">
        <v>190</v>
      </c>
      <c r="AN100" s="6">
        <f>HYPERLINK(".\links\GO\sp_P07452_CAH1_RABIT-GO.txt",0)</f>
        <v>0</v>
      </c>
      <c r="AO100" s="6" t="str">
        <f>HYPERLINK("http://amigo.geneontology.org/cgi-bin/amigo/term_details?term=GO:0004089","GO:0004089")</f>
        <v>GO:0004089</v>
      </c>
      <c r="AP100" s="6" t="s">
        <v>191</v>
      </c>
      <c r="AQ100" s="6" t="s">
        <v>192</v>
      </c>
      <c r="AR100" s="6" t="s">
        <v>193</v>
      </c>
      <c r="AS100" s="6" t="str">
        <f>HYPERLINK("http://www.genome.jp/dbget-bin/www_bfind_sub?mode=bfind&amp;max_hit=1000&amp;dbkey=kegg&amp;keywords=EC:4.2.1.1","EC:4.2.1.1")</f>
        <v>EC:4.2.1.1</v>
      </c>
      <c r="AT100" s="6"/>
      <c r="AU100" s="7">
        <v>1.0000000000000001E-110</v>
      </c>
      <c r="AV100" s="6" t="str">
        <f>HYPERLINK("http://amigo.geneontology.org/cgi-bin/amigo/term_details?term=GO:0005794","GO:0005794")</f>
        <v>GO:0005794</v>
      </c>
      <c r="AW100" s="6" t="s">
        <v>194</v>
      </c>
      <c r="AX100" s="6" t="s">
        <v>195</v>
      </c>
      <c r="AY100" s="6" t="s">
        <v>196</v>
      </c>
      <c r="AZ100" s="6" t="s">
        <v>33</v>
      </c>
      <c r="BA100" s="6"/>
      <c r="BB100" s="7">
        <v>1.0000000000000001E-110</v>
      </c>
      <c r="BC100" s="6" t="str">
        <f>HYPERLINK("http://amigo.geneontology.org/cgi-bin/amigo/term_details?term=GO:0006730","GO:0006730")</f>
        <v>GO:0006730</v>
      </c>
      <c r="BD100" s="6" t="s">
        <v>197</v>
      </c>
      <c r="BE100" s="6" t="s">
        <v>198</v>
      </c>
      <c r="BF100" s="6" t="s">
        <v>199</v>
      </c>
      <c r="BG100" s="6" t="s">
        <v>33</v>
      </c>
      <c r="BH100" s="6"/>
      <c r="BI100" s="7">
        <v>1.0000000000000001E-110</v>
      </c>
    </row>
    <row r="101" spans="1:61" s="6" customFormat="1" x14ac:dyDescent="0.2">
      <c r="A101" s="6" t="str">
        <f>HYPERLINK(".\links\\sp_P00919_CAH2_RABIT-.txt","sp|P00919|CAH2_RABIT")</f>
        <v>sp|P00919|CAH2_RABIT</v>
      </c>
      <c r="B101" s="6" t="s">
        <v>32</v>
      </c>
      <c r="C101" s="6">
        <v>260</v>
      </c>
      <c r="D101" s="6" t="s">
        <v>223</v>
      </c>
      <c r="E101" s="6" t="s">
        <v>713</v>
      </c>
      <c r="F101" s="6" t="str">
        <f>HYPERLINK(".\links\RABBIT-NCBI\sp_P00919_CAH2_RABIT-RABBIT-NCBI.txt","Carbonic anhydrase 2; AltName: Full=Carbonate dehydratase II; AltName:")</f>
        <v>Carbonic anhydrase 2; AltName: Full=Carbonate dehydratase II; AltName:</v>
      </c>
      <c r="G101" s="6" t="str">
        <f>HYPERLINK("http://www.ncbi.nlm.nih.gov/sutils/blink.cgi?pid=118582299","1E-160")</f>
        <v>1E-160</v>
      </c>
      <c r="H101" s="6" t="str">
        <f>HYPERLINK("http://www.ncbi.nlm.nih.gov/protein/118582299","gi|118582299")</f>
        <v>gi|118582299</v>
      </c>
      <c r="I101" s="6">
        <v>555</v>
      </c>
      <c r="J101" s="6">
        <v>260</v>
      </c>
      <c r="K101" s="6">
        <v>260</v>
      </c>
      <c r="L101" s="6">
        <v>100</v>
      </c>
      <c r="M101" s="6">
        <v>100</v>
      </c>
      <c r="N101" s="6">
        <v>100</v>
      </c>
      <c r="O101" s="6">
        <v>0</v>
      </c>
      <c r="P101" s="6">
        <v>0</v>
      </c>
      <c r="Q101" s="6">
        <v>1</v>
      </c>
      <c r="R101" s="6">
        <v>1</v>
      </c>
      <c r="S101" s="6">
        <v>1</v>
      </c>
      <c r="T101" s="6" t="s">
        <v>33</v>
      </c>
      <c r="U101" s="6" t="str">
        <f>HYPERLINK(".\links\REFSEQ-VERTEBRATES\sp_P00919_CAH2_RABIT-REFSEQ-VERTEBRATES.txt","carbonic anhydrase 2")</f>
        <v>carbonic anhydrase 2</v>
      </c>
      <c r="V101" s="6" t="str">
        <f>HYPERLINK("http://www.ncbi.nlm.nih.gov/sutils/blink.cgi?pid=307611953","1E-156")</f>
        <v>1E-156</v>
      </c>
      <c r="W101" s="6" t="str">
        <f>HYPERLINK("http://www.ncbi.nlm.nih.gov/protein/307611953","gi|307611953")</f>
        <v>gi|307611953</v>
      </c>
      <c r="X101" s="6">
        <v>555</v>
      </c>
      <c r="Y101" s="6">
        <v>260</v>
      </c>
      <c r="Z101" s="6">
        <v>260</v>
      </c>
      <c r="AA101" s="6">
        <v>100</v>
      </c>
      <c r="AB101" s="6">
        <v>100</v>
      </c>
      <c r="AC101" s="6">
        <v>100</v>
      </c>
      <c r="AD101" s="6">
        <v>0</v>
      </c>
      <c r="AE101" s="6">
        <v>0</v>
      </c>
      <c r="AF101" s="6">
        <v>1</v>
      </c>
      <c r="AG101" s="6">
        <v>1</v>
      </c>
      <c r="AH101" s="6">
        <v>1</v>
      </c>
      <c r="AI101" s="6" t="s">
        <v>34</v>
      </c>
      <c r="AJ101" s="6" t="str">
        <f>HYPERLINK(".\links\CDD\sp_P00919_CAH2_RABIT-CDD.txt","alpha_CA_I_II_I")</f>
        <v>alpha_CA_I_II_I</v>
      </c>
      <c r="AK101" s="6" t="str">
        <f>HYPERLINK("http://www.ncbi.nlm.nih.gov/Structure/cdd/cddsrv.cgi?uid=cd03119&amp;version=v4.0","1E-118")</f>
        <v>1E-118</v>
      </c>
      <c r="AL101" s="6" t="s">
        <v>218</v>
      </c>
      <c r="AM101" s="6" t="s">
        <v>219</v>
      </c>
      <c r="AN101" s="6">
        <f>HYPERLINK(".\links\GO\sp_P00919_CAH2_RABIT-GO.txt",0)</f>
        <v>0</v>
      </c>
      <c r="AO101" s="6" t="str">
        <f>HYPERLINK("http://amigo.geneontology.org/cgi-bin/amigo/term_details?term=GO:0004089","GO:0004089")</f>
        <v>GO:0004089</v>
      </c>
      <c r="AP101" s="6" t="s">
        <v>191</v>
      </c>
      <c r="AQ101" s="6" t="s">
        <v>192</v>
      </c>
      <c r="AR101" s="6" t="s">
        <v>193</v>
      </c>
      <c r="AS101" s="6" t="str">
        <f>HYPERLINK("http://www.genome.jp/dbget-bin/www_bfind_sub?mode=bfind&amp;max_hit=1000&amp;dbkey=kegg&amp;keywords=EC:4.2.1.1","EC:4.2.1.1")</f>
        <v>EC:4.2.1.1</v>
      </c>
      <c r="AU101" s="7">
        <v>1E-134</v>
      </c>
      <c r="AV101" s="6" t="str">
        <f>HYPERLINK("http://amigo.geneontology.org/cgi-bin/amigo/term_details?term=GO:0005615","GO:0005615")</f>
        <v>GO:0005615</v>
      </c>
      <c r="AW101" s="6" t="s">
        <v>40</v>
      </c>
      <c r="AX101" s="6" t="s">
        <v>41</v>
      </c>
      <c r="AY101" s="6" t="s">
        <v>42</v>
      </c>
      <c r="AZ101" s="6" t="s">
        <v>33</v>
      </c>
      <c r="BB101" s="7">
        <v>1E-134</v>
      </c>
      <c r="BC101" s="6" t="str">
        <f>HYPERLINK("http://amigo.geneontology.org/cgi-bin/amigo/term_details?term=GO:0001822","GO:0001822")</f>
        <v>GO:0001822</v>
      </c>
      <c r="BD101" s="6" t="s">
        <v>220</v>
      </c>
      <c r="BE101" s="6" t="s">
        <v>221</v>
      </c>
      <c r="BF101" s="6" t="s">
        <v>222</v>
      </c>
      <c r="BG101" s="6" t="s">
        <v>33</v>
      </c>
      <c r="BI101" s="7">
        <v>1E-134</v>
      </c>
    </row>
    <row r="102" spans="1:61" x14ac:dyDescent="0.2">
      <c r="A102" s="1" t="s">
        <v>33</v>
      </c>
      <c r="B102" s="1" t="s">
        <v>33</v>
      </c>
      <c r="C102" s="1" t="s">
        <v>33</v>
      </c>
      <c r="F102" s="1" t="s">
        <v>33</v>
      </c>
      <c r="G102" s="1" t="s">
        <v>33</v>
      </c>
      <c r="H102" s="1" t="s">
        <v>33</v>
      </c>
      <c r="I102" s="1" t="s">
        <v>33</v>
      </c>
      <c r="J102" s="1" t="s">
        <v>33</v>
      </c>
      <c r="K102" s="1" t="s">
        <v>33</v>
      </c>
      <c r="L102" s="1" t="s">
        <v>33</v>
      </c>
      <c r="M102" s="1" t="s">
        <v>33</v>
      </c>
      <c r="N102" s="1" t="s">
        <v>33</v>
      </c>
      <c r="O102" s="1" t="s">
        <v>33</v>
      </c>
      <c r="P102" s="1" t="s">
        <v>33</v>
      </c>
      <c r="Q102" s="1" t="s">
        <v>33</v>
      </c>
      <c r="R102" s="1" t="s">
        <v>33</v>
      </c>
      <c r="S102" s="1" t="s">
        <v>33</v>
      </c>
      <c r="T102" s="1" t="s">
        <v>33</v>
      </c>
      <c r="U102" s="1" t="s">
        <v>33</v>
      </c>
      <c r="V102" s="1" t="s">
        <v>33</v>
      </c>
      <c r="W102" s="1" t="s">
        <v>33</v>
      </c>
      <c r="X102" s="1" t="s">
        <v>33</v>
      </c>
      <c r="Y102" s="1" t="s">
        <v>33</v>
      </c>
      <c r="Z102" s="1" t="s">
        <v>33</v>
      </c>
      <c r="AA102" s="1" t="s">
        <v>33</v>
      </c>
      <c r="AB102" s="1" t="s">
        <v>33</v>
      </c>
      <c r="AC102" s="1" t="s">
        <v>33</v>
      </c>
      <c r="AD102" s="1" t="s">
        <v>33</v>
      </c>
      <c r="AE102" s="1" t="s">
        <v>33</v>
      </c>
      <c r="AF102" s="1" t="s">
        <v>33</v>
      </c>
      <c r="AG102" s="1" t="s">
        <v>33</v>
      </c>
      <c r="AH102" s="1" t="s">
        <v>33</v>
      </c>
      <c r="AI102" s="1" t="s">
        <v>33</v>
      </c>
      <c r="AJ102" s="1" t="s">
        <v>33</v>
      </c>
      <c r="AK102" s="1" t="s">
        <v>33</v>
      </c>
      <c r="AL102" s="1" t="s">
        <v>33</v>
      </c>
      <c r="AM102" s="1" t="s">
        <v>33</v>
      </c>
      <c r="AN102" s="1" t="s">
        <v>33</v>
      </c>
      <c r="AO102" s="1" t="s">
        <v>33</v>
      </c>
      <c r="AP102" s="1" t="s">
        <v>33</v>
      </c>
      <c r="AQ102" s="1" t="s">
        <v>33</v>
      </c>
      <c r="AR102" s="1" t="s">
        <v>33</v>
      </c>
      <c r="AS102" s="1" t="s">
        <v>33</v>
      </c>
      <c r="AT102" s="1" t="s">
        <v>33</v>
      </c>
      <c r="AU102" s="1" t="s">
        <v>33</v>
      </c>
      <c r="AV102" s="1" t="s">
        <v>33</v>
      </c>
      <c r="AW102" s="1" t="s">
        <v>33</v>
      </c>
      <c r="AX102" s="1" t="s">
        <v>33</v>
      </c>
      <c r="AY102" s="1" t="s">
        <v>33</v>
      </c>
    </row>
    <row r="103" spans="1:61" x14ac:dyDescent="0.2">
      <c r="A103" s="5"/>
    </row>
    <row r="104" spans="1:61" x14ac:dyDescent="0.2">
      <c r="A104" s="5"/>
    </row>
    <row r="105" spans="1:61" x14ac:dyDescent="0.2">
      <c r="A105" s="5"/>
    </row>
    <row r="106" spans="1:61" x14ac:dyDescent="0.2">
      <c r="A106" s="5"/>
    </row>
  </sheetData>
  <sortState ref="A2:BI106">
    <sortCondition ref="E2:E10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Host-Hlong-all-table.xlsx</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ltirloni</dc:creator>
  <cp:lastModifiedBy>ltirloni</cp:lastModifiedBy>
  <dcterms:created xsi:type="dcterms:W3CDTF">2014-10-12T21:17:57Z</dcterms:created>
  <dcterms:modified xsi:type="dcterms:W3CDTF">2015-03-17T13:28:23Z</dcterms:modified>
</cp:coreProperties>
</file>