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ucas\Lucas\Doutorado\Projetos - Lucas\Proteômica saliva H. longicornis\Tabelas\Annotation\H. longicornis\"/>
    </mc:Choice>
  </mc:AlternateContent>
  <bookViews>
    <workbookView xWindow="0" yWindow="0" windowWidth="20490" windowHeight="7755"/>
  </bookViews>
  <sheets>
    <sheet name="all-tables" sheetId="1" r:id="rId1"/>
  </sheets>
  <calcPr calcId="152511"/>
</workbook>
</file>

<file path=xl/calcChain.xml><?xml version="1.0" encoding="utf-8"?>
<calcChain xmlns="http://schemas.openxmlformats.org/spreadsheetml/2006/main">
  <c r="H53" i="1" l="1"/>
  <c r="B129" i="1" l="1"/>
  <c r="B98" i="1"/>
  <c r="B89" i="1"/>
  <c r="B16" i="1"/>
  <c r="B15" i="1"/>
  <c r="B136" i="1"/>
  <c r="B14" i="1"/>
  <c r="B70" i="1"/>
  <c r="B118" i="1"/>
  <c r="B47" i="1"/>
  <c r="B69" i="1"/>
  <c r="B110" i="1"/>
  <c r="B128" i="1"/>
  <c r="B86" i="1"/>
  <c r="B76" i="1"/>
  <c r="B46" i="1"/>
  <c r="B68" i="1"/>
  <c r="B45" i="1"/>
  <c r="B97" i="1"/>
  <c r="B26" i="1"/>
  <c r="B109" i="1"/>
  <c r="B30" i="1"/>
  <c r="B37" i="1"/>
  <c r="B25" i="1"/>
  <c r="B67" i="1"/>
  <c r="B74" i="1"/>
  <c r="B96" i="1"/>
  <c r="B44" i="1"/>
  <c r="B132" i="1"/>
  <c r="B135" i="1"/>
  <c r="B85" i="1"/>
  <c r="B108" i="1"/>
  <c r="B43" i="1"/>
  <c r="B54" i="1"/>
  <c r="B95" i="1"/>
  <c r="B42" i="1"/>
  <c r="B66" i="1"/>
  <c r="B127" i="1"/>
  <c r="B53" i="1"/>
  <c r="B126" i="1"/>
  <c r="B31" i="1"/>
  <c r="B134" i="1"/>
  <c r="B50" i="1"/>
  <c r="B3" i="1"/>
  <c r="B107" i="1"/>
  <c r="B13" i="1"/>
  <c r="B125" i="1"/>
  <c r="B84" i="1"/>
  <c r="B106" i="1"/>
  <c r="B60" i="1"/>
  <c r="B41" i="1"/>
  <c r="B114" i="1"/>
  <c r="B24" i="1"/>
  <c r="B59" i="1"/>
  <c r="B58" i="1"/>
  <c r="B83" i="1"/>
  <c r="B32" i="1"/>
  <c r="B36" i="1"/>
  <c r="B40" i="1"/>
  <c r="B105" i="1"/>
  <c r="B104" i="1"/>
  <c r="B65" i="1"/>
  <c r="B12" i="1"/>
  <c r="B82" i="1"/>
  <c r="B23" i="1"/>
  <c r="B35" i="1"/>
  <c r="B39" i="1"/>
  <c r="B88" i="1"/>
  <c r="B117" i="1"/>
  <c r="B11" i="1"/>
  <c r="B64" i="1"/>
  <c r="B10" i="1"/>
  <c r="B78" i="1"/>
  <c r="B77" i="1"/>
  <c r="B63" i="1"/>
  <c r="B22" i="1"/>
  <c r="B9" i="1"/>
  <c r="B94" i="1"/>
  <c r="B124" i="1"/>
  <c r="B123" i="1"/>
  <c r="B29" i="1"/>
  <c r="B81" i="1"/>
  <c r="B73" i="1"/>
  <c r="B8" i="1"/>
  <c r="B34" i="1"/>
  <c r="B93" i="1"/>
  <c r="B103" i="1"/>
  <c r="B102" i="1"/>
  <c r="B7" i="1"/>
  <c r="B62" i="1"/>
  <c r="B101" i="1"/>
  <c r="B133" i="1"/>
  <c r="B116" i="1"/>
  <c r="B100" i="1"/>
  <c r="B38" i="1"/>
  <c r="B21" i="1"/>
  <c r="B20" i="1"/>
  <c r="B115" i="1"/>
  <c r="B122" i="1"/>
  <c r="B113" i="1"/>
  <c r="B6" i="1"/>
  <c r="B61" i="1"/>
  <c r="B5" i="1"/>
  <c r="B92" i="1"/>
  <c r="B91" i="1"/>
  <c r="B2" i="1"/>
  <c r="B80" i="1"/>
  <c r="A51" i="1" l="1"/>
  <c r="A130" i="1"/>
  <c r="A17" i="1"/>
  <c r="A27" i="1"/>
  <c r="CR51" i="1"/>
  <c r="CQ51" i="1"/>
  <c r="CP51" i="1"/>
  <c r="CN51" i="1"/>
  <c r="CM51" i="1"/>
  <c r="CF51" i="1"/>
  <c r="BY51" i="1"/>
  <c r="BV51" i="1"/>
  <c r="BR51" i="1"/>
  <c r="BQ51" i="1"/>
  <c r="BA51" i="1"/>
  <c r="AN51" i="1"/>
  <c r="AM51" i="1"/>
  <c r="AL51" i="1"/>
  <c r="Y51" i="1"/>
  <c r="X51" i="1"/>
  <c r="W51" i="1"/>
  <c r="H51" i="1"/>
  <c r="B51" i="1"/>
  <c r="CR130" i="1"/>
  <c r="CQ130" i="1"/>
  <c r="CP130" i="1"/>
  <c r="CN130" i="1"/>
  <c r="CM130" i="1"/>
  <c r="CF130" i="1"/>
  <c r="BY130" i="1"/>
  <c r="BR130" i="1"/>
  <c r="BQ130" i="1"/>
  <c r="BA130" i="1"/>
  <c r="AN130" i="1"/>
  <c r="AM130" i="1"/>
  <c r="AL130" i="1"/>
  <c r="Y130" i="1"/>
  <c r="X130" i="1"/>
  <c r="W130" i="1"/>
  <c r="H130" i="1"/>
  <c r="B130" i="1"/>
  <c r="CR17" i="1"/>
  <c r="CQ17" i="1"/>
  <c r="CP17" i="1"/>
  <c r="CN17" i="1"/>
  <c r="CM17" i="1"/>
  <c r="CF17" i="1"/>
  <c r="BY17" i="1"/>
  <c r="BR17" i="1"/>
  <c r="BQ17" i="1"/>
  <c r="BA17" i="1"/>
  <c r="AN17" i="1"/>
  <c r="AM17" i="1"/>
  <c r="AL17" i="1"/>
  <c r="Y17" i="1"/>
  <c r="X17" i="1"/>
  <c r="W17" i="1"/>
  <c r="H17" i="1"/>
  <c r="B17" i="1"/>
  <c r="CR27" i="1"/>
  <c r="CQ27" i="1"/>
  <c r="CP27" i="1"/>
  <c r="CN27" i="1"/>
  <c r="CM27" i="1"/>
  <c r="CF27" i="1"/>
  <c r="BY27" i="1"/>
  <c r="BV27" i="1"/>
  <c r="BR27" i="1"/>
  <c r="BQ27" i="1"/>
  <c r="BA27" i="1"/>
  <c r="AN27" i="1"/>
  <c r="AM27" i="1"/>
  <c r="AL27" i="1"/>
  <c r="Y27" i="1"/>
  <c r="X27" i="1"/>
  <c r="W27" i="1"/>
  <c r="H27" i="1"/>
  <c r="B27" i="1"/>
  <c r="H15" i="1" l="1"/>
  <c r="H55" i="1" l="1"/>
  <c r="W88" i="1"/>
  <c r="H110" i="1"/>
  <c r="I110" i="1"/>
  <c r="W110" i="1"/>
  <c r="X110" i="1"/>
  <c r="Y110" i="1"/>
  <c r="AL110" i="1"/>
  <c r="AM110" i="1"/>
  <c r="AN110" i="1"/>
  <c r="BA110" i="1"/>
  <c r="BB110" i="1"/>
  <c r="BQ110" i="1"/>
  <c r="BR110" i="1"/>
  <c r="BY110" i="1"/>
  <c r="CF110" i="1"/>
  <c r="CM110" i="1"/>
  <c r="CN110" i="1"/>
  <c r="CP110" i="1"/>
  <c r="CQ110" i="1"/>
  <c r="CR110" i="1"/>
  <c r="H128" i="1"/>
  <c r="I128" i="1"/>
  <c r="W128" i="1"/>
  <c r="X128" i="1"/>
  <c r="Y128" i="1"/>
  <c r="AL128" i="1"/>
  <c r="AM128" i="1"/>
  <c r="AN128" i="1"/>
  <c r="BA128" i="1"/>
  <c r="BB128" i="1"/>
  <c r="BQ128" i="1"/>
  <c r="BR128" i="1"/>
  <c r="BY128" i="1"/>
  <c r="CF128" i="1"/>
  <c r="CM128" i="1"/>
  <c r="CN128" i="1"/>
  <c r="CP128" i="1"/>
  <c r="CQ128" i="1"/>
  <c r="CR128" i="1"/>
  <c r="H30" i="1"/>
  <c r="I30" i="1"/>
  <c r="W30" i="1"/>
  <c r="X30" i="1"/>
  <c r="Y30" i="1"/>
  <c r="AL30" i="1"/>
  <c r="AM30" i="1"/>
  <c r="AN30" i="1"/>
  <c r="BA30" i="1"/>
  <c r="BB30" i="1"/>
  <c r="BQ30" i="1"/>
  <c r="BR30" i="1"/>
  <c r="BY30" i="1"/>
  <c r="CF30" i="1"/>
  <c r="CM30" i="1"/>
  <c r="CN30" i="1"/>
  <c r="CP30" i="1"/>
  <c r="CQ30" i="1"/>
  <c r="CR30" i="1"/>
  <c r="H37" i="1"/>
  <c r="I37" i="1"/>
  <c r="W37" i="1"/>
  <c r="X37" i="1"/>
  <c r="Y37" i="1"/>
  <c r="AL37" i="1"/>
  <c r="AM37" i="1"/>
  <c r="AN37" i="1"/>
  <c r="BA37" i="1"/>
  <c r="BB37" i="1"/>
  <c r="BQ37" i="1"/>
  <c r="BR37" i="1"/>
  <c r="BY37" i="1"/>
  <c r="CF37" i="1"/>
  <c r="CM37" i="1"/>
  <c r="CN37" i="1"/>
  <c r="CP37" i="1"/>
  <c r="CQ37" i="1"/>
  <c r="CR37" i="1"/>
  <c r="H96" i="1"/>
  <c r="I96" i="1"/>
  <c r="W96" i="1"/>
  <c r="X96" i="1"/>
  <c r="Y96" i="1"/>
  <c r="AL96" i="1"/>
  <c r="AM96" i="1"/>
  <c r="AN96" i="1"/>
  <c r="BA96" i="1"/>
  <c r="BB96" i="1"/>
  <c r="BQ96" i="1"/>
  <c r="BR96" i="1"/>
  <c r="BV96" i="1"/>
  <c r="BY96" i="1"/>
  <c r="CF96" i="1"/>
  <c r="CM96" i="1"/>
  <c r="CN96" i="1"/>
  <c r="CP96" i="1"/>
  <c r="CQ96" i="1"/>
  <c r="CR96" i="1"/>
  <c r="H85" i="1"/>
  <c r="I85" i="1"/>
  <c r="W85" i="1"/>
  <c r="X85" i="1"/>
  <c r="Y85" i="1"/>
  <c r="AL85" i="1"/>
  <c r="AM85" i="1"/>
  <c r="AN85" i="1"/>
  <c r="BA85" i="1"/>
  <c r="BB85" i="1"/>
  <c r="BQ85" i="1"/>
  <c r="BR85" i="1"/>
  <c r="BY85" i="1"/>
  <c r="CF85" i="1"/>
  <c r="CM85" i="1"/>
  <c r="CN85" i="1"/>
  <c r="CP85" i="1"/>
  <c r="CQ85" i="1"/>
  <c r="CR85" i="1"/>
  <c r="H126" i="1"/>
  <c r="I126" i="1"/>
  <c r="W126" i="1"/>
  <c r="X126" i="1"/>
  <c r="Y126" i="1"/>
  <c r="AL126" i="1"/>
  <c r="AM126" i="1"/>
  <c r="AN126" i="1"/>
  <c r="BA126" i="1"/>
  <c r="BB126" i="1"/>
  <c r="BQ126" i="1"/>
  <c r="BR126" i="1"/>
  <c r="BV126" i="1"/>
  <c r="BW126" i="1"/>
  <c r="BY126" i="1"/>
  <c r="CF126" i="1"/>
  <c r="CM126" i="1"/>
  <c r="CN126" i="1"/>
  <c r="CP126" i="1"/>
  <c r="CQ126" i="1"/>
  <c r="CR126" i="1"/>
  <c r="H31" i="1"/>
  <c r="I31" i="1"/>
  <c r="W31" i="1"/>
  <c r="X31" i="1"/>
  <c r="Y31" i="1"/>
  <c r="AL31" i="1"/>
  <c r="AM31" i="1"/>
  <c r="AN31" i="1"/>
  <c r="BA31" i="1"/>
  <c r="BB31" i="1"/>
  <c r="BQ31" i="1"/>
  <c r="BR31" i="1"/>
  <c r="BY31" i="1"/>
  <c r="CF31" i="1"/>
  <c r="CM31" i="1"/>
  <c r="CN31" i="1"/>
  <c r="CP31" i="1"/>
  <c r="CQ31" i="1"/>
  <c r="CR31" i="1"/>
  <c r="H134" i="1"/>
  <c r="I134" i="1"/>
  <c r="W134" i="1"/>
  <c r="X134" i="1"/>
  <c r="Y134" i="1"/>
  <c r="AL134" i="1"/>
  <c r="AM134" i="1"/>
  <c r="AN134" i="1"/>
  <c r="BA134" i="1"/>
  <c r="BB134" i="1"/>
  <c r="BQ134" i="1"/>
  <c r="BR134" i="1"/>
  <c r="BY134" i="1"/>
  <c r="CF134" i="1"/>
  <c r="CM134" i="1"/>
  <c r="CN134" i="1"/>
  <c r="CP134" i="1"/>
  <c r="CQ134" i="1"/>
  <c r="CR134" i="1"/>
  <c r="H50" i="1"/>
  <c r="I50" i="1"/>
  <c r="W50" i="1"/>
  <c r="X50" i="1"/>
  <c r="Y50" i="1"/>
  <c r="AL50" i="1"/>
  <c r="AM50" i="1"/>
  <c r="AN50" i="1"/>
  <c r="BA50" i="1"/>
  <c r="BB50" i="1"/>
  <c r="BQ50" i="1"/>
  <c r="BR50" i="1"/>
  <c r="BY50" i="1"/>
  <c r="CF50" i="1"/>
  <c r="CM50" i="1"/>
  <c r="CN50" i="1"/>
  <c r="CP50" i="1"/>
  <c r="CQ50" i="1"/>
  <c r="CR50" i="1"/>
  <c r="H84" i="1"/>
  <c r="I84" i="1"/>
  <c r="W84" i="1"/>
  <c r="X84" i="1"/>
  <c r="Y84" i="1"/>
  <c r="AL84" i="1"/>
  <c r="AM84" i="1"/>
  <c r="AN84" i="1"/>
  <c r="BA84" i="1"/>
  <c r="BB84" i="1"/>
  <c r="BQ84" i="1"/>
  <c r="BR84" i="1"/>
  <c r="BY84" i="1"/>
  <c r="CF84" i="1"/>
  <c r="CM84" i="1"/>
  <c r="CN84" i="1"/>
  <c r="CP84" i="1"/>
  <c r="CQ84" i="1"/>
  <c r="CR84" i="1"/>
  <c r="H114" i="1"/>
  <c r="I114" i="1"/>
  <c r="W114" i="1"/>
  <c r="X114" i="1"/>
  <c r="Y114" i="1"/>
  <c r="AL114" i="1"/>
  <c r="AM114" i="1"/>
  <c r="AN114" i="1"/>
  <c r="BA114" i="1"/>
  <c r="BB114" i="1"/>
  <c r="BQ114" i="1"/>
  <c r="BR114" i="1"/>
  <c r="BY114" i="1"/>
  <c r="CF114" i="1"/>
  <c r="CM114" i="1"/>
  <c r="CN114" i="1"/>
  <c r="CP114" i="1"/>
  <c r="CQ114" i="1"/>
  <c r="CR114" i="1"/>
  <c r="H105" i="1"/>
  <c r="I105" i="1"/>
  <c r="W105" i="1"/>
  <c r="X105" i="1"/>
  <c r="Y105" i="1"/>
  <c r="AL105" i="1"/>
  <c r="AM105" i="1"/>
  <c r="AN105" i="1"/>
  <c r="BA105" i="1"/>
  <c r="BB105" i="1"/>
  <c r="BQ105" i="1"/>
  <c r="BR105" i="1"/>
  <c r="BY105" i="1"/>
  <c r="CF105" i="1"/>
  <c r="CM105" i="1"/>
  <c r="CN105" i="1"/>
  <c r="CP105" i="1"/>
  <c r="CQ105" i="1"/>
  <c r="CR105" i="1"/>
  <c r="H104" i="1"/>
  <c r="I104" i="1"/>
  <c r="W104" i="1"/>
  <c r="X104" i="1"/>
  <c r="Y104" i="1"/>
  <c r="AL104" i="1"/>
  <c r="AM104" i="1"/>
  <c r="AN104" i="1"/>
  <c r="BA104" i="1"/>
  <c r="BB104" i="1"/>
  <c r="BQ104" i="1"/>
  <c r="BR104" i="1"/>
  <c r="BY104" i="1"/>
  <c r="CF104" i="1"/>
  <c r="CM104" i="1"/>
  <c r="CN104" i="1"/>
  <c r="CP104" i="1"/>
  <c r="CQ104" i="1"/>
  <c r="CR104" i="1"/>
  <c r="H82" i="1"/>
  <c r="I82" i="1"/>
  <c r="W82" i="1"/>
  <c r="X82" i="1"/>
  <c r="Y82" i="1"/>
  <c r="AL82" i="1"/>
  <c r="AM82" i="1"/>
  <c r="AN82" i="1"/>
  <c r="BA82" i="1"/>
  <c r="BB82" i="1"/>
  <c r="BQ82" i="1"/>
  <c r="BR82" i="1"/>
  <c r="BY82" i="1"/>
  <c r="CF82" i="1"/>
  <c r="CM82" i="1"/>
  <c r="CN82" i="1"/>
  <c r="CP82" i="1"/>
  <c r="CQ82" i="1"/>
  <c r="CR82" i="1"/>
  <c r="H116" i="1"/>
  <c r="I116" i="1"/>
  <c r="W116" i="1"/>
  <c r="X116" i="1"/>
  <c r="Y116" i="1"/>
  <c r="AL116" i="1"/>
  <c r="AM116" i="1"/>
  <c r="AN116" i="1"/>
  <c r="BA116" i="1"/>
  <c r="BB116" i="1"/>
  <c r="BQ116" i="1"/>
  <c r="BR116" i="1"/>
  <c r="BY116" i="1"/>
  <c r="CF116" i="1"/>
  <c r="CM116" i="1"/>
  <c r="CN116" i="1"/>
  <c r="CP116" i="1"/>
  <c r="CQ116" i="1"/>
  <c r="CR116" i="1"/>
  <c r="H101" i="1"/>
  <c r="I101" i="1"/>
  <c r="W101" i="1"/>
  <c r="X101" i="1"/>
  <c r="Y101" i="1"/>
  <c r="AL101" i="1"/>
  <c r="AM101" i="1"/>
  <c r="AN101" i="1"/>
  <c r="BA101" i="1"/>
  <c r="BB101" i="1"/>
  <c r="BQ101" i="1"/>
  <c r="BR101" i="1"/>
  <c r="BY101" i="1"/>
  <c r="CF101" i="1"/>
  <c r="CM101" i="1"/>
  <c r="CN101" i="1"/>
  <c r="CP101" i="1"/>
  <c r="CQ101" i="1"/>
  <c r="CR101" i="1"/>
  <c r="H94" i="1"/>
  <c r="I94" i="1"/>
  <c r="W94" i="1"/>
  <c r="X94" i="1"/>
  <c r="Y94" i="1"/>
  <c r="AL94" i="1"/>
  <c r="AM94" i="1"/>
  <c r="AN94" i="1"/>
  <c r="BA94" i="1"/>
  <c r="BB94" i="1"/>
  <c r="BQ94" i="1"/>
  <c r="BR94" i="1"/>
  <c r="BV94" i="1"/>
  <c r="BY94" i="1"/>
  <c r="CF94" i="1"/>
  <c r="CM94" i="1"/>
  <c r="CN94" i="1"/>
  <c r="CP94" i="1"/>
  <c r="CQ94" i="1"/>
  <c r="CR94" i="1"/>
  <c r="H34" i="1"/>
  <c r="I34" i="1"/>
  <c r="W34" i="1"/>
  <c r="X34" i="1"/>
  <c r="Y34" i="1"/>
  <c r="AL34" i="1"/>
  <c r="AM34" i="1"/>
  <c r="AN34" i="1"/>
  <c r="BA34" i="1"/>
  <c r="BB34" i="1"/>
  <c r="BQ34" i="1"/>
  <c r="BR34" i="1"/>
  <c r="BV34" i="1"/>
  <c r="BY34" i="1"/>
  <c r="CF34" i="1"/>
  <c r="CM34" i="1"/>
  <c r="CN34" i="1"/>
  <c r="CP34" i="1"/>
  <c r="CQ34" i="1"/>
  <c r="CR34" i="1"/>
  <c r="H100" i="1"/>
  <c r="I100" i="1"/>
  <c r="W100" i="1"/>
  <c r="X100" i="1"/>
  <c r="Y100" i="1"/>
  <c r="AL100" i="1"/>
  <c r="AM100" i="1"/>
  <c r="AN100" i="1"/>
  <c r="BA100" i="1"/>
  <c r="BB100" i="1"/>
  <c r="BQ100" i="1"/>
  <c r="BR100" i="1"/>
  <c r="BY100" i="1"/>
  <c r="CF100" i="1"/>
  <c r="CM100" i="1"/>
  <c r="CN100" i="1"/>
  <c r="CP100" i="1"/>
  <c r="CQ100" i="1"/>
  <c r="CR100" i="1"/>
  <c r="H91" i="1"/>
  <c r="I91" i="1"/>
  <c r="W91" i="1"/>
  <c r="X91" i="1"/>
  <c r="Y91" i="1"/>
  <c r="AL91" i="1"/>
  <c r="AM91" i="1"/>
  <c r="AN91" i="1"/>
  <c r="BA91" i="1"/>
  <c r="BB91" i="1"/>
  <c r="BQ91" i="1"/>
  <c r="BR91" i="1"/>
  <c r="BV91" i="1"/>
  <c r="BY91" i="1"/>
  <c r="CF91" i="1"/>
  <c r="CM91" i="1"/>
  <c r="CN91" i="1"/>
  <c r="CP91" i="1"/>
  <c r="CQ91" i="1"/>
  <c r="CR91" i="1"/>
  <c r="H2" i="1"/>
  <c r="I2" i="1"/>
  <c r="W2" i="1"/>
  <c r="X2" i="1"/>
  <c r="Y2" i="1"/>
  <c r="AL2" i="1"/>
  <c r="AM2" i="1"/>
  <c r="AN2" i="1"/>
  <c r="BA2" i="1"/>
  <c r="BB2" i="1"/>
  <c r="BQ2" i="1"/>
  <c r="BR2" i="1"/>
  <c r="BY2" i="1"/>
  <c r="CF2" i="1"/>
  <c r="CM2" i="1"/>
  <c r="CN2" i="1"/>
  <c r="CP2" i="1"/>
  <c r="CQ2" i="1"/>
  <c r="CR2" i="1"/>
  <c r="H80" i="1"/>
  <c r="I80" i="1"/>
  <c r="W80" i="1"/>
  <c r="X80" i="1"/>
  <c r="Y80" i="1"/>
  <c r="AL80" i="1"/>
  <c r="AM80" i="1"/>
  <c r="AN80" i="1"/>
  <c r="BA80" i="1"/>
  <c r="BB80" i="1"/>
  <c r="BQ80" i="1"/>
  <c r="BR80" i="1"/>
  <c r="BY80" i="1"/>
  <c r="CF80" i="1"/>
  <c r="CM80" i="1"/>
  <c r="CN80" i="1"/>
  <c r="CP80" i="1"/>
  <c r="CQ80" i="1"/>
  <c r="CR80" i="1"/>
  <c r="H89" i="1"/>
  <c r="I89" i="1"/>
  <c r="W89" i="1"/>
  <c r="X89" i="1"/>
  <c r="Y89" i="1"/>
  <c r="AL89" i="1"/>
  <c r="AM89" i="1"/>
  <c r="AN89" i="1"/>
  <c r="BA89" i="1"/>
  <c r="BB89" i="1"/>
  <c r="BQ89" i="1"/>
  <c r="BR89" i="1"/>
  <c r="BY89" i="1"/>
  <c r="CF89" i="1"/>
  <c r="CM89" i="1"/>
  <c r="CN89" i="1"/>
  <c r="CP89" i="1"/>
  <c r="CQ89" i="1"/>
  <c r="CR89" i="1"/>
  <c r="B111" i="1"/>
  <c r="H111" i="1"/>
  <c r="I111" i="1"/>
  <c r="W111" i="1"/>
  <c r="X111" i="1"/>
  <c r="Y111" i="1"/>
  <c r="AL111" i="1"/>
  <c r="AM111" i="1"/>
  <c r="AN111" i="1"/>
  <c r="BA111" i="1"/>
  <c r="BB111" i="1"/>
  <c r="BQ111" i="1"/>
  <c r="BR111" i="1"/>
  <c r="BY111" i="1"/>
  <c r="CF111" i="1"/>
  <c r="CM111" i="1"/>
  <c r="CN111" i="1"/>
  <c r="CP111" i="1"/>
  <c r="CQ111" i="1"/>
  <c r="CR111" i="1"/>
  <c r="B18" i="1"/>
  <c r="H18" i="1"/>
  <c r="I18" i="1"/>
  <c r="W18" i="1"/>
  <c r="X18" i="1"/>
  <c r="Y18" i="1"/>
  <c r="AL18" i="1"/>
  <c r="AM18" i="1"/>
  <c r="AN18" i="1"/>
  <c r="BA18" i="1"/>
  <c r="BB18" i="1"/>
  <c r="BQ18" i="1"/>
  <c r="BR18" i="1"/>
  <c r="BY18" i="1"/>
  <c r="CF18" i="1"/>
  <c r="CM18" i="1"/>
  <c r="CN18" i="1"/>
  <c r="CP18" i="1"/>
  <c r="CQ18" i="1"/>
  <c r="CR18" i="1"/>
  <c r="B75" i="1"/>
  <c r="H75" i="1"/>
  <c r="I75" i="1"/>
  <c r="W75" i="1"/>
  <c r="X75" i="1"/>
  <c r="Y75" i="1"/>
  <c r="AL75" i="1"/>
  <c r="AM75" i="1"/>
  <c r="AN75" i="1"/>
  <c r="BA75" i="1"/>
  <c r="BB75" i="1"/>
  <c r="BQ75" i="1"/>
  <c r="BR75" i="1"/>
  <c r="BV75" i="1"/>
  <c r="BY75" i="1"/>
  <c r="CF75" i="1"/>
  <c r="CM75" i="1"/>
  <c r="CN75" i="1"/>
  <c r="CP75" i="1"/>
  <c r="CQ75" i="1"/>
  <c r="CR75" i="1"/>
  <c r="B99" i="1"/>
  <c r="H99" i="1"/>
  <c r="I99" i="1"/>
  <c r="W99" i="1"/>
  <c r="X99" i="1"/>
  <c r="Y99" i="1"/>
  <c r="AL99" i="1"/>
  <c r="AM99" i="1"/>
  <c r="AN99" i="1"/>
  <c r="BA99" i="1"/>
  <c r="BB99" i="1"/>
  <c r="BQ99" i="1"/>
  <c r="BR99" i="1"/>
  <c r="BV99" i="1"/>
  <c r="BY99" i="1"/>
  <c r="CF99" i="1"/>
  <c r="CM99" i="1"/>
  <c r="CN99" i="1"/>
  <c r="CP99" i="1"/>
  <c r="CQ99" i="1"/>
  <c r="CR99" i="1"/>
  <c r="B4" i="1"/>
  <c r="H4" i="1"/>
  <c r="I4" i="1"/>
  <c r="W4" i="1"/>
  <c r="X4" i="1"/>
  <c r="Y4" i="1"/>
  <c r="AL4" i="1"/>
  <c r="AM4" i="1"/>
  <c r="AN4" i="1"/>
  <c r="BA4" i="1"/>
  <c r="BB4" i="1"/>
  <c r="BQ4" i="1"/>
  <c r="BR4" i="1"/>
  <c r="BY4" i="1"/>
  <c r="CF4" i="1"/>
  <c r="CM4" i="1"/>
  <c r="CN4" i="1"/>
  <c r="CP4" i="1"/>
  <c r="CQ4" i="1"/>
  <c r="CR4" i="1"/>
  <c r="B87" i="1"/>
  <c r="H87" i="1"/>
  <c r="I87" i="1"/>
  <c r="W87" i="1"/>
  <c r="X87" i="1"/>
  <c r="Y87" i="1"/>
  <c r="AL87" i="1"/>
  <c r="AM87" i="1"/>
  <c r="AN87" i="1"/>
  <c r="BA87" i="1"/>
  <c r="BB87" i="1"/>
  <c r="BQ87" i="1"/>
  <c r="BR87" i="1"/>
  <c r="BY87" i="1"/>
  <c r="CF87" i="1"/>
  <c r="CM87" i="1"/>
  <c r="CN87" i="1"/>
  <c r="CP87" i="1"/>
  <c r="CQ87" i="1"/>
  <c r="CR87" i="1"/>
  <c r="H21" i="1"/>
  <c r="I21" i="1"/>
  <c r="W21" i="1"/>
  <c r="X21" i="1"/>
  <c r="Y21" i="1"/>
  <c r="AL21" i="1"/>
  <c r="AM21" i="1"/>
  <c r="AN21" i="1"/>
  <c r="BA21" i="1"/>
  <c r="BB21" i="1"/>
  <c r="BQ21" i="1"/>
  <c r="BR21" i="1"/>
  <c r="BV21" i="1"/>
  <c r="BY21" i="1"/>
  <c r="CF21" i="1"/>
  <c r="CM21" i="1"/>
  <c r="CN21" i="1"/>
  <c r="CP21" i="1"/>
  <c r="CQ21" i="1"/>
  <c r="CR21" i="1"/>
  <c r="H16" i="1"/>
  <c r="I16" i="1"/>
  <c r="W16" i="1"/>
  <c r="X16" i="1"/>
  <c r="Y16" i="1"/>
  <c r="AL16" i="1"/>
  <c r="AM16" i="1"/>
  <c r="AN16" i="1"/>
  <c r="BA16" i="1"/>
  <c r="BB16" i="1"/>
  <c r="BQ16" i="1"/>
  <c r="BR16" i="1"/>
  <c r="BY16" i="1"/>
  <c r="CF16" i="1"/>
  <c r="CM16" i="1"/>
  <c r="CN16" i="1"/>
  <c r="CP16" i="1"/>
  <c r="CQ16" i="1"/>
  <c r="CR16" i="1"/>
  <c r="H20" i="1"/>
  <c r="I20" i="1"/>
  <c r="W20" i="1"/>
  <c r="X20" i="1"/>
  <c r="Y20" i="1"/>
  <c r="AL20" i="1"/>
  <c r="AM20" i="1"/>
  <c r="AN20" i="1"/>
  <c r="BA20" i="1"/>
  <c r="BB20" i="1"/>
  <c r="BQ20" i="1"/>
  <c r="BR20" i="1"/>
  <c r="BV20" i="1"/>
  <c r="BY20" i="1"/>
  <c r="CF20" i="1"/>
  <c r="CM20" i="1"/>
  <c r="CN20" i="1"/>
  <c r="CP20" i="1"/>
  <c r="CQ20" i="1"/>
  <c r="CR20" i="1"/>
  <c r="I15" i="1"/>
  <c r="W15" i="1"/>
  <c r="X15" i="1"/>
  <c r="Y15" i="1"/>
  <c r="AL15" i="1"/>
  <c r="AM15" i="1"/>
  <c r="AN15" i="1"/>
  <c r="BA15" i="1"/>
  <c r="BB15" i="1"/>
  <c r="BQ15" i="1"/>
  <c r="BR15" i="1"/>
  <c r="BY15" i="1"/>
  <c r="CF15" i="1"/>
  <c r="CM15" i="1"/>
  <c r="CN15" i="1"/>
  <c r="CP15" i="1"/>
  <c r="CQ15" i="1"/>
  <c r="CR15" i="1"/>
  <c r="H136" i="1"/>
  <c r="I136" i="1"/>
  <c r="W136" i="1"/>
  <c r="X136" i="1"/>
  <c r="Y136" i="1"/>
  <c r="AL136" i="1"/>
  <c r="AM136" i="1"/>
  <c r="AN136" i="1"/>
  <c r="BA136" i="1"/>
  <c r="BB136" i="1"/>
  <c r="BQ136" i="1"/>
  <c r="BR136" i="1"/>
  <c r="BV136" i="1"/>
  <c r="BW136" i="1"/>
  <c r="BY136" i="1"/>
  <c r="CF136" i="1"/>
  <c r="CM136" i="1"/>
  <c r="CN136" i="1"/>
  <c r="CP136" i="1"/>
  <c r="CQ136" i="1"/>
  <c r="CR136" i="1"/>
  <c r="H14" i="1"/>
  <c r="I14" i="1"/>
  <c r="W14" i="1"/>
  <c r="X14" i="1"/>
  <c r="Y14" i="1"/>
  <c r="AL14" i="1"/>
  <c r="AM14" i="1"/>
  <c r="AN14" i="1"/>
  <c r="BA14" i="1"/>
  <c r="BB14" i="1"/>
  <c r="BQ14" i="1"/>
  <c r="BR14" i="1"/>
  <c r="BY14" i="1"/>
  <c r="CF14" i="1"/>
  <c r="CM14" i="1"/>
  <c r="CN14" i="1"/>
  <c r="CP14" i="1"/>
  <c r="CQ14" i="1"/>
  <c r="CR14" i="1"/>
  <c r="H70" i="1"/>
  <c r="I70" i="1"/>
  <c r="W70" i="1"/>
  <c r="X70" i="1"/>
  <c r="Y70" i="1"/>
  <c r="AL70" i="1"/>
  <c r="AM70" i="1"/>
  <c r="AN70" i="1"/>
  <c r="BA70" i="1"/>
  <c r="BB70" i="1"/>
  <c r="BQ70" i="1"/>
  <c r="BR70" i="1"/>
  <c r="BY70" i="1"/>
  <c r="CF70" i="1"/>
  <c r="CM70" i="1"/>
  <c r="CN70" i="1"/>
  <c r="CP70" i="1"/>
  <c r="CQ70" i="1"/>
  <c r="CR70" i="1"/>
  <c r="H118" i="1"/>
  <c r="I118" i="1"/>
  <c r="W118" i="1"/>
  <c r="X118" i="1"/>
  <c r="Y118" i="1"/>
  <c r="AL118" i="1"/>
  <c r="AM118" i="1"/>
  <c r="AN118" i="1"/>
  <c r="BA118" i="1"/>
  <c r="BB118" i="1"/>
  <c r="BQ118" i="1"/>
  <c r="BR118" i="1"/>
  <c r="BY118" i="1"/>
  <c r="CF118" i="1"/>
  <c r="CM118" i="1"/>
  <c r="CN118" i="1"/>
  <c r="CP118" i="1"/>
  <c r="CQ118" i="1"/>
  <c r="CR118" i="1"/>
  <c r="H47" i="1"/>
  <c r="I47" i="1"/>
  <c r="W47" i="1"/>
  <c r="X47" i="1"/>
  <c r="Y47" i="1"/>
  <c r="AL47" i="1"/>
  <c r="AM47" i="1"/>
  <c r="AN47" i="1"/>
  <c r="BA47" i="1"/>
  <c r="BB47" i="1"/>
  <c r="BQ47" i="1"/>
  <c r="BR47" i="1"/>
  <c r="BY47" i="1"/>
  <c r="CF47" i="1"/>
  <c r="CM47" i="1"/>
  <c r="CN47" i="1"/>
  <c r="CP47" i="1"/>
  <c r="CQ47" i="1"/>
  <c r="CR47" i="1"/>
  <c r="H69" i="1"/>
  <c r="I69" i="1"/>
  <c r="W69" i="1"/>
  <c r="X69" i="1"/>
  <c r="Y69" i="1"/>
  <c r="AL69" i="1"/>
  <c r="AM69" i="1"/>
  <c r="AN69" i="1"/>
  <c r="BA69" i="1"/>
  <c r="BB69" i="1"/>
  <c r="BQ69" i="1"/>
  <c r="BR69" i="1"/>
  <c r="BY69" i="1"/>
  <c r="CF69" i="1"/>
  <c r="CM69" i="1"/>
  <c r="CN69" i="1"/>
  <c r="CP69" i="1"/>
  <c r="CQ69" i="1"/>
  <c r="CR69" i="1"/>
  <c r="H13" i="1"/>
  <c r="I13" i="1"/>
  <c r="W13" i="1"/>
  <c r="X13" i="1"/>
  <c r="Y13" i="1"/>
  <c r="AL13" i="1"/>
  <c r="AM13" i="1"/>
  <c r="AN13" i="1"/>
  <c r="BA13" i="1"/>
  <c r="BB13" i="1"/>
  <c r="BQ13" i="1"/>
  <c r="BR13" i="1"/>
  <c r="BY13" i="1"/>
  <c r="CF13" i="1"/>
  <c r="CM13" i="1"/>
  <c r="CN13" i="1"/>
  <c r="CP13" i="1"/>
  <c r="CQ13" i="1"/>
  <c r="CR13" i="1"/>
  <c r="H46" i="1"/>
  <c r="I46" i="1"/>
  <c r="W46" i="1"/>
  <c r="X46" i="1"/>
  <c r="Y46" i="1"/>
  <c r="AL46" i="1"/>
  <c r="AM46" i="1"/>
  <c r="AN46" i="1"/>
  <c r="BA46" i="1"/>
  <c r="BB46" i="1"/>
  <c r="BQ46" i="1"/>
  <c r="BR46" i="1"/>
  <c r="BV46" i="1"/>
  <c r="BY46" i="1"/>
  <c r="CF46" i="1"/>
  <c r="CM46" i="1"/>
  <c r="CN46" i="1"/>
  <c r="CP46" i="1"/>
  <c r="CQ46" i="1"/>
  <c r="CR46" i="1"/>
  <c r="H68" i="1"/>
  <c r="I68" i="1"/>
  <c r="W68" i="1"/>
  <c r="X68" i="1"/>
  <c r="Y68" i="1"/>
  <c r="AL68" i="1"/>
  <c r="AM68" i="1"/>
  <c r="AN68" i="1"/>
  <c r="BA68" i="1"/>
  <c r="BB68" i="1"/>
  <c r="BQ68" i="1"/>
  <c r="BR68" i="1"/>
  <c r="BY68" i="1"/>
  <c r="CF68" i="1"/>
  <c r="CM68" i="1"/>
  <c r="CN68" i="1"/>
  <c r="CP68" i="1"/>
  <c r="CQ68" i="1"/>
  <c r="CR68" i="1"/>
  <c r="H45" i="1"/>
  <c r="I45" i="1"/>
  <c r="W45" i="1"/>
  <c r="X45" i="1"/>
  <c r="Y45" i="1"/>
  <c r="AL45" i="1"/>
  <c r="AM45" i="1"/>
  <c r="AN45" i="1"/>
  <c r="BA45" i="1"/>
  <c r="BB45" i="1"/>
  <c r="BQ45" i="1"/>
  <c r="BR45" i="1"/>
  <c r="BV45" i="1"/>
  <c r="BW45" i="1"/>
  <c r="BY45" i="1"/>
  <c r="CF45" i="1"/>
  <c r="CM45" i="1"/>
  <c r="CN45" i="1"/>
  <c r="CP45" i="1"/>
  <c r="CQ45" i="1"/>
  <c r="CR45" i="1"/>
  <c r="H97" i="1"/>
  <c r="I97" i="1"/>
  <c r="W97" i="1"/>
  <c r="X97" i="1"/>
  <c r="Y97" i="1"/>
  <c r="AL97" i="1"/>
  <c r="AM97" i="1"/>
  <c r="AN97" i="1"/>
  <c r="BA97" i="1"/>
  <c r="BB97" i="1"/>
  <c r="BQ97" i="1"/>
  <c r="BR97" i="1"/>
  <c r="BY97" i="1"/>
  <c r="CF97" i="1"/>
  <c r="CM97" i="1"/>
  <c r="CN97" i="1"/>
  <c r="CP97" i="1"/>
  <c r="CQ97" i="1"/>
  <c r="CR97" i="1"/>
  <c r="H25" i="1"/>
  <c r="I25" i="1"/>
  <c r="W25" i="1"/>
  <c r="X25" i="1"/>
  <c r="Y25" i="1"/>
  <c r="AL25" i="1"/>
  <c r="AM25" i="1"/>
  <c r="AN25" i="1"/>
  <c r="BA25" i="1"/>
  <c r="BB25" i="1"/>
  <c r="BQ25" i="1"/>
  <c r="BR25" i="1"/>
  <c r="BV25" i="1"/>
  <c r="BY25" i="1"/>
  <c r="CF25" i="1"/>
  <c r="CM25" i="1"/>
  <c r="CN25" i="1"/>
  <c r="CP25" i="1"/>
  <c r="CQ25" i="1"/>
  <c r="CR25" i="1"/>
  <c r="H74" i="1"/>
  <c r="I74" i="1"/>
  <c r="W74" i="1"/>
  <c r="X74" i="1"/>
  <c r="Y74" i="1"/>
  <c r="AL74" i="1"/>
  <c r="AM74" i="1"/>
  <c r="AN74" i="1"/>
  <c r="BA74" i="1"/>
  <c r="BB74" i="1"/>
  <c r="BQ74" i="1"/>
  <c r="BR74" i="1"/>
  <c r="BV74" i="1"/>
  <c r="BY74" i="1"/>
  <c r="CF74" i="1"/>
  <c r="CM74" i="1"/>
  <c r="CN74" i="1"/>
  <c r="CP74" i="1"/>
  <c r="CQ74" i="1"/>
  <c r="CR74" i="1"/>
  <c r="H44" i="1"/>
  <c r="I44" i="1"/>
  <c r="W44" i="1"/>
  <c r="X44" i="1"/>
  <c r="Y44" i="1"/>
  <c r="AL44" i="1"/>
  <c r="AM44" i="1"/>
  <c r="AN44" i="1"/>
  <c r="BA44" i="1"/>
  <c r="BB44" i="1"/>
  <c r="BQ44" i="1"/>
  <c r="BR44" i="1"/>
  <c r="BV44" i="1"/>
  <c r="BY44" i="1"/>
  <c r="CF44" i="1"/>
  <c r="CM44" i="1"/>
  <c r="CN44" i="1"/>
  <c r="CP44" i="1"/>
  <c r="CQ44" i="1"/>
  <c r="CR44" i="1"/>
  <c r="H132" i="1"/>
  <c r="I132" i="1"/>
  <c r="W132" i="1"/>
  <c r="X132" i="1"/>
  <c r="Y132" i="1"/>
  <c r="AL132" i="1"/>
  <c r="AM132" i="1"/>
  <c r="AN132" i="1"/>
  <c r="BA132" i="1"/>
  <c r="BB132" i="1"/>
  <c r="BQ132" i="1"/>
  <c r="BR132" i="1"/>
  <c r="BY132" i="1"/>
  <c r="CF132" i="1"/>
  <c r="CM132" i="1"/>
  <c r="CN132" i="1"/>
  <c r="CP132" i="1"/>
  <c r="CQ132" i="1"/>
  <c r="CR132" i="1"/>
  <c r="H43" i="1"/>
  <c r="I43" i="1"/>
  <c r="W43" i="1"/>
  <c r="X43" i="1"/>
  <c r="Y43" i="1"/>
  <c r="AL43" i="1"/>
  <c r="AM43" i="1"/>
  <c r="AN43" i="1"/>
  <c r="BA43" i="1"/>
  <c r="BB43" i="1"/>
  <c r="BQ43" i="1"/>
  <c r="BR43" i="1"/>
  <c r="BY43" i="1"/>
  <c r="CF43" i="1"/>
  <c r="CM43" i="1"/>
  <c r="CN43" i="1"/>
  <c r="CP43" i="1"/>
  <c r="CQ43" i="1"/>
  <c r="CR43" i="1"/>
  <c r="H54" i="1"/>
  <c r="I54" i="1"/>
  <c r="W54" i="1"/>
  <c r="X54" i="1"/>
  <c r="Y54" i="1"/>
  <c r="AL54" i="1"/>
  <c r="AM54" i="1"/>
  <c r="AN54" i="1"/>
  <c r="BA54" i="1"/>
  <c r="BB54" i="1"/>
  <c r="BQ54" i="1"/>
  <c r="BR54" i="1"/>
  <c r="BY54" i="1"/>
  <c r="CF54" i="1"/>
  <c r="CM54" i="1"/>
  <c r="CN54" i="1"/>
  <c r="CP54" i="1"/>
  <c r="CQ54" i="1"/>
  <c r="CR54" i="1"/>
  <c r="H95" i="1"/>
  <c r="I95" i="1"/>
  <c r="W95" i="1"/>
  <c r="X95" i="1"/>
  <c r="Y95" i="1"/>
  <c r="AL95" i="1"/>
  <c r="AM95" i="1"/>
  <c r="AN95" i="1"/>
  <c r="BA95" i="1"/>
  <c r="BB95" i="1"/>
  <c r="BQ95" i="1"/>
  <c r="BR95" i="1"/>
  <c r="BY95" i="1"/>
  <c r="CF95" i="1"/>
  <c r="CM95" i="1"/>
  <c r="CN95" i="1"/>
  <c r="CP95" i="1"/>
  <c r="CQ95" i="1"/>
  <c r="CR95" i="1"/>
  <c r="H42" i="1"/>
  <c r="I42" i="1"/>
  <c r="W42" i="1"/>
  <c r="X42" i="1"/>
  <c r="Y42" i="1"/>
  <c r="AL42" i="1"/>
  <c r="AM42" i="1"/>
  <c r="AN42" i="1"/>
  <c r="BA42" i="1"/>
  <c r="BB42" i="1"/>
  <c r="BQ42" i="1"/>
  <c r="BR42" i="1"/>
  <c r="BY42" i="1"/>
  <c r="CF42" i="1"/>
  <c r="CM42" i="1"/>
  <c r="CN42" i="1"/>
  <c r="CP42" i="1"/>
  <c r="CQ42" i="1"/>
  <c r="CR42" i="1"/>
  <c r="H66" i="1"/>
  <c r="I66" i="1"/>
  <c r="W66" i="1"/>
  <c r="X66" i="1"/>
  <c r="Y66" i="1"/>
  <c r="AL66" i="1"/>
  <c r="AM66" i="1"/>
  <c r="AN66" i="1"/>
  <c r="BA66" i="1"/>
  <c r="BB66" i="1"/>
  <c r="BQ66" i="1"/>
  <c r="BR66" i="1"/>
  <c r="BY66" i="1"/>
  <c r="CF66" i="1"/>
  <c r="CM66" i="1"/>
  <c r="CN66" i="1"/>
  <c r="CP66" i="1"/>
  <c r="CQ66" i="1"/>
  <c r="CR66" i="1"/>
  <c r="I53" i="1"/>
  <c r="W53" i="1"/>
  <c r="X53" i="1"/>
  <c r="Y53" i="1"/>
  <c r="AL53" i="1"/>
  <c r="AM53" i="1"/>
  <c r="AN53" i="1"/>
  <c r="BA53" i="1"/>
  <c r="BB53" i="1"/>
  <c r="BQ53" i="1"/>
  <c r="BR53" i="1"/>
  <c r="BY53" i="1"/>
  <c r="CF53" i="1"/>
  <c r="CM53" i="1"/>
  <c r="CN53" i="1"/>
  <c r="CP53" i="1"/>
  <c r="CQ53" i="1"/>
  <c r="CR53" i="1"/>
  <c r="H3" i="1"/>
  <c r="I3" i="1"/>
  <c r="W3" i="1"/>
  <c r="X3" i="1"/>
  <c r="Y3" i="1"/>
  <c r="AL3" i="1"/>
  <c r="AM3" i="1"/>
  <c r="AN3" i="1"/>
  <c r="BA3" i="1"/>
  <c r="BB3" i="1"/>
  <c r="BQ3" i="1"/>
  <c r="BR3" i="1"/>
  <c r="BY3" i="1"/>
  <c r="CF3" i="1"/>
  <c r="CM3" i="1"/>
  <c r="CN3" i="1"/>
  <c r="CP3" i="1"/>
  <c r="CQ3" i="1"/>
  <c r="CR3" i="1"/>
  <c r="H29" i="1"/>
  <c r="I29" i="1"/>
  <c r="W29" i="1"/>
  <c r="X29" i="1"/>
  <c r="Y29" i="1"/>
  <c r="AL29" i="1"/>
  <c r="AM29" i="1"/>
  <c r="AN29" i="1"/>
  <c r="BA29" i="1"/>
  <c r="BB29" i="1"/>
  <c r="BQ29" i="1"/>
  <c r="BR29" i="1"/>
  <c r="BY29" i="1"/>
  <c r="CF29" i="1"/>
  <c r="CM29" i="1"/>
  <c r="CN29" i="1"/>
  <c r="CP29" i="1"/>
  <c r="CQ29" i="1"/>
  <c r="CR29" i="1"/>
  <c r="H106" i="1"/>
  <c r="I106" i="1"/>
  <c r="W106" i="1"/>
  <c r="X106" i="1"/>
  <c r="Y106" i="1"/>
  <c r="AL106" i="1"/>
  <c r="AM106" i="1"/>
  <c r="AN106" i="1"/>
  <c r="BA106" i="1"/>
  <c r="BB106" i="1"/>
  <c r="BQ106" i="1"/>
  <c r="BR106" i="1"/>
  <c r="BY106" i="1"/>
  <c r="CF106" i="1"/>
  <c r="CM106" i="1"/>
  <c r="CN106" i="1"/>
  <c r="CP106" i="1"/>
  <c r="CQ106" i="1"/>
  <c r="CR106" i="1"/>
  <c r="H60" i="1"/>
  <c r="I60" i="1"/>
  <c r="W60" i="1"/>
  <c r="X60" i="1"/>
  <c r="Y60" i="1"/>
  <c r="AL60" i="1"/>
  <c r="AM60" i="1"/>
  <c r="AN60" i="1"/>
  <c r="BA60" i="1"/>
  <c r="BB60" i="1"/>
  <c r="BQ60" i="1"/>
  <c r="BR60" i="1"/>
  <c r="BY60" i="1"/>
  <c r="CF60" i="1"/>
  <c r="CM60" i="1"/>
  <c r="CN60" i="1"/>
  <c r="CP60" i="1"/>
  <c r="CQ60" i="1"/>
  <c r="CR60" i="1"/>
  <c r="H41" i="1"/>
  <c r="I41" i="1"/>
  <c r="W41" i="1"/>
  <c r="X41" i="1"/>
  <c r="Y41" i="1"/>
  <c r="AL41" i="1"/>
  <c r="AM41" i="1"/>
  <c r="AN41" i="1"/>
  <c r="BA41" i="1"/>
  <c r="BB41" i="1"/>
  <c r="BQ41" i="1"/>
  <c r="BR41" i="1"/>
  <c r="BY41" i="1"/>
  <c r="CF41" i="1"/>
  <c r="CM41" i="1"/>
  <c r="CN41" i="1"/>
  <c r="CP41" i="1"/>
  <c r="CQ41" i="1"/>
  <c r="CR41" i="1"/>
  <c r="H24" i="1"/>
  <c r="I24" i="1"/>
  <c r="W24" i="1"/>
  <c r="X24" i="1"/>
  <c r="Y24" i="1"/>
  <c r="AL24" i="1"/>
  <c r="AM24" i="1"/>
  <c r="AN24" i="1"/>
  <c r="BA24" i="1"/>
  <c r="BB24" i="1"/>
  <c r="BQ24" i="1"/>
  <c r="BR24" i="1"/>
  <c r="BV24" i="1"/>
  <c r="BY24" i="1"/>
  <c r="CF24" i="1"/>
  <c r="CM24" i="1"/>
  <c r="CN24" i="1"/>
  <c r="CP24" i="1"/>
  <c r="CQ24" i="1"/>
  <c r="CR24" i="1"/>
  <c r="H83" i="1"/>
  <c r="I83" i="1"/>
  <c r="W83" i="1"/>
  <c r="X83" i="1"/>
  <c r="Y83" i="1"/>
  <c r="AL83" i="1"/>
  <c r="AM83" i="1"/>
  <c r="AN83" i="1"/>
  <c r="BA83" i="1"/>
  <c r="BB83" i="1"/>
  <c r="BQ83" i="1"/>
  <c r="BR83" i="1"/>
  <c r="BY83" i="1"/>
  <c r="CF83" i="1"/>
  <c r="CM83" i="1"/>
  <c r="CN83" i="1"/>
  <c r="CP83" i="1"/>
  <c r="CQ83" i="1"/>
  <c r="CR83" i="1"/>
  <c r="H32" i="1"/>
  <c r="I32" i="1"/>
  <c r="W32" i="1"/>
  <c r="X32" i="1"/>
  <c r="Y32" i="1"/>
  <c r="AL32" i="1"/>
  <c r="AM32" i="1"/>
  <c r="AN32" i="1"/>
  <c r="BA32" i="1"/>
  <c r="BB32" i="1"/>
  <c r="BQ32" i="1"/>
  <c r="BR32" i="1"/>
  <c r="BY32" i="1"/>
  <c r="CF32" i="1"/>
  <c r="CM32" i="1"/>
  <c r="CN32" i="1"/>
  <c r="CP32" i="1"/>
  <c r="CQ32" i="1"/>
  <c r="CR32" i="1"/>
  <c r="H40" i="1"/>
  <c r="I40" i="1"/>
  <c r="W40" i="1"/>
  <c r="X40" i="1"/>
  <c r="Y40" i="1"/>
  <c r="AL40" i="1"/>
  <c r="AM40" i="1"/>
  <c r="AN40" i="1"/>
  <c r="BA40" i="1"/>
  <c r="BB40" i="1"/>
  <c r="BQ40" i="1"/>
  <c r="BR40" i="1"/>
  <c r="BY40" i="1"/>
  <c r="CF40" i="1"/>
  <c r="CM40" i="1"/>
  <c r="CN40" i="1"/>
  <c r="CP40" i="1"/>
  <c r="CQ40" i="1"/>
  <c r="CR40" i="1"/>
  <c r="H12" i="1"/>
  <c r="I12" i="1"/>
  <c r="W12" i="1"/>
  <c r="X12" i="1"/>
  <c r="Y12" i="1"/>
  <c r="AL12" i="1"/>
  <c r="AM12" i="1"/>
  <c r="AN12" i="1"/>
  <c r="BA12" i="1"/>
  <c r="BB12" i="1"/>
  <c r="BQ12" i="1"/>
  <c r="BR12" i="1"/>
  <c r="BY12" i="1"/>
  <c r="CF12" i="1"/>
  <c r="CM12" i="1"/>
  <c r="CN12" i="1"/>
  <c r="CP12" i="1"/>
  <c r="CQ12" i="1"/>
  <c r="CR12" i="1"/>
  <c r="H23" i="1"/>
  <c r="I23" i="1"/>
  <c r="W23" i="1"/>
  <c r="X23" i="1"/>
  <c r="Y23" i="1"/>
  <c r="AL23" i="1"/>
  <c r="AM23" i="1"/>
  <c r="AN23" i="1"/>
  <c r="BA23" i="1"/>
  <c r="BB23" i="1"/>
  <c r="BQ23" i="1"/>
  <c r="BR23" i="1"/>
  <c r="BV23" i="1"/>
  <c r="BY23" i="1"/>
  <c r="CF23" i="1"/>
  <c r="CM23" i="1"/>
  <c r="CN23" i="1"/>
  <c r="CP23" i="1"/>
  <c r="CQ23" i="1"/>
  <c r="CR23" i="1"/>
  <c r="H35" i="1"/>
  <c r="I35" i="1"/>
  <c r="W35" i="1"/>
  <c r="X35" i="1"/>
  <c r="Y35" i="1"/>
  <c r="AL35" i="1"/>
  <c r="AM35" i="1"/>
  <c r="AN35" i="1"/>
  <c r="BA35" i="1"/>
  <c r="BB35" i="1"/>
  <c r="BQ35" i="1"/>
  <c r="BR35" i="1"/>
  <c r="BV35" i="1"/>
  <c r="BY35" i="1"/>
  <c r="CF35" i="1"/>
  <c r="CM35" i="1"/>
  <c r="CN35" i="1"/>
  <c r="CP35" i="1"/>
  <c r="CQ35" i="1"/>
  <c r="CR35" i="1"/>
  <c r="H39" i="1"/>
  <c r="I39" i="1"/>
  <c r="W39" i="1"/>
  <c r="X39" i="1"/>
  <c r="Y39" i="1"/>
  <c r="AL39" i="1"/>
  <c r="AM39" i="1"/>
  <c r="AN39" i="1"/>
  <c r="BA39" i="1"/>
  <c r="BB39" i="1"/>
  <c r="BQ39" i="1"/>
  <c r="BR39" i="1"/>
  <c r="BY39" i="1"/>
  <c r="CF39" i="1"/>
  <c r="CM39" i="1"/>
  <c r="CN39" i="1"/>
  <c r="CP39" i="1"/>
  <c r="CQ39" i="1"/>
  <c r="CR39" i="1"/>
  <c r="H88" i="1"/>
  <c r="I88" i="1"/>
  <c r="X88" i="1"/>
  <c r="Y88" i="1"/>
  <c r="AL88" i="1"/>
  <c r="AM88" i="1"/>
  <c r="AN88" i="1"/>
  <c r="BA88" i="1"/>
  <c r="BB88" i="1"/>
  <c r="BQ88" i="1"/>
  <c r="BR88" i="1"/>
  <c r="BY88" i="1"/>
  <c r="CF88" i="1"/>
  <c r="CM88" i="1"/>
  <c r="CN88" i="1"/>
  <c r="CP88" i="1"/>
  <c r="CQ88" i="1"/>
  <c r="CR88" i="1"/>
  <c r="H117" i="1"/>
  <c r="I117" i="1"/>
  <c r="W117" i="1"/>
  <c r="X117" i="1"/>
  <c r="Y117" i="1"/>
  <c r="AL117" i="1"/>
  <c r="AM117" i="1"/>
  <c r="AN117" i="1"/>
  <c r="BA117" i="1"/>
  <c r="BB117" i="1"/>
  <c r="BQ117" i="1"/>
  <c r="BR117" i="1"/>
  <c r="BY117" i="1"/>
  <c r="CF117" i="1"/>
  <c r="CM117" i="1"/>
  <c r="CN117" i="1"/>
  <c r="CP117" i="1"/>
  <c r="CQ117" i="1"/>
  <c r="CR117" i="1"/>
  <c r="H11" i="1"/>
  <c r="I11" i="1"/>
  <c r="W11" i="1"/>
  <c r="X11" i="1"/>
  <c r="Y11" i="1"/>
  <c r="AL11" i="1"/>
  <c r="AM11" i="1"/>
  <c r="AN11" i="1"/>
  <c r="BA11" i="1"/>
  <c r="BB11" i="1"/>
  <c r="BQ11" i="1"/>
  <c r="BR11" i="1"/>
  <c r="BY11" i="1"/>
  <c r="CF11" i="1"/>
  <c r="CM11" i="1"/>
  <c r="CN11" i="1"/>
  <c r="CP11" i="1"/>
  <c r="CQ11" i="1"/>
  <c r="CR11" i="1"/>
  <c r="H78" i="1"/>
  <c r="I78" i="1"/>
  <c r="W78" i="1"/>
  <c r="X78" i="1"/>
  <c r="Y78" i="1"/>
  <c r="AL78" i="1"/>
  <c r="AM78" i="1"/>
  <c r="AN78" i="1"/>
  <c r="BA78" i="1"/>
  <c r="BB78" i="1"/>
  <c r="BQ78" i="1"/>
  <c r="BR78" i="1"/>
  <c r="BV78" i="1"/>
  <c r="BY78" i="1"/>
  <c r="CF78" i="1"/>
  <c r="CM78" i="1"/>
  <c r="CN78" i="1"/>
  <c r="CP78" i="1"/>
  <c r="CQ78" i="1"/>
  <c r="CR78" i="1"/>
  <c r="H77" i="1"/>
  <c r="I77" i="1"/>
  <c r="W77" i="1"/>
  <c r="X77" i="1"/>
  <c r="Y77" i="1"/>
  <c r="AL77" i="1"/>
  <c r="AM77" i="1"/>
  <c r="AN77" i="1"/>
  <c r="BA77" i="1"/>
  <c r="BB77" i="1"/>
  <c r="BQ77" i="1"/>
  <c r="BR77" i="1"/>
  <c r="BY77" i="1"/>
  <c r="CF77" i="1"/>
  <c r="CM77" i="1"/>
  <c r="CN77" i="1"/>
  <c r="CP77" i="1"/>
  <c r="CQ77" i="1"/>
  <c r="CR77" i="1"/>
  <c r="H8" i="1"/>
  <c r="I8" i="1"/>
  <c r="W8" i="1"/>
  <c r="X8" i="1"/>
  <c r="Y8" i="1"/>
  <c r="AL8" i="1"/>
  <c r="AM8" i="1"/>
  <c r="AN8" i="1"/>
  <c r="BA8" i="1"/>
  <c r="BB8" i="1"/>
  <c r="BQ8" i="1"/>
  <c r="BR8" i="1"/>
  <c r="BY8" i="1"/>
  <c r="CF8" i="1"/>
  <c r="CM8" i="1"/>
  <c r="CN8" i="1"/>
  <c r="CP8" i="1"/>
  <c r="CQ8" i="1"/>
  <c r="CR8" i="1"/>
  <c r="H103" i="1"/>
  <c r="I103" i="1"/>
  <c r="W103" i="1"/>
  <c r="X103" i="1"/>
  <c r="Y103" i="1"/>
  <c r="AL103" i="1"/>
  <c r="AM103" i="1"/>
  <c r="AN103" i="1"/>
  <c r="BA103" i="1"/>
  <c r="BB103" i="1"/>
  <c r="BQ103" i="1"/>
  <c r="BR103" i="1"/>
  <c r="BY103" i="1"/>
  <c r="CF103" i="1"/>
  <c r="CM103" i="1"/>
  <c r="CN103" i="1"/>
  <c r="CP103" i="1"/>
  <c r="CQ103" i="1"/>
  <c r="CR103" i="1"/>
  <c r="H102" i="1"/>
  <c r="I102" i="1"/>
  <c r="W102" i="1"/>
  <c r="X102" i="1"/>
  <c r="Y102" i="1"/>
  <c r="AL102" i="1"/>
  <c r="AM102" i="1"/>
  <c r="AN102" i="1"/>
  <c r="BA102" i="1"/>
  <c r="BB102" i="1"/>
  <c r="BQ102" i="1"/>
  <c r="BR102" i="1"/>
  <c r="BY102" i="1"/>
  <c r="CF102" i="1"/>
  <c r="CM102" i="1"/>
  <c r="CN102" i="1"/>
  <c r="CP102" i="1"/>
  <c r="CQ102" i="1"/>
  <c r="CR102" i="1"/>
  <c r="H7" i="1"/>
  <c r="I7" i="1"/>
  <c r="W7" i="1"/>
  <c r="X7" i="1"/>
  <c r="Y7" i="1"/>
  <c r="AL7" i="1"/>
  <c r="AM7" i="1"/>
  <c r="AN7" i="1"/>
  <c r="BA7" i="1"/>
  <c r="BB7" i="1"/>
  <c r="BQ7" i="1"/>
  <c r="BR7" i="1"/>
  <c r="BY7" i="1"/>
  <c r="CF7" i="1"/>
  <c r="CM7" i="1"/>
  <c r="CN7" i="1"/>
  <c r="CP7" i="1"/>
  <c r="CQ7" i="1"/>
  <c r="CR7" i="1"/>
  <c r="H62" i="1"/>
  <c r="I62" i="1"/>
  <c r="W62" i="1"/>
  <c r="X62" i="1"/>
  <c r="Y62" i="1"/>
  <c r="AL62" i="1"/>
  <c r="AM62" i="1"/>
  <c r="AN62" i="1"/>
  <c r="BA62" i="1"/>
  <c r="BB62" i="1"/>
  <c r="BQ62" i="1"/>
  <c r="BR62" i="1"/>
  <c r="BY62" i="1"/>
  <c r="CF62" i="1"/>
  <c r="CM62" i="1"/>
  <c r="CN62" i="1"/>
  <c r="CP62" i="1"/>
  <c r="CQ62" i="1"/>
  <c r="CR62" i="1"/>
  <c r="H133" i="1"/>
  <c r="I133" i="1"/>
  <c r="W133" i="1"/>
  <c r="X133" i="1"/>
  <c r="Y133" i="1"/>
  <c r="AL133" i="1"/>
  <c r="AM133" i="1"/>
  <c r="AN133" i="1"/>
  <c r="BA133" i="1"/>
  <c r="BB133" i="1"/>
  <c r="BQ133" i="1"/>
  <c r="BR133" i="1"/>
  <c r="BY133" i="1"/>
  <c r="CF133" i="1"/>
  <c r="CM133" i="1"/>
  <c r="CN133" i="1"/>
  <c r="CP133" i="1"/>
  <c r="CQ133" i="1"/>
  <c r="CR133" i="1"/>
  <c r="H9" i="1"/>
  <c r="I9" i="1"/>
  <c r="W9" i="1"/>
  <c r="X9" i="1"/>
  <c r="Y9" i="1"/>
  <c r="AL9" i="1"/>
  <c r="AM9" i="1"/>
  <c r="AN9" i="1"/>
  <c r="BA9" i="1"/>
  <c r="BB9" i="1"/>
  <c r="BQ9" i="1"/>
  <c r="BR9" i="1"/>
  <c r="BY9" i="1"/>
  <c r="CF9" i="1"/>
  <c r="CM9" i="1"/>
  <c r="CN9" i="1"/>
  <c r="CP9" i="1"/>
  <c r="CQ9" i="1"/>
  <c r="CR9" i="1"/>
  <c r="H22" i="1"/>
  <c r="I22" i="1"/>
  <c r="W22" i="1"/>
  <c r="X22" i="1"/>
  <c r="Y22" i="1"/>
  <c r="AL22" i="1"/>
  <c r="AM22" i="1"/>
  <c r="AN22" i="1"/>
  <c r="BA22" i="1"/>
  <c r="BB22" i="1"/>
  <c r="BQ22" i="1"/>
  <c r="BR22" i="1"/>
  <c r="BV22" i="1"/>
  <c r="BY22" i="1"/>
  <c r="CF22" i="1"/>
  <c r="CM22" i="1"/>
  <c r="CN22" i="1"/>
  <c r="CP22" i="1"/>
  <c r="CQ22" i="1"/>
  <c r="CR22" i="1"/>
  <c r="H38" i="1"/>
  <c r="I38" i="1"/>
  <c r="W38" i="1"/>
  <c r="X38" i="1"/>
  <c r="Y38" i="1"/>
  <c r="AL38" i="1"/>
  <c r="AM38" i="1"/>
  <c r="AN38" i="1"/>
  <c r="BA38" i="1"/>
  <c r="BB38" i="1"/>
  <c r="BQ38" i="1"/>
  <c r="BR38" i="1"/>
  <c r="BV38" i="1"/>
  <c r="BY38" i="1"/>
  <c r="CF38" i="1"/>
  <c r="CM38" i="1"/>
  <c r="CN38" i="1"/>
  <c r="CP38" i="1"/>
  <c r="CQ38" i="1"/>
  <c r="CR38" i="1"/>
  <c r="H93" i="1"/>
  <c r="I93" i="1"/>
  <c r="W93" i="1"/>
  <c r="X93" i="1"/>
  <c r="Y93" i="1"/>
  <c r="AL93" i="1"/>
  <c r="AM93" i="1"/>
  <c r="AN93" i="1"/>
  <c r="BA93" i="1"/>
  <c r="BB93" i="1"/>
  <c r="BQ93" i="1"/>
  <c r="BR93" i="1"/>
  <c r="BV93" i="1"/>
  <c r="BY93" i="1"/>
  <c r="CF93" i="1"/>
  <c r="CM93" i="1"/>
  <c r="CN93" i="1"/>
  <c r="CP93" i="1"/>
  <c r="CQ93" i="1"/>
  <c r="CR93" i="1"/>
  <c r="H61" i="1"/>
  <c r="I61" i="1"/>
  <c r="W61" i="1"/>
  <c r="X61" i="1"/>
  <c r="Y61" i="1"/>
  <c r="AL61" i="1"/>
  <c r="AM61" i="1"/>
  <c r="AN61" i="1"/>
  <c r="BA61" i="1"/>
  <c r="BB61" i="1"/>
  <c r="BQ61" i="1"/>
  <c r="BR61" i="1"/>
  <c r="BV61" i="1"/>
  <c r="BY61" i="1"/>
  <c r="CF61" i="1"/>
  <c r="CM61" i="1"/>
  <c r="CN61" i="1"/>
  <c r="CP61" i="1"/>
  <c r="CQ61" i="1"/>
  <c r="CR61" i="1"/>
  <c r="H115" i="1"/>
  <c r="I115" i="1"/>
  <c r="W115" i="1"/>
  <c r="X115" i="1"/>
  <c r="Y115" i="1"/>
  <c r="AL115" i="1"/>
  <c r="AM115" i="1"/>
  <c r="AN115" i="1"/>
  <c r="BA115" i="1"/>
  <c r="BB115" i="1"/>
  <c r="BQ115" i="1"/>
  <c r="BR115" i="1"/>
  <c r="BV115" i="1"/>
  <c r="BY115" i="1"/>
  <c r="CF115" i="1"/>
  <c r="CM115" i="1"/>
  <c r="CN115" i="1"/>
  <c r="CP115" i="1"/>
  <c r="CQ115" i="1"/>
  <c r="CR115" i="1"/>
  <c r="H92" i="1"/>
  <c r="I92" i="1"/>
  <c r="W92" i="1"/>
  <c r="X92" i="1"/>
  <c r="Y92" i="1"/>
  <c r="AL92" i="1"/>
  <c r="AM92" i="1"/>
  <c r="AN92" i="1"/>
  <c r="BA92" i="1"/>
  <c r="BB92" i="1"/>
  <c r="BQ92" i="1"/>
  <c r="BR92" i="1"/>
  <c r="BV92" i="1"/>
  <c r="BY92" i="1"/>
  <c r="CF92" i="1"/>
  <c r="CM92" i="1"/>
  <c r="CN92" i="1"/>
  <c r="CP92" i="1"/>
  <c r="CQ92" i="1"/>
  <c r="CR92" i="1"/>
  <c r="B71" i="1"/>
  <c r="H71" i="1"/>
  <c r="I71" i="1"/>
  <c r="W71" i="1"/>
  <c r="X71" i="1"/>
  <c r="Y71" i="1"/>
  <c r="AL71" i="1"/>
  <c r="AM71" i="1"/>
  <c r="AN71" i="1"/>
  <c r="BA71" i="1"/>
  <c r="BB71" i="1"/>
  <c r="BQ71" i="1"/>
  <c r="BR71" i="1"/>
  <c r="BY71" i="1"/>
  <c r="CF71" i="1"/>
  <c r="CM71" i="1"/>
  <c r="CN71" i="1"/>
  <c r="CP71" i="1"/>
  <c r="CQ71" i="1"/>
  <c r="CR71" i="1"/>
  <c r="B49" i="1"/>
  <c r="H49" i="1"/>
  <c r="I49" i="1"/>
  <c r="W49" i="1"/>
  <c r="X49" i="1"/>
  <c r="Y49" i="1"/>
  <c r="AL49" i="1"/>
  <c r="AM49" i="1"/>
  <c r="AN49" i="1"/>
  <c r="BA49" i="1"/>
  <c r="BB49" i="1"/>
  <c r="BQ49" i="1"/>
  <c r="BR49" i="1"/>
  <c r="BV49" i="1"/>
  <c r="BY49" i="1"/>
  <c r="CF49" i="1"/>
  <c r="CM49" i="1"/>
  <c r="CN49" i="1"/>
  <c r="CP49" i="1"/>
  <c r="CQ49" i="1"/>
  <c r="CR49" i="1"/>
  <c r="B90" i="1"/>
  <c r="H90" i="1"/>
  <c r="I90" i="1"/>
  <c r="W90" i="1"/>
  <c r="X90" i="1"/>
  <c r="Y90" i="1"/>
  <c r="AL90" i="1"/>
  <c r="AM90" i="1"/>
  <c r="AN90" i="1"/>
  <c r="BA90" i="1"/>
  <c r="BB90" i="1"/>
  <c r="BQ90" i="1"/>
  <c r="BR90" i="1"/>
  <c r="BY90" i="1"/>
  <c r="CF90" i="1"/>
  <c r="CM90" i="1"/>
  <c r="CN90" i="1"/>
  <c r="CP90" i="1"/>
  <c r="CQ90" i="1"/>
  <c r="CR90" i="1"/>
  <c r="B55" i="1"/>
  <c r="I55" i="1"/>
  <c r="W55" i="1"/>
  <c r="X55" i="1"/>
  <c r="Y55" i="1"/>
  <c r="AL55" i="1"/>
  <c r="AM55" i="1"/>
  <c r="AN55" i="1"/>
  <c r="BA55" i="1"/>
  <c r="BB55" i="1"/>
  <c r="BQ55" i="1"/>
  <c r="BR55" i="1"/>
  <c r="BY55" i="1"/>
  <c r="CF55" i="1"/>
  <c r="CM55" i="1"/>
  <c r="CN55" i="1"/>
  <c r="CP55" i="1"/>
  <c r="CQ55" i="1"/>
  <c r="CR55" i="1"/>
  <c r="B56" i="1"/>
  <c r="H56" i="1"/>
  <c r="I56" i="1"/>
  <c r="W56" i="1"/>
  <c r="X56" i="1"/>
  <c r="Y56" i="1"/>
  <c r="AL56" i="1"/>
  <c r="AM56" i="1"/>
  <c r="AN56" i="1"/>
  <c r="BA56" i="1"/>
  <c r="BB56" i="1"/>
  <c r="BQ56" i="1"/>
  <c r="BR56" i="1"/>
  <c r="BV56" i="1"/>
  <c r="BY56" i="1"/>
  <c r="CF56" i="1"/>
  <c r="CM56" i="1"/>
  <c r="CN56" i="1"/>
  <c r="CP56" i="1"/>
  <c r="CQ56" i="1"/>
  <c r="CR56" i="1"/>
  <c r="B28" i="1"/>
  <c r="H28" i="1"/>
  <c r="I28" i="1"/>
  <c r="W28" i="1"/>
  <c r="X28" i="1"/>
  <c r="Y28" i="1"/>
  <c r="AL28" i="1"/>
  <c r="AM28" i="1"/>
  <c r="AN28" i="1"/>
  <c r="BA28" i="1"/>
  <c r="BB28" i="1"/>
  <c r="BQ28" i="1"/>
  <c r="BR28" i="1"/>
  <c r="BV28" i="1"/>
  <c r="BY28" i="1"/>
  <c r="CF28" i="1"/>
  <c r="CM28" i="1"/>
  <c r="CN28" i="1"/>
  <c r="CP28" i="1"/>
  <c r="CQ28" i="1"/>
  <c r="CR28" i="1"/>
  <c r="B79" i="1"/>
  <c r="H79" i="1"/>
  <c r="I79" i="1"/>
  <c r="W79" i="1"/>
  <c r="X79" i="1"/>
  <c r="Y79" i="1"/>
  <c r="AL79" i="1"/>
  <c r="AM79" i="1"/>
  <c r="AN79" i="1"/>
  <c r="BA79" i="1"/>
  <c r="BB79" i="1"/>
  <c r="BQ79" i="1"/>
  <c r="BR79" i="1"/>
  <c r="BY79" i="1"/>
  <c r="CF79" i="1"/>
  <c r="CM79" i="1"/>
  <c r="CN79" i="1"/>
  <c r="CP79" i="1"/>
  <c r="CQ79" i="1"/>
  <c r="CR79" i="1"/>
  <c r="B72" i="1"/>
  <c r="H72" i="1"/>
  <c r="I72" i="1"/>
  <c r="W72" i="1"/>
  <c r="X72" i="1"/>
  <c r="Y72" i="1"/>
  <c r="AL72" i="1"/>
  <c r="AM72" i="1"/>
  <c r="AN72" i="1"/>
  <c r="BA72" i="1"/>
  <c r="BB72" i="1"/>
  <c r="BQ72" i="1"/>
  <c r="BR72" i="1"/>
  <c r="BY72" i="1"/>
  <c r="CF72" i="1"/>
  <c r="CM72" i="1"/>
  <c r="CN72" i="1"/>
  <c r="CP72" i="1"/>
  <c r="CQ72" i="1"/>
  <c r="CR72" i="1"/>
  <c r="B57" i="1"/>
  <c r="H57" i="1"/>
  <c r="I57" i="1"/>
  <c r="W57" i="1"/>
  <c r="X57" i="1"/>
  <c r="Y57" i="1"/>
  <c r="AL57" i="1"/>
  <c r="AM57" i="1"/>
  <c r="AN57" i="1"/>
  <c r="BA57" i="1"/>
  <c r="BB57" i="1"/>
  <c r="BQ57" i="1"/>
  <c r="BR57" i="1"/>
  <c r="BV57" i="1"/>
  <c r="BW57" i="1"/>
  <c r="BY57" i="1"/>
  <c r="CF57" i="1"/>
  <c r="CM57" i="1"/>
  <c r="CN57" i="1"/>
  <c r="CP57" i="1"/>
  <c r="CQ57" i="1"/>
  <c r="CR57" i="1"/>
  <c r="B120" i="1"/>
  <c r="H120" i="1"/>
  <c r="I120" i="1"/>
  <c r="W120" i="1"/>
  <c r="X120" i="1"/>
  <c r="Y120" i="1"/>
  <c r="AL120" i="1"/>
  <c r="AM120" i="1"/>
  <c r="AN120" i="1"/>
  <c r="BA120" i="1"/>
  <c r="BB120" i="1"/>
  <c r="BQ120" i="1"/>
  <c r="BR120" i="1"/>
  <c r="BY120" i="1"/>
  <c r="CF120" i="1"/>
  <c r="CM120" i="1"/>
  <c r="CN120" i="1"/>
  <c r="CP120" i="1"/>
  <c r="CQ120" i="1"/>
  <c r="CR120" i="1"/>
  <c r="B33" i="1"/>
  <c r="H33" i="1"/>
  <c r="I33" i="1"/>
  <c r="W33" i="1"/>
  <c r="X33" i="1"/>
  <c r="Y33" i="1"/>
  <c r="AL33" i="1"/>
  <c r="AM33" i="1"/>
  <c r="AN33" i="1"/>
  <c r="BA33" i="1"/>
  <c r="BB33" i="1"/>
  <c r="BQ33" i="1"/>
  <c r="BR33" i="1"/>
  <c r="BY33" i="1"/>
  <c r="CF33" i="1"/>
  <c r="CM33" i="1"/>
  <c r="CN33" i="1"/>
  <c r="CP33" i="1"/>
  <c r="CQ33" i="1"/>
  <c r="CR33" i="1"/>
  <c r="B52" i="1"/>
  <c r="H52" i="1"/>
  <c r="I52" i="1"/>
  <c r="W52" i="1"/>
  <c r="X52" i="1"/>
  <c r="Y52" i="1"/>
  <c r="AL52" i="1"/>
  <c r="AM52" i="1"/>
  <c r="AN52" i="1"/>
  <c r="BA52" i="1"/>
  <c r="BB52" i="1"/>
  <c r="BQ52" i="1"/>
  <c r="BR52" i="1"/>
  <c r="BY52" i="1"/>
  <c r="CF52" i="1"/>
  <c r="CM52" i="1"/>
  <c r="CN52" i="1"/>
  <c r="CP52" i="1"/>
  <c r="CQ52" i="1"/>
  <c r="CR52" i="1"/>
  <c r="B121" i="1"/>
  <c r="H121" i="1"/>
  <c r="I121" i="1"/>
  <c r="W121" i="1"/>
  <c r="X121" i="1"/>
  <c r="Y121" i="1"/>
  <c r="AL121" i="1"/>
  <c r="AM121" i="1"/>
  <c r="AN121" i="1"/>
  <c r="BA121" i="1"/>
  <c r="BB121" i="1"/>
  <c r="BQ121" i="1"/>
  <c r="BR121" i="1"/>
  <c r="BY121" i="1"/>
  <c r="CF121" i="1"/>
  <c r="CM121" i="1"/>
  <c r="CN121" i="1"/>
  <c r="CP121" i="1"/>
  <c r="CQ121" i="1"/>
  <c r="CR121" i="1"/>
  <c r="B19" i="1"/>
  <c r="H19" i="1"/>
  <c r="I19" i="1"/>
  <c r="W19" i="1"/>
  <c r="X19" i="1"/>
  <c r="Y19" i="1"/>
  <c r="AL19" i="1"/>
  <c r="AM19" i="1"/>
  <c r="AN19" i="1"/>
  <c r="BA19" i="1"/>
  <c r="BB19" i="1"/>
  <c r="BQ19" i="1"/>
  <c r="BR19" i="1"/>
  <c r="BY19" i="1"/>
  <c r="CF19" i="1"/>
  <c r="CM19" i="1"/>
  <c r="CN19" i="1"/>
  <c r="CP19" i="1"/>
  <c r="CQ19" i="1"/>
  <c r="CR19" i="1"/>
  <c r="H86" i="1"/>
  <c r="I86" i="1"/>
  <c r="W86" i="1"/>
  <c r="X86" i="1"/>
  <c r="Y86" i="1"/>
  <c r="AL86" i="1"/>
  <c r="AM86" i="1"/>
  <c r="AN86" i="1"/>
  <c r="BA86" i="1"/>
  <c r="BB86" i="1"/>
  <c r="BQ86" i="1"/>
  <c r="BR86" i="1"/>
  <c r="BV86" i="1"/>
  <c r="BY86" i="1"/>
  <c r="CF86" i="1"/>
  <c r="CM86" i="1"/>
  <c r="CN86" i="1"/>
  <c r="CP86" i="1"/>
  <c r="CQ86" i="1"/>
  <c r="CR86" i="1"/>
  <c r="H76" i="1"/>
  <c r="I76" i="1"/>
  <c r="W76" i="1"/>
  <c r="X76" i="1"/>
  <c r="Y76" i="1"/>
  <c r="AL76" i="1"/>
  <c r="AM76" i="1"/>
  <c r="AN76" i="1"/>
  <c r="BA76" i="1"/>
  <c r="BB76" i="1"/>
  <c r="BQ76" i="1"/>
  <c r="BR76" i="1"/>
  <c r="BY76" i="1"/>
  <c r="CF76" i="1"/>
  <c r="CM76" i="1"/>
  <c r="CN76" i="1"/>
  <c r="CP76" i="1"/>
  <c r="CQ76" i="1"/>
  <c r="CR76" i="1"/>
  <c r="H26" i="1"/>
  <c r="I26" i="1"/>
  <c r="W26" i="1"/>
  <c r="X26" i="1"/>
  <c r="Y26" i="1"/>
  <c r="AL26" i="1"/>
  <c r="AM26" i="1"/>
  <c r="AN26" i="1"/>
  <c r="BA26" i="1"/>
  <c r="BB26" i="1"/>
  <c r="BQ26" i="1"/>
  <c r="BR26" i="1"/>
  <c r="BV26" i="1"/>
  <c r="BW26" i="1"/>
  <c r="BY26" i="1"/>
  <c r="CF26" i="1"/>
  <c r="CM26" i="1"/>
  <c r="CN26" i="1"/>
  <c r="CP26" i="1"/>
  <c r="CQ26" i="1"/>
  <c r="CR26" i="1"/>
  <c r="H109" i="1"/>
  <c r="I109" i="1"/>
  <c r="W109" i="1"/>
  <c r="X109" i="1"/>
  <c r="Y109" i="1"/>
  <c r="AL109" i="1"/>
  <c r="AM109" i="1"/>
  <c r="AN109" i="1"/>
  <c r="BA109" i="1"/>
  <c r="BB109" i="1"/>
  <c r="BQ109" i="1"/>
  <c r="BR109" i="1"/>
  <c r="BY109" i="1"/>
  <c r="CF109" i="1"/>
  <c r="CM109" i="1"/>
  <c r="CN109" i="1"/>
  <c r="CP109" i="1"/>
  <c r="CQ109" i="1"/>
  <c r="CR109" i="1"/>
  <c r="H67" i="1"/>
  <c r="I67" i="1"/>
  <c r="W67" i="1"/>
  <c r="X67" i="1"/>
  <c r="Y67" i="1"/>
  <c r="AL67" i="1"/>
  <c r="AM67" i="1"/>
  <c r="AN67" i="1"/>
  <c r="BA67" i="1"/>
  <c r="BB67" i="1"/>
  <c r="BQ67" i="1"/>
  <c r="BR67" i="1"/>
  <c r="BY67" i="1"/>
  <c r="CF67" i="1"/>
  <c r="CM67" i="1"/>
  <c r="CN67" i="1"/>
  <c r="CP67" i="1"/>
  <c r="CQ67" i="1"/>
  <c r="CR67" i="1"/>
  <c r="H135" i="1"/>
  <c r="I135" i="1"/>
  <c r="W135" i="1"/>
  <c r="X135" i="1"/>
  <c r="Y135" i="1"/>
  <c r="AL135" i="1"/>
  <c r="AM135" i="1"/>
  <c r="AN135" i="1"/>
  <c r="BA135" i="1"/>
  <c r="BB135" i="1"/>
  <c r="BQ135" i="1"/>
  <c r="BR135" i="1"/>
  <c r="BY135" i="1"/>
  <c r="CF135" i="1"/>
  <c r="CM135" i="1"/>
  <c r="CN135" i="1"/>
  <c r="CP135" i="1"/>
  <c r="CQ135" i="1"/>
  <c r="CR135" i="1"/>
  <c r="H108" i="1"/>
  <c r="I108" i="1"/>
  <c r="W108" i="1"/>
  <c r="X108" i="1"/>
  <c r="Y108" i="1"/>
  <c r="AL108" i="1"/>
  <c r="AM108" i="1"/>
  <c r="AN108" i="1"/>
  <c r="BA108" i="1"/>
  <c r="BB108" i="1"/>
  <c r="BQ108" i="1"/>
  <c r="BR108" i="1"/>
  <c r="BY108" i="1"/>
  <c r="CF108" i="1"/>
  <c r="CM108" i="1"/>
  <c r="CN108" i="1"/>
  <c r="CP108" i="1"/>
  <c r="CQ108" i="1"/>
  <c r="CR108" i="1"/>
  <c r="H127" i="1"/>
  <c r="I127" i="1"/>
  <c r="W127" i="1"/>
  <c r="X127" i="1"/>
  <c r="Y127" i="1"/>
  <c r="AL127" i="1"/>
  <c r="AM127" i="1"/>
  <c r="AN127" i="1"/>
  <c r="BA127" i="1"/>
  <c r="BB127" i="1"/>
  <c r="BQ127" i="1"/>
  <c r="BR127" i="1"/>
  <c r="BY127" i="1"/>
  <c r="CF127" i="1"/>
  <c r="CM127" i="1"/>
  <c r="CN127" i="1"/>
  <c r="CP127" i="1"/>
  <c r="CQ127" i="1"/>
  <c r="CR127" i="1"/>
  <c r="H59" i="1"/>
  <c r="I59" i="1"/>
  <c r="W59" i="1"/>
  <c r="X59" i="1"/>
  <c r="Y59" i="1"/>
  <c r="AL59" i="1"/>
  <c r="AM59" i="1"/>
  <c r="AN59" i="1"/>
  <c r="BA59" i="1"/>
  <c r="BB59" i="1"/>
  <c r="BQ59" i="1"/>
  <c r="BR59" i="1"/>
  <c r="BY59" i="1"/>
  <c r="CF59" i="1"/>
  <c r="CM59" i="1"/>
  <c r="CN59" i="1"/>
  <c r="CP59" i="1"/>
  <c r="CQ59" i="1"/>
  <c r="CR59" i="1"/>
  <c r="H58" i="1"/>
  <c r="I58" i="1"/>
  <c r="W58" i="1"/>
  <c r="X58" i="1"/>
  <c r="Y58" i="1"/>
  <c r="AL58" i="1"/>
  <c r="AM58" i="1"/>
  <c r="AN58" i="1"/>
  <c r="BA58" i="1"/>
  <c r="BB58" i="1"/>
  <c r="BQ58" i="1"/>
  <c r="BR58" i="1"/>
  <c r="BY58" i="1"/>
  <c r="CF58" i="1"/>
  <c r="CM58" i="1"/>
  <c r="CN58" i="1"/>
  <c r="CP58" i="1"/>
  <c r="CQ58" i="1"/>
  <c r="CR58" i="1"/>
  <c r="H36" i="1"/>
  <c r="I36" i="1"/>
  <c r="W36" i="1"/>
  <c r="X36" i="1"/>
  <c r="Y36" i="1"/>
  <c r="AL36" i="1"/>
  <c r="AM36" i="1"/>
  <c r="AN36" i="1"/>
  <c r="BA36" i="1"/>
  <c r="BB36" i="1"/>
  <c r="BQ36" i="1"/>
  <c r="BR36" i="1"/>
  <c r="BY36" i="1"/>
  <c r="CF36" i="1"/>
  <c r="CM36" i="1"/>
  <c r="CN36" i="1"/>
  <c r="CP36" i="1"/>
  <c r="CQ36" i="1"/>
  <c r="CR36" i="1"/>
  <c r="H65" i="1"/>
  <c r="I65" i="1"/>
  <c r="W65" i="1"/>
  <c r="X65" i="1"/>
  <c r="Y65" i="1"/>
  <c r="AL65" i="1"/>
  <c r="AM65" i="1"/>
  <c r="AN65" i="1"/>
  <c r="BA65" i="1"/>
  <c r="BB65" i="1"/>
  <c r="BQ65" i="1"/>
  <c r="BR65" i="1"/>
  <c r="BV65" i="1"/>
  <c r="BY65" i="1"/>
  <c r="CF65" i="1"/>
  <c r="CM65" i="1"/>
  <c r="CN65" i="1"/>
  <c r="CP65" i="1"/>
  <c r="CQ65" i="1"/>
  <c r="CR65" i="1"/>
  <c r="H64" i="1"/>
  <c r="I64" i="1"/>
  <c r="W64" i="1"/>
  <c r="X64" i="1"/>
  <c r="Y64" i="1"/>
  <c r="AL64" i="1"/>
  <c r="AM64" i="1"/>
  <c r="AN64" i="1"/>
  <c r="BA64" i="1"/>
  <c r="BB64" i="1"/>
  <c r="BQ64" i="1"/>
  <c r="BR64" i="1"/>
  <c r="BY64" i="1"/>
  <c r="CF64" i="1"/>
  <c r="CM64" i="1"/>
  <c r="CN64" i="1"/>
  <c r="CP64" i="1"/>
  <c r="CQ64" i="1"/>
  <c r="CR64" i="1"/>
  <c r="H10" i="1"/>
  <c r="I10" i="1"/>
  <c r="W10" i="1"/>
  <c r="X10" i="1"/>
  <c r="Y10" i="1"/>
  <c r="AL10" i="1"/>
  <c r="AM10" i="1"/>
  <c r="AN10" i="1"/>
  <c r="BA10" i="1"/>
  <c r="BB10" i="1"/>
  <c r="BQ10" i="1"/>
  <c r="BR10" i="1"/>
  <c r="BY10" i="1"/>
  <c r="CF10" i="1"/>
  <c r="CM10" i="1"/>
  <c r="CN10" i="1"/>
  <c r="CP10" i="1"/>
  <c r="CQ10" i="1"/>
  <c r="CR10" i="1"/>
  <c r="H63" i="1"/>
  <c r="I63" i="1"/>
  <c r="W63" i="1"/>
  <c r="X63" i="1"/>
  <c r="Y63" i="1"/>
  <c r="AL63" i="1"/>
  <c r="AM63" i="1"/>
  <c r="AN63" i="1"/>
  <c r="BA63" i="1"/>
  <c r="BB63" i="1"/>
  <c r="BQ63" i="1"/>
  <c r="BR63" i="1"/>
  <c r="BY63" i="1"/>
  <c r="CF63" i="1"/>
  <c r="CM63" i="1"/>
  <c r="CN63" i="1"/>
  <c r="CP63" i="1"/>
  <c r="CQ63" i="1"/>
  <c r="CR63" i="1"/>
  <c r="H125" i="1"/>
  <c r="I125" i="1"/>
  <c r="W125" i="1"/>
  <c r="X125" i="1"/>
  <c r="Y125" i="1"/>
  <c r="AL125" i="1"/>
  <c r="AM125" i="1"/>
  <c r="AN125" i="1"/>
  <c r="BA125" i="1"/>
  <c r="BB125" i="1"/>
  <c r="BQ125" i="1"/>
  <c r="BR125" i="1"/>
  <c r="BY125" i="1"/>
  <c r="CF125" i="1"/>
  <c r="CM125" i="1"/>
  <c r="CN125" i="1"/>
  <c r="CP125" i="1"/>
  <c r="CQ125" i="1"/>
  <c r="CR125" i="1"/>
  <c r="H73" i="1"/>
  <c r="I73" i="1"/>
  <c r="W73" i="1"/>
  <c r="X73" i="1"/>
  <c r="Y73" i="1"/>
  <c r="AL73" i="1"/>
  <c r="AM73" i="1"/>
  <c r="AN73" i="1"/>
  <c r="BA73" i="1"/>
  <c r="BB73" i="1"/>
  <c r="BQ73" i="1"/>
  <c r="BR73" i="1"/>
  <c r="BV73" i="1"/>
  <c r="BY73" i="1"/>
  <c r="CF73" i="1"/>
  <c r="CM73" i="1"/>
  <c r="CN73" i="1"/>
  <c r="CP73" i="1"/>
  <c r="CQ73" i="1"/>
  <c r="CR73" i="1"/>
  <c r="H81" i="1"/>
  <c r="I81" i="1"/>
  <c r="W81" i="1"/>
  <c r="X81" i="1"/>
  <c r="Y81" i="1"/>
  <c r="AL81" i="1"/>
  <c r="AM81" i="1"/>
  <c r="AN81" i="1"/>
  <c r="BA81" i="1"/>
  <c r="BB81" i="1"/>
  <c r="BQ81" i="1"/>
  <c r="BR81" i="1"/>
  <c r="BY81" i="1"/>
  <c r="CF81" i="1"/>
  <c r="CM81" i="1"/>
  <c r="CN81" i="1"/>
  <c r="CP81" i="1"/>
  <c r="CQ81" i="1"/>
  <c r="CR81" i="1"/>
  <c r="H124" i="1"/>
  <c r="I124" i="1"/>
  <c r="W124" i="1"/>
  <c r="X124" i="1"/>
  <c r="Y124" i="1"/>
  <c r="AL124" i="1"/>
  <c r="AM124" i="1"/>
  <c r="AN124" i="1"/>
  <c r="BA124" i="1"/>
  <c r="BB124" i="1"/>
  <c r="BQ124" i="1"/>
  <c r="BR124" i="1"/>
  <c r="BY124" i="1"/>
  <c r="CF124" i="1"/>
  <c r="CM124" i="1"/>
  <c r="CN124" i="1"/>
  <c r="CP124" i="1"/>
  <c r="CQ124" i="1"/>
  <c r="CR124" i="1"/>
  <c r="H123" i="1"/>
  <c r="I123" i="1"/>
  <c r="W123" i="1"/>
  <c r="X123" i="1"/>
  <c r="Y123" i="1"/>
  <c r="AL123" i="1"/>
  <c r="AM123" i="1"/>
  <c r="AN123" i="1"/>
  <c r="BA123" i="1"/>
  <c r="BB123" i="1"/>
  <c r="BQ123" i="1"/>
  <c r="BR123" i="1"/>
  <c r="BY123" i="1"/>
  <c r="CF123" i="1"/>
  <c r="CM123" i="1"/>
  <c r="CN123" i="1"/>
  <c r="CP123" i="1"/>
  <c r="CQ123" i="1"/>
  <c r="CR123" i="1"/>
  <c r="H122" i="1"/>
  <c r="I122" i="1"/>
  <c r="W122" i="1"/>
  <c r="X122" i="1"/>
  <c r="Y122" i="1"/>
  <c r="AL122" i="1"/>
  <c r="AM122" i="1"/>
  <c r="AN122" i="1"/>
  <c r="BA122" i="1"/>
  <c r="BB122" i="1"/>
  <c r="BQ122" i="1"/>
  <c r="BR122" i="1"/>
  <c r="BY122" i="1"/>
  <c r="CF122" i="1"/>
  <c r="CM122" i="1"/>
  <c r="CN122" i="1"/>
  <c r="CP122" i="1"/>
  <c r="CQ122" i="1"/>
  <c r="CR122" i="1"/>
  <c r="H6" i="1"/>
  <c r="I6" i="1"/>
  <c r="W6" i="1"/>
  <c r="X6" i="1"/>
  <c r="Y6" i="1"/>
  <c r="AL6" i="1"/>
  <c r="AM6" i="1"/>
  <c r="AN6" i="1"/>
  <c r="BA6" i="1"/>
  <c r="BB6" i="1"/>
  <c r="BQ6" i="1"/>
  <c r="BR6" i="1"/>
  <c r="BY6" i="1"/>
  <c r="CF6" i="1"/>
  <c r="CM6" i="1"/>
  <c r="CN6" i="1"/>
  <c r="CP6" i="1"/>
  <c r="CQ6" i="1"/>
  <c r="CR6" i="1"/>
  <c r="H129" i="1"/>
  <c r="I129" i="1"/>
  <c r="W129" i="1"/>
  <c r="X129" i="1"/>
  <c r="Y129" i="1"/>
  <c r="AL129" i="1"/>
  <c r="AM129" i="1"/>
  <c r="AN129" i="1"/>
  <c r="BA129" i="1"/>
  <c r="BB129" i="1"/>
  <c r="BQ129" i="1"/>
  <c r="BR129" i="1"/>
  <c r="BY129" i="1"/>
  <c r="CF129" i="1"/>
  <c r="CM129" i="1"/>
  <c r="CN129" i="1"/>
  <c r="CP129" i="1"/>
  <c r="CQ129" i="1"/>
  <c r="CR129" i="1"/>
  <c r="H113" i="1"/>
  <c r="I113" i="1"/>
  <c r="W113" i="1"/>
  <c r="X113" i="1"/>
  <c r="Y113" i="1"/>
  <c r="AL113" i="1"/>
  <c r="AM113" i="1"/>
  <c r="AN113" i="1"/>
  <c r="BA113" i="1"/>
  <c r="BB113" i="1"/>
  <c r="BQ113" i="1"/>
  <c r="BR113" i="1"/>
  <c r="BY113" i="1"/>
  <c r="CF113" i="1"/>
  <c r="CM113" i="1"/>
  <c r="CN113" i="1"/>
  <c r="CP113" i="1"/>
  <c r="CQ113" i="1"/>
  <c r="CR113" i="1"/>
  <c r="H5" i="1"/>
  <c r="I5" i="1"/>
  <c r="W5" i="1"/>
  <c r="X5" i="1"/>
  <c r="Y5" i="1"/>
  <c r="AL5" i="1"/>
  <c r="AM5" i="1"/>
  <c r="AN5" i="1"/>
  <c r="BA5" i="1"/>
  <c r="BB5" i="1"/>
  <c r="BQ5" i="1"/>
  <c r="BR5" i="1"/>
  <c r="BY5" i="1"/>
  <c r="CF5" i="1"/>
  <c r="CM5" i="1"/>
  <c r="CN5" i="1"/>
  <c r="CP5" i="1"/>
  <c r="CQ5" i="1"/>
  <c r="CR5" i="1"/>
  <c r="H98" i="1"/>
  <c r="I98" i="1"/>
  <c r="W98" i="1"/>
  <c r="X98" i="1"/>
  <c r="Y98" i="1"/>
  <c r="AL98" i="1"/>
  <c r="AM98" i="1"/>
  <c r="AN98" i="1"/>
  <c r="BA98" i="1"/>
  <c r="BB98" i="1"/>
  <c r="BQ98" i="1"/>
  <c r="BR98" i="1"/>
  <c r="BV98" i="1"/>
  <c r="BY98" i="1"/>
  <c r="CF98" i="1"/>
  <c r="CM98" i="1"/>
  <c r="CN98" i="1"/>
  <c r="CP98" i="1"/>
  <c r="CQ98" i="1"/>
  <c r="CR98" i="1"/>
  <c r="H107" i="1"/>
  <c r="I107" i="1"/>
  <c r="W107" i="1"/>
  <c r="X107" i="1"/>
  <c r="Y107" i="1"/>
  <c r="AL107" i="1"/>
  <c r="AM107" i="1"/>
  <c r="AN107" i="1"/>
  <c r="BA107" i="1"/>
  <c r="BB107" i="1"/>
  <c r="BQ107" i="1"/>
  <c r="BR107" i="1"/>
  <c r="BY107" i="1"/>
  <c r="CF107" i="1"/>
  <c r="CM107" i="1"/>
  <c r="CN107" i="1"/>
  <c r="CP107" i="1"/>
  <c r="CQ107" i="1"/>
  <c r="CR107" i="1"/>
  <c r="B48" i="1"/>
  <c r="H48" i="1"/>
  <c r="I48" i="1"/>
  <c r="W48" i="1"/>
  <c r="X48" i="1"/>
  <c r="Y48" i="1"/>
  <c r="AL48" i="1"/>
  <c r="AM48" i="1"/>
  <c r="AN48" i="1"/>
  <c r="BA48" i="1"/>
  <c r="BB48" i="1"/>
  <c r="BQ48" i="1"/>
  <c r="BR48" i="1"/>
  <c r="BY48" i="1"/>
  <c r="CF48" i="1"/>
  <c r="CM48" i="1"/>
  <c r="CN48" i="1"/>
  <c r="CP48" i="1"/>
  <c r="CQ48" i="1"/>
  <c r="CR48" i="1"/>
  <c r="B119" i="1"/>
  <c r="H119" i="1"/>
  <c r="I119" i="1"/>
  <c r="W119" i="1"/>
  <c r="X119" i="1"/>
  <c r="Y119" i="1"/>
  <c r="AL119" i="1"/>
  <c r="AM119" i="1"/>
  <c r="AN119" i="1"/>
  <c r="BA119" i="1"/>
  <c r="BB119" i="1"/>
  <c r="BQ119" i="1"/>
  <c r="BR119" i="1"/>
  <c r="BY119" i="1"/>
  <c r="CF119" i="1"/>
  <c r="CM119" i="1"/>
  <c r="CN119" i="1"/>
  <c r="CP119" i="1"/>
  <c r="CQ119" i="1"/>
  <c r="CR119" i="1"/>
  <c r="B131" i="1"/>
  <c r="H131" i="1"/>
  <c r="I131" i="1"/>
  <c r="W131" i="1"/>
  <c r="X131" i="1"/>
  <c r="Y131" i="1"/>
  <c r="AL131" i="1"/>
  <c r="AM131" i="1"/>
  <c r="AN131" i="1"/>
  <c r="BA131" i="1"/>
  <c r="BB131" i="1"/>
  <c r="BQ131" i="1"/>
  <c r="BR131" i="1"/>
  <c r="BY131" i="1"/>
  <c r="CF131" i="1"/>
  <c r="CM131" i="1"/>
  <c r="CN131" i="1"/>
  <c r="CP131" i="1"/>
  <c r="CQ131" i="1"/>
  <c r="CR131" i="1"/>
  <c r="B112" i="1"/>
  <c r="H112" i="1"/>
  <c r="I112" i="1"/>
  <c r="W112" i="1"/>
  <c r="X112" i="1"/>
  <c r="Y112" i="1"/>
  <c r="AL112" i="1"/>
  <c r="AM112" i="1"/>
  <c r="AN112" i="1"/>
  <c r="BA112" i="1"/>
  <c r="BB112" i="1"/>
  <c r="BQ112" i="1"/>
  <c r="BR112" i="1"/>
  <c r="BY112" i="1"/>
  <c r="CF112" i="1"/>
  <c r="CM112" i="1"/>
  <c r="CN112" i="1"/>
  <c r="CP112" i="1"/>
  <c r="CQ112" i="1"/>
  <c r="CR112" i="1"/>
</calcChain>
</file>

<file path=xl/sharedStrings.xml><?xml version="1.0" encoding="utf-8"?>
<sst xmlns="http://schemas.openxmlformats.org/spreadsheetml/2006/main" count="3578" uniqueCount="1484">
  <si>
    <t>First residue</t>
  </si>
  <si>
    <t>Seq size</t>
  </si>
  <si>
    <t>Species</t>
  </si>
  <si>
    <t>Best match to UNIPROT-ACARI protein database</t>
  </si>
  <si>
    <t>E value</t>
  </si>
  <si>
    <t>Match</t>
  </si>
  <si>
    <t>Score</t>
  </si>
  <si>
    <t>Extent of match</t>
  </si>
  <si>
    <t>Length of best match</t>
  </si>
  <si>
    <t>% identity</t>
  </si>
  <si>
    <t>% similarity</t>
  </si>
  <si>
    <t>% Coverage</t>
  </si>
  <si>
    <t>Mismatches</t>
  </si>
  <si>
    <t>Gaps</t>
  </si>
  <si>
    <t>First residue of match</t>
  </si>
  <si>
    <t>First residue of sequence</t>
  </si>
  <si>
    <t>Number of segments</t>
  </si>
  <si>
    <t xml:space="preserve">Species of best match </t>
  </si>
  <si>
    <t>Best match to NR-LIGHT protein database</t>
  </si>
  <si>
    <t>Best match to REFSEQ-INVERTEBRATE protein database</t>
  </si>
  <si>
    <t>Best match to MEROPS protein database</t>
  </si>
  <si>
    <t>Best match to GO database</t>
  </si>
  <si>
    <t>GO function</t>
  </si>
  <si>
    <t>Function</t>
  </si>
  <si>
    <t>Definition</t>
  </si>
  <si>
    <t>Synonym</t>
  </si>
  <si>
    <t>EC number</t>
  </si>
  <si>
    <t>KEGG</t>
  </si>
  <si>
    <t>GO component</t>
  </si>
  <si>
    <t>Component</t>
  </si>
  <si>
    <t>GO process</t>
  </si>
  <si>
    <t>Process</t>
  </si>
  <si>
    <t>Best match to CDD database</t>
  </si>
  <si>
    <t xml:space="preserve">All CDD domains </t>
  </si>
  <si>
    <t>Best match to ACARI protein database</t>
  </si>
  <si>
    <t>M</t>
  </si>
  <si>
    <t xml:space="preserve"> </t>
  </si>
  <si>
    <t>Ixodes ricinus</t>
  </si>
  <si>
    <t>tr|V5H7Z4|V5H7Z4_IXORI</t>
  </si>
  <si>
    <t>Ornithodoros moubata</t>
  </si>
  <si>
    <t>Ixodes scapularis</t>
  </si>
  <si>
    <t>MER023374</t>
  </si>
  <si>
    <t>I39.UPW</t>
  </si>
  <si>
    <t>alpha-2-macroglobulin-like - Danio rerio - liver development - extracellular region - endopeptidase inhibitor activity - extracellular space</t>
  </si>
  <si>
    <t>endopeptidase inhibitor activity</t>
  </si>
  <si>
    <t>Stops, prevents or reduces the activity of an endopeptidase, any enzyme that hydrolyzes nonterminal peptide bonds in polypeptides.  [GOC:jl]</t>
  </si>
  <si>
    <t>alpha-2 macroglobulin  RELATED []</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</si>
  <si>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</si>
  <si>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  [GOC:go_curators]</t>
  </si>
  <si>
    <t>extracellular  EXACT []</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</si>
  <si>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</si>
  <si>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[GOC:add, ISBN:068340007X]</t>
  </si>
  <si>
    <t>A2M_like 1e-025| A2M_2 2e-025| A2M_comp 4e-019| complement_C3_C4_C5 4e-017| A2M 2e-015| ISOPREN_C2_like 1e-009| COG2373 1e-006| A2M_N 3e-006| A2M_N_2 0.016| PRK12323 0.035| PRK07764 | PRK06460 | PRK14081 | kgd | PRK07994 | PHA03247 | COG4932 | Peptidase_S21 | PRK11892 | PHA03378 |</t>
  </si>
  <si>
    <t>Haemaphysalis longicornis</t>
  </si>
  <si>
    <t>tr|M5AYG7|M5AYG7_HAELO</t>
  </si>
  <si>
    <t>MER261465</t>
  </si>
  <si>
    <t>C15.010</t>
  </si>
  <si>
    <t>Ferritin - Caenorhabditis elegans - protein binding - iron ion transport - cellular iron ion homeostasis - ferric iron binding - identical protein binding - metal ion binding</t>
  </si>
  <si>
    <t>ferric iron binding</t>
  </si>
  <si>
    <t>Interacting selectively and non-covalently with ferric iron, Fe(III).  [GOC:ai]</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</si>
  <si>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</si>
  <si>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[GOC:go_curators, NIF_Subcellular:sao-1337158144]</t>
  </si>
  <si>
    <t>cellular component  EXACT []</t>
  </si>
  <si>
    <t>cellular iron ion homeostasis</t>
  </si>
  <si>
    <t>Any process involved in the maintenance of an internal steady state of iron ions at the level of a cell.  [GOC:ai, GOC:mah]</t>
  </si>
  <si>
    <t>iron homeostasis  BROAD []</t>
  </si>
  <si>
    <t>Euk_Ferritin 2e-034| Ferritin 2e-028| Nonheme_Ferritin 8e-018| Ftn 9e-014| Ferritin 2e-012| PRK10304 7e-009| bfr 7e-004| Bacterioferritin | Ferritin_like | Zeta_toxin | BSuCS-II_like | PRK04326 | COG3263 | idi | Ferritin_like_AB | COG4269 | PRTase_2 | YkyA | PLN02539 | PHA03134 |</t>
  </si>
  <si>
    <t>S</t>
  </si>
  <si>
    <t>Rhipicephalus pulchellus</t>
  </si>
  <si>
    <t>tr|L7MK84|L7MK84_9ACAR</t>
  </si>
  <si>
    <t>Daphnia pulex</t>
  </si>
  <si>
    <t>Pediculus humanus corporis</t>
  </si>
  <si>
    <t>MER156696</t>
  </si>
  <si>
    <t>I63.UPW</t>
  </si>
  <si>
    <t>Uncharacterized protein - Bos taurus - extracellular matrix structural constituent - protein complex assembly - cell migration - extracellular matrix disassembly - neuron projection development - hemidesmosome assembly - substrate adhesion-dependent cell spreading - glycosphingolipid binding - laminin-10 complex - extracellular vesicular exosome</t>
  </si>
  <si>
    <t>extracellular matrix structural constituent</t>
  </si>
  <si>
    <t>The action of a molecule that contributes to the structural integrity of the extracellular matrix.  [GOC:mah]</t>
  </si>
  <si>
    <t>extracellular matrix glycoprotein  NARROW []</t>
  </si>
  <si>
    <t>laminin-10 complex</t>
  </si>
  <si>
    <t>A laminin complex composed of alpha5, beta1 and gamma1 polypeptide chains.  [GOC:jl, PMID:10842354]</t>
  </si>
  <si>
    <t>protein complex assembly</t>
  </si>
  <si>
    <t>The aggregation, arrangement and bonding together of a set of components to form a protein complex.  [GOC:ai]</t>
  </si>
  <si>
    <t>chaperone activity  RELATED []</t>
  </si>
  <si>
    <t>LamNT 1e-061| Laminin_N 3e-056| SMC_prok_B 2e-024| Myosin_tail_1 3e-023| SbcC 8e-021| PRK03918 2e-020| Smc 7e-020| PRK02224 7e-018| PTZ00121 1e-017| Laminin_B 7e-017| WEMBL 7e-015| COG1340 8e-014| SMC_prok_A 1e-013| HOOK 2e-012| SMC_N 7e-012| rad50 2e-011| AAA_27 1e-010| Tar 2e-010| EGF_Lam 4e-010| EGF_Lam 5e-010|</t>
  </si>
  <si>
    <t>Q</t>
  </si>
  <si>
    <t>tr|L7MGV3|L7MGV3_9ACAR</t>
  </si>
  <si>
    <t>Danio rerio</t>
  </si>
  <si>
    <t>Anopheles gambiae str. PEST</t>
  </si>
  <si>
    <t>MER200800</t>
  </si>
  <si>
    <t>U32.002</t>
  </si>
  <si>
    <t>mannosidase, alpha, class 2B, member 1 - Danio rerio - cellular_component - catalytic activity - carbohydrate metabolic process - mannose metabolic process - carbohydrate binding - hydrolase activity, hydrolyzing O-glycosyl compounds - zinc ion binding - alpha-mannosidase activity - mannosidase activity</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</si>
  <si>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</si>
  <si>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[ISBN:0198506732]</t>
  </si>
  <si>
    <t>enzyme activity  EXACT [GOC:dph, GOC:tb]</t>
  </si>
  <si>
    <t>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</si>
  <si>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  [GOC:mah, ISBN:0198506732]</t>
  </si>
  <si>
    <t>carbohydrate metabolism  EXACT []</t>
  </si>
  <si>
    <t>GH38N_AMII_LAM_like 2e-097| PLN02701 4e-085| GH38N_AMII_euk 9e-062| GH38N_AMII_Epman_like 6e-042| GH38N_AMII_GMII_SfManIII_like 3e-041| GH38N_Man2A2 9e-040| GH38N_Man2A1 5e-039| Glyco_hydro_38 9e-035| GH38N_AMII_like 1e-022| Glyco_hydro_38C 4e-019| GH38N_AMII_EcMngB_like 1e-008| GH38N_AMII_ScAms1_like 2e-008| GH38N_AMII_ER_cytosolic 2e-008| GH38N_AMII_1 4e-008| Alpha-mann_mid 2e-007| GH38N_AMII_SpGH38_like 6e-007| Alpha-mann_mid 1e-006| PRK09819 5e-006| AMS1 1e-005| GH38N_AMII_Man2C1 3e-004|</t>
  </si>
  <si>
    <t>G</t>
  </si>
  <si>
    <t>tr|L7MGH0|L7MGH0_9ACAR</t>
  </si>
  <si>
    <t>MER384569</t>
  </si>
  <si>
    <t>S01.221</t>
  </si>
  <si>
    <t>Drosophila melanogaster - serine-type endopeptidase activity - proteolysis</t>
  </si>
  <si>
    <t>serine-type endopeptidase activity</t>
  </si>
  <si>
    <t>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[GOC:mah, http://merops.sanger.ac.uk/about/glossary.htm#CATTYPE, ISBN:0716720094]</t>
  </si>
  <si>
    <t>blood coagulation factor activity  RELATED []</t>
  </si>
  <si>
    <t>plasma membrane</t>
  </si>
  <si>
    <t>The membrane surrounding a cell that separates the cell from its external environment. It consists of a phospholipid bilayer and associated proteins.  [ISBN:0716731363]</t>
  </si>
  <si>
    <t>bacterial inner membrane  NARROW []</t>
  </si>
  <si>
    <t>cytoskeleton organization</t>
  </si>
  <si>
    <t>A process that is carried out at the cellular level which results in the assembly, arrangement of constituent parts, or disassembly of cytoskeletal structures.  [GOC:dph, GOC:jl, GOC:mah]</t>
  </si>
  <si>
    <t>cytoskeletal organization and biogenesis  RELATED [GOC:mah]</t>
  </si>
  <si>
    <t>Tryp_SPc 2e-046| Tryp_SPc 8e-043| Trypsin 2e-038| COG5640 2e-011| CLIP 1e-007| CLIP 9e-005| SOBP 4e-004| PHA03247 6e-004| PHA03378 7e-004| TonB 7e-004| DUF2360 0.002| DUF1986 0.002| FAP 0.005| PRK07764 0.011| PHA03307 0.011| PLN02983 0.014| tatB 0.018| Dendrin 0.024| PT 0.024| HpaP 0.024|</t>
  </si>
  <si>
    <t>tr|L7MBU1|L7MBU1_9ACAR</t>
  </si>
  <si>
    <t>Amblyomma variegatum</t>
  </si>
  <si>
    <t>MER428020</t>
  </si>
  <si>
    <t>S01.UNA</t>
  </si>
  <si>
    <t>DNA mismatch repair protein MSH3 - Ashbya gossypii ATCC 10895 - nuclear chromosome - Y-form DNA binding - heteroduplex DNA loop binding - double-strand/single-strand DNA junction binding - meiotic mismatch repair - removal of nonhomologous ends - damaged DNA binding - ATP catabolic process - reciprocal meiotic recombination - DNA-dependent ATPase activity - MutSbeta complex - maintenance of DNA repeat elements</t>
  </si>
  <si>
    <t>Y-form DNA binding</t>
  </si>
  <si>
    <t>Interacting selectively and non-covalently with segment of DNA shaped like a Y. This shape occurs when DNA contains a region of paired double-stranded DNA on one end and a region of unpaired DNA strands on the opposite end.  [GOC:elh, PMID:16781730]</t>
  </si>
  <si>
    <t>forked DNA binding  BROAD []</t>
  </si>
  <si>
    <t>nuclear chromosome</t>
  </si>
  <si>
    <t>A chromosome found in the nucleus of a eukaryotic cell.  [GOC:mah]</t>
  </si>
  <si>
    <t>nuclear interphase chromosome  NARROW []</t>
  </si>
  <si>
    <t>meiotic mismatch repair</t>
  </si>
  <si>
    <t>A system for the identification and correction of base-base mismatches, small insertion-deletion loops, and regions of heterology that are present in duplex DNA formed with strands from two recombining molecules. Correction of the mismatch can result in non-Mendelian segregation of alleles following meiosis.  [GOC:elh, PMID:10357855]</t>
  </si>
  <si>
    <t>HNOBA | Cullin | 14-3-3_1 | Glm_e | PRK13461 | PRK05563 | GutQ | Anthrax-tox_M | Vfa1 | Nitrogenase_MoFe_beta_like | PRK14476 | PRK05582 | DUF2540 | Zfx_Zfy_act | PRK07492 | PRK00901 | FWWh 12| PTZ00229 12| PRK15337 12| PRK09225 15|</t>
  </si>
  <si>
    <t>tr|L7M2B3|L7M2B3_9ACAR</t>
  </si>
  <si>
    <t>MER218411</t>
  </si>
  <si>
    <t>I43.001</t>
  </si>
  <si>
    <t>Drosophila melanogaster - peroxidase activity - response to oxidative stress - oxidation-reduction process - heme binding</t>
  </si>
  <si>
    <t>peroxidase activity</t>
  </si>
  <si>
    <t>Catalysis of the reaction: donor + hydrogen peroxide = oxidized donor + 2 H2O.  [EC:1.11.1.7]</t>
  </si>
  <si>
    <t>bacterial catalase-peroxidase activity  NARROW []</t>
  </si>
  <si>
    <t>microtubule associated complex</t>
  </si>
  <si>
    <t>Any multimeric complex connected to a microtubule.  [GOC:jl]</t>
  </si>
  <si>
    <t>response to oxidative stress</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</si>
  <si>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[GOC:jl, PMID:12115731]</t>
  </si>
  <si>
    <t>An_peroxidase e-134| peroxinectin_like e-122| thyroid_peroxidase 6e-095| peroxidasin_like 7e-091| peroxinectin_like_bacterial 5e-081| myeloperoxidase_like 5e-078| An_peroxidase_like 5e-067| dual_peroxidase_like 3e-063| An_peroxidase_bacterial_2 1e-027| prostaglandin_endoperoxide_synthase 1e-017| PIOX_like 3e-017| PLN02283 1e-014| linoleate_diol_synthase_like 5e-011| An_peroxidase_bacterial_1 3e-010| GH57N_MJA1_like | DUF4630 | PRK15244 | CLIP | TonB-hemlactrns | PLPDE_III_ODC |</t>
  </si>
  <si>
    <t>tr|L7LSK2|L7LSK2_9ACAR</t>
  </si>
  <si>
    <t>MER205276</t>
  </si>
  <si>
    <t>fibronectin leucine rich transmembrane protein 1a - Danio rerio - protein binding - identical protein binding</t>
  </si>
  <si>
    <t>type II transforming growth factor beta receptor binding</t>
  </si>
  <si>
    <t>Interacting selectively and non-covalently with a type II transforming growth factor beta receptor.  [GOC:ceb, GOC:mah, PMID:11252892]</t>
  </si>
  <si>
    <t>punt binding  NARROW []</t>
  </si>
  <si>
    <t>integral component of plasma membrane</t>
  </si>
  <si>
    <t>The component of the plasma membrane consisting of gene products and protein complexes that have some part that penetrates at least one leaflet of the membrane bilayer. This component includes gene products that are buried in the bilayer with no exposure outside the bilayer.  [GOC:dos, GOC:go_curators]</t>
  </si>
  <si>
    <t>integral to plasma membrane  NARROW []</t>
  </si>
  <si>
    <t>transforming growth factor beta receptor signaling pathway</t>
  </si>
  <si>
    <t>A series of molecular signals initiated by the binding of an extracellular ligand to a transforming growth factor beta receptor on the surface of a target cell, and ending with regulation of a downstream cellular process, e.g. transcription.  [GOC:BHF, GOC:mah, GOC:signaling]</t>
  </si>
  <si>
    <t>TGF-beta receptor signaling pathway  EXACT []</t>
  </si>
  <si>
    <t>PRK15370 9e-004| LRR_8 | COG4886 | PRK15387 | PLN00113 | LRRCT | EzrA | DUF3548 | termin_org_P1 | DUF825 | ycf2 | PCC | PRK09071 | Lectin_legB 13| PNPH 17| Act-Frag_cataly 22| PTZ00107 22| PRK15339 29| PRK12775 29| PRK06389 29|</t>
  </si>
  <si>
    <t>tr|L7LUQ8|L7LUQ8_9ACAR</t>
  </si>
  <si>
    <t>Drosophila melanogaster</t>
  </si>
  <si>
    <t>MER429170</t>
  </si>
  <si>
    <t>C14.UNA</t>
  </si>
  <si>
    <t>metabotropic Glutamate Receptor - Drosophila melanogaster - glutamate receptor activity - group II metabotropic glutamate receptor activity - G-protein coupled glutamate receptor signaling pathway - integral component of plasma membrane - plasma membrane - integral component of membrane - G-protein coupled receptor activity - glutamate binding - membrane raft - cholesterol binding - regulation of synaptic transmission, glutamatergic - neuromuscular junction development - G-protein coupled receptor homodimeric complex</t>
  </si>
  <si>
    <t>glutamate receptor activity</t>
  </si>
  <si>
    <t>Combining with glutamate and transmitting the signal from one side of the membrane to the other to initiate a change in cell activity.  [GOC:ai, GOC:signaling]</t>
  </si>
  <si>
    <t>G-protein coupled glutamate receptor signaling pathway</t>
  </si>
  <si>
    <t>A series of molecular signals initiated by glutamate binding to a glutamate receptor on the surface of the target cell, and proceeding with the activated receptor promoting the exchange of GDP for GTP on the alpha-subunit of an associated heterotrimeric G-protein complex. Ends with regulation of a downstream cellular process, e.g. transcription.  [GOC:mah, GOC:signaling, PMID:9131252]</t>
  </si>
  <si>
    <t>metabotropic glutamate receptor signaling pathway  EXACT [GOC:bf]</t>
  </si>
  <si>
    <t>PBP1_mGluR_groupII e-123| PBP1_mGluR e-114| PBP1_mGluR_groupIII 5e-093| PBP1_mGluR_groupI 4e-083| PBP1_CaSR 3e-047| PBP1_GPCR_family_C_like 3e-040| PBP1_GPC6A_like 2e-030| PBP1_glutamate_receptors_like 6e-030| ANF_receptor 2e-027| PBP1_Taste_receptor 4e-026| PBP1_Pheromone_receptor 4e-022| PBP1_GABAb_receptor 3e-012| PBP1_NPR_GC_like 2e-011| PBP1_ABC_transporter_GCPR_C_like 9e-010| PBP1_iGluR_NMDA_NR1 9e-008| PBP1_GC_G_like 5e-006| PBP1_Speract_GC_like 6e-006| PBP1_NPR_like 1e-005| PBP1_iGluR_N_LIVBP_like 4e-005| PBP1_iGluR_AMPA 0.001|</t>
  </si>
  <si>
    <t>tr|L7LUU3|L7LUU3_9ACAR</t>
  </si>
  <si>
    <t>MER171569</t>
  </si>
  <si>
    <t>zgc:123275 - Danio rerio - calcium ion binding - lipid catabolic process - phospholipase A2 activity - phospholipid metabolic process - extracellular region</t>
  </si>
  <si>
    <t>calcium ion binding</t>
  </si>
  <si>
    <t>Interacting selectively and non-covalently with calcium ions (Ca2+).  [GOC:ai]</t>
  </si>
  <si>
    <t>calcium ion storage activity  RELATED []</t>
  </si>
  <si>
    <t>lipid catabolic process</t>
  </si>
  <si>
    <t>The chemical reactions and pathways resulting in the breakdown of lipids, compounds soluble in an organic solvent but not, or sparingly, in an aqueous solvent.  [GOC:go_curators]</t>
  </si>
  <si>
    <t>lipid breakdown  EXACT []</t>
  </si>
  <si>
    <t>PLA2_bee_venom_like 4e-028| Phospholip_A2_2 2e-023| PLA2_group_III_like 0.023| M14_CP_N-E_like | PLA2_like | Trypan_PARP | PRK14960 | PHA02670 | MIP-T3 | eps_aminotran_1 | PHA03418 | Tim54 | Treacle | NET-5_like_LEL | Neisseria_TspB | PHA03264 | PRK09752 | DUF4628 | DUF3664 | RXT2_N |</t>
  </si>
  <si>
    <t>Amblyomma maculatum</t>
  </si>
  <si>
    <t>tr|G3MRY7|G3MRY7_9ACAR</t>
  </si>
  <si>
    <t>MER273531</t>
  </si>
  <si>
    <t>S11.A01</t>
  </si>
  <si>
    <t>Similar to uniprot|Q06683 Saccharomyces cerevisiae YDR332w - Candida glabrata CBS 138 - cellular_component - biological_process</t>
  </si>
  <si>
    <t>structural molecule activity</t>
  </si>
  <si>
    <t>The action of a molecule that contributes to the structural integrity of a complex or assembly within or outside a cell.  [GOC:mah]</t>
  </si>
  <si>
    <t>bacterial-type flagellum hook-filament junction</t>
  </si>
  <si>
    <t>The region of the flagellum where the hook and filament meet. Examples of this component are found in bacteria.  [GOC:mah, GOC:mtg_sensu, PMID:10572114, PMID:12624192]</t>
  </si>
  <si>
    <t>flagellar hook-filament junction  EXACT []</t>
  </si>
  <si>
    <t>cilium or flagellum-dependent cell motility</t>
  </si>
  <si>
    <t>Cell motility due to movement of eukaryotic cilia or bacterial-type flagella or archaeal-type flagella.  [GOC:cilia, GOC:hjd, GOC:krc]</t>
  </si>
  <si>
    <t>ciliary or bacterial-type flagellar motility  RELATED []</t>
  </si>
  <si>
    <t>EDH_00030 | CDP_GD_SDR_e | COG4733 | DacC | TcpA | PRK05939 | VirB4 | PX_SNX19_like_plant 12| FruK_PfkB_like 12| PRK12772 12| PRK08326 12| heptsyl_trn_II 15| CS 20| PRK10916 20| Flu_PB1 26| Adeno_knob 26| RnaseA 26| L3_arch 26| bisphos_HAL2 26| PRK13768 26|</t>
  </si>
  <si>
    <t>tr|G3MPE6|G3MPE6_9ACAR</t>
  </si>
  <si>
    <t>Rhipicephalus appendiculatus</t>
  </si>
  <si>
    <t>MER277849</t>
  </si>
  <si>
    <t>I25.049</t>
  </si>
  <si>
    <t>si:busm1-57f23.1 - Danio rerio - negative regulation of peptidase activity - cysteine-type endopeptidase inhibitor activity - peptidase inhibitor activity</t>
  </si>
  <si>
    <t>cysteine-type endopeptidase inhibitor activity</t>
  </si>
  <si>
    <t>Stops, prevents or reduces the activity of a cysteine-type endopeptidase, any enzyme that hydrolyzes peptide bonds in polypeptides by a mechanism in which the sulfhydryl group of a cysteine residue at the active center acts as a nucleophile.  [GOC:dph, GOC:tb]</t>
  </si>
  <si>
    <t>cysteine protease inhibitor activity  EXACT [GOC:dph, GOC:tb]</t>
  </si>
  <si>
    <t>extracellular space</t>
  </si>
  <si>
    <t>That part of a multicellular organism outside the cells proper, usually taken to be outside the plasma membranes, and occupied by fluid.  [ISBN:0198547684]</t>
  </si>
  <si>
    <t>intercellular space  RELATED []</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</si>
  <si>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</si>
  <si>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GOC:mtg_15nov05, ISBN:0198506732]</t>
  </si>
  <si>
    <t>Inflammation  BROAD []</t>
  </si>
  <si>
    <t>CY 1e-005| CY 1e-004| Cystatin 0.014| PRK09263 | COG1549 | iSH2_PIK3R1 | OstA_C | Pirin_C 15| iSH2_PIK3R3 15| DYNc 19| ARL2_Bind_BART 19| ALDH_LactADH_F420-Bios 19| peripherin_like_LEL 19| PLN00185 25| COG2872 25| FAM181 33| Fibrillarin_2 33| Keratin_matx 33| WbmH_like_SDR_e 33| YtcJ_like 33|</t>
  </si>
  <si>
    <t>tr|G3MLI1|G3MLI1_9ACAR</t>
  </si>
  <si>
    <t>Rhipicephalus microplus</t>
  </si>
  <si>
    <t>MER409943</t>
  </si>
  <si>
    <t>I04.088</t>
  </si>
  <si>
    <t>serine (or cysteine) peptidase inhibitor, clade B, member 1c - Mus musculus - serine-type endopeptidase inhibitor activity - extracellular space - cytoplasm - negative regulation of peptidase activity - negative regulation of endopeptidase activity - regulation of proteolysis - peptidase inhibitor activity</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</si>
  <si>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</si>
  <si>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  [GOC:ai]</t>
  </si>
  <si>
    <t>serine protease inhibitor activity  EXACT []</t>
  </si>
  <si>
    <t>negative regulation of peptidase activity</t>
  </si>
  <si>
    <t>Any process that stops or reduces the rate of peptidase activity, the hydrolysis of peptide bonds within proteins.  [GOC:dph, GOC:tb]</t>
  </si>
  <si>
    <t>SERPIN 2e-070| SERPIN 9e-067| Serpin 6e-066| PAI-2 4e-061| COG4826 1e-055| neuroserpin 3e-055| ovalbumin_like 7e-053| ov-serpin 8e-052| bacterial_SERPIN 7e-051| antithrombin-III_like 2e-050| alpha-1-antitrypsin_like 2e-048| PAI-1_nexin-1 2e-046| maspin_like 4e-043| PZI 9e-040| HCII 7e-037| plant_SERPIN 1e-036| C1_inh 2e-033| PEDF 8e-031| hsp47 2e-030| alpha2AP 4e-030|</t>
  </si>
  <si>
    <t>tr|G3ML50|G3ML50_9ACAR</t>
  </si>
  <si>
    <t>MER409708</t>
  </si>
  <si>
    <t>Serpin B4 - Homo sapiens - serine-type endopeptidase inhibitor activity - extracellular region - extracellular space - cytoplasm - negative regulation of peptidase activity - negative regulation of endopeptidase activity - enzyme binding - regulation of proteolysis - extracellular vesicular exosome</t>
  </si>
  <si>
    <t>Serpin 3e-071| SERPIN 1e-063| SERPIN 2e-063| PAI-2 4e-060| ov-serpin 2e-056| ovalbumin_like 2e-054| neuroserpin 2e-054| COG4826 4e-054| alpha-1-antitrypsin_like 1e-046| antithrombin-III_like 3e-046| plant_SERPIN 6e-046| bacterial_SERPIN 1e-045| HCII 4e-043| PAI-1_nexin-1 6e-042| maspin_like 9e-040| PZI 5e-037| hsp47 1e-032| PEDF 1e-031| alpha2AP 2e-026| C1_inh 2e-024|</t>
  </si>
  <si>
    <t>tr|G3MIH5|G3MIH5_9ACAR</t>
  </si>
  <si>
    <t>MER183365</t>
  </si>
  <si>
    <t>Drosophila melanogaster - biological_process - molecular_function - extracellular region</t>
  </si>
  <si>
    <t>molecular_function</t>
  </si>
  <si>
    <t>Elemental activities, such as catalysis or binding, describing the actions of a gene product at the molecular level. A given gene product may exhibit one or more molecular functions.  [GOC:go_curators]</t>
  </si>
  <si>
    <t>molecular function  EXACT []</t>
  </si>
  <si>
    <t>biological_process</t>
  </si>
  <si>
    <t>Any process specifically pertinent to the functioning of integrated living units: cells, tissues, organs, and organisms. A process is a collection of molecular events with a defined beginning and end.  [GOC:go_curators, GOC:isa_complete]</t>
  </si>
  <si>
    <t>biological process  EXACT []</t>
  </si>
  <si>
    <t>SCP_euk 4e-012| SCP 1e-008| SCP_HrTT-1 1e-007| SCP_GLIPR-1_like 2e-006| SCP_CRISP 2e-005| SCP_PRY1_like | SCP | SCP_PR-1_like | CAP | uvra | PSCyt3 | lacZ | Denso_VP4 | PRK13390 | RecT | DUF3617 13| UPF0560 13| tRNA-synt_2c 13| cellulose_bcsE 13| Raftlin 17|</t>
  </si>
  <si>
    <t>tr|B7P7C0|B7P7C0_IXOSC</t>
  </si>
  <si>
    <t>MER157506</t>
  </si>
  <si>
    <t>midline fasciclin - Drosophila melanogaster - axonogenesis - plasma membrane - cell adhesion molecule binding - extracellular space - multicellular organism reproduction - negative regulation of hemocyte proliferation</t>
  </si>
  <si>
    <t>cell adhesion molecule binding</t>
  </si>
  <si>
    <t>Interacting selectively and non-covalently with a cell adhesion molecule.  [GOC:ai]</t>
  </si>
  <si>
    <t>adhesive extracellular matrix constituent  RELATED []</t>
  </si>
  <si>
    <t>axonogenesis</t>
  </si>
  <si>
    <t>Generation of a long process of a neuron, that carries efferent (outgoing) action potentials from the cell body towards target cells.  [GOC:jid, ISBN:0198506732]</t>
  </si>
  <si>
    <t>axon growth  NARROW []</t>
  </si>
  <si>
    <t>Fasciclin 6e-015| COG2335 3e-010| FAS1 2e-007| PLN02867 | PLN02292 | PLN00111 | Csp2_I-U | SAM_ANKS3 | ER_PDI_fam | LPA1 | FAD_synthetase_N | PLN03237 | FGGY_GK 12| MPP_PrpE 12| asp_kinases 12| AAA_31 15| DUF3664 15| Cytomega_UL20A 15| PTZ00484 15| PRK04537 15|</t>
  </si>
  <si>
    <t>tr|B7PH24|B7PH24_IXOSC</t>
  </si>
  <si>
    <t>MER164436</t>
  </si>
  <si>
    <t>I04.UPW</t>
  </si>
  <si>
    <t>serpin peptidase inhibitor, clade B (ovalbumin), member 1, like 1 - Danio rerio - regulation of proteolysis - serine-type endopeptidase inhibitor activity - negative regulation of endopeptidase activity - extracellular space</t>
  </si>
  <si>
    <t>regulation of proteolysis</t>
  </si>
  <si>
    <t>Any process that modulates the frequency, rate or extent of the hydrolysis of a peptide bond or bonds within a protein.  [GOC:mah]</t>
  </si>
  <si>
    <t>regulation of peptidolysis  EXACT []</t>
  </si>
  <si>
    <t>SERPIN 2e-067| Serpin 4e-061| SERPIN 3e-059| PAI-2 4e-055| ovalbumin_like 1e-053| neuroserpin 3e-050| ov-serpin 1e-049| antithrombin-III_like 2e-049| COG4826 9e-049| alpha-1-antitrypsin_like 9e-046| maspin_like 2e-043| HCII 3e-043| bacterial_SERPIN 6e-043| PAI-1_nexin-1 7e-041| plant_SERPIN 1e-040| PZI 1e-034| hsp47 4e-033| C1_inh 4e-030| alpha2AP 7e-030| PEDF 3e-027|</t>
  </si>
  <si>
    <t>tr|F0JA27|F0JA27_AMBVA</t>
  </si>
  <si>
    <t>Drosophila willistoni</t>
  </si>
  <si>
    <t>MER277444</t>
  </si>
  <si>
    <t>C01.107</t>
  </si>
  <si>
    <t>Cysteine proteinase-1 - Drosophila melanogaster - cysteine-type endopeptidase activity - protein catabolic process - lysosome - autophagic cell death - salivary gland cell autophagic cell death - fusome - proteolysis</t>
  </si>
  <si>
    <t>cysteine-type endopeptidase activity</t>
  </si>
  <si>
    <t>Catalysis of the hydrolysis of internal, alpha-peptide bonds in a polypeptide chain by a mechanism in which the sulfhydryl group of a cysteine residue at the active center acts as a nucleophile.  [GOC:mah, http://merops.sanger.ac.uk/about/glossary.htm#CATTYPE, http://merops.sanger.ac.uk/about/glossary.htm#ENDOPEPTIDASE]</t>
  </si>
  <si>
    <t>caspase activity  NARROW [GOC:mtg_apoptosis]</t>
  </si>
  <si>
    <t>lysosome</t>
  </si>
  <si>
    <t>A small lytic vacuole that has cell cycle-independent morphology and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[GOC:mah, ISBN:0198506732]</t>
  </si>
  <si>
    <t>protein catabolic process</t>
  </si>
  <si>
    <t>The chemical reactions and pathways resulting in the breakdown of a protein by the destruction of the native, active configuration, with or without the hydrolysis of peptide bonds.  [GOC:mah]</t>
  </si>
  <si>
    <t>pheromone catabolic process  RELATED []</t>
  </si>
  <si>
    <t>Peptidase_C1A 2e-076| Peptidase_C1 2e-071| Pept_C1 1e-060| PTZ00021 2e-050| PTZ00203 4e-049| PTZ00200 2e-036| Peptidase_C1A_CathepsinC 1e-026| Peptidase_C1A_CathepsinB 4e-023| Peptidase_C1 1e-019| Peptidase_C1A_CathepsinX 6e-018| COG4870 2e-015| PTZ00049 6e-012| PTZ00462 2e-011| PTZ00364 5e-009| Inhibitor_I29 2e-007| Inhibitor_I29 1e-006| Peptidase_C1_2 | PRK08565 | Peptidase_S9_N | PRK13026 |</t>
  </si>
  <si>
    <t>Rhipicephalus sanguineus</t>
  </si>
  <si>
    <t>tr|D0E0G4|D0E0G4_RHISA</t>
  </si>
  <si>
    <t>MER162211</t>
  </si>
  <si>
    <t>M28.UNB</t>
  </si>
  <si>
    <t>Cht5 - Drosophila melanogaster - chitinase activity - carbohydrate metabolic process - extracellular space - chitin catabolic process - chitin binding</t>
  </si>
  <si>
    <t>chitinase activity</t>
  </si>
  <si>
    <t>Catalysis of the hydrolysis of (1-&gt;4)-beta linkages of N-acetyl-D-glucosamine (GlcNAc) polymers of chitin and chitodextrins.  [EC:3.2.1.14, GOC:bf, GOC:kah, GOC:pde, PMID:11468293]</t>
  </si>
  <si>
    <t>1,4-beta-poly-N-acetylglucosaminidase activity  EXACT [EC:3.2.1.14]</t>
  </si>
  <si>
    <t>GH18_chitolectin_chitotriosidase 1e-079| Glyco_18 3e-050| Glyco_hydro_18 2e-048| ChiA 9e-041| GH18_chitinase 2e-037| GH18_IDGF 1e-032| GH18_plant_chitinase_class_V 1e-029| GH18_chitinase-like 9e-025| GH18_zymocin_alpha 8e-024| GH18_CFLE_spore_hydrolase 3e-011| GH18_3CO4_chitinase 2e-007| GH18_chitobiase 7e-006| COG3858 9e-006| GH18_EndoS-like 2e-004| GH18_narbonin 0.008| GH18_SI-CLP | Epiglycanin_TR | hCaCC | pulA_typeI | ALDH_F12_P5CDH |</t>
  </si>
  <si>
    <t>tr|B8R3M2|B8R3M2_IXORI</t>
  </si>
  <si>
    <t>MER164742</t>
  </si>
  <si>
    <t>Uncharacterized protein - Gallus gallus - endopeptidase inhibitor activity - extracellular space - negative regulation of endopeptidase activity</t>
  </si>
  <si>
    <t>negative regulation of endopeptidase activity</t>
  </si>
  <si>
    <t>Any process that decreases the frequency, rate or extent of endopeptidase activity, the endohydrolysis of peptide bonds within proteins.  [GOC:dph, GOC:tb]</t>
  </si>
  <si>
    <t>A2M_2 1e-075| A2M_like 1e-060| complement_C3_C4_C5 2e-047| A2M_comp 1e-046| ISOPREN_C2_like 1e-024| A2M 7e-015| A2M_recep 8e-013| A2M_N 5e-009| Thiol-ester_cl 4e-007| COG2373 6e-005| A2M_N_2 2e-004| DUF499 | PHA03346 | PRK08221 | PRK12490 | Prenyltrans_2 | DUF2413 | PRK10060 | PRK07088 | COG2902 |</t>
  </si>
  <si>
    <t>tr|A1IHG0|A1IHG0_HAELO</t>
  </si>
  <si>
    <t>MER078980</t>
  </si>
  <si>
    <t>C01.061</t>
  </si>
  <si>
    <t>Cathepsin B1 - Drosophila melanogaster - cysteine-type endopeptidase activity - salivary gland cell autophagic cell death - autophagic cell death - regulation of catalytic activity - proteolysis</t>
  </si>
  <si>
    <t>cysteine-type peptidase activity</t>
  </si>
  <si>
    <t>Catalysis of the hydrolysis of peptide bonds in a polypeptide chain by a mechanism in which the sulfhydryl group of a cysteine residue at the active center acts as a nucleophile.  [GOC:mah, http://merops.sanger.ac.uk/about/glossary.htm#CATTYPE]</t>
  </si>
  <si>
    <t>cysteine protease activity  EXACT []</t>
  </si>
  <si>
    <t>proteolysis</t>
  </si>
  <si>
    <t>The hydrolysis of proteins into smaller polypeptides and/or amino acids by cleavage of their peptide bonds.  [GOC:bf, GOC:mah]</t>
  </si>
  <si>
    <t>ATP-dependent proteolysis  NARROW [GOC:mah]</t>
  </si>
  <si>
    <t>Peptidase_C1A_CathepsinB 2e-085| Peptidase_C1 1e-036| Peptidase_C1A_CathepsinC 6e-031| Peptidase_C1A 4e-029| Peptidase_C1A_CathepsinX 1e-025| PTZ00200 3e-018| PTZ00203 1e-016| PTZ00021 1e-015| Peptidase_C1 3e-015| PTZ00049 6e-015| Pept_C1 6e-013| PTZ00364 3e-008| Propeptide_C1 8e-005| PTZ00462 2e-004| COG4870 0.003| DUF770 | 2A0310 | Pectate_lyase | VI_chp_5 | glnD |</t>
  </si>
  <si>
    <t>tr|A0JC33|A0JC33_HAELO</t>
  </si>
  <si>
    <t>Caenorhabditis remanei</t>
  </si>
  <si>
    <t>MER241620</t>
  </si>
  <si>
    <t>C02.A03</t>
  </si>
  <si>
    <t>AT2G32690 - Arabidopsis thaliana - response to abscisic acid - response to salicylic acid</t>
  </si>
  <si>
    <t>Gly_rich 4e-010| COG5651 2e-009| GRP 4e-008| Lamprin 3e-007| KRTAP 6e-007| TonB_dep_Rec 4e-006| PRK06958 4e-006| Porin_4 6e-006| GP38 1e-005| Bindin 2e-005| PTZ00146 5e-005| gram_neg_porins 7e-005| Sporozoite_P67 9e-005| OMP_b-brl 2e-004| COG4371 4e-004| Autotransporter 6e-004| PLN03138 8e-004| M_domain 0.001| DUF4175 0.001| Cloacin 0.002|</t>
  </si>
  <si>
    <t>tr|Q0EDB3|Q0EDB3_HAELO</t>
  </si>
  <si>
    <t>Nematostella vectensis</t>
  </si>
  <si>
    <t>MER101611</t>
  </si>
  <si>
    <t>M10.010</t>
  </si>
  <si>
    <t>Ecdysone-dependent gene 91 - Drosophila melanogaster - structural constituent of pupal chitin-based cuticle</t>
  </si>
  <si>
    <t>peroxisomal membrane</t>
  </si>
  <si>
    <t>The lipid bilayer surrounding a peroxisome.  [GOC:mah]</t>
  </si>
  <si>
    <t>peroxisome membrane  EXACT []</t>
  </si>
  <si>
    <t>protein transport</t>
  </si>
  <si>
    <t>The directed movement of proteins into, out of or within a cell, or between cells, by means of some agent such as a transporter or pore.  [GOC:ai]</t>
  </si>
  <si>
    <t>enzyme transport  NARROW []</t>
  </si>
  <si>
    <t>PTZ00266 0.095| PHA03247 0.095| PRK07764 | Trypan_PARP | Pox_P35 | PTZ00249 | PRK14960 | TCRP1 | PRK11633 | CTF_NFI | NSP2-B_epitope | flgK | tatB | PRK11413 | PRK10819 | HutG | CAP_N | RNA_Cyclase | PRK09752 | NolX |</t>
  </si>
  <si>
    <t>tr|Q4R196|Q4R196_HAELO</t>
  </si>
  <si>
    <t>MER497592</t>
  </si>
  <si>
    <t>S01.267</t>
  </si>
  <si>
    <t>DUF500 domain protein - Aspergillus fumigatus Af293 - molecular_function - cellular_component - biological_process</t>
  </si>
  <si>
    <t>dnaE | PLN02312 | nifL_nitrog | eIF2A | CuRO_2_AAO_like_1 | PRK11387 | PLN02524 | tolA_full 11| KfrA_N 14| RIFIN 14| PLPDE_III_Bif_AspK_DapDC 18| vWA_ku 18| EVH1_Ena_VASP-like 18| PLN02479 18| PHA03026 18| AIP3 23| spore_yabG 23| hemL 23| PRK04860 23| Qor 23|</t>
  </si>
  <si>
    <t>tr|V9VL04|V9VL04_RHIMP</t>
  </si>
  <si>
    <t>Leukocyte elastase inhibitor - Bos taurus - serine-type endopeptidase inhibitor activity - extracellular space - cytoplasm - negative regulation of endopeptidase activity - regulation of proteolysis</t>
  </si>
  <si>
    <t>SERPIN 2e-070| Serpin 3e-066| SERPIN 7e-064| PAI-2 2e-058| ovalbumin_like 1e-056| antithrombin-III_like 2e-056| COG4826 3e-052| ov-serpin 3e-052| neuroserpin 1e-049| alpha-1-antitrypsin_like 3e-047| bacterial_SERPIN 6e-047| maspin_like 4e-045| PAI-1_nexin-1 2e-044| plant_SERPIN 7e-040| PZI 3e-038| HCII 3e-032| hsp47 2e-030| alpha2AP 2e-028| C1_inh 2e-025| PEDF 3e-025|</t>
  </si>
  <si>
    <t>tr|A0A034WYZ2|A0A034WYZ2_RHIMP</t>
  </si>
  <si>
    <t>MER396582</t>
  </si>
  <si>
    <t>M24.008</t>
  </si>
  <si>
    <t>twinstar - Drosophila melanogaster - actin binding - actin filament depolymerization - female gonad development - border follicle cell migration - actin filament organization - mitotic cytokinesis - actomyosin contractile ring assembly - actin filament polymerization - actin cytoskeleton - axonogenesis - mushroom body development - establishment of planar polarity - imaginal disc-derived leg segmentation - establishment of ommatidial planar polarity - establishment of imaginal disc-derived wing hair orientation - regulation of lamellipodium assembly - compound eye development - microtubule associated complex - compound eye morphogenesis - rhabdomere development - cell morphogenesis</t>
  </si>
  <si>
    <t>actin binding</t>
  </si>
  <si>
    <t>Interacting selectively and non-covalently with monomeric or multimeric forms of actin, including actin filaments.  [GOC:clt]</t>
  </si>
  <si>
    <t>membrane associated actin binding  NARROW []</t>
  </si>
  <si>
    <t>actin cytoskeleton</t>
  </si>
  <si>
    <t>The part of the cytoskeleton (the internal framework of a cell) composed of actin and associated proteins. Includes actin cytoskeleton-associated complexes.  [GOC:jl, ISBN:0395825172, ISBN:0815316194]</t>
  </si>
  <si>
    <t>actin filament depolymerization</t>
  </si>
  <si>
    <t>Disassembly of actin filaments by the removal of actin monomers from a filament.  [GOC:mah]</t>
  </si>
  <si>
    <t>actin depolymerization  EXACT []</t>
  </si>
  <si>
    <t>ADF_cofilin_like 8e-028| Cofilin_ADF 1e-018| ADF 1e-016| PLN03216 5e-014| PTZ00152 2e-004| ADF_Twf-N_like 8e-004| ADF_gelsolin 8e-004| Peptidase_C37 | alaS | NusG_myco | ADF_Twf-C_like | ADF_drebrin_like | Baculo_helicase | tRNA_edit | PHA03367 | portal_PBSX | PRK14257 | PLN02984 | Chol_subst-bind | topA_arch |</t>
  </si>
  <si>
    <t>tr|L7M921|L7M921_9ACAR</t>
  </si>
  <si>
    <t>MER083510</t>
  </si>
  <si>
    <t>S09.076</t>
  </si>
  <si>
    <t>Uncharacterized protein - Sarcophilus harrisii - acid phosphatase activity - extracellular space - plasma membrane - thiamine metabolic process - 5'-nucleotidase activity - vesicle membrane - dephosphorylation - phosphatase activity - thiamine phosphate phosphatase activity - adenosine metabolic process - regulation of sensory perception of pain - lysophosphatidic acid phosphatase activity - positive regulation of adenosine receptor signaling pathway</t>
  </si>
  <si>
    <t>acid phosphatase activity</t>
  </si>
  <si>
    <t>Catalysis of the reaction: an orthophosphoric monoester + H2O = an alcohol + phosphate, with an acid pH optimum.  [EC:3.1.3.2]</t>
  </si>
  <si>
    <t>acid monophosphatase activity  EXACT [EC:3.1.3.2]</t>
  </si>
  <si>
    <t>thiamine metabolic process</t>
  </si>
  <si>
    <t>The chemical reactions and pathways involving thiamine (vitamin B1), a water soluble vitamin present in fresh vegetables and meats, especially liver.  [CHEBI:18385, GOC:jl, ISBN:0198506732]</t>
  </si>
  <si>
    <t>thiamin metabolic process  EXACT [GOC:curators]</t>
  </si>
  <si>
    <t>His_Phos_2 3e-025| HP_HAP_like 7e-010| HP | HMG-CoA-S_euk | PRK03979 | Glu-tRNAGln | VI_chp_8 | COG3515 | COG2936 | PRK15416 | Adeno_E1A | LA_like_plant | GRASP_SAV_5884 | 2oxo_dh_E1 | PTZ00432 | gatC | VP4_haemagglut | PRK05439 | GatC | Exonuc_X-T_C 11|</t>
  </si>
  <si>
    <t>E</t>
  </si>
  <si>
    <t>tr|A0A023GNB7|A0A023GNB7_9ACAR</t>
  </si>
  <si>
    <t>MER177713</t>
  </si>
  <si>
    <t>S10.003</t>
  </si>
  <si>
    <t>carboxypeptidase, vitellogenic-like - Danio rerio - proteolysis - hydrolase activity - peptidase activity - serine-type carboxypeptidase activity - carboxypeptidase activity</t>
  </si>
  <si>
    <t>serine-type carboxypeptidase activity</t>
  </si>
  <si>
    <t>Catalysis of the hydrolysis of a peptide bond not more than three residues from the C-terminus of a polypeptide chain by a catalytic mechanism that involves a catalytic triad consisting of a serine nucleophile that is activated by a proton relay involving an acidic residue (e.g. aspartate or glutamate) and a basic residue (usually histidine).  [http://merops.sanger.ac.uk/about/glossary.htm#CARBOXYPEPTIDASE, http://merops.sanger.ac.uk/about/glossary.htm#CATTYPE, ISBN:0716720094]</t>
  </si>
  <si>
    <t>serine carboxypeptidase activity  EXACT []</t>
  </si>
  <si>
    <t>extracellular vesicular exosome</t>
  </si>
  <si>
    <t>A membrane-bounded vesicle that is released into the extracellular region by fusion of the limiting endosomal membrane of a multivesicular body with the plasma membrane.  [GOC:BHF, GOC:mah, PMID:15908444, PMID:17641064]</t>
  </si>
  <si>
    <t>Peptidase_S10 5e-018| PTZ00472 1e-016| PLN02209 6e-014| PLN03016 7e-013| COG2939 2e-011| NemA | PRK07036 | M20_ArgE-related | pdxA | Glyco_hydro_25 | Paramyx_P_V_C | PQQ_MDH | PRK13300 | PLN02213 | PTS-IIBC-Tre | eutA | PRK00068 | SelB | M20_Acy1_like6 11| CCA1 11|</t>
  </si>
  <si>
    <t>Amblyomma triste</t>
  </si>
  <si>
    <t>glycine proline-rich secreted protein</t>
  </si>
  <si>
    <t>tr|A0A034WXT5|A0A034WXT5_RHIMP</t>
  </si>
  <si>
    <t>MER330945</t>
  </si>
  <si>
    <t>S59.A07</t>
  </si>
  <si>
    <t>maleless - Drosophila melanogaster - polytene chromosome - ATP-dependent helicase activity - chromosome - chromatin binding - chromatin - dosage compensation - dosage compensation by hyperactivation of X chromosome - male courtship behavior, veined wing generated song production - X chromosome located dosage compensation complex, transcription activating - nucleus - double-stranded RNA binding - helicase activity - dosage compensation complex assembly involved in dosage compensation by hyperactivation of X chromosome - RNA helicase activity - ATP binding - axon extension - determination of adult lifespan - X chromosome - positive regulation of transcription from RNA polymerase II promoter - DNA-directed RNA polymerase II, core complex - cytoplasm - positive regulation of heterochromatin assembly - MSL complex - RNA binding</t>
  </si>
  <si>
    <t>ATP-dependent helicase activity</t>
  </si>
  <si>
    <t>Catalysis of the reaction: ATP + H2O = ADP + phosphate, to drive the unwinding of a DNA or RNA helix.  [EC:3.6.1.3, GOC:jl]</t>
  </si>
  <si>
    <t>polytene chromosome</t>
  </si>
  <si>
    <t>A type of chromosome in a polyploid cell, formed when multiple copies of homologous chromosomes are aligned side by side to give a giant chromosome in which distinct chromosome bands are readily visible.  [ISBN:0198506732]</t>
  </si>
  <si>
    <t>dosage compensation</t>
  </si>
  <si>
    <t>Compensating for the two-fold variation in X:autosome chromosome ratios between sexes by a global activation or inactivation of all, or most of, genes on one or both of the X chromosomes.  [GOC:ems, ISBN:0140512888, PMID:11498577]</t>
  </si>
  <si>
    <t>eIF-4B 8e-004| Innate_immun 0.015| Gly_rich 0.034| GRP 0.045| COG5651 0.045| SusD | Bindin | DUF3187 | Ribosomal_60s | Dehydrin | PRK14295 | Ribosomal_P2 | cobQ | III | Peptidase_S49_N | Ribosomal_P1 | PRK14276 | PLN02825 | CirA | DUF1597 |</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</si>
  <si>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</si>
  <si>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[GOC:go_curators]</t>
  </si>
  <si>
    <t>cell nucleus  EXACT []</t>
  </si>
  <si>
    <t>Ceratitis capitata</t>
  </si>
  <si>
    <t>endoplasmic 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</si>
  <si>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[ISBN:0198506732]</t>
  </si>
  <si>
    <t>ER  EXACT []</t>
  </si>
  <si>
    <t>DNA binding</t>
  </si>
  <si>
    <t>Any molecular function by which a gene product interacts selectively and non-covalently with DNA (deoxyribonucleic acid).  [GOC:dph, GOC:jl, GOC:tb, GOC:vw]</t>
  </si>
  <si>
    <t>microtubule/chromatin interaction  RELATED []</t>
  </si>
  <si>
    <t>H</t>
  </si>
  <si>
    <t>tr|L7M9V2|L7M9V2_9ACAR</t>
  </si>
  <si>
    <t>MER401475</t>
  </si>
  <si>
    <t>C40.007</t>
  </si>
  <si>
    <t>Uncharacterized protein - Aspergillus niger ATCC 1015 - molecular_function - biological_process</t>
  </si>
  <si>
    <t>cytoplasm</t>
  </si>
  <si>
    <t>All of the contents of a cell excluding the plasma membrane and nucleus, but including other subcellular structures.  [ISBN:0198547684]</t>
  </si>
  <si>
    <t>flgG 0.100| PhageMin_Tail | KicB | PRK06155 | PRK05260 | PhnX-like | MukF | PBP2_OppA | PRK12278 | Jacalin_like | PRK12323 | minC | PRK01973 | Glyco_hydro_85 | PRK14673 | PRK14139 | PRK12372 | PRK11340 | PRK10829 | ACF2 |</t>
  </si>
  <si>
    <t>Amblyomma americanum</t>
  </si>
  <si>
    <t>tr|B5M7A4|B5M7A4_AMBAM</t>
  </si>
  <si>
    <t>MER465655</t>
  </si>
  <si>
    <t>T01.984</t>
  </si>
  <si>
    <t>Alpha-aminoadipic semialdehyde dehydrogenase - Homo sapiens - aldehyde dehydrogenase (NAD) activity - L-aminoadipate-semialdehyde dehydrogenase activity - protein binding - nucleus - cytoplasm - mitochondrion - mitochondrial matrix - cytosol - cellular aldehyde metabolic process - lysine catabolic process - sensory perception of sound - betaine-aldehyde dehydrogenase activity - glycine betaine biosynthetic process from choline - cellular nitrogen compound metabolic process - small molecule metabolic process - oxidation-reduction process - extracellular vesicular exosome</t>
  </si>
  <si>
    <t>aldehyde dehydrogenase (NAD) activity</t>
  </si>
  <si>
    <t>Catalysis of the reaction: an aldehyde + NAD+ + H2O = an acid + NADH + H+.  [EC:1.2.1.3]</t>
  </si>
  <si>
    <t>aldehyde dehydrogenase (NAD+)  EXACT [EC:1.2.1.3]</t>
  </si>
  <si>
    <t>cellular aldehyde metabolic process</t>
  </si>
  <si>
    <t>The chemical reactions and pathways involving aldehydes, any organic compound with the formula R-CH=O, as carried out by individual cells.  [GOC:go_curators, ISBN:0198506732]</t>
  </si>
  <si>
    <t>aldehyde metabolism  EXACT []</t>
  </si>
  <si>
    <t>ALDH_F7_AASADH 3e-037| PLN02315 3e-035| ALDH_F7_AASADH-like 5e-032| ALDH_AldH-CAJ73105 3e-015| PutA 4e-013| Aldedh 9e-013| ALDH_F5_SSADH_GabD 2e-010| ALDH_MGR_2402 7e-010| ALDH_F6_MMSDH 7e-010| BADH 7e-010| ALDH_LactADH-AldA 2e-009| ALDH_BADH-GbsA 3e-009| arg_catab_astD 4e-009| ALDH_StaphAldA1 8e-009| PLN02278 8e-009| ALDH_KGSADH-YcbD 1e-008| PRK13252 3e-008| PRK13473 4e-008| gabD 5e-008| ALDH_P5CDH 7e-008|</t>
  </si>
  <si>
    <t xml:space="preserve">troponin T </t>
  </si>
  <si>
    <t>Haemaphysalis qinghaiensis</t>
  </si>
  <si>
    <t>tr|A8E4K0|A8E4K0_9ACAR</t>
  </si>
  <si>
    <t>Metaseiulus occidentalis</t>
  </si>
  <si>
    <t>MER294447</t>
  </si>
  <si>
    <t>S06.006</t>
  </si>
  <si>
    <t>upheld - Drosophila melanogaster - muscle organ morphogenesis - myofibril assembly - sarcomere organization - mitochondrion organization - cellular calcium ion homeostasis - muscle cell cellular homeostasis - striated muscle thin filament - calcium ion binding - tropomyosin binding - troponin complex - mesoderm development - regulation of muscle contraction - skeletal muscle thin filament assembly</t>
  </si>
  <si>
    <t>striated muscle thin filament</t>
  </si>
  <si>
    <t>Filaments formed of actin and associated proteins; attached to Z discs at either end of sarcomeres in myofibrils.  [ISBN:0815316194]</t>
  </si>
  <si>
    <t>muscle organ morphogenesis</t>
  </si>
  <si>
    <t>The process in which the anatomical structures of muscle are generated and organized.  [GOC:jid]</t>
  </si>
  <si>
    <t>PTZ00121 7e-021| Trichoplein 2e-018| Smc 1e-014| SbcC 1e-014| PRK03918 2e-014| SMC_N 2e-013| SART-1 4e-012| tolA_full 1e-011| DDRGK 2e-011| PRK02224 2e-011| CAF-1_p150 5e-011| Utp14 6e-011| SMC_prok_B 8e-011| Nop14 4e-010| MAP7 7e-010| 2A1904 1e-009| COG1340 2e-009| SMC_prok_A 3e-009| ARGLU 4e-009| Daxx 4e-009|</t>
  </si>
  <si>
    <t>Dermacentor variabilis</t>
  </si>
  <si>
    <t>tr|B7SP57|B7SP57_DERVA</t>
  </si>
  <si>
    <t>MER314828</t>
  </si>
  <si>
    <t>C04.007</t>
  </si>
  <si>
    <t>Glutathione S transferase D1 - Drosophila melanogaster - glutathione transferase activity - cytoplasm - DDT-dehydrochlorinase activity - glutathione metabolic process</t>
  </si>
  <si>
    <t>glutathione transferase activity</t>
  </si>
  <si>
    <t>Catalysis of the reaction: R-X + glutathione = H-X + R-S-glutathione. R may be an aliphatic, aromatic or heterocyclic group; X may be a sulfate, nitrile or halide group.  [EC:2.5.1.18]</t>
  </si>
  <si>
    <t>glutathione conjugation reaction  EXACT []</t>
  </si>
  <si>
    <t>glutathione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</si>
  <si>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[CHEBI:16856, ISBN:0198506732]</t>
  </si>
  <si>
    <t>glutathione metabolism  EXACT []</t>
  </si>
  <si>
    <t>GST_N_Delta_Epsilon 5e-019| GST_C_Delta_Epsilon 7e-010| Gst 8e-009| maiA 4e-008| PLN02473 4e-008| PLN02395 4e-008| PRK15113 3e-006| GST_N_Ure2p_like 3e-005| PRK11752 9e-005| GST_N_2 2e-004| GST_N_Theta 2e-004| GST_N_GTT1_like 2e-004| GST_N_Phi 3e-004| GST_N_GTT2_like 3e-004| sspA 3e-004| GST_N_Zeta 6e-004| GST_N_4 0.002| GST_N_family 0.005| GST_N_SspA 0.007| GST_N_Beta 0.007|</t>
  </si>
  <si>
    <t>tr|V5I001|V5I001_IXORI</t>
  </si>
  <si>
    <t>MER157071</t>
  </si>
  <si>
    <t>M23.UNB</t>
  </si>
  <si>
    <t>Myosin heavy chain - Drosophila melanogaster - sarcomere - protein homodimerization activity - structural constituent of muscle - muscle contraction - locomotion - microfilament motor activity - muscle myosin complex - polytene chromosome puff - muscle organ development - ATPase activity, coupled - myosin complex - skeletal muscle myosin thick filament assembly - ATP binding - myofibril assembly - adult somatic muscle development - actin-dependent ATPase activity - muscle cell differentiation - border follicle cell migration - flight - epithelial cell migration, open tracheal system - A band - protein stabilization - sarcomere organization - myosin filament organization</t>
  </si>
  <si>
    <t>protein homodimerization activity</t>
  </si>
  <si>
    <t>Interacting selectively and non-covalently with an identical protein to form a homodimer.  [GOC:jl]</t>
  </si>
  <si>
    <t>dimerization activity  BROAD []</t>
  </si>
  <si>
    <t>sarcomere</t>
  </si>
  <si>
    <t>The repeating unit of a myofibril in a muscle cell, composed of an array of overlapping thick and thin filaments between two adjacent Z discs.  [ISBN:0815316194]</t>
  </si>
  <si>
    <t>muscle contraction</t>
  </si>
  <si>
    <t>A process in which force is generated within muscle tissue, resulting in a change in muscle geometry. Force generation involves a chemo-mechanical energy conversion step that is carried out by the actin/myosin complex activity, which generates force through ATP hydrolysis.  [GOC:ef, GOC:mtg_muscle, ISBN:0198506732]</t>
  </si>
  <si>
    <t>MYSc_type_II | Myosin_tail_1 | COG5022 | Myosin_head | MYSc | MYSc e-169| MYSc_type_V e-154| MYSc_type_VII e-143| MYSc_type_VIII e-140| MYSc_type_XI e-137| MYSc_type_I e-134| MYSc_type_XV e-119| MYSc_type_IX e-112| MYSc_type_VI e-111| MYSc_type_III e-108| PTZ00014 e-101| MYSc_type_XVIII 4e-076| Smc 1e-062| SMC_prok_B 1e-055| SMC_prok_A 4e-053|</t>
  </si>
  <si>
    <t>V</t>
  </si>
  <si>
    <t>tr|V5H503|V5H503_IXORI</t>
  </si>
  <si>
    <t>Apis mellifera</t>
  </si>
  <si>
    <t>MER282363</t>
  </si>
  <si>
    <t>M03.003</t>
  </si>
  <si>
    <t>Arginine kinase - Limulus polyphemus - arginine kinase activity - phosphorylation</t>
  </si>
  <si>
    <t>arginine kinase activity</t>
  </si>
  <si>
    <t>Catalysis of the reaction: L-arginine + ATP = N(omega)-phospho-L-arginine + ADP + 2 H(+).  [EC:2.7.3.3, RHEA:22943]</t>
  </si>
  <si>
    <t>adenosine 5'-triphosphate-arginine phosphotransferase activity  EXACT [EC:2.7.3.3]</t>
  </si>
  <si>
    <t>phosphorylation</t>
  </si>
  <si>
    <t>The process of introducing a phosphate group into a molecule, usually with the formation of a phosphoric ester, a phosphoric anhydride or a phosphoric amide.  [ISBN:0198506732]</t>
  </si>
  <si>
    <t>arginine_kinase_like e-154| eukaryotic_phosphagen_kinases e-112| ATP-gua_Ptrans 2e-077| creatine_kinase_like 2e-076| phosphagen_kinases 9e-062| bacterial_phosphagen_kinase 1e-031| PRK01059 9e-028| COG3869 2e-027| ATP-gua_PtransN 1e-023| COG2822 0.049| ACAD_fadE5 | BAF1_ABF1 | Flt3_lig | PRK14052 | RNA_pol_Rpb2_6 | Arena_glycoprot | Cse1_I-E | PRK13553 | PRK07474 | PRK07088 |</t>
  </si>
  <si>
    <t>tr|V5HLE1|V5HLE1_IXORI</t>
  </si>
  <si>
    <t>MER292317</t>
  </si>
  <si>
    <t>C13.004</t>
  </si>
  <si>
    <t>cut up - Drosophila melanogaster - cytoskeleton - oogenesis - wing disc development - chaeta development - cytoplasm - cytoplasmic dynein complex - microtubule motor activity - microtubule-based movement - dynein complex - ATPase activity, coupled - imaginal disc-derived wing morphogenesis - spermatogenesis - chaeta morphogenesis - sperm individualization - spermatid nucleus elongation - actin filament bundle assembly - protein binding - dynein intermediate chain binding - protein homodimerization activity - salivary gland cell autophagic cell death - autophagy - neurogenesis - microtubule anchoring at centrosome - establishment of mitotic spindle orientation - centriole - dynein light intermediate chain binding</t>
  </si>
  <si>
    <t>microtubule motor activity</t>
  </si>
  <si>
    <t>Catalysis of movement along a microtubule, coupled to the hydrolysis of a nucleoside triphosphate (usually ATP).  [GOC:mah, ISBN:0815316194]</t>
  </si>
  <si>
    <t>axonemal motor activity  NARROW []</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</si>
  <si>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</si>
  <si>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[GOC:mah, ISBN:0198547684, PMID:16959967]</t>
  </si>
  <si>
    <t>oogenesis</t>
  </si>
  <si>
    <t>The complete process of formation and maturation of an ovum or female gamete from a primordial female germ cell. Examples of this process are found in Mus musculus and Drosophila melanogaster.  [GOC:kmv, GOC:mtg_sensu, GOC:pr]</t>
  </si>
  <si>
    <t>ovum development  EXACT systematic_synonym []</t>
  </si>
  <si>
    <t>PTZ00059 1e-041| Dynein_light 7e-036| PLN03058 2e-012| sdhA | PRK05569 | RpoN | Peptidase_U32 | Nitrogenase_VFe_beta_like | lysS_bact | PLN03014 | Imm28 | CotJB | HpaD_Fe | PRK11325 | PRK10642 | AKAP95 | V_ATPase_I | ATPase-IIA2_Ca | COG4012 | HlyE |</t>
  </si>
  <si>
    <t>tr|V5HKG8|V5HKG8_IXORI</t>
  </si>
  <si>
    <t>MER390768</t>
  </si>
  <si>
    <t>M16.019</t>
  </si>
  <si>
    <t>Uncharacterized protein - Gallus gallus - cytoplasm - zinc ion binding - S-adenosylmethionine-homocysteine S-methyltransferase activity - methionine biosynthetic process - methylation - betaine-homocysteine S-methyltransferase activity</t>
  </si>
  <si>
    <t>zinc ion binding</t>
  </si>
  <si>
    <t>Interacting selectively and non-covalently with zinc (Zn) ions.  [GOC:ai]</t>
  </si>
  <si>
    <t>zinc binding  EXACT []</t>
  </si>
  <si>
    <t>methionine biosynthetic process</t>
  </si>
  <si>
    <t>The chemical reactions and pathways resulting in the formation of methionine (2-amino-4-(methylthio)butanoic acid), a sulfur-containing, essential amino acid found in peptide linkage in proteins.  [GOC:jl, ISBN:0198506732]</t>
  </si>
  <si>
    <t>methionine anabolism  EXACT []</t>
  </si>
  <si>
    <t>PRK08645 3e-037| S-methyl_trans 5e-021| mmuM 8e-015| MHT1 2e-014| MetH 1e-013| PRK07534 7e-013| PLN02489 5e-009| metH 3e-007| metH 1e-005| PRK06145 | Tagatose_6_P_K | PRK09182 | PGM_PMM_II | argD | GT_2_like_f | SIC | OYE_like_5_FMN | AllD | PRK08439 | URO-D_like |</t>
  </si>
  <si>
    <t>tr|V5HJA5|V5HJA5_IXORI</t>
  </si>
  <si>
    <t>Musca domestica</t>
  </si>
  <si>
    <t>MER434482</t>
  </si>
  <si>
    <t>C02.007</t>
  </si>
  <si>
    <t>Calmodulin - Drosophila melanogaster - rhabdomere - cytoplasm - rhodopsin mediated signaling pathway - metarhodopsin inactivation - protein phosphorylation - regulation of light-activated channel activity - protein binding - detection of calcium ion - deactivation of rhodopsin mediated signaling - adaptation of rhodopsin mediated signaling - calcium ion binding - myosin V complex - myosin V binding - actin filament-based movement - myosin heavy chain binding - myosin VI head/neck binding - myosin VI complex - mitotic spindle organization - spindle pole - positive regulation of NFAT protein import into nucleus - kinetochore organization - microtubule associated complex - spindle - midbody - centriole replication - centriole - regulation of response to DNA damage stimulus - calmodulin binding - muscle cell cellular homeostasis - lateral inhibition - rhabdomere development - photoreceptor cell axon guidance - sensory perception of sound - spindle assembly involved in mitosis</t>
  </si>
  <si>
    <t>protein binding</t>
  </si>
  <si>
    <t>Interacting selectively and non-covalently with any protein or protein complex (a complex of two or more proteins that may include other nonprotein molecules).  [GOC:go_curators]</t>
  </si>
  <si>
    <t>alpha-2 macroglobulin receptor-associated protein activity  RELATED []</t>
  </si>
  <si>
    <t>rhabdomere</t>
  </si>
  <si>
    <t>The specialized microvilli-containing organelle on the apical surfaces of a photoreceptor cell containing the visual pigment rhodopsin and most of the proteins involved in phototransduction.  [GOC:hb, GOC:sart, PMID:8646774]</t>
  </si>
  <si>
    <t>rhodopsin mediated signaling pathway</t>
  </si>
  <si>
    <t>The series of molecular signals generated as a consequence of excitation of rhodopsin by a photon and the events that convert the absorbed photons into a cellular response.  [GOC:bf, GOC:dph, GOC:hb, GOC:signaling, GOC:tb]</t>
  </si>
  <si>
    <t>rhodopsin mediated phototransduction  EXACT [GOC:bf]</t>
  </si>
  <si>
    <t>PTZ00184 2e-068| FRQ1 7e-038| PTZ00183 2e-031| EFh 1e-015| EF-hand_7 1e-007| EF-hand_6 1e-004| EF-hand_8 0.001| EFh 0.006| S-100A10_like 0.017| EH 0.022| EF-hand_1 0.022| S-100A1 0.028| glmM 0.083| DUF1103 | S-100A11 | S-100 | PLN02964 | calgranulins | S-100B | PLN02875 |</t>
  </si>
  <si>
    <t>tr|B7QCB3|B7QCB3_IXOSC</t>
  </si>
  <si>
    <t>MER084956</t>
  </si>
  <si>
    <t>S16.001</t>
  </si>
  <si>
    <t>Cytochrome b5 - Drosophila melanogaster - instar larval development - regulation of cell cycle - electron carrier activity - intracellular membrane-bounded organelle - membrane - heme binding - lipid particle - regulation of hemocyte differentiation - regulation of hemocyte proliferation</t>
  </si>
  <si>
    <t>electron carrier activity</t>
  </si>
  <si>
    <t>Any molecular entity that serves as an electron acceptor and electron donor in an electron transport chain. An electron transport chain is a process in which a series of electron carriers operate together to transfer electrons from donors to any of several different terminal electron acceptors to generate a transmembrane electrochemical gradient.  [ISBN:0198506732]</t>
  </si>
  <si>
    <t>2Fe-2S electron transfer carrier  NARROW []</t>
  </si>
  <si>
    <t>intracellular membrane-bounded organelle</t>
  </si>
  <si>
    <t>Organized structure of distinctive morphology and function, bounded by a single or double lipid bilayer membrane and occurring within the cell. Includes the nucleus, mitochondria, plastids, vacuoles, and vesicles. Excludes the plasma membrane.  [GOC:go_curators]</t>
  </si>
  <si>
    <t>intracellular membrane-enclosed organelle  EXACT []</t>
  </si>
  <si>
    <t>instar larval development</t>
  </si>
  <si>
    <t>The process whose specific outcome is the progression of the larva over time, from its formation to the mature structure. This begins with the newly hatched first-instar larva, through its maturation to the end of the last larval stage. An example of this process is found in Drosophila melanogaster.  [GOC:bf, GOC:mtg_sensu]</t>
  </si>
  <si>
    <t>Cyt-b5 2e-021| PLN02252 2e-017| CYB5 4e-015| PLN03198 1e-010| PLN03199 1e-008| PRK15374 | AHH | BCAS2 | AAK_AK-HSDH | ArsC_like | Nuc_H_symport | LamB_YcsF_YbgL_like | Peptidase_C37 | SurA | prostaglandin_endoperoxide_synthase | PTZ00121 | ATPgraspMvdC | PRK11886 | PRK05572 | MDN1 |</t>
  </si>
  <si>
    <t>tr|V5HDU5|V5HDU5_IXORI</t>
  </si>
  <si>
    <t>MER499137</t>
  </si>
  <si>
    <t>I29.UPW</t>
  </si>
  <si>
    <t>Glycine N-methyltransferase - Drosophila melanogaster - glycine N-methyltransferase activity - cellular response to starvation - sarcosine biosynthetic process - triglyceride homeostasis - S-adenosylmethionine cycle</t>
  </si>
  <si>
    <t>folic acid binding</t>
  </si>
  <si>
    <t>Interacting selectively and non-covalently with folic acid, pteroylglutamic acid. Folic acid is widely distributed as a member of the vitamin B complex and is essential for the synthesis of purine and pyrimidines.  [GOC:jl, ISBN:0198506732]</t>
  </si>
  <si>
    <t>folate binding  EXACT []</t>
  </si>
  <si>
    <t>glycogen metabolic process</t>
  </si>
  <si>
    <t>The chemical reactions and pathways involving glycogen, a polydisperse, highly branched glucan composed of chains of D-glucose residues in alpha-(1-&gt;4) glycosidic linkage, joined together by alpha-(1-&gt;6) glycosidic linkages.  [ISBN:0198506732]</t>
  </si>
  <si>
    <t>glycogen metabolism  EXACT []</t>
  </si>
  <si>
    <t>Methyltransf_11 3e-005| Methyltransf_31 3e-004| Methyltransf_23 4e-004| UbiE 0.001| Methyltransf_25 0.004| MenG_MenH_UbiE 0.004| UbiG 0.004| UbiG 0.006| Methyltransf_18 0.010| PRK08317 0.014| BchM-ChlM 0.018| PRK05134 0.018| cbiT 0.018| ubiE 0.030| Methyltransf_12 0.088| PRK12335 0.088| PRK10258 | SmtA | tehB | Cfa |</t>
  </si>
  <si>
    <t>tr|J7LVN2|J7LVN2_HAELO</t>
  </si>
  <si>
    <t>Paramyosin - Drosophila melanogaster - structural constituent of muscle - motor activity - mesoderm development - striated muscle myosin thick filament - myosin complex - myofibril assembly</t>
  </si>
  <si>
    <t>structural constituent of muscle</t>
  </si>
  <si>
    <t>The action of a molecule that contributes to the structural integrity of a muscle fiber.  [GOC:mah]</t>
  </si>
  <si>
    <t>striated muscle myosin thick filament</t>
  </si>
  <si>
    <t>Bipolar filaments formed of polymers of a muscle-specific myosin II isoform, found in the middle of sarcomeres in myofibrils.  [GOC:mtg_muscle, ISBN:0815316194]</t>
  </si>
  <si>
    <t>mesoderm development</t>
  </si>
  <si>
    <t>The process whose specific outcome is the progression of the mesoderm over time, from its formation to the mature structure. The mesoderm is the middle germ layer that develops into muscle, bone, cartilage, blood and connective tissue.  [GOC:dph, GOC:tb]</t>
  </si>
  <si>
    <t>Myosin_tail_1 | Smc 9e-054| SMC_prok_B 3e-045| SMC_prok_A 2e-044| SbcC 1e-042| PRK03918 7e-035| Cast 6e-034| PRK02224 2e-032| SCP-1 4e-032| rad50 9e-030| SMC_N 1e-029| DUF3584 3e-026| PTZ00121 4e-024| HCR 2e-023| HOOK 8e-023| WEMBL 1e-022| MAD 1e-021| mukB 6e-019| EzrA 2e-018| DUF869 3e-018|</t>
  </si>
  <si>
    <t>tr|V5IFP2|V5IFP2_IXORI</t>
  </si>
  <si>
    <t>MER502448</t>
  </si>
  <si>
    <t>M20.UPW</t>
  </si>
  <si>
    <t>Glyceraldehyde 3 phosphate dehydrogenase 2 - Drosophila melanogaster - glycolytic process - glyceraldehyde-3-phosphate dehydrogenase (NAD+) (phosphorylating) activity - cytoplasm - oxidation-reduction process - NAD binding - NADP binding - lipid particle - microtubule associated complex</t>
  </si>
  <si>
    <t>glyceraldehyde-3-phosphate dehydrogenase (NAD+) (phosphorylating) activity</t>
  </si>
  <si>
    <t>Catalysis of the reaction: D-glyceraldehyde 3-phosphate + phosphate + NAD+ = 3-phospho-D-glyceroyl phosphate + NADH + H+.  [EC:1.2.1.12]</t>
  </si>
  <si>
    <t>3-phosphoglyceraldehyde dehydrogenase activity  EXACT [EC:1.2.1.12]</t>
  </si>
  <si>
    <t>glycolytic process</t>
  </si>
  <si>
    <t>The chemical reactions and pathways resulting in the breakdown of a carbohydrate into pyruvate, with the concomitant production of a small amount of ATP. Glycolysis begins with the metabolism of a carbohydrate to generate products that can enter the pathway and ends with the production of pyruvate. Pyruvate may be converted to ethanol, lactate, or other small molecules, or fed into the TCA cycle.  [GOC:bf, GOC:dph, ISBN:0201090910, ISBN:0716720094, ISBN:0879010479, Wikipedia:Glycolysis]</t>
  </si>
  <si>
    <t>anaerobic glycolysis  RELATED []</t>
  </si>
  <si>
    <t>PLN02272 e-136| PTZ00023 e-125| gapA e-124| PLN02358 e-122| GapA e-106| GAPDH-I e-101| PTZ00434 8e-097| PRK07729 3e-081| PRK07403 2e-079| PLN03096 2e-076| PLN02237 1e-070| PRK08955 2e-068| PRK13535 2e-060| E4PD_g-proteo 2e-058| Gp_dh_C 1e-056| PRK08289 2e-056| Gp_dh_N 2e-045| Gp_dh_N 4e-045| PTZ00353 2e-038| PRK04207 0.004|</t>
  </si>
  <si>
    <t>tr|B7QI01|B7QI01_IXOSC</t>
  </si>
  <si>
    <t>MER256873</t>
  </si>
  <si>
    <t>M12.994</t>
  </si>
  <si>
    <t>Heat shock protein HSP 90-alpha - Sus scrofa - ATP binding - plasma membrane - protein folding - response to stress - nitric-oxide synthase regulator activity - TPR domain binding - melanosome - positive regulation of nitric oxide biosynthetic process - regulation of catalytic activity - unfolded protein binding</t>
  </si>
  <si>
    <t>ATP binding</t>
  </si>
  <si>
    <t>Interacting selectively and non-covalently with ATP, adenosine 5'-triphosphate, a universally important coenzyme and enzyme regulator.  [ISBN:0198506732]</t>
  </si>
  <si>
    <t>protein folding</t>
  </si>
  <si>
    <t>The process of assisting in the covalent and noncovalent assembly of single chain polypeptides or multisubunit complexes into the correct tertiary structure.  [GOC:go_curators, GOC:rb]</t>
  </si>
  <si>
    <t>alpha-tubulin folding  NARROW [GOC:mah]</t>
  </si>
  <si>
    <t>PTZ00272 | HSP90 | HtpG e-158| PTZ00130 e-151| PRK05218 e-141| PRK14083 4e-019| SMC_N 6e-009| PRK03918 3e-008| PTZ00121 5e-007| CAF-1_p150 2e-006| COG1340 3e-006| PRK04195 1e-005| SPT6_acidic 1e-005| Nop14 1e-005| SbcC 1e-005| 235kDa-fam 2e-005| DUF1510 2e-005| Trichoplein 3e-005| Mpp10 4e-005| CDC27 5e-005|</t>
  </si>
  <si>
    <t>C-1-tetrahydrofolate synthase</t>
  </si>
  <si>
    <t>tr|L7LTU7|L7LTU7_9ACAR</t>
  </si>
  <si>
    <t>MER425280</t>
  </si>
  <si>
    <t>A01.UPA</t>
  </si>
  <si>
    <t>pugilist - Drosophila melanogaster - methylenetetrahydrofolate dehydrogenase (NADP+) activity - methenyltetrahydrofolate cyclohydrolase activity - formate-tetrahydrofolate ligase activity - cytoplasm - oxidation-reduction process - folic acid-containing compound biosynthetic process - ATP binding - lipid particle - one-carbon metabolic process - cytosol</t>
  </si>
  <si>
    <t>methylenetetrahydrofolate dehydrogenase (NADP+) activity</t>
  </si>
  <si>
    <t>Catalysis of the reaction: 5,10-methylenetetrahydrofolate + NADP(+) = 5,10-methenyltetrahydrofolate + NADPH.  [EC:1.5.1.5, RHEA:22815]</t>
  </si>
  <si>
    <t>5,10-methylenetetrahydrofolate:NADP oxidoreductase activity  EXACT [EC:1.5.1.5]</t>
  </si>
  <si>
    <t>oxidation-reduction process</t>
  </si>
  <si>
    <t>A metabolic process that results in the removal or addition of one or more electrons to or from a substance, with or without the concomitant removal or addition of a proton or protons.  [GOC:dhl, GOC:ecd, GOC:jh2, GOC:jid, GOC:mlg, GOC:rph]</t>
  </si>
  <si>
    <t>oxidation reduction  EXACT [GOC:curators]</t>
  </si>
  <si>
    <t>PLN02516 3e-081| PLN02616 1e-077| FolD 6e-075| PRK14190 3e-073| PRK14188 6e-072| PRK14187 8e-072| PRK14174 5e-070| PLN02897 5e-069| PRK14170 7e-069| PRK14189 3e-068| PRK14194 1e-066| PRK14184 3e-065| PRK14168 3e-063| PRK14183 4e-063| PRK14185 5e-063| PRK14179 5e-063| PRK14178 1e-061| PRK14182 1e-061| PRK10792 2e-061| PRK14171 3e-061|</t>
  </si>
  <si>
    <t>tr|B7PIM5|B7PIM5_IXOSC</t>
  </si>
  <si>
    <t>MER078517</t>
  </si>
  <si>
    <t>M20.005</t>
  </si>
  <si>
    <t>Cytosolic non-specific dipeptidase - Rattus norvegicus - carboxypeptidase activity - cytoplasm - proteolysis - metallopeptidase activity - dipeptidase activity - tripeptidase activity - metal ion binding</t>
  </si>
  <si>
    <t>carboxypeptidase activity</t>
  </si>
  <si>
    <t>Catalysis of the hydrolysis of the terminal or penultimate peptide bond at the C-terminal end of a peptide or polypeptide.  [ISBN:0198506732]</t>
  </si>
  <si>
    <t>M20_dipept_like_CNDP | M20_dipept_like_DUG2_type 9e-077| M20_dipept_like_3 2e-071| PRK08201 2e-067| PRK09104 1e-051| M20_Dipept_like 3e-049| M20_dipept_like_4 2e-046| PRK06446 6e-041| PRK07907 2e-038| M20_dipept_like_1 6e-035| M20_dipept_like_2 5e-022| ArgE 6e-019| M20_dipept_like_5 2e-018| DapE-ArgE 2e-014| PRK07079 3e-014| M20_PepV 5e-014| PRK13983 8e-014| PRK07318 8e-014| M20_ArgE_DapE_like6 2e-013| dipeptidaselike 2e-012|</t>
  </si>
  <si>
    <t>P</t>
  </si>
  <si>
    <t>tr|L7MIL3|L7MIL3_9ACAR</t>
  </si>
  <si>
    <t>aldehyde dehydrogenase 7 family, member A1 - Danio rerio - oxidation-reduction process - oxidoreductase activity - metabolic process - oxidoreductase activity, acting on the aldehyde or oxo group of donors, NAD or NADP as acceptor</t>
  </si>
  <si>
    <t>ALDH_F7_AASADH | ALDH_F7_AASADH-like | PLN02315 e-175| ALDH_AldH-CAJ73105 1e-087| PutA 5e-082| Aldedh 1e-081| ALDH 4e-080| ALDH_F5_SSADH_GabD 9e-073| ALDH_KGSADH-YcbD 9e-070| ALDH_VaniDH_like 1e-066| ALDH_LactADH-AldA 1e-066| ALDH_BenzADH-like 4e-065| PLN02278 9e-065| ALDH_ABALDH-YdcW 3e-064| ALDH_DhaS 8e-064| ALDH_y4uC 8e-063| ALDH_HMSADH_HapE 4e-062| gabD 2e-061| ALDH_HBenzADH 3e-061| PRK13473 4e-061|</t>
  </si>
  <si>
    <t>tr|L7MEX3|L7MEX3_9ACAR</t>
  </si>
  <si>
    <t>MER441826</t>
  </si>
  <si>
    <t>C26.A21</t>
  </si>
  <si>
    <t>GMP synthase [glutamine-hydrolyzing] - Rattus norvegicus - ATP binding - GMP biosynthetic process - pyrophosphatase activity</t>
  </si>
  <si>
    <t>GMP synthase activity</t>
  </si>
  <si>
    <t>Catalysis of the reaction: ATP + xanthosine 5'-phosphate + NH3 = AMP + diphosphate + GMP.  [EC:6.3.4.1]</t>
  </si>
  <si>
    <t>guanylate synthetase activity  EXACT [EC:6.3.4.1]</t>
  </si>
  <si>
    <t>GMP biosynthetic process</t>
  </si>
  <si>
    <t>The chemical reactions and pathways resulting in the formation of GMP, guanosine monophosphate.  [ISBN:0198506732]</t>
  </si>
  <si>
    <t>GMP anabolism  EXACT []</t>
  </si>
  <si>
    <t>guaA e-103| PLN02347 1e-081| GMP_synthase_C 2e-052| GuaA 3e-049| GATase1_GMP_Synthase 3e-047| guaA_Cterm 2e-046| PRK00919 1e-042| guaA_Nterm 2e-041| PRK00758 2e-022| GuaA 2e-021| GATase 2e-013| PabA 2e-012| PRK14607 1e-009| GATase1_Anthranilate_Synthase 4e-009| PRK06895 1e-008| PRK05670 1e-008| PLN02335 5e-008| GATase1_1 6e-008| trpG_papA 8e-008| PRK09065 2e-007|</t>
  </si>
  <si>
    <t>tr|L7MGB9|L7MGB9_9ACAR</t>
  </si>
  <si>
    <t>MER442902</t>
  </si>
  <si>
    <t>M38.UNW</t>
  </si>
  <si>
    <t>Bifunctional purine biosynthesis protein PURH - Gallus gallus - IMP cyclohydrolase activity - phosphoribosylaminoimidazolecarboxamide formyltransferase activity - mitochondrion - purine nucleotide biosynthetic process - protein homodimerization activity</t>
  </si>
  <si>
    <t>IMP cyclohydrolase activity</t>
  </si>
  <si>
    <t>Catalysis of the reaction: IMP + H2O = 5-formamido-1-(5-phosphoribosyl)imidazole-4-carboxamide.  [EC:3.5.4.10]</t>
  </si>
  <si>
    <t>IMP 1,2-hydrolase (decyclizing)  EXACT [EC:3.5.4.10]</t>
  </si>
  <si>
    <t>mitochondrion</t>
  </si>
  <si>
    <t>A semiautonomous, self replicating organelle that occurs in varying numbers, shapes, and sizes in the cytoplasm of virtually all eukaryotic cells. It is notably the site of tissue respiration.  [GOC:giardia, ISBN:0198506732]</t>
  </si>
  <si>
    <t>mitochondria  EXACT []</t>
  </si>
  <si>
    <t>purine nucleotide biosynthetic process</t>
  </si>
  <si>
    <t>The chemical reactions and pathways resulting in the formation of a purine nucleotide, a compound consisting of nucleoside (a purine base linked to a deoxyribose or ribose sugar) esterified with a phosphate group at either the 3' or 5'-hydroxyl group of the sugar.  [GOC:go_curators, ISBN:0198506732]</t>
  </si>
  <si>
    <t>purine nucleotide anabolism  EXACT []</t>
  </si>
  <si>
    <t>PRK07106 e-134| PurH 1e-096| purH 7e-095| purH 3e-084| AICARFT_IMPCHas 1e-063| PLN02891 7e-061| IMPCH 2e-056| AICARFT_IMPCHas 5e-045| MGS 6e-012| MGS 2e-005| MGS-like 4e-004| carB 0.004| MGS_CPS_II 0.006| CPSaseII_lrg 0.014| MGS_CPS_I_III | secA | eps_transp_fam | trpA | Epimerase_2 | carB |</t>
  </si>
  <si>
    <t>F</t>
  </si>
  <si>
    <t>tr|L7MFR1|L7MFR1_9ACAR</t>
  </si>
  <si>
    <t>Homo sapiens</t>
  </si>
  <si>
    <t>Tribolium castaneum</t>
  </si>
  <si>
    <t>MER267929</t>
  </si>
  <si>
    <t>C14.P02</t>
  </si>
  <si>
    <t>Uncharacterized protein - Sus scrofa - nucleic acid binding - intracellular - regulation of transcription, DNA-templated - metal ion binding</t>
  </si>
  <si>
    <t>nucleic acid binding</t>
  </si>
  <si>
    <t>Interacting selectively and non-covalently with any nucleic acid.  [GOC:jl]</t>
  </si>
  <si>
    <t>intracellular</t>
  </si>
  <si>
    <t>The living contents of a cell; the matter contained within (but not including) the plasma membrane, usually taken to exclude large vacuoles and masses of secretory or ingested material. In eukaryotes it includes the nucleus and cytoplasm.  [ISBN:0198506732]</t>
  </si>
  <si>
    <t>internal to cell  EXACT []</t>
  </si>
  <si>
    <t>regulation of transcription, DNA-templated</t>
  </si>
  <si>
    <t>Any process that modulates the frequency, rate or extent of cellular DNA-templated transcription.  [GOC:go_curators, GOC:txnOH]</t>
  </si>
  <si>
    <t>regulation of cellular transcription, DNA-dependent  EXACT []</t>
  </si>
  <si>
    <t>COG5048 3e-004| zf-H2C2_2 0.030| rpa1 | YgbA_NO | Zn_Tnp_IS1 | PRK04860 | ZnF_C2H2 | Rep_fac-A_C | zf-C2H2 | cxxc_20_cxxc | SFP1 | COG5177 | Fringe | RPA1_DBD_C | PRK10446 11| zf-C2H2_7 14| LIM2_FHL3 14| zf-H2C2_5 18| AKAP95 18| zf-Sec23_Sec24 18|</t>
  </si>
  <si>
    <t>tr|L7M8V5|L7M8V5_9ACAR</t>
  </si>
  <si>
    <t>NADP</t>
  </si>
  <si>
    <t>MER291254</t>
  </si>
  <si>
    <t>M03.007</t>
  </si>
  <si>
    <t>Isocitrate dehydrogenase [NADP] cytoplasmic - Sus scrofa - magnesium ion binding - isocitrate dehydrogenase (NADP+) activity - receptor binding - mitochondrion - cytosol - isocitrate metabolic process - 2-oxoglutarate metabolic process - glutathione metabolic process - response to oxidative stress - protein homodimerization activity - NAD binding - oxidation-reduction process</t>
  </si>
  <si>
    <t>magnesium ion binding</t>
  </si>
  <si>
    <t>Interacting selectively and non-covalently with magnesium (Mg) ions.  [GOC:ai]</t>
  </si>
  <si>
    <t>magnesium binding  EXACT []</t>
  </si>
  <si>
    <t>isocitrate metabolic process</t>
  </si>
  <si>
    <t>The chemical reactions and pathways involving isocitrate, the anion of isocitric acid, 1-hydroxy-1,2,3-propanetricarboxylic acid. Isocitrate is an important intermediate in the TCA cycle and the glycoxylate cycle.  [ISBN:0198506732]</t>
  </si>
  <si>
    <t>isocitrate metabolism  EXACT []</t>
  </si>
  <si>
    <t>PTZ00435 | nadp_idh_euk e-179| PRK08299 e-168| PLN00103 e-163| PLN03065 e-161| PLN00096 3e-044| Icd 1e-034| Iso_dh 7e-008| PLN00118 3e-005| prok_nadp_idh 3e-005| PRK09222 3e-005| PRK07006 3e-005| PRK00772 1e-004| leuB 2e-004| ICDH_alpha 8e-004| TTC 8e-004| LEU3_arch 8e-004| LeuB 0.002| PRK07362 0.009| PRK06451 0.015|</t>
  </si>
  <si>
    <t>tr|L7M880|L7M880_9ACAR</t>
  </si>
  <si>
    <t>MER033100</t>
  </si>
  <si>
    <t>S33.UPW</t>
  </si>
  <si>
    <t>GDP dissociation inhibitor - Drosophila melanogaster - GDP-dissociation inhibitor activity - neurotransmitter secretion - vesicle-mediated transport - synaptic vesicle - protein transport - Rab GDP-dissociation inhibitor activity - microtubule associated complex</t>
  </si>
  <si>
    <t>GDP-dissociation inhibitor activity</t>
  </si>
  <si>
    <t>Prevents the dissociation of GDP from a GTPase, thereby preventing GTP from binding.  [GOC:mah]</t>
  </si>
  <si>
    <t>GDI  EXACT []</t>
  </si>
  <si>
    <t>synaptic vesicle</t>
  </si>
  <si>
    <t>A secretory organelle, some 50 nm in diameter, of presynaptic nerve terminals; accumulates in high concentrations of neurotransmitters and secretes these into the synaptic cleft by fusion with the 'active zone' of the presynaptic plasma membrane.  [PMID:10099709]</t>
  </si>
  <si>
    <t>docked vesicle  NARROW [NIF_Subcellular:sao403156667]</t>
  </si>
  <si>
    <t>neurotransmitter secretion</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</si>
  <si>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[CHEBI:25512, GOC:dph]</t>
  </si>
  <si>
    <t>neurotransmitter release  EXACT []</t>
  </si>
  <si>
    <t>GDI e-175| PTZ00363 e-163| MRS6 1e-095| carot_isom 8e-005| PRK12843 0.049| COG1233 0.084| PRK12837 | UDP-GALP_mutase | Glf | PTZ00367 | cysB | PRK07251 | soxA_mon | PRK00711 | PRK05784 | Orbi_VP4 | POLBc_epsilon | ribokinase_group_D | CRAL_TRIO_2 10| mviN 10|</t>
  </si>
  <si>
    <t>tr|L7M7B2|L7M7B2_9ACAR</t>
  </si>
  <si>
    <t>M20_dipept_like_CNDP | M20_dipept_like_DUG2_type 7e-074| M20_dipept_like_3 2e-072| PRK08201 2e-071| M20_Dipept_like 5e-059| M20_dipept_like_4 1e-053| PRK06446 7e-053| PRK09104 2e-050| PRK07907 9e-050| M20_dipept_like_1 3e-044| M20_dipept_like_2 7e-024| ArgE 1e-023| M20_dipept_like_5 3e-022| PRK07079 1e-016| PRK07318 2e-015| M20_PepV 3e-015| DapE-ArgE 3e-015| M20_ArgE_DapE_like6 6e-015| dipeptidaselike 5e-014| PRK13983 4e-013|</t>
  </si>
  <si>
    <t>tr|L7M743|L7M743_9ACAR</t>
  </si>
  <si>
    <t>MER169462</t>
  </si>
  <si>
    <t>S59.A03</t>
  </si>
  <si>
    <t>phosphoglycerate dehydrogenase - Danio rerio - cellular_component - NAD binding - phosphoglycerate dehydrogenase activity - oxidoreductase activity, acting on the CH-OH group of donors, NAD or NADP as acceptor - oxidation-reduction process - L-serine biosynthetic process - metabolic process</t>
  </si>
  <si>
    <t>NAD binding</t>
  </si>
  <si>
    <t>Interacting selectively and non-covalently with nicotinamide adenine dinucleotide, a coenzyme involved in many redox and biosynthetic reactions; binding may be to either the oxidized form, NAD+, or the reduced form, NADH.  [GOC:ai]</t>
  </si>
  <si>
    <t>NAD or NADH binding  RELATED [GOC:mah]</t>
  </si>
  <si>
    <t>PRK13581 e-109| PGDH e-105| PGDH_4 2e-084| SerA 4e-077| PGDH_2 2e-075| PGDH_like_2 2e-066| 2-Hacid_dh 4e-056| formate_dh_like 1e-055| CtBP_dh 3e-052| 2-Hacid_dh_13 2e-050| PRK13243 2e-050| 2-Hacid_dh_11 3e-050| 2-Hacid_dh_12 5e-050| PGDH_3 5e-050| GDH 1e-049| LdhA 5e-049| PGDH_like_3 2e-048| 2-Hacid_dh_10 4e-048| PRK11790 1e-047| 2-Hacid_dh_14 8e-047|</t>
  </si>
  <si>
    <t>tr|L7M6W4|L7M6W4_9ACAR</t>
  </si>
  <si>
    <t>MER487216</t>
  </si>
  <si>
    <t>Heat shock protein 60 - Drosophila melanogaster - mitochondrion - response to heat - unfolded protein binding - protein folding - mitochondrial matrix - 'de novo' protein folding - protein targeting to mitochondrion - protein refolding - ATP binding - lipid particle - microtubule associated complex - mitochondrial inner membrane - mitochondrion organization - cellular response to heat</t>
  </si>
  <si>
    <t>unfolded protein binding</t>
  </si>
  <si>
    <t>Interacting selectively and non-covalently with an unfolded protein.  [GOC:ai]</t>
  </si>
  <si>
    <t>binding unfolded ER proteins  NARROW []</t>
  </si>
  <si>
    <t>response to heat</t>
  </si>
  <si>
    <t>Any process that results in a change in state or activity of a cell or an organism (in terms of movement, secretion, enzyme production, gene expression, etc.) as a result of a heat stimulus, a temperature stimulus above the optimal temperature for that organism.  [GOC:lr]</t>
  </si>
  <si>
    <t>response to heat shock  NARROW []</t>
  </si>
  <si>
    <t>GroEL | PTZ00114 | groEL | groEL e-178| groEL e-178| PRK14104 e-177| groEL e-176| groEL e-172| GroEL e-171| PLN03167 e-138| groEL e-137| GroL 4e-099| chaperonin_type_I_II 2e-057| Cpn60_TCP1 6e-049| cpn60 1e-030| thermosome_arch 9e-028| TCP1_beta 2e-020| chap_CCT_beta 6e-019| TCP1_eta 4e-018| chap_CCT_eta 5e-018|</t>
  </si>
  <si>
    <t>tr|L7M6Q1|L7M6Q1_9ACAR</t>
  </si>
  <si>
    <t>MER137877</t>
  </si>
  <si>
    <t>M28.006</t>
  </si>
  <si>
    <t>Uncharacterized protein - Gallus gallus - 3'(2'),5'-bisphosphate nucleotidase activity - dephosphorylation - phosphatidylinositol phosphorylation</t>
  </si>
  <si>
    <t>cytosol</t>
  </si>
  <si>
    <t>The part of the cytoplasm that does not contain organelles but which does contain other particulate matter, such as protein complexes.  [GOC:hgd, GOC:jl]</t>
  </si>
  <si>
    <t>nucleobase-containing compound metabolic process</t>
  </si>
  <si>
    <t>Any cellular metabolic process involving nucleobases, nucleosides, nucleotides and nucleic acids.  [GOC:ai]</t>
  </si>
  <si>
    <t>cellular nucleobase, nucleoside, nucleotide and nucleic acid metabolic process  EXACT []</t>
  </si>
  <si>
    <t>IPPase 2e-065| Inositol_P 1e-018| CysQ 2e-016| CysQ 4e-016| IMPase_like 4e-014| IMPase 3e-012| bisphos_cysQ 1e-011| PRK10931 4e-011| PRK10757 6e-009| SuhB 8e-009| PAP_phosphatase 1e-006| PLN02737 3e-006| his_9_HisN 6e-006| bisphos_HAL2 8e-006| PLN02553 1e-005| Bacterial_IMPase_like_1 3e-005| PLN02911 3e-005| Bacterial_IMPase_like_2 8e-004| FIG 0.001| Arch_FBPase_1 |</t>
  </si>
  <si>
    <t>tr|L7LRH1|L7LRH1_9ACAR</t>
  </si>
  <si>
    <t>MER189162</t>
  </si>
  <si>
    <t>M13.091</t>
  </si>
  <si>
    <t>squid - Drosophila melanogaster - nucleus - nucleolus - polytene chromosome puff - dorsal/ventral axis specification, ovarian follicular epithelium - ovarian follicle cell migration - oogenesis - intracellular mRNA localization - negative regulation of translation - mRNA 3'-UTR binding - dorsal/ventral pattern formation - RNA export from nucleus - ribonucleoprotein complex - mRNA binding - omega speckle - chromatin - cytoplasm - nuclear-transcribed mRNA catabolic process, nonsense-mediated decay - mRNA export from nucleus - nucleic acid binding - nucleotide binding - pole plasm mRNA localization - regulation of alternative mRNA splicing, via spliceosome - oocyte localization involved in germarium-derived egg chamber formation - germarium-derived egg chamber formation - oocyte anterior/posterior axis specification - oocyte microtubule cytoskeleton organization - pole plasm oskar mRNA localization - precatalytic spliceosome - mRNA splicing, via spliceosome - catalytic step 2 spliceosome - negative regulation of RNA splicing</t>
  </si>
  <si>
    <t>mRNA 3'-UTR binding</t>
  </si>
  <si>
    <t>Interacting selectively and non-covalently with the 3' untranslated region of an mRNA molecule.  [GOC:mah]</t>
  </si>
  <si>
    <t>mRNA 3' UTR binding  EXACT []</t>
  </si>
  <si>
    <t>dorsal/ventral axis specification, ovarian follicular epithelium</t>
  </si>
  <si>
    <t>Polarization of the ovarian follicle cells along the dorsal/ventral axis. An example of this process is found in Drosophila melanogaster.  [GOC:bf, GOC:dph, GOC:mtg_sensu, GOC:tb]</t>
  </si>
  <si>
    <t>dorsal-ventral axis specification, ovarian follicular epithelium  EXACT [GOC:mah]</t>
  </si>
  <si>
    <t>RRM1_hnRPDL 8e-021| RRM1_hnRNPAB 2e-020| RRM1_hnRNPD_like 2e-020| RRM1_hnRNPA_hnRNPD_like 2e-020| RRM1_hnRNPD 3e-020| RRM1_DAZAP1 1e-018| RRM1_MSI 8e-018| RRM1_hnRNPA3 5e-017| RRM1_hnRNPA2B1 7e-017| RRM1_hnRNPA_like 2e-016| RRM1_hnRNPA1 2e-016| RRM1_MSI2 1e-015| RRM2_MSI2 1e-015| RRM1_MSI1 4e-015| RRM1_Hrp1p 5e-015| PLN03134 7e-015| RRM2_hnRNPD 1e-014| RRM2_Hrp1p 2e-014| RRM1_hnRNPA0 2e-014| RRM2_hnRNPA_like 3e-014|</t>
  </si>
  <si>
    <t>tr|K7N8D7|K7N8D7_HAELO</t>
  </si>
  <si>
    <t>MER163160</t>
  </si>
  <si>
    <t>M23.011</t>
  </si>
  <si>
    <t>Ccp84Ag - Drosophila melanogaster - structural constituent of chitin-based larval cuticle - structural constituent of chitin-based cuticle - chitin-based cuticle development - extracellular matrix</t>
  </si>
  <si>
    <t>structural constituent of chitin-based larval cuticle</t>
  </si>
  <si>
    <t>The action of a molecule that contributes to the structural integrity of the chitin-based cuticle of a larva. An example of this is found in Drosophila melanogaster.  [GOC:mah, GOC:mtg_sensu]</t>
  </si>
  <si>
    <t>structural constituent of larval cuticle  BROAD []</t>
  </si>
  <si>
    <t>extracellular matrix</t>
  </si>
  <si>
    <t>A structure lying external to one or more cells, which provides structural support for cells or tissues; may be completely external to the cell (as in animals and bacteria) or be part of the cell (as in plants).  [GOC:mah, NIF_Subcellular:nlx_subcell_20090513]</t>
  </si>
  <si>
    <t>chitin-based cuticle development</t>
  </si>
  <si>
    <t>Synthesis and deposition of a chitin-based noncellular, hardened, or membranous secretion from an epithelial sheet. An example of this process is found in Drosophila melanogaster.  [GOC:mtg_sensu]</t>
  </si>
  <si>
    <t>chitin-based cuticle anabolism  EXACT []</t>
  </si>
  <si>
    <t>Chitin_bind_4 9e-006| malate_synt_G 0.044| Glycoprotein | SucB_Actino | Ail_Lom | Serpin | Bacuni_01323_like | COG3637 | Amelin | Pyr_redox_3 | M20_Acy1_like6 | PRK15314 | DUF3121 | FGGY_RBK | PRK15334 | CinA | DUF3457 | CRF-BP | type_III_yscD | MDN1 |</t>
  </si>
  <si>
    <t>tr|G3MQA5|G3MQA5_9ACAR</t>
  </si>
  <si>
    <t>MER018132</t>
  </si>
  <si>
    <t>I08.013</t>
  </si>
  <si>
    <t>Caenorhabditis elegans - embryo development ending in birth or egg hatching - locomotion - reproduction - hermaphrodite genitalia development</t>
  </si>
  <si>
    <t>hematopoietic progenitor cell differentiation</t>
  </si>
  <si>
    <t>The process in which precursor cell type acquires the specialized features of a hematopoietic progenitor cell, a class of cell types including myeloid progenitor cells and lymphoid progenitor cells.  [GOC:add, GOC:rl, ISBN:0781735149, PMID:16551251]</t>
  </si>
  <si>
    <t>haematopoietic progenitor cell differentiation  EXACT []</t>
  </si>
  <si>
    <t>TIL 3e-006| TNFR 0.012| PTZ00214 | Plasmod_Pvs28 | VESA1_N | Keratin_B2 | Metallothio | TNFR | Disintegrin | AWS | DISIN | Metallothio_Euk | PAN_AP_plant | RNA_pol_Rpb2_1 12| EGF_CA 16| TSP_1 16| pfaB_fam 16| MANEC 21| DUF3827 21| ACD_HspB8_like 21|</t>
  </si>
  <si>
    <t>tr|G3MPT6|G3MPT6_9ACAR</t>
  </si>
  <si>
    <t>Aplysia californica</t>
  </si>
  <si>
    <t>MER256271</t>
  </si>
  <si>
    <t>T01.971</t>
  </si>
  <si>
    <t>Annexin - Canis lupus familiaris - calcium ion binding - calcium-dependent phospholipid binding - nuclear envelope - endoplasmic reticulum membrane - cytosol - plasma membrane - cellular calcium ion homeostasis - hemostasis - cell proliferation - regulation of cell shape - response to salt stress - cellular water homeostasis - social behavior - chromaffin granule membrane - calcium-dependent protein binding</t>
  </si>
  <si>
    <t>nuclear envelope</t>
  </si>
  <si>
    <t>The double lipid bilayer enclosing the nucleus and separating its contents from the rest of the cytoplasm; includes the intermembrane space, a gap of width 20-40 nm (also called the perinuclear space).  [ISBN:0198547684]</t>
  </si>
  <si>
    <t>cellular calcium ion homeostasis</t>
  </si>
  <si>
    <t>Any process involved in the maintenance of an internal steady state of calcium ions at the level of a cell.  [GOC:ceb, GOC:mah]</t>
  </si>
  <si>
    <t>regulation of calcium ion concentration  BROAD []</t>
  </si>
  <si>
    <t>Annexin 5e-016| Glutenin_hmw 4e-013| ANX 7e-012| DUF1421 2e-011| PAT1 2e-010| Collagen 9e-010| Cytadhesin_P30 1e-009| Drf_FH1 1e-009| Amelogenin 6e-008| Amelogenin 6e-008| PHA03247 6e-008| Pro-rich 1e-007| Atrophin-1 1e-007| PHA03169 2e-007| TCRP1 2e-007| DUF605 4e-007| ETS_PEA3_N 1e-006| PHA03307 1e-006| SSDP 2e-006| PRK07764 2e-006|</t>
  </si>
  <si>
    <t>tr|G3MPQ5|G3MPQ5_9ACAR</t>
  </si>
  <si>
    <t>MER499825</t>
  </si>
  <si>
    <t>T05.UPW</t>
  </si>
  <si>
    <t>PTZ00435 | nadp_idh_euk e-177| PRK08299 e-166| PLN00103 e-162| PLN03065 e-160| PLN00096 3e-042| Icd 2e-034| Iso_dh 2e-007| PRK09222 3e-005| leuB 4e-005| PLN00118 6e-005| prok_nadp_idh 7e-005| PRK00772 1e-004| LeuB 4e-004| PRK07006 5e-004| ICDH_alpha 0.002| PRK07362 0.012| TTC 0.045| LEU3_arch 0.045| PRK06451 0.059|</t>
  </si>
  <si>
    <t>tr|G3MPE0|G3MPE0_9ACAR</t>
  </si>
  <si>
    <t>MER175243</t>
  </si>
  <si>
    <t>C56.UNW</t>
  </si>
  <si>
    <t>Catalase - Rattus norvegicus - aminoacylase activity - receptor binding - peroxisome - peroxisomal membrane - triglyceride metabolic process - cholesterol metabolic process - aerobic respiration - UV protection - positive regulation of phosphatidylinositol 3-kinase signaling - enzyme binding - hemoglobin metabolic process - heme binding - negative regulation of NF-kappaB transcription factor activity - protein homodimerization activity - metal ion binding - NADP binding - positive regulation of NF-kappaB transcription factor activity - protein homotetramerization - positive regulation of cell division</t>
  </si>
  <si>
    <t>aminoacylase activity</t>
  </si>
  <si>
    <t>Catalysis of the reaction: an N-acyl-L-amino acid + H2O = a carboxylate + an L-amino acid.  [EC:3.5.1.14]</t>
  </si>
  <si>
    <t>acylase I activity  NARROW [EC:3.5.1.14]</t>
  </si>
  <si>
    <t>peroxisome</t>
  </si>
  <si>
    <t>A small organelle enclosed by a single membrane, and found in most eukaryotic cells. Contains peroxidases and other enzymes involved in a variety of metabolic processes including free radical detoxification, lipid catabolism and biosynthesis, and hydrogen peroxide metabolism.  [GOC:pm, PMID:9302272, UniProtKB-KW:KW-0576]</t>
  </si>
  <si>
    <t>peroxisomal  RELATED [GOC:curators]</t>
  </si>
  <si>
    <t>triglyceride metabolic process</t>
  </si>
  <si>
    <t>The chemical reactions and pathways involving triglyceride, any triester of glycerol. The three fatty acid residues may all be the same or differ in any permutation. Triglycerides are important components of plant oils, animal fats and animal plasma lipoproteins.  [ISBN:0198506732]</t>
  </si>
  <si>
    <t>triacylglycerol metabolic process  EXACT []</t>
  </si>
  <si>
    <t>catalase_clade_3 e-170| KatE e-154| Catalase e-151| Catalase e-146| catalase_clade_1 e-140| catalase_fungal e-139| catalase e-132| PLN02609 e-119| katE e-106| catalase_clade_2 e-104| catalase_like 7e-018| srpA_like 8e-017| Catalase-rel 5e-006| y4iL_like 0.005| Cu_amine_oxid | PTZ00021 | YajQ_like | MPP_PP7 | F420_G6P_DH | CPSase_sm_chain |</t>
  </si>
  <si>
    <t>tr|G3MMQ5|G3MMQ5_9ACAR</t>
  </si>
  <si>
    <t>Rhipicephalus annulatus</t>
  </si>
  <si>
    <t>MER211134</t>
  </si>
  <si>
    <t>S09.UPW</t>
  </si>
  <si>
    <t>Uncharacterized protein - Aspergillus fumigatus Af293 - molecular_function - cellular_component - biological_process</t>
  </si>
  <si>
    <t>PRK04423 | psiM2_ORF9 | COG5661 | PLN02678 | HopW1-1 | ACC_epsilon | DUF3530 | TIGR00161 | CCDC155 | PRK08566 10| PRK08084 10| VirE_N 13| menE 13| PLN03213 13| InvH 18| Cmr3_III-B 18| PLN02859 18| COG4388 18| DUF4591 23| Exonuc_X-T_C 23|</t>
  </si>
  <si>
    <t>tr|G3MMB3|G3MMB3_9ACAR</t>
  </si>
  <si>
    <t>MER114461</t>
  </si>
  <si>
    <t>M01.UPW</t>
  </si>
  <si>
    <t>Phosphoserine aminotransferase - Gallus gallus - O-phospho-L-serine:2-oxoglutarate aminotransferase activity - L-serine biosynthetic process - pyridoxal phosphate binding</t>
  </si>
  <si>
    <t>L-serine biosynthetic process</t>
  </si>
  <si>
    <t>The chemical reactions and pathways resulting in the formation of L-serine, the L-enantiomer of serine, i.e. (2S)-2-amino-3-hydroxypropanoic acid.  [CHEBI:17115, GOC:ai, GOC:jsg]</t>
  </si>
  <si>
    <t>L-serine anabolism  EXACT []</t>
  </si>
  <si>
    <t>PSAT_like e-120| serC_1 e-113| PLN02452 e-111| PRK05355 e-107| SerC 4e-092| PRK12462 8e-070| serC_3 3e-016| PhnW-AepZ 1e-008| serC_2 6e-005| PRK03080 8e-005| PRK13479 | transamin_PhnW | TIGR02466 | SecA_DEAD | SecA_DEAD | PRK07798 | PRK03982 | PRK12904 | MCP_signal | PLN02480 |</t>
  </si>
  <si>
    <t>tr|G3MM61|G3MM61_9ACAR</t>
  </si>
  <si>
    <t>MER133095</t>
  </si>
  <si>
    <t>S41.UNA</t>
  </si>
  <si>
    <t>PRK13581 e-108| PGDH e-104| PGDH_4 3e-084| SerA 3e-077| PGDH_2 4e-075| PGDH_like_2 1e-066| formate_dh_like 6e-056| 2-Hacid_dh 3e-055| CtBP_dh 7e-051| 2-Hacid_dh_13 8e-050| PRK13243 3e-049| 2-Hacid_dh_12 4e-049| PGDH_3 5e-049| GDH 1e-048| 2-Hacid_dh_11 2e-048| LdhA 4e-048| PGDH_like_3 7e-048| 2-Hacid_dh_10 2e-047| 2-Hacid_dh_14 6e-047| PRK11790 7e-046|</t>
  </si>
  <si>
    <t>tr|A0A023GK59|A0A023GK59_9ACAR</t>
  </si>
  <si>
    <t>MER256488</t>
  </si>
  <si>
    <t>M41.016</t>
  </si>
  <si>
    <t>Uncharacterized protein - Gallus gallus - double-stranded RNA binding - GTPase activity - structural constituent of cytoskeleton - GTP binding - cytoplasm - microtubule - plasma membrane - GTP catabolic process - microtubule-based process - protein polymerization</t>
  </si>
  <si>
    <t>double-stranded RNA binding</t>
  </si>
  <si>
    <t>Interacting selectively and non-covalently with double-stranded RNA.  [GOC:jl]</t>
  </si>
  <si>
    <t>dsRNA binding  EXACT [GOC:ecd]</t>
  </si>
  <si>
    <t>GTP catabolic process</t>
  </si>
  <si>
    <t>The chemical reactions and pathways resulting in the breakdown of GTP, guanosine triphosphate.  [ISBN:0198506732]</t>
  </si>
  <si>
    <t>GTP breakdown  EXACT []</t>
  </si>
  <si>
    <t>beta_tubulin | PTZ00010 | PLN00220 | COG5023 e-147| Tubulin e-112| PTZ00335 e-111| PLN00221 e-108| alpha_tubulin e-105| gamma_tubulin 4e-084| Tubulin_FtsZ 6e-082| PLN00222 2e-076| epsilon_tubulin 2e-073| PTZ00387 1e-072| delta_tubulin 3e-045| Tubulin_C 4e-037| Tubulin 1e-034| Tubulin 3e-030| FtsZ_type2 2e-004| misato 0.002| PRK13018 0.003|</t>
  </si>
  <si>
    <t>T</t>
  </si>
  <si>
    <t>tr|G3MHT9|G3MHT9_9ACAR</t>
  </si>
  <si>
    <t>MER231262</t>
  </si>
  <si>
    <t>M14.006</t>
  </si>
  <si>
    <t>sulfotransferase family 2, cytosolic sulfotransferase 3 - Danio rerio - sulfotransferase activity - transferase activity</t>
  </si>
  <si>
    <t>aryl sulfotransferase activity</t>
  </si>
  <si>
    <t>Catalysis of the reaction: 3'-phosphoadenosine 5'-phosphosulfate + a phenol = adenosine 3',5'-bisphosphate + an aryl sulfate.  [EC:2.8.2.1]</t>
  </si>
  <si>
    <t>1-naphthol phenol sulfotransferase activity  EXACT [EC:2.8.2.1]</t>
  </si>
  <si>
    <t>sulfur compound metabolic process</t>
  </si>
  <si>
    <t>The chemical reactions and pathways involving the nonmetallic element sulfur or compounds that contain sulfur, such as the amino acids methionine and cysteine or the tripeptide glutathione.  [GOC:ai]</t>
  </si>
  <si>
    <t>sulfur metabolism  EXACT []</t>
  </si>
  <si>
    <t>Sulfotransfer_1 2e-032| PLN02164 3e-018| COG4866 0.092| TIGR00152 | treF | Acid_PPase | Baculo_helicase | PTZ00107 | cas_TM1808_csm4 | Paf67 | Coagulase | DUF4303 | AMH_N | A_deamin | PTZ00208 | TRM13 | PRK10918 | Csm4_III-A | glycyl_YjjI | addA_Gpos |</t>
  </si>
  <si>
    <t>tr|G3MHG2|G3MHG2_9ACAR</t>
  </si>
  <si>
    <t>Aedes aegypti</t>
  </si>
  <si>
    <t>MER482778</t>
  </si>
  <si>
    <t>T01.972</t>
  </si>
  <si>
    <t>Drosophila melanogaster - transketolase activity - lipid particle - microtubule associated complex - cytoplasmic microtubule organization - regulation of chromatin silencing</t>
  </si>
  <si>
    <t>transketolase activity</t>
  </si>
  <si>
    <t>Catalysis of the reversible transfer of a 2-carbon ketol group (CH2OH-CO-) from a ketose phosphate donor to an aldose phosphate acceptor.  [EC:2.2.1.1, GOC:fmc]</t>
  </si>
  <si>
    <t>fructose 6-phosphate:D-glyceraldehyde-3-phosphate glycolaldehydetransferase activity  NARROW [GOC:fmc, GOC:mah]</t>
  </si>
  <si>
    <t>lipid particle</t>
  </si>
  <si>
    <t>An intracellular non-membrane-bounded organelle comprising a matrix of coalesced lipids surrounded by a phospholipid monolayer. May include associated proteins.  [GOC:mah, GOC:tb]</t>
  </si>
  <si>
    <t>adiposome  EXACT []</t>
  </si>
  <si>
    <t>cytoplasmic microtubule organization</t>
  </si>
  <si>
    <t>A process that is carried out at the cellular level which results in the assembly, arrangement of constituent parts, or disassembly of structures formed of microtubules and associated proteins in the cytoplasm of a cell.  [GOC:mah]</t>
  </si>
  <si>
    <t>cytoplasmic microtubule organisation  EXACT [GOC:curators]</t>
  </si>
  <si>
    <t>PRK05899 3e-063| TPP_TK 3e-062| TktA 2e-056| PTZ00089 4e-056| COG3958 2e-053| COG3959 4e-049| PRK12753 2e-048| PRK12754 4e-044| PLN02790 1e-041| Transketolase_N 5e-040| PRK05444 3e-037| Dxs 3e-037| dxs 3e-034| TPP_PYR_DXS_TK_like 4e-032| tktlase_bact 9e-030| PRK12571 1e-022| PLN02234 4e-019| AcoB 4e-019| PLN02582 5e-019| Transket_pyr 3e-018|</t>
  </si>
  <si>
    <t>tr|G3MHD3|G3MHD3_9ACAR</t>
  </si>
  <si>
    <t>MER194046</t>
  </si>
  <si>
    <t>N10.UPW</t>
  </si>
  <si>
    <t>ATP synthase subunit beta, mitochondrial - Gallus gallus - angiogenesis - ATP binding - mitochondrial inner membrane - ATP synthesis coupled proton transport - ATP hydrolysis coupled proton transport - proton-transporting ATP synthase complex, catalytic core F(1) - proton-transporting ATP synthase activity, rotational mechanism</t>
  </si>
  <si>
    <t>mitochondrial inner membrane</t>
  </si>
  <si>
    <t>The inner, i.e. lumen-facing, lipid bilayer of the mitochondrial envelope. It is highly folded to form cristae.  [GOC:ai]</t>
  </si>
  <si>
    <t>inner mitochondrial membrane  EXACT []</t>
  </si>
  <si>
    <t>angiogenesis</t>
  </si>
  <si>
    <t>Blood vessel formation when new vessels emerge from the proliferation of pre-existing blood vessels.  [ISBN:0878932453]</t>
  </si>
  <si>
    <t>blood vessel formation from pre-existing blood vessels  EXACT systematic_synonym []</t>
  </si>
  <si>
    <t>atpD | PRK09280 | AtpD | atpB e-178| PRK12597 e-155| alt_F1F0_F1_bet e-136| F1-ATPase_beta e-135| FliI_clade2 3e-048| fliI_yscN 6e-048| FliI 2e-047| ATPase_flagellum-secretory_path_III 7e-047| FliI_clade3 6e-046| FliI_clade1 4e-045| III_secr_ATP 3e-042| PRK09099 6e-042| PRK06315 1e-041| fliI 2e-040| fliI 2e-040| PRK06936 2e-040| ATP-synt_ab 3e-040|</t>
  </si>
  <si>
    <t>tr|G3MHB6|G3MHB6_9ACAR</t>
  </si>
  <si>
    <t>MER256153</t>
  </si>
  <si>
    <t>I17.UPW</t>
  </si>
  <si>
    <t>Uncharacterized protein - Gallus gallus - transporter activity - fatty acid binding - transport - cholesterol binding - membrane organization</t>
  </si>
  <si>
    <t>long-chain fatty acid transporter activity</t>
  </si>
  <si>
    <t>Enables the directed movement of long-chain fatty acids into, out of or within a cell, or between cells. A long-chain fatty acid is a fatty acid with a chain length between C13 and C22.  [CHEBI:15904, ISBN:0198506732]</t>
  </si>
  <si>
    <t>plasma membrane long-chain fatty acid transporter  NARROW []</t>
  </si>
  <si>
    <t>fatty acid metabolic process</t>
  </si>
  <si>
    <t>The chemical reactions and pathways involving fatty acids, aliphatic monocarboxylic acids liberated from naturally occurring fats and oils by hydrolysis.  [ISBN:0198547684]</t>
  </si>
  <si>
    <t>fatty acid metabolism  EXACT []</t>
  </si>
  <si>
    <t>Lipocalin 1e-008| Lipocalin_7 1e-007| Trypan_glycop 0.043| EF2 | DegV | MPP_PrpE | cyaB | PRK15310 | PRK08566 | NHase_beta | PDZ | aEF-2 | PPDK_N 12| PRK15001 12| PRK14121 12| SIN3 12| AroC 12| bacter_Pnkp 15| PRK11903 15| ftsA 15|</t>
  </si>
  <si>
    <t>tr|G3MH74|G3MH74_9ACAR</t>
  </si>
  <si>
    <t>MER314733</t>
  </si>
  <si>
    <t>M13.UNW</t>
  </si>
  <si>
    <t>Protein MLP-1, isoform c - Caenorhabditis elegans - cytoplasm - zinc ion binding - metal ion binding - striated muscle dense body</t>
  </si>
  <si>
    <t>muscle tissue development</t>
  </si>
  <si>
    <t>The progression of muscle tissue over time, from its initial formation to its mature state. Muscle tissue is a contractile tissue made up of actin and myosin fibers.  [GOC:dph]</t>
  </si>
  <si>
    <t>LIM1_MLP84B_like 3e-022| LIM_CRP_like 9e-021| LIM2_CRP3 1e-016| LIM2_CRP 9e-016| LIM2_CRP2 1e-014| LIM1_CRP2 2e-013| LIM1_CRP1 2e-013| LIM1_CRP3 3e-013| LIM1_CRP 2e-012| LIM_TLP_like 2e-011| LIM2_TLP 6e-009| LIM1_TLP 6e-009| LIM 8e-009| LIM_CRIP 8e-009| LIM_Mical_like_2 1e-008| LIM2_SF3 3e-008| LIM_Mical_like 5e-008| LIM 9e-008| LIM1_SF3 3e-007| LIM 2e-006|</t>
  </si>
  <si>
    <t>tr|G3MH56|G3MH56_9ACAR</t>
  </si>
  <si>
    <t>MER457791</t>
  </si>
  <si>
    <t>C44.003</t>
  </si>
  <si>
    <t>ADF_cofilin_like 8e-028| Cofilin_ADF 3e-019| ADF 9e-017| PLN03216 4e-014| PTZ00152 2e-004| ADF_Twf-N_like 0.001| ADF_gelsolin 0.001| alaS 0.027| NusG_myco | Baculo_helicase | ADF_Twf-C_like | PTZ00248 | Glycoprotein | purH | PRK07309 | A-tRNA_syn_arch | gluc_glyc_Psyn | portal_PBSX | PRK15304 | PHA03367 |</t>
  </si>
  <si>
    <t>tr|G3MGL5|G3MGL5_9ACAR</t>
  </si>
  <si>
    <t>MER183279</t>
  </si>
  <si>
    <t>valosin containing protein - Danio rerio - double-strand break repair - protein ubiquitination - translesion synthesis - embryo development - hydrolase activity - nucleus - transport - lipid binding - ATP binding - cytosol - site of double-strand break - nucleotide binding - cytoplasm - cellular response to DNA damage stimulus - nucleoside-triphosphatase activity - ER-associated ubiquitin-dependent protein catabolic process - protein N-linked glycosylation via asparagine - regulation of protein ubiquitination involved in ubiquitin-dependent protein catabolic process - DNA repair - cell cycle</t>
  </si>
  <si>
    <t>hydrolase activity</t>
  </si>
  <si>
    <t>Catalysis of the hydrolysis of various bonds, e.g. C-O, C-N, C-C, phosphoric anhydride bonds, etc. Hydrolase is the systematic name for any enzyme of EC class 3.  [ISBN:0198506732]</t>
  </si>
  <si>
    <t>double-strand break repair</t>
  </si>
  <si>
    <t>The repair of double-strand breaks in DNA via homologous and nonhomologous mechanisms to reform a continuous DNA helix.  [GOC:elh]</t>
  </si>
  <si>
    <t>CDC48 | SpoVK e-141| 26Sp45 4e-068| RPT1 2e-064| PRK03992 3e-062| FtsH_fam 2e-059| HflB 2e-057| hflB 5e-057| ftsH 1e-055| PTZ00361 6e-055| PTZ00454 9e-051| pup_AAA 3e-045| COG1223 1e-040| AAA 4e-032| ycf46 7e-025| AAA 2e-015| AAA 3e-008| T7SS_EccA 7e-008| PRK04195 1e-007| spore_V_K 8e-007|</t>
  </si>
  <si>
    <t>tr|G3MGH3|G3MGH3_9ACAR</t>
  </si>
  <si>
    <t>MER365852</t>
  </si>
  <si>
    <t>S01.436</t>
  </si>
  <si>
    <t>Elongation factor 1alpha48D - Drosophila melanogaster - determination of adult lifespan - cytosol - translational elongation - translation elongation factor activity - eukaryotic translation elongation factor 1 complex - cytoplasm - GTPase activity - translation - GTP binding - lipid particle - microtubule associated complex</t>
  </si>
  <si>
    <t>translation elongation factor activity</t>
  </si>
  <si>
    <t>Functions in chain elongation during polypeptide synthesis at the ribosome.  [ISBN:0198506732]</t>
  </si>
  <si>
    <t>determination of adult lifespan</t>
  </si>
  <si>
    <t>The control of viability and duration in the adult phase of the life-cycle.  [GOC:ems]</t>
  </si>
  <si>
    <t>PTZ00141 | PLN00043 | EF-1_alpha e-167| TEF1 e-157| PRK12317 e-144| EF1_alpha 3e-089| PLN03126 4e-043| CysN 9e-043| PRK05506 1e-042| PLN03127 3e-042| EF1_alpha_III 6e-042| tufA 6e-042| PRK00049 1e-041| CysN 3e-041| PRK12736 3e-041| TufB 5e-041| EF-Tu 8e-041| PRK12735 2e-040| EF1_alpha_II 2e-038| CysN_ATPS 4e-035|</t>
  </si>
  <si>
    <t xml:space="preserve">putative beta thymosin </t>
  </si>
  <si>
    <t>tr|C9W1I2|C9W1I2_RHISA</t>
  </si>
  <si>
    <t>MER295585</t>
  </si>
  <si>
    <t>C02.019</t>
  </si>
  <si>
    <t>ciboulot - Drosophila melanogaster - brain development - actin monomer binding - larval central nervous system remodeling - actin binding - cytosol - cytoskeleton organization</t>
  </si>
  <si>
    <t>actin monomer binding</t>
  </si>
  <si>
    <t>Interacting selectively and non-covalently with monomeric actin, also known as G-actin.  [GOC:ai]</t>
  </si>
  <si>
    <t>G actin binding  EXACT []</t>
  </si>
  <si>
    <t>brain development</t>
  </si>
  <si>
    <t>The process whose specific outcome is the progression of the brain over time, from its formation to the mature structure. Brain development begins with patterning events in the neural tube and ends with the mature structure that is the center of thought and emotion. The brain is responsible for the coordination and control of bodily activities and the interpretation of information from the senses (sight, hearing, smell, etc.).  [GOC:dph, GOC:jid, GOC:tb, UBERON:0000955]</t>
  </si>
  <si>
    <t>Thymosin 3e-006| THY 5e-005| lon 0.003| ATP_synt_b 0.018| SMC_N 0.030| CALCOCO1 0.039| PhaP_Bmeg 0.067| TIGR03545 | Syntaxin_2 | PGBA_C | rRNA_processing | PTZ00398 | YkyA | MACS_AAE_MA_like | COG5098 | DUF1103 | SbcC | Activator_LAG-3 | RE_Alw26IDE | UvrC |</t>
  </si>
  <si>
    <t>tr|B6ZIW0|B6ZIW0_HAELO</t>
  </si>
  <si>
    <t>MER155238</t>
  </si>
  <si>
    <t>I02.021</t>
  </si>
  <si>
    <t>Tissue factor pathway inhibitor - Rattus norvegicus - serine-type endopeptidase inhibitor activity - extracellular space - blood coagulation - negative regulation of endopeptidase activity</t>
  </si>
  <si>
    <t>blood coagulation</t>
  </si>
  <si>
    <t>The sequential process in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[http://www.graylab.ac.uk/omd/, ISBN:0198506732]</t>
  </si>
  <si>
    <t>blood clotting  EXACT []</t>
  </si>
  <si>
    <t>Kunitz_BPTI 5e-016| KU 1e-014| KU 6e-014| PRK05933 0.042| DUF651 | PTZ00131 | DISIN | GT1_Glycogen_Phosphorylase_like | flgE | PMG 11| pdhR 11| PLN02312 11| BSMAP 15| Trp_5_monoox 15| PTZ00214 15| eu_TrpOH 19| glycopep_SunS 19| Phe4hydrox_tetr 19| DUF1629 25| 5-nucleotidase 25|</t>
  </si>
  <si>
    <t>tr|B7QMC8|B7QMC8_IXOSC</t>
  </si>
  <si>
    <t>MER180440</t>
  </si>
  <si>
    <t>I39.002</t>
  </si>
  <si>
    <t>Alpha-1-macroglobulin - Rattus norvegicus - serine-type endopeptidase inhibitor activity - extracellular space - embryo implantation - negative regulation of endopeptidase activity</t>
  </si>
  <si>
    <t>embryo implantation</t>
  </si>
  <si>
    <t>Attachment of the blastocyst to the uterine lining.  [GOC:isa_complete, http://www.medterms.com]</t>
  </si>
  <si>
    <t>blastocyst implantation  EXACT []</t>
  </si>
  <si>
    <t>A2M_2 3e-033| A2M_like 5e-023| complement_C3_C4_C5 1e-020| A2M 1e-015| A2M_comp 9e-014| A2M_N 2e-008| ISOPREN_C2_like 3e-008| Thiol-ester_cl 3e-007| COG2373 1e-005| A2M_N_2 0.027| PRK14948 | kgd | PRK07764 | PRK08221 | DUF2360 | GH57N_like_1 | PRK14951 | PRK12323 | Prenyltrans_2 | Cas_VVA1548 |</t>
  </si>
  <si>
    <t>tr|B7Q5K4|B7Q5K4_IXOSC</t>
  </si>
  <si>
    <t>MER226322</t>
  </si>
  <si>
    <t>S09.015</t>
  </si>
  <si>
    <t>Moesin/ezrin/radixin homolog 1 - Drosophila pseudoobscura pseudoobscura - actin binding - adherens junction - establishment or maintenance of epithelial cell apical/basal polarity</t>
  </si>
  <si>
    <t>adherens junction</t>
  </si>
  <si>
    <t>A cell junction at which anchoring proteins (cadherins or integrins) extend through the plasma membrane and are attached to actin filaments.  [GOC:mah, http://www.vivo.colostate.edu/hbooks/cmb/cells/pmemb/junctions_a.html, ISBN:0198506732]</t>
  </si>
  <si>
    <t>establishment or maintenance of epithelial cell apical/basal polarity</t>
  </si>
  <si>
    <t>Any cellular process that results in the specification, formation or maintenance of the apicobasal polarity of an epithelial cell.  [GOC:bf, GOC:mah]</t>
  </si>
  <si>
    <t>FERM_C_ERM 5e-049| B41 2e-032| ERM 5e-018| Smc 2e-014| SMC_prok_B 5e-014| FERM_C_PTPH13 1e-013| Trichoplein 3e-013| PRK12704 8e-013| PRK03918 2e-012| SMC_N 4e-012| PTZ00121 9e-012| FERM_C 3e-011| PRK02224 4e-011| SbcC 4e-011| FERM_C_FRMD4A_FRMD4B 6e-011| DUF3552 1e-010| FERM_M 1e-010| TolA 2e-010| Tropomyosin_1 5e-010| Lebercilin 8e-010|</t>
  </si>
  <si>
    <t>tr|B7Q5I4|B7Q5I4_IXOSC</t>
  </si>
  <si>
    <t>MER256238</t>
  </si>
  <si>
    <t>M12.217</t>
  </si>
  <si>
    <t>14-3-3epsilon - Drosophila melanogaster - protein kinase C inhibitor activity - Ras protein signal transduction - DNA damage checkpoint - imaginal disc development - mitotic cell cycle checkpoint - response to radiation - cytoplasm - nucleus - regulation of mitosis - chromosome - oocyte microtubule cytoskeleton polarization - germline ring canal - germarium-derived oocyte fate determination - nonassociative learning - protein domain specific binding - wing disc dorsal/ventral pattern formation - protein binding - microtubule associated complex - response to UV - regulation of growth - positive regulation of growth - determination of adult lifespan - protein heterodimerization activity - mitotic G2 DNA damage checkpoint - pole cell migration - axon guidance - positive regulation of Ras protein signal transduction - positive regulation of ERK1 and ERK2 cascade</t>
  </si>
  <si>
    <t>protein kinase C inhibitor activity</t>
  </si>
  <si>
    <t>Stops, prevents or reduces the activity of protein kinase C, an enzyme which phosphorylates a protein.  [GOC:ai]</t>
  </si>
  <si>
    <t>diacylglycerol-activated phospholipid-dependent PKC inhibitor activity  EXACT []</t>
  </si>
  <si>
    <t>Ras protein signal transduction</t>
  </si>
  <si>
    <t>A series of molecular signals within the cell that are mediated by a member of the Ras superfamily of proteins switching to a GTP-bound active state.  [GOC:bf]</t>
  </si>
  <si>
    <t>Ras mediated signal transduction  EXACT []</t>
  </si>
  <si>
    <t>14-3-3_epsilon e-119| 14-3-3_fungi e-108| BMH1 e-105| 14_3_3 e-102| 14-3-3_plant e-102| 14-3-3 e-101| 14-3-3 2e-092| 14-3-3_1 7e-090| 14-3-3_beta_zeta 1e-086| 14-3-3_gamma 4e-086| 14-3-3_theta 3e-084| 14-3-3_eta 4e-081| 14-3-3_sigma 7e-079| PRK03980 | Gp-FAR-1 | PIN_FEN1 | Uds1 | fen_arch | DNA_S_dndD | PRK03918 |</t>
  </si>
  <si>
    <t>W</t>
  </si>
  <si>
    <t>tr|B7PH05|B7PH05_IXOSC</t>
  </si>
  <si>
    <t>MER241157</t>
  </si>
  <si>
    <t>I08.UPW</t>
  </si>
  <si>
    <t>Apolipoprotein lipid transfer particle - Drosophila melanogaster - extracellular space - lipid binding - microtubule associated complex - sterol transport - lipid transporter activity - basal part of cell - acylglycerol transport</t>
  </si>
  <si>
    <t>lipid binding</t>
  </si>
  <si>
    <t>Interacting selectively and non-covalently with a lipid.  [GOC:ai]</t>
  </si>
  <si>
    <t>sterol transport</t>
  </si>
  <si>
    <t>The directed movement of sterols into, out of or within a cell, or between cells, by means of some agent such as a transporter or pore. Sterols are steroids with one or more hydroxyl groups and a hydrocarbon side-chain in the molecule.  [GOC:ai]</t>
  </si>
  <si>
    <t>VWD 6e-008| VWD 2e-004| TGS | Peptidase_M2 | PRK14952 | DUF648 | PRK04181 | PHA03384 | PHA03237 | COG2144 | Herpes_UL87 | PRK01005 | hemoglobin_linker_C 11| PRK07764 11| COG1716 11| Hydrolase_3 14| Adenylate_cycl 14| GH16_kappa_carrageenase 14| VMA13 14| DOP1 14|</t>
  </si>
  <si>
    <t>tr|F0J9T2|F0J9T2_AMBVA</t>
  </si>
  <si>
    <t>MER271000</t>
  </si>
  <si>
    <t>Translationally-controlled tumor protein homolog - Drosophila pseudoobscura pseudoobscura - calcium ion binding - cytoplasm - tubulin complex</t>
  </si>
  <si>
    <t>guanyl-nucleotide exchange factor activity</t>
  </si>
  <si>
    <t>Stimulates the exchange of guanyl nucleotides associated with a GTPase. Under normal cellular physiological conditions, the concentration of GTP is higher than that of GDP, favoring the replacement of GDP by GTP in association with the GTPase.  [GOC:kd, GOC:mah]</t>
  </si>
  <si>
    <t>GDP-dissociation stimulator activity  EXACT []</t>
  </si>
  <si>
    <t>positive regulation of cell size</t>
  </si>
  <si>
    <t>Any process that increases cell size.  [GOC:go_curators]</t>
  </si>
  <si>
    <t>activation of cell size  NARROW []</t>
  </si>
  <si>
    <t>TCTP 7e-041| PTZ00151 8e-016| SCP-1 0.004| Smc 0.063| C2_putative_Elicitor-responsive_gene | PHA01794 | COG1510 | Taxilin | AtpA | PRK07735 | COG1293 | DUF4200 | DUF869 | PRK06474 | PspA | BAR_DNMBP | DUF1690 | groEL | dksA | PRK09343 |</t>
  </si>
  <si>
    <t>tr|Q6JVN0|Q6JVN0_HAELO</t>
  </si>
  <si>
    <t>MER304349</t>
  </si>
  <si>
    <t>S24.001</t>
  </si>
  <si>
    <t>Uncharacterized protein - Sus scrofa - glutathione transferase activity - cytoplasm - glutathione metabolic process - nitrobenzene metabolic process - enzyme binding - xenobiotic catabolic process - protein homodimerization activity - glutathione binding - response to estrogen - cellular detoxification of nitrogen compound</t>
  </si>
  <si>
    <t>GST_C_Mu 2e-039| GST_N_Mu 9e-032| GST_C_Pi 3e-021| PTZ00057 8e-015| GST_N_Sigma_like 9e-008| GST_C_Sigma_like 2e-006| GST_C 5e-006| GST_N_Pi 6e-006| GST_N 9e-005| GST_C_Metaxin1_3 9e-005| GST_C_GTT1_like 1e-004| PLN02473 2e-004| PLN02395 2e-004| GST_N_Alpha 0.001| GST_C_Sigma 0.002| GST_C_YfcG_like 0.002| GST_N_Theta 0.015| GST_C_family 0.020| GST_C_7 0.033| GST_N_Phi 0.044|</t>
  </si>
  <si>
    <t>tr|B5TMF7|B5TMF7_DERVA</t>
  </si>
  <si>
    <t>MER166856</t>
  </si>
  <si>
    <t>S01.UPA</t>
  </si>
  <si>
    <t>Glyceraldehyde-3-phosphate dehydrogenase - Glossina morsitans morsitans - cytoplasm - microtubule cytoskeleton</t>
  </si>
  <si>
    <t>PLN02272 e-134| PTZ00023 e-125| PLN02358 e-124| gapA e-122| GapA e-103| GAPDH-I 2e-099| PTZ00434 1e-096| PRK07403 1e-078| PRK07729 9e-078| PLN03096 2e-074| PRK08955 2e-071| PLN02237 1e-069| PRK13535 9e-061| E4PD_g-proteo 4e-058| Gp_dh_C 8e-055| PRK08289 8e-055| Gp_dh_N 2e-043| Gp_dh_N 2e-043| PTZ00353 2e-036| PRK04207 0.045|</t>
  </si>
  <si>
    <t>tr|C6L6E2|C6L6E2_HAELO</t>
  </si>
  <si>
    <t>MER183972</t>
  </si>
  <si>
    <t>Peptidase_C1 6e-074| Peptidase_C1A 3e-072| Pept_C1 3e-062| PTZ00203 1e-051| PTZ00021 7e-046| PTZ00200 5e-044| Peptidase_C1A_CathepsinC 3e-027| Peptidase_C1A_CathepsinB 1e-025| Peptidase_C1 8e-023| Peptidase_C1A_CathepsinX 4e-019| COG4870 7e-014| PTZ00049 3e-010| Inhibitor_I29 7e-009| PTZ00462 3e-008| Inhibitor_I29 4e-008| PTZ00364 6e-007| Peptidase_C1_2 0.020| Peptidase_C1B | PepC | COG3164 |</t>
  </si>
  <si>
    <t>tr|A5LHW1|A5LHW1_HAELO</t>
  </si>
  <si>
    <t>MER428386</t>
  </si>
  <si>
    <t>C01.UPA</t>
  </si>
  <si>
    <t>ERp60 - Drosophila melanogaster - protein disulfide isomerase activity - protein folding - endoplasmic reticulum - cell redox homeostasis - lipid particle - microtubule associated complex</t>
  </si>
  <si>
    <t>protein disulfide isomerase activity</t>
  </si>
  <si>
    <t>Catalysis of the rearrangement of both intrachain and interchain disulfide bonds in proteins.  [EC:5.3.4.1]</t>
  </si>
  <si>
    <t>disulphide bond biosynthesis  EXACT []</t>
  </si>
  <si>
    <t>ER_PDI_fam e-116| PTZ00102 4e-071| PDI_a_PDI_a'_C 3e-032| PDI_b'_ERp72_ERp57 5e-030| Thioredoxin_6 4e-024| pdi_dom 2e-022| PDI_a_ERp38 5e-022| PDI_b_ERp57 2e-021| PDI_a_family 7e-021| PDI_a_ERp46 8e-019| Thioredoxin 9e-018| PDI_a_P5 3e-017| PDI_a_PDIR 8e-017| PDI_a_MPD1_like 1e-016| PDI_b_family 3e-015| PDI_a_TMX3 4e-015| PDI_a_ERp44 1e-010| PDI_a_QSOX 1e-010| PTZ00443 3e-010| thioredoxin 1e-009|</t>
  </si>
  <si>
    <t>tr|B2ZWT4|B2ZWT4_HAELO</t>
  </si>
  <si>
    <t>Nasonia vitripennis</t>
  </si>
  <si>
    <t>MER382737</t>
  </si>
  <si>
    <t>M14.UNB</t>
  </si>
  <si>
    <t>Cyclophilin 1 - Drosophila melanogaster - cytosol - peptidyl-prolyl cis-trans isomerase activity - protein folding - cytoplasm - positive transcription elongation factor complex b - nuclear cyclin-dependent protein kinase holoenzyme complex - cyclin-dependent protein serine/threonine kinase regulator activity - autophagic cell death - salivary gland cell autophagic cell death - microtubule associated complex</t>
  </si>
  <si>
    <t>peptidyl-prolyl cis-trans isomerase activity</t>
  </si>
  <si>
    <t>Catalysis of the reaction: peptidyl-proline (omega=180) = peptidyl-proline (omega=0).  [EC:5.2.1.8]</t>
  </si>
  <si>
    <t>cis-trans proline isomerase activity  EXACT []</t>
  </si>
  <si>
    <t>cyclophilin_ABH_like 2e-069| PTZ00060 2e-061| PLN03149 6e-049| cyclophilin 1e-037| cyclophilin_SpCYP2_like 1e-035| cyclophilin_WD40 3e-033| Pro_isomerase 4e-032| cyclophilin_RING 6e-030| PpiB 8e-030| Cyclophilin_PPIL3_like 2e-029| cyclophilin_CeCYP16-like 4e-022| cyclophilin_RRM 3e-019| PTZ00221 4e-016| cyclophilin_EcCYP_like 2e-012| PRK10791 2e-011| PRK10903 7e-011| cyclophilin_TLP40_like 1e-009| PhageP22-tail | NA37 | PHA03271 |</t>
  </si>
  <si>
    <t xml:space="preserve">tick legumain </t>
  </si>
  <si>
    <t>tr|A4PF00|A4PF00_HAELO</t>
  </si>
  <si>
    <t>MER094347</t>
  </si>
  <si>
    <t>legumain - Danio rerio - cellular_component - cysteine-type endopeptidase activity - proteolysis</t>
  </si>
  <si>
    <t>Peptidase_C13 4e-097| GPI8 2e-024| cyc_hxne_CoA_lg | badI | Pro-MCH | thyA | PRK02292 | R_equi_Vir | PHA03070 | PHA02855 | COG4715 | RRM2_MRN1 | 2A060605 | DppA | Aft1_HRA 10| HTH_12 10| RTBV_P46 10| STKc_NDR1 10| PLN02559 10| PLN02271 10|</t>
  </si>
  <si>
    <t>A</t>
  </si>
  <si>
    <t>tr|A0A034WXY9|A0A034WXY9_RHIMP</t>
  </si>
  <si>
    <t>MER220621</t>
  </si>
  <si>
    <t>C14.UPB</t>
  </si>
  <si>
    <t>Heat shock cognate 71 kDa protein - Bos taurus - Prp19 complex - protein binding - ATP binding - nucleus - spliceosomal complex - nucleolus - cytosol - plasma membrane - ATP catabolic process - transcription, DNA-templated - mRNA processing - response to stress - RNA splicing - ribonucleoprotein complex - melanosome - ATPase activity, coupled - negative regulation of transcription, DNA-templated - unfolded protein binding - chaperone mediated protein folding requiring cofactor - regulation of cell cycle - extracellular vesicular exosome</t>
  </si>
  <si>
    <t>Prp19 complex</t>
  </si>
  <si>
    <t>A protein complex consisting of Prp19 and associated proteins that is involved in the transition from the precatalytic spliceosome to the activated form that catalyzes step 1 of splicing, and which remains associated with the spliceosome through the second catalytic step. It is widely conserved, found in both yeast and mammals, though the exact composition varies. In S. cerevisiae, it contains Prp19p, Ntc20p, Snt309p, Isy1p, Syf2p, Cwc2p, Prp46p, Clf1p, Cef1p, and Syf1p.  [GOC:krc, PMID:16540691, PMID:19239890]</t>
  </si>
  <si>
    <t>nineteen complex  NARROW []</t>
  </si>
  <si>
    <t>ATP catabolic process</t>
  </si>
  <si>
    <t>The chemical reactions and pathways resulting in the breakdown of ATP, adenosine 5'-triphosphate, a universally important coenzyme and enzyme regulator.  [GOC:ai]</t>
  </si>
  <si>
    <t>ATP breakdown  EXACT []</t>
  </si>
  <si>
    <t>PTZ00009 | HSP70 e-140| prok_dnaK e-122| dnaK e-120| DnaK e-120| PTZ00400 e-116| dnaK e-114| PRK13411 e-112| PLN03184 e-109| HSPA1-2_6-8-like_NBD e-103| PTZ00186 2e-096| PRK13410 1e-094| HscA 4e-075| HSPA5-like_NBD 5e-075| hscA 1e-071| HSPA9-Ssq1-like_NBD 1e-054| hscA 3e-054| Ssq1_like_NBD 6e-054| HSPA9-like_NBD 2e-052| HSP70_NBD 9e-050|</t>
  </si>
  <si>
    <t>Malate dehydrogenase</t>
  </si>
  <si>
    <t>tr|L7M8Y4|L7M8Y4_9ACAR</t>
  </si>
  <si>
    <t>MER392509</t>
  </si>
  <si>
    <t>M16.UNB</t>
  </si>
  <si>
    <t>malate dehydrogenase 2, NAD (mitochondrial) - Danio rerio - oxidoreductase activity - oxidoreductase activity, acting on the CH-OH group of donors, NAD or NADP as acceptor - cellular carbohydrate metabolic process - oxidation-reduction process - malate metabolic process - L-malate dehydrogenase activity - malate dehydrogenase activity - catalytic activity - carbohydrate metabolic process - tricarboxylic acid cycle</t>
  </si>
  <si>
    <t>L-malate dehydrogenase activity</t>
  </si>
  <si>
    <t>Catalysis of the reaction: (S)-malate + NAD+ = oxaloacetate + NADH + H+.  [EC:1.1.1.37]</t>
  </si>
  <si>
    <t>(S)-malate:NAD+ oxidoreductase activity  EXACT [EC:1.1.1.37]</t>
  </si>
  <si>
    <t>MDH_glyoxysomal_mitochondrial e-123| MDH_euk_gproteo e-122| PLN00106 e-115| PTZ00325 e-104| PRK05086 9e-096| Mdh 3e-037| PRK06223 3e-026| LDH-like_MDH 1e-025| Ldh_1_C 4e-025| PTZ00117 7e-024| Ldh_1_N 4e-022| LDH_like 7e-022| PTZ00082 9e-022| MalateDH_bact 2e-021| LDH-like_MDH_nadp 3e-021| LDH_2 2e-018| LDH_MDH_like 2e-018| HicDH_like 5e-017| L-LDH-NAD 9e-017| ldh 9e-014|</t>
  </si>
  <si>
    <t>tr|A0A034WXG8|A0A034WXG8_RHIMP</t>
  </si>
  <si>
    <t>fatty acid binding protein 3, muscle and heart - Danio rerio - embryo development - transporter activity - heart development - heart looping - transport - lipid binding</t>
  </si>
  <si>
    <t>Lipocalin_7 3e-008| Lipocalin 7e-008| PTZ00440 | DnaB | PLN02470 | PTZ00113 | rps24e | Fibrinogen_C | PRK15001 | COG5644 | TGS | PRK10445 | PRK09548 | accD | Calmodulin_bind 12| MAM33 12| HSP20 12| Luminal_EIF2AK3 12| arom_pren_DMATS 12| PRK12399 12|</t>
  </si>
  <si>
    <t>tr|L7LXL4|L7LXL4_9ACAR</t>
  </si>
  <si>
    <t>Bos taurus</t>
  </si>
  <si>
    <t>MER240625</t>
  </si>
  <si>
    <t>M50.006</t>
  </si>
  <si>
    <t>Inosine-5'-monophosphate dehydrogenase 1 - Bos taurus - DNA binding - IMP dehydrogenase activity - nucleus - cytoplasm - GMP biosynthetic process - adenyl nucleotide binding - lymphocyte proliferation - metal ion binding - oxidation-reduction process</t>
  </si>
  <si>
    <t>PTZ00314 e-169| PLN02274 e-163| IMPDH e-130| IMP_dehydrog e-130| PRK05567 e-102| IMPDH 1e-066| PRK07107 2e-065| IMP_DH_rel_1 9e-050| PRK06843 6e-049| PRK07807 1e-046| CBS_pair_IMPDH_2 2e-032| GMP_reduct_1 1e-028| PRK05096 3e-027| GMP_reduct_2 5e-023| PRK05458 5e-023| GuaB 2e-019| PRK08649 3e-015| CBS_pair_IMPDH 8e-014| IMP_DH_rel_2 2e-011| CBS_pair_ParBc_assoc 2e-010|</t>
  </si>
  <si>
    <t>purine nucleoside phosphorylase 5a - transferase</t>
  </si>
  <si>
    <t>tr|A0A023GHV8|A0A023GHV8_9ACAR</t>
  </si>
  <si>
    <t>Bombyx mori</t>
  </si>
  <si>
    <t>MER115766</t>
  </si>
  <si>
    <t>S09.UPC</t>
  </si>
  <si>
    <t>purine nucleoside phosphorylase 5a - Danio rerio - purine-nucleoside phosphorylase activity - nucleoside metabolic process - catalytic activity - nucleobase-containing compound metabolic process - transferase activity - transferase activity, transferring glycosyl groups</t>
  </si>
  <si>
    <t>transferase activity, transferring glycosyl groups</t>
  </si>
  <si>
    <t>Catalysis of the transfer of a glycosyl group from one compound (donor) to another (acceptor).  [GOC:jl, ISBN:0198506732]</t>
  </si>
  <si>
    <t>glycosyltransferase activity  EXACT []</t>
  </si>
  <si>
    <t>PNPH 1e-077| PRK08202 3e-076| PNPH-PUNA-XAPA 2e-073| XAPA 5e-051| Pnp 9e-045| PUNP 1e-039| PNP_UDP_1 1e-026| PRK08666 1e-014| PRK09136 4e-010| MTAP 5e-010| PRK07432 8e-009| PRK08564 2e-006| PRK08931 0.072| Udp | GT1_ecORF704_like | PRK11178 | DUF2175 | Peptidases_S8_14 | Fab1_TCP | PRK14697 |</t>
  </si>
  <si>
    <t>ALDH_F7_AASADH | ALDH_F7_AASADH-like | PLN02315 e-174| ALDH_AldH-CAJ73105 6e-088| Aldedh 9e-083| PutA 1e-081| ALDH 2e-079| ALDH_F5_SSADH_GabD 7e-073| ALDH_KGSADH-YcbD 2e-070| ALDH_LactADH-AldA 2e-068| ALDH_VaniDH_like 1e-066| ALDH_BenzADH-like 7e-065| ALDH_DhaS 3e-064| PLN02278 4e-064| ALDH_ABALDH-YdcW 1e-063| ALDH_HBenzADH 4e-062| ALDH_y4uC 3e-061| PRK13473 3e-061| ALDH_HMSADH_HapE 8e-061| gabD 4e-060|</t>
  </si>
  <si>
    <t>tr|A0A023FNE9|A0A023FNE9_9ACAR</t>
  </si>
  <si>
    <t>MER143571</t>
  </si>
  <si>
    <t>S49.001</t>
  </si>
  <si>
    <t>Translation elongation factor 2 - Bombyx mori - molecular_function - cellular_component - biological_process</t>
  </si>
  <si>
    <t>PTZ00416 | PLN00116 | PRK07560 e-133| aEF-2 e-120| FusA 2e-069| aeEF2_snRNP_like_IV 4e-067| EF2 5e-066| PRK13351 1e-050| PRK00007 8e-050| PRK12739 1e-049| EF2_IV_snRNP 4e-044| Snu114p 8e-036| PRK12740 6e-029| eEF2_snRNP_like_II 2e-028| eEF2_snRNP_like_C 1e-027| EF-G 1e-024| eEF2_C_snRNP 7e-024| PRK05433 4e-022| lepA 7e-022| LepA 1e-021|</t>
  </si>
  <si>
    <t>Amblyomma cajennense</t>
  </si>
  <si>
    <t>tr|L7M4D3|L7M4D3_9ACAR</t>
  </si>
  <si>
    <t>MER017118</t>
  </si>
  <si>
    <t>S26.A08</t>
  </si>
  <si>
    <t>lethal (2) essential for life - Drosophila melanogaster - embryo development - response to heat - regulation of translational initiation by eIF2 alpha phosphorylation - regulation of autophagy - protein lipidation</t>
  </si>
  <si>
    <t>response to hypoxia</t>
  </si>
  <si>
    <t>Any process that results in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[GOC:hjd]</t>
  </si>
  <si>
    <t>response to hypoxic stress  EXACT []</t>
  </si>
  <si>
    <t>ACD_alphaB-crystallin_HspB5 4e-019| ACD_HspB1_like 6e-019| metazoan_ACD 8e-019| ACD_alphaA-crystallin_HspB4 1e-018| ACD_HspB4-5-6 2e-017| ACD_HspB2_like 2e-015| ACD_HspB9_like 3e-013| ACD_HspB8_like 5e-013| HSP20 7e-013| ACD_sHsps-like 3e-009| ACD_sHsps_p23-like 4e-008| ACD_HspB7_like 7e-007| ACD_HspB3_Like 1e-006| IbpA 3e-006| ACD_ScHsp26_like 0.005| ACD_HspB10 0.006| PRK10743 0.018| COG1743 | Crystallin | FAM220 |</t>
  </si>
  <si>
    <t>tr|L7M7J9|L7M7J9_9ACAR</t>
  </si>
  <si>
    <t>MER081297</t>
  </si>
  <si>
    <t>M16.005</t>
  </si>
  <si>
    <t>Uncharacterized protein - Gallus gallus - phosphoribosylaminoimidazolesuccinocarboxamide synthase activity - ATP binding - 'de novo' IMP biosynthetic process - identical protein binding</t>
  </si>
  <si>
    <t>phosphoribosylaminoimidazole carboxylase activity</t>
  </si>
  <si>
    <t>Catalysis of the reaction: 5-amino-1-(5-phospho-D-ribosyl)imidazole-4-carboxylate + 2 H(+) = 5-amino-1-(5-phospho-D-ribosyl)imidazole + CO(2).  [EC:4.1.1.21, RHEA:10795]</t>
  </si>
  <si>
    <t>1-(5-phosphoribosyl)-5-amino-4-imidazolecarboxylate carboxy-lyase activity  EXACT [EC:4.1.1.21]</t>
  </si>
  <si>
    <t>purine nucleobase metabolic process</t>
  </si>
  <si>
    <t>The chemical reactions and pathways involving purine nucleobases, one of the two classes of nitrogen-containing ring compounds found in DNA and RNA, which include adenine and guanine.  [CHEBI:26386, GOC:go_curators]</t>
  </si>
  <si>
    <t>purine base metabolic process  EXACT [GOC:go_curators]</t>
  </si>
  <si>
    <t>SAICAR_synt_Ade5 e-106| SAICAR_synt 1e-037| SAICAR_synt 3e-033| SAICAR_synt_PurC 3e-029| PurC 3e-029| PRK09362 3e-028| purC 2e-026| AIRC 3e-014| SAICAR_synt_Sc 2e-013| AIRC 2e-012| purE 1e-011| PurE 7e-011| PRK12607 1e-007| PLN02544 8e-007| PLN02948 2e-006| PRK13961 7e-006| PLN02196 | 2-Hacid_dh_1 | PRK12467 | COG1691 |</t>
  </si>
  <si>
    <t>tr|B7QA54|B7QA54_IXOSC</t>
  </si>
  <si>
    <t>MER152100</t>
  </si>
  <si>
    <t>C39.UPW</t>
  </si>
  <si>
    <t>Neuropeptide-like protein 31 - Caenorhabditis elegans - extracellular region - neuropeptide signaling pathway - killing of cells of other organism - defense response to bacterium - defense response to fungus</t>
  </si>
  <si>
    <t>GRP 1e-011| PTZ00146 3e-009| KRTAP 2e-007| OMP_b-brl 7e-007| PRK06958 9e-007| Gly_rich 1e-005| Mfp-3 1e-005| Bindin 1e-005| COG4371 2e-005| PRP 3e-005| PRK14295 5e-005| PRK07772 5e-005| Cyano_gly_rpt 8e-005| PRK14277 8e-005| DnaJ 2e-004| PLN00050 5e-004| PRK14281 7e-004| PLN03138 0.001| Orthopox_C10L 0.001| PRK14289 0.001|</t>
  </si>
  <si>
    <t>Branchiostoma floridae</t>
  </si>
  <si>
    <t>Saccoglossus kowalevskii</t>
  </si>
  <si>
    <t>MER224226</t>
  </si>
  <si>
    <t>PRK08645 6e-034| S-methyl_trans 2e-019| mmuM 4e-014| PRK07534 1e-013| MHT1 1e-013| MetH 2e-013| PLN02489 1e-008| metH 9e-008| metH 1e-006| PRK05222 | DIRP | PRK12481 | LacD | AllD | allophanate_hyd | DHR2_DOCK8 | PRK12535 | PLN02765 | Vps8 | SBP_KPN_01854 |</t>
  </si>
  <si>
    <t>tr|V5H1G1|V5H1G1_IXORI</t>
  </si>
  <si>
    <t>MER183419</t>
  </si>
  <si>
    <t>Drosophila melanogaster - farnesoic acid O-methyltransferase activity - cytoplasm</t>
  </si>
  <si>
    <t>intracellular signal transduction</t>
  </si>
  <si>
    <t>The process in which a signal is passed on to downstream components within the cell, which become activated themselves to further propagate the signal and finally trigger a change in the function or state of the cell.  [GOC:bf, GOC:jl, GOC:signaling, ISBN:3527303782]</t>
  </si>
  <si>
    <t>intracellular protein kinase cascade  NARROW [GOC:signaling]</t>
  </si>
  <si>
    <t>DUF3421 3e-028| DM9 7e-018| COG1287 | TyrKc | 5_nucleotid | glyS_dimeric | Pkinase_Tyr | DUF642 | MHT1 | PA | PBP | RRM_SCAF4_SCAF8 | PTKc | Diacid_rec 11| zeta_crystallin 11| ETR_like 11| minC 11| PLN03064 11| DUF1996 14| Phage_tail_L 14|</t>
  </si>
  <si>
    <t>tr|G3MNN7|G3MNN7_9ACAR</t>
  </si>
  <si>
    <t>MER477270</t>
  </si>
  <si>
    <t>regucalcin - Danio rerio - calcium ion binding - nucleus - positive regulation of ATPase activity - gluconolactonase activity - hydrolase activity - cytoplasm - cellular calcium ion homeostasis - regulation of calcium-mediated signaling - enzyme regulator activity - L-ascorbic acid biosynthetic process - zinc ion binding - metal ion binding</t>
  </si>
  <si>
    <t>positive regulation of ATPase activity</t>
  </si>
  <si>
    <t>Any process that activates or increases the rate of ATP hydrolysis by an ATPase.  [GOC:mah]</t>
  </si>
  <si>
    <t>activation of ATPase activity  NARROW []</t>
  </si>
  <si>
    <t>SGL 1e-043| COG3386 3e-027| hyperosmo_Ebh | PRK10795 | FeoB | flhA | RNase_PH_RRP45 | EF_0837 | FlgK | Ig2_Nectin-1_like | Vgb | COG4246 | Lactonase | RTX_C | Reelin_repeat_5_subrepeat_2 | non_repeat_PQQ | ThiJ | KISc_CENP_E 11| PLN02201 11| PTB 14|</t>
  </si>
  <si>
    <t>tr|A0A023FMJ4|A0A023FMJ4_9ACAR</t>
  </si>
  <si>
    <t>Myosin_tail_1 | Smc 2e-053| SMC_prok_B 2e-048| SMC_prok_A 3e-042| SbcC 4e-041| PRK03918 5e-039| PTZ00121 2e-034| PRK02224 3e-034| SMC_N 2e-030| Cast 7e-030| MAD 4e-027| WEMBL 3e-025| SCP-1 5e-025| DUF3584 1e-024| HOOK 2e-023| HCR 2e-023| rad50 9e-022| DUF869 1e-020| Trichoplein 3e-018| AAA_27 3e-018|</t>
  </si>
  <si>
    <t>tr|M4PPE7|M4PPE7_AMBAM</t>
  </si>
  <si>
    <t>MER030252</t>
  </si>
  <si>
    <t>S53.010</t>
  </si>
  <si>
    <t>Uncharacterized protein F44E2.4 - Caenorhabditis elegans - membrane - integral component of membrane</t>
  </si>
  <si>
    <t>histone-lysine N-methyltransferase activity</t>
  </si>
  <si>
    <t>Catalysis of the reaction: S-adenosyl-L-methionine + histone L-lysine = S-adenosyl-L-homocysteine + histone N6-methyl-L-lysine. The methylation of peptidyl-lysine in histones forms N6-methyl-L-lysine, N6,N6-dimethyl-L-lysine and N6,N6,N6-trimethyl-L-lysine derivatives.  [EC:2.1.1.43, RESID:AA0074, RESID:AA0075, RESID:AA0076]</t>
  </si>
  <si>
    <t>histone H1-specific S-adenosylmethionine:protein-lysine N-methyltransferase activity  EXACT [EC:2.1.1.43]</t>
  </si>
  <si>
    <t>methylation</t>
  </si>
  <si>
    <t>The process in which a methyl group is covalently attached to a molecule.  [GOC:mah]</t>
  </si>
  <si>
    <t>DUF19 | cyt_deam_dimer | PRK13578 | PLN02958 | Myco_haema 12| PTZ00415 12| polc 16| Flt3_lig 21| PTKc_Axl 21| Peptidase_C19K 21| COG5585 28| DNA_pol_A_pol_I_B 36| PRK07097 36| DUF3045 47| Pombe_5TM 47| Phytoreo_P8 47| DHR2_DOCK6 47| PseudoU_synth_EcTruB 47| RNAP_I_RPA1_N 47| PRK14289 47|</t>
  </si>
  <si>
    <t>tr|A0A023GMC0|A0A023GMC0_9ACAR</t>
  </si>
  <si>
    <t>MER003930</t>
  </si>
  <si>
    <t>C53.001</t>
  </si>
  <si>
    <t>ubiquitin C - Danio rerio - molecular_function</t>
  </si>
  <si>
    <t>protease binding</t>
  </si>
  <si>
    <t>Interacting selectively and non-covalently with any protease or peptidase.  [GOC:hjd]</t>
  </si>
  <si>
    <t>cell</t>
  </si>
  <si>
    <t>The basic structural and functional unit of all organisms. Includes the plasma membrane and any external encapsulating structures such as the cell wall and cell envelope.  [GOC:go_curators]</t>
  </si>
  <si>
    <t>ubiquitin-dependent protein catabolic process</t>
  </si>
  <si>
    <t>The chemical reactions and pathways resulting in the breakdown of a protein or peptide by hydrolysis of its peptide bonds, initiated by the covalent attachment of a ubiquitin group, or multiple ubiquitin groups, to the protein.  [GOC:go_curators]</t>
  </si>
  <si>
    <t>ubiquitin-dependent protein breakdown  EXACT []</t>
  </si>
  <si>
    <t>Ubiquitin 8e-038| ubiquitin 2e-022| UBL 1e-021| Nedd8 1e-021| UBQ 2e-021| PTZ00044 1e-017| AN1_N 7e-016| Scythe_N 2e-012| parkin_N 8e-012| RAD23_N 7e-011| GDX_N 2e-009| UBQ 2e-009| NIRF_N 4e-008| Fubi 7e-008| Rad60-SLD 9e-008| rad23 2e-007| SF3a120_C 3e-007| ISG15_repeat2 5e-007| DC_UbP_C 5e-007| DDI1_N 6e-005|</t>
  </si>
  <si>
    <t>tr|L7S6B3|L7S6B3_HAELO</t>
  </si>
  <si>
    <t>MER235168</t>
  </si>
  <si>
    <t>S24.005</t>
  </si>
  <si>
    <t>glutathione peroxidase 1 - Mus musculus - response to reactive oxygen species - temperature homeostasis - endothelial cell development - negative regulation of inflammatory response to antigenic stimulus - peroxidase activity - glutathione peroxidase activity - protein binding - nucleus - cytoplasm - mitochondrion - lipid metabolic process - triglyceride metabolic process - glutathione metabolic process - apoptotic process - response to oxidative stress - response to lipid hydroperoxide - sensory perception of sound - cell proliferation - selenium binding - intrinsic apoptotic signaling pathway in response to oxidative stress - response to xenobiotic stimulus - response to symbiotic bacterium - response to wounding - response to toxic substance - UV protection - response to selenium ion - response to gamma radiation - myotube differentiation - oxidoreductase activity - SH3 domain binding - protein oxidation - response to hydroperoxide - regulation of mammary gland epithelial cell proliferation - regulation of gene expression, epigenetic - vasodilation - response to hydrogen peroxide - hydrogen peroxide catabolic process - negative regulation of apoptotic process - negative regulation of cysteine-type endopeptidase activity involved in apoptotic process - glutathione binding - skeletal muscle tissue regeneration - regulation of neuron apoptotic process - blood vessel endothelial cell migration - fat cell differentiation - cell redox homeostasis - phospholipid-hydroperoxide glutathione peroxidase activity - skeletal muscle fiber development - myoblast proliferation - interaction with symbiont - positive regulation of protein kinase B signaling - oxidation-reduction process - heart contraction - angiogenesis involved in wound healing - regulation of proteasomal protein catabolic process - extracellular vesicular exosome - negative regulation of release of cytochrome c from mitochondria - negative regulation of extrinsic apoptotic signaling pathway via death domain receptors - negative regulation of oxidative stress-induced intrinsic apoptotic signaling pathway</t>
  </si>
  <si>
    <t>response to reactive oxygen species</t>
  </si>
  <si>
    <t>Any process that results in a change in state or activity of a cell or an organism (in terms of movement, secretion, enzyme production, gene expression, etc.) as a result of a reactive oxygen species stimulus. Reactive oxygen species include singlet oxygen, superoxide, and oxygen free radicals.  [GOC:krc]</t>
  </si>
  <si>
    <t>response to active oxygen species  EXACT []</t>
  </si>
  <si>
    <t>GSH_Peroxidase 4e-030| BtuE 8e-030| GSHPx 6e-026| PLN02412 3e-025| btuE 5e-025| PLN02399 2e-023| PTZ00256 1e-018| gpx7 5e-016| PTZ00056 9e-011| PRK14849 | Ribosomal_S16 | PTZ00108 | DUF3160 | PrpE | PRK05878 | COG5339 | PRK10882 12| COG4228 12| DUF4610 15| PRTRC_parB 15|</t>
  </si>
  <si>
    <t>tr|L7MMT8|L7MMT8_9ACAR</t>
  </si>
  <si>
    <t>si:ch211-212c13.10 - Danio rerio - extracellular region - endopeptidase inhibitor activity - extracellular space</t>
  </si>
  <si>
    <t>A2M_like 8e-021| A2M_2 9e-020| complement_C3_C4_C5 2e-015| A2M 9e-015| A2M_comp 6e-014| A2M_recep 2e-008| COG2373 4e-007| A2M_N 2e-006| ISOPREN_C2_like 1e-005| A2M_N_2 | COG3587 | MIF4G_like_2 | SO_family_Moco | GDPD_GDE1 | PRK00772 | PRK15376 | PHA00735 | flgK | PTZ00481 | TIGR02336 |</t>
  </si>
  <si>
    <t>K</t>
  </si>
  <si>
    <t>tr|L7MEG0|L7MEG0_9ACAR</t>
  </si>
  <si>
    <t>Heat shock protein HSP 90-alpha - Homo sapiens - G2/M transition of mitotic cell cycle - nucleotide binding - mitotic cell cycle - protein binding - ATP binding - extracellular region - nucleus - cytoplasm - mitochondrion - cytosol - plasma membrane - ATP catabolic process - mitochondrial transport - response to unfolded protein - signal transduction - axon guidance - membrane - ATPase activity - MHC class II protein complex binding - nitric-oxide synthase regulator activity - TPR domain binding - Fc-gamma receptor signaling pathway involved in phagocytosis - protein refolding - melanosome - identical protein binding - protein homodimerization activity - small molecule metabolic process - poly(A) RNA binding - protein import into mitochondrial outer membrane - innate immune response - positive regulation of nitric oxide biosynthetic process - nitric oxide metabolic process - regulation of nitric-oxide synthase activity - unfolded protein binding - chaperone-mediated protein complex assembly - extracellular vesicular exosome - endocytic vesicle lumen - nucleolus</t>
  </si>
  <si>
    <t>nucleotide binding</t>
  </si>
  <si>
    <t>Interacting selectively and non-covalently with a nucleotide, any compound consisting of a nucleoside that is esterified with (ortho)phosphate or an oligophosphate at any hydroxyl group on the ribose or deoxyribose.  [GOC:mah, ISBN:0198547684]</t>
  </si>
  <si>
    <t>G2/M transition of mitotic cell cycle</t>
  </si>
  <si>
    <t>The mitotic cell cycle transition by which a cell in G2 commits to M phase. The process begins when the kinase activity of M cyclin/CDK complex reaches a threshold high enough for the cell cycle to proceed. This is accomplished by activating a positive feedback loop that results in the accumulation of unphosphorylated and active M cyclin/CDK complex.  [GOC:mtg_cell_cycle]</t>
  </si>
  <si>
    <t>mitotic G2/M transition  EXACT []</t>
  </si>
  <si>
    <t>PTZ00272 | HSP90 | HtpG e-157| PTZ00130 e-150| PRK05218 e-146| PRK14083 1e-020| PRK03918 1e-009| PTZ00121 1e-008| SbcC 1e-006| 235kDa-fam 2e-006| SMC_N 3e-006| CAF-1_p150 8e-006| Utp14 1e-005| DUF1510 2e-005| Nop14 4e-005| PRK04195 4e-005| DDRGK 9e-005| Mpp10 9e-005| RRP7_Rrp7A 9e-005| MIP-T3 1e-004|</t>
  </si>
  <si>
    <t>tr|L7MBQ7|L7MBQ7_9ACAR</t>
  </si>
  <si>
    <t>MER392253</t>
  </si>
  <si>
    <t>Plexin A - Drosophila melanogaster - semaphorin receptor activity - axon guidance receptor activity - motor neuron axon guidance - intracellular - membrane - axon guidance - axon midline choice point recognition - protein binding - semaphorin-plexin signaling pathway involved in regulation of photoreceptor cell axon guidance - 14-3-3 protein binding - heparin binding</t>
  </si>
  <si>
    <t>semaphorin receptor activity</t>
  </si>
  <si>
    <t>Combining with a semaphorin, and transmitting the signal from one side of the membrane to the other to initiate a change in cell activity.  [GOC:mah, GOC:signaling, PMID:15239958]</t>
  </si>
  <si>
    <t>motor neuron axon guidance</t>
  </si>
  <si>
    <t>The process in which the migration of an axon growth cone of a motor neuron is directed to a specific target site in response to a combination of attractive and repulsive cues.  [CL:0000100, GOC:pr, ISBN:0878932437]</t>
  </si>
  <si>
    <t>motoneuron axon guidance  EXACT []</t>
  </si>
  <si>
    <t>Plexin_cytopl | RasGAP_plexin_A 3e-099| Sema_plexin_like 3e-095| Sema_plexin_A2 5e-082| RasGAP_plexin 2e-080| RasGAP_plexin_B1 6e-075| Sema_plexin_A 2e-074| RasGAP_plexin_D1 2e-072| RasGAP_plexin_B2 8e-071| RasGAP_plexin_B 1e-070| Sema_plexin_A4 6e-069| Sema_plexin_A3 2e-066| Sema_plexin_A1 1e-065| RasGAP_plexin_B3 4e-062| Sema_plexin_B 3e-059| RasGAP_plexin_C1 5e-057| Sema_plexin_B2 3e-056| Sema_plexin_B1 4e-053| Sema_plexin_B3 4e-045| Sema_RON 1e-032|</t>
  </si>
  <si>
    <t>tr|L7M8R2|L7M8R2_9ACAR</t>
  </si>
  <si>
    <t>A2M_2 3e-075| A2M_like 7e-059| complement_C3_C4_C5 6e-045| A2M_comp 7e-043| ISOPREN_C2_like 2e-019| A2M 1e-015| A2M_recep 3e-014| A2M_N 8e-008| Thiol-ester_cl 1e-006| A2M_N_2 1e-004| COG2373 0.008| DUF499 | acyl_WS_DGAT | PRK14707 | PTZ00058 | PRK07764 | PRK07189 | PRK08557 | MtaB | kgd |</t>
  </si>
  <si>
    <t>tr|L7M721|L7M721_9ACAR</t>
  </si>
  <si>
    <t>MER023392</t>
  </si>
  <si>
    <t>I08.UNW</t>
  </si>
  <si>
    <t>Caenorhabditis elegans - defense response - lipid metabolic process - cellular homeostasis</t>
  </si>
  <si>
    <t>lipid transporter activity</t>
  </si>
  <si>
    <t>Enables the directed movement of lipids into, out of or within a cell, or between cells.  [GOC:ai]</t>
  </si>
  <si>
    <t>apolipoprotein  RELATED []</t>
  </si>
  <si>
    <t>lipid transport</t>
  </si>
  <si>
    <t>The directed movement of lipids into, out of or within a cell, or between cells, by means of some agent such as a transporter or pore. Lipids are compounds soluble in an organic solvent but not, or sparingly, in an aqueous solvent.  [ISBN:0198506732]</t>
  </si>
  <si>
    <t>Vitellogenin_N 7e-041| LPD_N 7e-039| VWD 1e-010| VWD 2e-010| DUF1943 2e-007| AMA-1 | Mycoplas_LppA | purM | PLN02738 | MPP_PAPs | EF-1_alpha | COG4365 | MscS | Glyco_hydro_48 | PRK09603 | COG1205 | uvrC | DUF2036 | COG4110 | CBS_pair_IMPDH |</t>
  </si>
  <si>
    <t>tr|G3MN11|G3MN11_9ACAR</t>
  </si>
  <si>
    <t>MER108483</t>
  </si>
  <si>
    <t>Histone H2A - Litopenaeus vannamei - defense response to bacterium</t>
  </si>
  <si>
    <t>nucleosome</t>
  </si>
  <si>
    <t>A complex comprised of DNA wound around a multisubunit core and associated proteins, which forms the primary packing unit of DNA into higher order structures.  [GOC:elh]</t>
  </si>
  <si>
    <t>nucleosome assembly</t>
  </si>
  <si>
    <t>The aggregation, arrangement and bonding together of a nucleosome, the beadlike structural units of eukaryotic chromatin composed of histones and DNA.  [GOC:mah]</t>
  </si>
  <si>
    <t>histone chaperone  RELATED [GOC:vw]</t>
  </si>
  <si>
    <t>H2A 7e-050| PLN00153 7e-049| H2A 2e-048| PTZ00017 2e-048| PLN00157 5e-048| HTA1 1e-046| PLN00156 2e-046| PLN00154 5e-032| PTZ00252 1e-025| PLN00155 2e-018| Histone 3e-008| BUR6 0.001| Cas8a2_I-A 0.068| cas_Csa4 0.068| HAP5 0.068| PLN00158 0.089| flavin_revert | CBFD_NFYB_HMF | PRK00029 | PLN00163 |</t>
  </si>
  <si>
    <t>tr|G3MMX0|G3MMX0_9ACAR</t>
  </si>
  <si>
    <t>Callithrix jacchus</t>
  </si>
  <si>
    <t>Megachile rotundata</t>
  </si>
  <si>
    <t>MER221299</t>
  </si>
  <si>
    <t>C26.UPW</t>
  </si>
  <si>
    <t>si:dkey-108k21.12 - Danio rerio - DNA binding - nucleosome - nucleus - protein heterodimerization activity - nucleosome assembly - chromosome</t>
  </si>
  <si>
    <t>PLN00035 1e-053| PTZ00015 3e-041| H4 8e-038| H4 3e-033| PLN00163 3e-027| HHT1 8e-014| Histone 0.040| Bromo_TP | CENP-S | TAF | PHA03312 | RplO | TAF6 | TAF | COG1323 | CafA | CENP-T | DUF3473 | TFIID-31kDa | Ribosomal_L18e |</t>
  </si>
  <si>
    <t>tr|G3MM94|G3MM94_9ACAR</t>
  </si>
  <si>
    <t>MER239278</t>
  </si>
  <si>
    <t>C19.UPW</t>
  </si>
  <si>
    <t>Caenorhabditis elegans - embryo development ending in birth or egg hatching - positive regulation of multicellular organism growth - nematode larval development - determination of adult lifespan - receptor-mediated endocytosis - reproduction - hermaphrodite genitalia development</t>
  </si>
  <si>
    <t>phosphopyruvate hydratase complex</t>
  </si>
  <si>
    <t>A multimeric enzyme complex, usually a dimer or an octamer, that catalyzes the conversion of 2-phospho-D-glycerate to phosphoenolpyruvate and water.  [GOC:jl, ISBN:0198506732]</t>
  </si>
  <si>
    <t>enolase complex  EXACT []</t>
  </si>
  <si>
    <t>PLN00191 | PTZ00081 e-173| enolase e-146| Eno e-132| eno e-130| eno e-130| Enolase_C e-122| Enolase_N 5e-042| PRK08350 1e-018| enolase_like 3e-005| NAAAR 7e-004| B_methylAsp_ase 0.022| PRK12805 0.029| PTZ00378 0.049| obgE | MR_like_2 | mandelate_racemase | MR_like | COG4948 | PBP1_hexuronate_repressor_like |</t>
  </si>
  <si>
    <t>protein disulfide-isomerase A6-like</t>
  </si>
  <si>
    <t>tr|A0A023GNB5|A0A023GNB5_9ACAR</t>
  </si>
  <si>
    <t>MER329489</t>
  </si>
  <si>
    <t>C60.001</t>
  </si>
  <si>
    <t>calcium-binding protein 1 - Drosophila melanogaster - protein disulfide isomerase activity - cell redox homeostasis - lipid particle - positive regulation of apoptotic cell clearance - endoplasmic reticulum</t>
  </si>
  <si>
    <t>cell redox homeostasis</t>
  </si>
  <si>
    <t>Any process that maintains the redox environment of a cell or compartment within a cell.  [GOC:ai, GOC:dph, GOC:tb]</t>
  </si>
  <si>
    <t>regulation of cell redox homeostasis  RELATED []</t>
  </si>
  <si>
    <t>P5_C 4e-044| PDI_a_P5 1e-037| ER_PDI_fam 2e-024| PDI_a_MPD1_like 3e-024| pdi_dom 6e-024| PDI_a_family 1e-023| Thioredoxin 1e-021| PTZ00102 4e-021| PDI_a_ERdj5_C 5e-021| PDI_a_TMX3 8e-021| PDI_a_PDIR 2e-020| PDI_a_ERp38 3e-019| PDI_a_PDI_a'_C 4e-019| PTZ00443 4e-017| PDI_a_ERp46 2e-016| PDI_a_ERdj5_N 1e-014| PDI_a_QSOX 2e-014| thioredoxin 1e-012| COG3118 1e-011| trxA 7e-011|</t>
  </si>
  <si>
    <t>D</t>
  </si>
  <si>
    <t>tr|G3MH23|G3MH23_9ACAR</t>
  </si>
  <si>
    <t>Heat shock cognate 71 kDa protein - Gallus gallus - Prp19 complex - ATP binding - nucleolus - cytosol - ATP catabolic process - ribonucleoprotein complex - ATPase activity, coupled - negative regulation of transcription, DNA-templated - unfolded protein binding - chaperone mediated protein folding requiring cofactor - regulation of cell cycle - extracellular vesicular exosome</t>
  </si>
  <si>
    <t>PTZ00009 | HSP70 | HSPA1-2_6-8-like_NBD | prok_dnaK e-178| dnaK e-174| PTZ00400 e-170| DnaK e-166| PRK13411 e-165| dnaK e-164| PLN03184 e-156| HSPA5-like_NBD e-156| PTZ00186 e-152| PRK13410 e-143| HscA e-111| HSPA9-like_NBD e-111| HSPA9-Ssq1-like_NBD e-111| hscA e-110| Ssq1_like_NBD e-107| HSP70_NBD e-102| HSPA4_like_NDB 5e-092|</t>
  </si>
  <si>
    <t>tr|G3MGQ1|G3MGQ1_9ACAR</t>
  </si>
  <si>
    <t>Tubulin alpha-1A chain - Rattus norvegicus - GTPase activity - structural constituent of cytoskeleton - protein binding - GTP binding - cytoplasmic microtubule - GTP catabolic process - protein polymerization</t>
  </si>
  <si>
    <t>GTPase activity</t>
  </si>
  <si>
    <t>Catalysis of the reaction: GTP + H2O = GDP + phosphate.  [ISBN:0198547684]</t>
  </si>
  <si>
    <t>ARF small monomeric GTPase activity  NARROW []</t>
  </si>
  <si>
    <t>cytoplasmic microtubule</t>
  </si>
  <si>
    <t>Any microtubule in the cytoplasm of a cell.  [GOC:mah]</t>
  </si>
  <si>
    <t>non-spindle-associated astral microtubule  NARROW []</t>
  </si>
  <si>
    <t>alpha_tubulin | PLN00221 | PTZ00335 | COG5023 e-160| beta_tubulin e-103| PTZ00010 e-102| PLN00220 e-101| Tubulin 4e-099| Tubulin_FtsZ 5e-077| gamma_tubulin 1e-070| epsilon_tubulin 2e-064| PLN00222 5e-061| PTZ00387 6e-056| Tubulin 9e-037| delta_tubulin 2e-034| Tubulin_C 2e-030| Tubulin 5e-027| Tubulin_3 7e-004| FtsZ_type2 | misato |</t>
  </si>
  <si>
    <t>tr|G3MF27|G3MF27_9ACAR</t>
  </si>
  <si>
    <t>78 kDa glucose-regulated protein - Gallus gallus - protein binding - ATP binding - endoplasmic reticulum lumen - endoplasmic reticulum-Golgi intermediate compartment - ER overload response - activation of signaling protein activity involved in unfolded protein response - COP9 signalosome - cell surface - protein domain specific binding - cerebellum structural organization - cerebellar Purkinje cell layer development - integral component of endoplasmic reticulum membrane - midbody - negative regulation of transforming growth factor beta receptor signaling pathway - positive regulation of protein ubiquitination - ubiquitin protein ligase binding - endoplasmic reticulum chaperone complex - cellular response to glucose starvation - ribosome binding - negative regulation of apoptotic process - proteolysis involved in cellular protein catabolic process - misfolded protein binding - cellular response to interleukin-4</t>
  </si>
  <si>
    <t>endoplasmic reticulum lumen</t>
  </si>
  <si>
    <t>The volume enclosed by the membranes of the endoplasmic reticulum.  [ISBN:0198547684]</t>
  </si>
  <si>
    <t>cisternal lumen  EXACT []</t>
  </si>
  <si>
    <t>ER overload response</t>
  </si>
  <si>
    <t>The series of molecular signals generated by the accumulation of normal or misfolded proteins in the endoplasmic reticulum and leading to activation of transcription by NF-kappaB.  [PMID:10390516]</t>
  </si>
  <si>
    <t>endoplasmic reticulum overload response  EXACT []</t>
  </si>
  <si>
    <t>PTZ00009 | HSP70 | dnaK | prok_dnaK | HSPA5-like_NBD | PTZ00400 e-176| DnaK e-175| PRK13411 e-172| dnaK e-172| PLN03184 e-163| PTZ00186 e-156| PRK13410 e-154| HSPA1-2_6-8-like_NBD e-147| HSPA9-Ssq1-like_NBD e-118| HSPA9-like_NBD e-116| HscA e-116| hscA e-114| Ssq1_like_NBD e-104| HSP70_NBD e-104| HSPA13-like_NBD 7e-083|</t>
  </si>
  <si>
    <t>tr|G9M4L6|G9M4L6_HAELO</t>
  </si>
  <si>
    <t>MER278606</t>
  </si>
  <si>
    <t>LPD_N 7e-029| Vitellogenin_N 9e-021| DUF1943 2e-017| VWD 1e-013| VWD 2e-010| 6PF1K_euk | PLN03111 | carB | PLN03122 | M14-like_1_6 | COG1517 | phaR_Bmeg | PTZ00329 | COG4889 | PRK09689 | fliN | COG5277 | Dynamitin | pepcterm_hypo_1 | COG4388 |</t>
  </si>
  <si>
    <t>tr|G8C7A0|G8C7A0_HAELO</t>
  </si>
  <si>
    <t>MER158813</t>
  </si>
  <si>
    <t>His_Phos_2 2e-026| HP_HAP_like 2e-010| HMG-CoA-S_euk | HP | PRK03979 | guanyl_kin | phage_rinA | PTZ00432 | LA_like_plant | GRASP_SAV_5884 | IleS | DUF3122 | Glu-tRNAGln | rect | PI-PLCc_beta4 | FrhG | uvrC | COG2936 | Herpes_UL17 11| PRK05341 11|</t>
  </si>
  <si>
    <t>tr|G3BJU6|G3BJU6_HAELO</t>
  </si>
  <si>
    <t>MER453889</t>
  </si>
  <si>
    <t>C40.UPW</t>
  </si>
  <si>
    <t>putative basic-leucine zipper (bZIP) transcription factor - Dictyostelium discoideum - nucleus - regulation of transcription, DNA-templated - transcription, DNA-templated - DNA binding - sequence-specific DNA binding - sequence-specific DNA binding transcription factor activity</t>
  </si>
  <si>
    <t>PHA02693 | COG5661 | Cmr3_III-B | PLN02678 | Med8 | psiM2_ORF9 | TIGR00161 | CCDC155 | sbcB | PRK08084 | PRK05218 | VirE_N 11| Exonuc_X-T_C 11| Smc 11| NuoI 11| DUF4591 14| RRP7 14| InvH 14| acid_CoA_mut_N 14| PRK08566 14|</t>
  </si>
  <si>
    <t>tr|E1CAY0|E1CAY0_HAELO</t>
  </si>
  <si>
    <t>MER262574</t>
  </si>
  <si>
    <t>I08.951</t>
  </si>
  <si>
    <t>Vitellogenin_N 1e-044| LPD_N 5e-042| VWD 7e-011| VWD 8e-010| DUF1943 1e-004| PRK09603 | type_I_hlyD | PBP1_ABC_sugar_binding_like_2 | Nop52 | PHA03263 | PRK10190 | An_peroxidase_like | fliH | COG3011 | Tht1 17| Myosin_head 17| Apolipoprotein 22| BRO1_Rhophilin_2 22| hisC 22| PRK10930 22|</t>
  </si>
  <si>
    <t>tr|E1CAX9|E1CAX9_HAELO</t>
  </si>
  <si>
    <t>MER256695</t>
  </si>
  <si>
    <t>Caenorhabditis elegans - embryo development ending in birth or egg hatching - determination of adult lifespan - oviposition - germ cell development - defense response</t>
  </si>
  <si>
    <t>Vitellogenin_N 1e-046| LPD_N 2e-043| VWD 4e-006| VWD 0.033| PLN03244 0.095| PLN02960 | HSPA9-Ssq1-like_NBD | dnaK | 3a0801s03tim44 | PRK03619 | PRK14335 | PRK04527 | PRK09834 | PHA02792 | COG1672 | PBP1_iGluR_N_LIVBP_like | ED_3B_N_AMMECR1 12| GlutR_N 15| PRK05094 15| Tox-SGS 20|</t>
  </si>
  <si>
    <t>tr|B1B544|B1B544_HAELO</t>
  </si>
  <si>
    <t>Vitellogenin_N 3e-041| LPD_N 7e-039| DUF1943 2e-011| VWD 3e-011| VWD 2e-008| purM 0.002| PurM | Diacid_rec | PI3Ka | Rrn6 | PRK05385 | Bul1_C | nrdF2 | MPP_PAPs | spore_sigI | PLN02423 | EF-1_alpha | Peptidase_M4_C 11| exosort_VPLPA 11| PRK12822 11|</t>
  </si>
  <si>
    <t>Ixodes persulcatus</t>
  </si>
  <si>
    <t>tr|A9ZT00|A9ZT00_IXOPE</t>
  </si>
  <si>
    <t>MER331132</t>
  </si>
  <si>
    <t>M67.UNC</t>
  </si>
  <si>
    <t>zgc:123289 - Danio rerio - cytoplasm - nucleotide binding - cytoskeleton - ATP binding</t>
  </si>
  <si>
    <t>structural constituent of cytoskeleton</t>
  </si>
  <si>
    <t>The action of a molecule that contributes to the structural integrity of a cytoskeletal structure.  [GOC:mah]</t>
  </si>
  <si>
    <t>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</si>
  <si>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[GOC:mah, ISBN:0198506732, PMID:10666339]</t>
  </si>
  <si>
    <t>microfilament  EXACT []</t>
  </si>
  <si>
    <t>PTZ00281 | PTZ00004 e-180| ACTIN e-152| Actin e-138| PTZ00452 e-129| PTZ00466 e-115| COG5277 e-107| PTZ00280 8e-072| PRK06940 | Prog_receptor | PRK13480 | PRK07111 | MVD1 | bifunctional_CYPOR | PRK15182 | ileS | ilvA_1Cterm | PRK09331 | zwf | FBPase_glpX 11|</t>
  </si>
  <si>
    <t>tr|Q19V51|Q19V51_DERVA</t>
  </si>
  <si>
    <t>Vitellogenin_N 2e-039| LPD_N 6e-037| VWD 2e-010| VWD 2e-010| DUF1943 6e-009| MPP_PAPs | ATG27 | HDAC6-dom2 | EF-1_alpha | PRK08010 | PRK05849 | TraA_Ti | MscS | Glyco_hydro_48 | PRK13188 | ODC_inducible | TRM1 | PRK13578 | PTKc_Abl 11| PLN02738 11|</t>
  </si>
  <si>
    <t>tr|B1A5Z3|B1A5Z3_HAELO</t>
  </si>
  <si>
    <t>MER162999</t>
  </si>
  <si>
    <t>Caenorhabditis elegans - reproduction</t>
  </si>
  <si>
    <t>cornified envelope</t>
  </si>
  <si>
    <t>An insoluble protein structure formed under the plasma membrane of cornifying epithelial cells.  [PMID:11112355]</t>
  </si>
  <si>
    <t>epidermis development</t>
  </si>
  <si>
    <t>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  [GOC:go_curators, UBERON:0001003]</t>
  </si>
  <si>
    <t>hypodermis development  RELATED [GOC:kmv, GOC:rk]</t>
  </si>
  <si>
    <t>CY 8e-012| CY 6e-010| Cystatin 3e-004| GST_C_mPGES2 | PRK12480 | SSP160 | Alpha_E1_glycop | SLC5sbd_NIS-like_u3 | DUF4403 | PRK15294 | SerH | PRK10139 | LacZ | Rifin_STEVOR 12| pyrH 12| PRK14455 12| PRK04023 12| PhoH 12| Mrr_cat_2 16| DUF3498 16|</t>
  </si>
  <si>
    <t>tr|A5Z1D9|A5Z1D9_9ACAR</t>
  </si>
  <si>
    <t>MER499572</t>
  </si>
  <si>
    <t>Tropomyosin-2 - Bombyx mori - molecular_function - cellular_component - biological_process</t>
  </si>
  <si>
    <t>Tropomyosin 1e-091| Smc 5e-030| Tropomyosin_1 1e-028| SMC_prok_B 9e-028| SbcC 2e-025| SMC_prok_A 7e-022| Myosin_tail_1 2e-017| PRK03918 7e-017| WEMBL 2e-016| PRK02224 3e-016| PTZ00121 6e-016| Cast 8e-016| MAD 4e-015| COG1340 4e-015| SMC_N 4e-014| SCP-1 4e-012| mukB 7e-012| Lebercilin 1e-011| COG1579 1e-011| HOOK 1e-011|</t>
  </si>
  <si>
    <t>tr|Q2WFX6|Q2WFX6_HAELO</t>
  </si>
  <si>
    <t>MER058229</t>
  </si>
  <si>
    <t>A01.068</t>
  </si>
  <si>
    <t>cathD - Drosophila melanogaster - aspartic-type endopeptidase activity - salivary gland cell autophagic cell death - autophagic cell death - proteolysis - extracellular region - apoptotic process - microtubule associated complex - defense response to Gram-negative bacterium - nurse cell apoptotic process - lysosome</t>
  </si>
  <si>
    <t>aspartic-type endopeptidase activity</t>
  </si>
  <si>
    <t>Catalysis of the hydrolysis of internal, alpha-peptide bonds in a polypeptide chain by a mechanism in which a water molecule bound by the side chains of aspartic residues at the active center acts as a nucleophile.  [ISBN:0198506732]</t>
  </si>
  <si>
    <t>aspartate protease activity  EXACT [GOC:mah, GOC:vw]</t>
  </si>
  <si>
    <t>salivary gland cell autophagic cell death</t>
  </si>
  <si>
    <t>The stage-specific programmed cell death of salivary gland cells during salivary gland histolysis.  [GOC:bf, GOC:mtg_apoptosis, PMID:10882130]</t>
  </si>
  <si>
    <t>autophagic cell death of salivary gland cells  EXACT []</t>
  </si>
  <si>
    <t>Cathepsin_D_like e-130| Cathepsin_D2 e-122| phytepsin e-104| renin_like 3e-097| Proteinase_A_fungi 3e-091| Cathespin_E 5e-091| Asp 6e-084| pepsin_A 9e-082| gastricsin 4e-072| pepsin_like 8e-067| PTZ00165 4e-051| PTZ00013 4e-045| PTZ00147 2e-044| Aspergillopepsin_like 8e-028| beta_secretase_like 4e-025| pepsin_retropepsin_like 4e-024| SAP_like 3e-020| Plasmepsin_5 1e-011| pepsin_A_like_plant 7e-008| PLN03146 1e-006|</t>
  </si>
  <si>
    <t>tr|Q75Q63|Q75Q63_HAELO</t>
  </si>
  <si>
    <t>MER047774</t>
  </si>
  <si>
    <t>Serpin 4e-074| SERPIN 9e-069| SERPIN 8e-062| alpha-1-antitrypsin_like 6e-057| PAI-2 1e-055| ovalbumin_like 3e-054| ov-serpin 1e-051| COG4826 2e-051| bacterial_SERPIN 9e-050| neuroserpin 2e-047| HCII 6e-044| plant_SERPIN 1e-043| antithrombin-III_like 2e-043| PAI-1_nexin-1 2e-043| maspin_like 2e-038| PEDF 9e-037| PZI 5e-032| alpha2AP 2e-029| hsp47 1e-025| C1_inh 3e-025|</t>
  </si>
  <si>
    <t>tr|G3MT42|G3MT42_9ACAR</t>
  </si>
  <si>
    <t>MER257012</t>
  </si>
  <si>
    <t>T06.004</t>
  </si>
  <si>
    <t>ATP synthase subunit alpha - Gallus gallus - ATP binding - ATP synthesis coupled proton transport - ATP hydrolysis coupled proton transport - proton-transporting ATP synthase complex, catalytic core F(1) - proton-transporting ATP synthase activity, rotational mechanism - proton-transporting ATPase activity, rotational mechanism</t>
  </si>
  <si>
    <t>proton-transporting ATP synthase complex, catalytic core F(1)</t>
  </si>
  <si>
    <t>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[GOC:mah, PMID:10838056]</t>
  </si>
  <si>
    <t>hydrogen-transporting ATP synthase, F1 sector  EXACT []</t>
  </si>
  <si>
    <t>ATP synthesis coupled proton transport</t>
  </si>
  <si>
    <t>The transport of protons across a membrane to generate an electrochemical gradient (proton-motive force) that powers ATP synthesis.  [ISBN:0716731363]</t>
  </si>
  <si>
    <t>chemiosmosis  BROAD [GOC:rs]</t>
  </si>
  <si>
    <t>AtpA | PRK09281 | atpA | atpA e-160| PRK13343 e-141| alt_F1F0_F1_al e-127| F1_ATPase_alpha e-125| PTZ00185 e-107| PRK07165 2e-065| ATP-synt_ab 6e-046| PRK09099 3e-042| FliI_clade2 5e-042| FliI_clade1 9e-041| ATPase_flagellum-secretory_path_III 3e-040| FliI 2e-039| fliI 3e-039| fliI_yscN 9e-038| FliI_clade3 2e-036| III_secr_ATP 5e-036| fliI 3e-035|</t>
  </si>
  <si>
    <t>tr|A0A023GGR3|A0A023GGR3_9ACAR</t>
  </si>
  <si>
    <t>14-3-3zeta - Drosophila melanogaster - Ras protein signal transduction - activation of tryptophan 5-monooxygenase activity - protein kinase C inhibitor activity - tryptophan hydroxylase activator activity - protein binding - compound eye photoreceptor cell differentiation - cell proliferation - olfactory learning - chromosome segregation - mitotic cell cycle, embryonic - nucleus - learning or memory - germline ring canal - germarium-derived oocyte fate determination - oocyte microtubule cytoskeleton polarization - protein domain specific binding - protein folding - protein stabilization - microtubule associated complex - thermosensory behavior - protein homodimerization activity - protein heterodimerization activity - positive regulation of ERK1 and ERK2 cascade - positive regulation of Ras protein signal transduction</t>
  </si>
  <si>
    <t>14-3-3_1 e-123| 14-3-3_beta_zeta e-109| 14-3-3_theta e-103| 14-3-3_gamma e-100| 14-3-3_eta 2e-099| 14-3-3 7e-094| 14-3-3_sigma 1e-090| 14-3-3 2e-089| 14-3-3_epsilon 3e-089| BMH1 2e-087| 14-3-3_fungi 3e-086| 14_3_3 6e-085| 14-3-3_plant 2e-084| COG1340 0.005| PRK03918 0.013| PRK12704 0.017| SMC_prok_B 0.023| PIN_FEN1 0.050| SMC_prok_A 0.066| Cep57_CLD |</t>
  </si>
  <si>
    <t>tr|A0A034WXH7|A0A034WXH7_RHIMP</t>
  </si>
  <si>
    <t>MER147893</t>
  </si>
  <si>
    <t>Uncharacterized protein - Gallus gallus - lipid transporter activity - lipid transport</t>
  </si>
  <si>
    <t>VWD 2e-011| VWD 2e-008| COG1672 | COG0595 | GDPD_GDE6 | PRK14335 | Phage_sheath_1 | PRK14985 | DUF4621 18| Phage_F 18| PBP1_Speract_GC_like 18| rad25 18| DUF4205 24| GH57N_BE_TK1436_like 24| MPP_PP5_C 24| TIGR02466 24| PRK14526 24| PRK13662 24| Med23 31| DUF781 31|</t>
  </si>
  <si>
    <t>tr|A0A034WWU3|A0A034WWU3_RHIMP</t>
  </si>
  <si>
    <t>A2M_2 5e-074| A2M_like 1e-057| complement_C3_C4_C5 8e-045| A2M_comp 2e-042| ISOPREN_C2_like 3e-019| A2M 1e-015| A2M_recep 9e-009| A2M_N 8e-008| Thiol-ester_cl 9e-006| A2M_N_2 9e-004| COG2373 0.022| PTZ00058 | Tymo_45kd_70kd | PRK07189 | MtaB | PRK14707 | Drf_FH1 | PRK07804 | PHA01929 | COG4233 |</t>
  </si>
  <si>
    <t>alpha-2-macroglobulin</t>
  </si>
  <si>
    <t>ferritin</t>
  </si>
  <si>
    <t>GDP dissociation inhibitor</t>
  </si>
  <si>
    <t xml:space="preserve">beta tubulin </t>
  </si>
  <si>
    <t xml:space="preserve">myosin class i heavy chain </t>
  </si>
  <si>
    <t>myosin class ii heavy chain</t>
  </si>
  <si>
    <t>alpha tubulin</t>
  </si>
  <si>
    <t>glutathione S-transferase</t>
  </si>
  <si>
    <t>chorion peroxidase</t>
  </si>
  <si>
    <t xml:space="preserve">substrate adhesion-dependent cell spreading </t>
  </si>
  <si>
    <t xml:space="preserve">glycine-rich cell wall structural protein </t>
  </si>
  <si>
    <t>toll-like receptor 5</t>
  </si>
  <si>
    <t>serine carboxypeptidase</t>
  </si>
  <si>
    <t>phosphoserine aminotransferase</t>
  </si>
  <si>
    <t>catalytically inactive chitinase-like lectins</t>
  </si>
  <si>
    <t>ATP synthase subunit beta</t>
  </si>
  <si>
    <t xml:space="preserve">ATP synthase subunit alpha </t>
  </si>
  <si>
    <t>phospholipase A2</t>
  </si>
  <si>
    <t>farnesoic acid o-methyltransferase</t>
  </si>
  <si>
    <t xml:space="preserve">3-phosphoglycerate dehydrogenase </t>
  </si>
  <si>
    <t xml:space="preserve">3'(2')5'-bisphosphate nucleotidase </t>
  </si>
  <si>
    <t>Inosine-5'-monophosphate dehydrogenase</t>
  </si>
  <si>
    <t xml:space="preserve">Regucalcin </t>
  </si>
  <si>
    <t>heat shock protein hsp 90-alpha isoform</t>
  </si>
  <si>
    <t xml:space="preserve">heat shock protein </t>
  </si>
  <si>
    <t xml:space="preserve">heat shock 70 kDa protein </t>
  </si>
  <si>
    <t>lysosomal alpha-mannosidase-like isoform X2</t>
  </si>
  <si>
    <t>tick serine protease</t>
  </si>
  <si>
    <t>lysosomal &amp; prostatic acid phosphatase</t>
  </si>
  <si>
    <t>CNDP dipeptidase</t>
  </si>
  <si>
    <t>gmp synthase</t>
  </si>
  <si>
    <t>metalloexopeptidase</t>
  </si>
  <si>
    <t>annexin</t>
  </si>
  <si>
    <t>enolase</t>
  </si>
  <si>
    <t xml:space="preserve">ubiquitin/40s ribosomal protein s27a </t>
  </si>
  <si>
    <t xml:space="preserve">AAA+ ATPase </t>
  </si>
  <si>
    <t>elongation factor 2-like</t>
  </si>
  <si>
    <t>secreted protein</t>
  </si>
  <si>
    <t>Antigen 5/SCP</t>
  </si>
  <si>
    <t xml:space="preserve">secreted protein </t>
  </si>
  <si>
    <t>lipocalin</t>
  </si>
  <si>
    <t>serpin</t>
  </si>
  <si>
    <t>haemalin</t>
  </si>
  <si>
    <t>alpha-2-acroglobulin</t>
  </si>
  <si>
    <t>cystatin</t>
  </si>
  <si>
    <t xml:space="preserve">metabotropic glutamate receptor </t>
  </si>
  <si>
    <t xml:space="preserve">transforming growth factor-beta-induced protein ig-h3 </t>
  </si>
  <si>
    <t>calmodulin</t>
  </si>
  <si>
    <t>hemelipoprotein</t>
  </si>
  <si>
    <t xml:space="preserve">cysteine s-methyltransferase </t>
  </si>
  <si>
    <t xml:space="preserve">methyltransferase </t>
  </si>
  <si>
    <t>aicar transformylase/imp cyclohydrolase/methylglyoxal synthase</t>
  </si>
  <si>
    <t xml:space="preserve">Isocitrate dehydrogenase NADP </t>
  </si>
  <si>
    <t>actin depolymerizing factor</t>
  </si>
  <si>
    <t>tropomyosin</t>
  </si>
  <si>
    <t>actin</t>
  </si>
  <si>
    <t>glyceraldehyde-3-phosphate dehydrogenase</t>
  </si>
  <si>
    <t xml:space="preserve">glyceraldehyde-3-phosphate dehydrogenase </t>
  </si>
  <si>
    <t xml:space="preserve">dynein light chain </t>
  </si>
  <si>
    <t xml:space="preserve">actin-depolymerizing factor </t>
  </si>
  <si>
    <t xml:space="preserve">sulfotransferase </t>
  </si>
  <si>
    <t>catalase</t>
  </si>
  <si>
    <t>glutathione peroxidase</t>
  </si>
  <si>
    <t xml:space="preserve">cuticular protein </t>
  </si>
  <si>
    <t>paramyosin</t>
  </si>
  <si>
    <t>microtubule-binding protein</t>
  </si>
  <si>
    <t>Class</t>
  </si>
  <si>
    <t xml:space="preserve">cytochrome B5 </t>
  </si>
  <si>
    <t xml:space="preserve">histone H4 </t>
  </si>
  <si>
    <t>histone H2A</t>
  </si>
  <si>
    <t xml:space="preserve">protein disulfide-isomerase </t>
  </si>
  <si>
    <t>multifunctional chaperone</t>
  </si>
  <si>
    <t>heat shock protein 70 cognate</t>
  </si>
  <si>
    <t xml:space="preserve">heat shock-related protein </t>
  </si>
  <si>
    <t xml:space="preserve">lysosomal acid phosphatase </t>
  </si>
  <si>
    <t>putative aldehyde dehydrogenase</t>
  </si>
  <si>
    <t>aldehyde dehydrogenase</t>
  </si>
  <si>
    <t>AV422</t>
  </si>
  <si>
    <t>TIL</t>
  </si>
  <si>
    <t>cyclophilin 1</t>
  </si>
  <si>
    <t xml:space="preserve">regulatory protein mlp </t>
  </si>
  <si>
    <t>plexins functional semaphorin receptor</t>
  </si>
  <si>
    <t xml:space="preserve">glutamate receptor 1-like </t>
  </si>
  <si>
    <t xml:space="preserve">neuropeptide-like protein 31 </t>
  </si>
  <si>
    <t>gi|212549820|gb|ACJ26770.1|</t>
  </si>
  <si>
    <t>gi|114155432|dbj|BAF31119.1|</t>
  </si>
  <si>
    <t>gi|427778295|gb|JAA54599.1|</t>
  </si>
  <si>
    <t>gi|121309133|dbj|BAF43801.1|</t>
  </si>
  <si>
    <t>gi|346466897|gb|AEO33293.1|</t>
  </si>
  <si>
    <t>gi|427790335|gb|JAA60619.1|</t>
  </si>
  <si>
    <t>gi|68051217|dbj|BAE02551.1|</t>
  </si>
  <si>
    <t>gi|215492851|gb|EEC02492.1|</t>
  </si>
  <si>
    <t>Rm-6837</t>
  </si>
  <si>
    <t>gi|260175590|gb|ACX33152.1|</t>
  </si>
  <si>
    <t>gi|427779189|gb|JAA55046.1|</t>
  </si>
  <si>
    <t>gi|346469009|gb|AEO34349.1|</t>
  </si>
  <si>
    <t>Rm-32843</t>
  </si>
  <si>
    <t>Rm-12491</t>
  </si>
  <si>
    <t>gi|427785447|gb|JAA58175.1|</t>
  </si>
  <si>
    <t>gi|475393011|dbj|BAN13552.1|</t>
  </si>
  <si>
    <t>gi|427778333|gb|JAA54618.1|</t>
  </si>
  <si>
    <t>gi|346468747|gb|AEO34218.1|</t>
  </si>
  <si>
    <t>gi|325303202|tpg|DAA34687.1|</t>
  </si>
  <si>
    <t>Rm-21891</t>
  </si>
  <si>
    <t>gi|346471039|gb|AEO35364.1|</t>
  </si>
  <si>
    <t>gi|346472821|gb|AEO36255.1|</t>
  </si>
  <si>
    <t>gi|427796483|gb|JAA63693.1|</t>
  </si>
  <si>
    <t>gi|556055134|gb|JAB70612.1|</t>
  </si>
  <si>
    <t>gi|215496256|gb|EEC05896.1|</t>
  </si>
  <si>
    <t>gi|427795517|gb|JAA63210.1|</t>
  </si>
  <si>
    <t>Rm-44814</t>
  </si>
  <si>
    <t>gi|427793665|gb|JAA62284.1|</t>
  </si>
  <si>
    <t>Rm-9069</t>
  </si>
  <si>
    <t>gi|117938920|dbj|BAF36722.1|</t>
  </si>
  <si>
    <t>gi|556079866|gb|JAB80373.1|</t>
  </si>
  <si>
    <t>gi|427793545|gb|JAA62224.1|</t>
  </si>
  <si>
    <t>gi|346471027|gb|AEO35358.1|</t>
  </si>
  <si>
    <t>gi|346466113|gb|AEO32901.1|</t>
  </si>
  <si>
    <t>gi|346466079|gb|AEO32884.1|</t>
  </si>
  <si>
    <t>gi|427789701|gb|JAA60302.1|</t>
  </si>
  <si>
    <t>gi|194246095|gb|ACF35539.1|</t>
  </si>
  <si>
    <t>gi|346468263|gb|AEO33976.1|</t>
  </si>
  <si>
    <t>Rm-24571</t>
  </si>
  <si>
    <t>gi|346465493|gb|AEO32591.1|</t>
  </si>
  <si>
    <t>gi|307141010|gb|ADN34303.1|</t>
  </si>
  <si>
    <t>Rm-32496</t>
  </si>
  <si>
    <t>gi|215510547|gb|EEC20000.1|</t>
  </si>
  <si>
    <t>gi|139000435|dbj|BAF51711.1|</t>
  </si>
  <si>
    <t>gi|403241999|gb|AFR32950.1|</t>
  </si>
  <si>
    <t>gi|346469469|gb|AEO34579.1|</t>
  </si>
  <si>
    <t>gi|346471657|gb|AEO35673.1|</t>
  </si>
  <si>
    <t>Rm-62470</t>
  </si>
  <si>
    <t>Rm-80704</t>
  </si>
  <si>
    <t>gi|346471257|gb|AEO35473.1|</t>
  </si>
  <si>
    <t>gi|215496237|gb|EEC05877.1|</t>
  </si>
  <si>
    <t>gi|427789279|gb|JAA60091.1|</t>
  </si>
  <si>
    <t>gi|427793851|gb|JAA62377.1|</t>
  </si>
  <si>
    <t>Rm-26539</t>
  </si>
  <si>
    <t>Rm-73466</t>
  </si>
  <si>
    <t>gi|217034827|dbj|BAH02683.1|</t>
  </si>
  <si>
    <t>gi|198443749|gb|ACH88101.1|</t>
  </si>
  <si>
    <t>Rm-26196</t>
  </si>
  <si>
    <t>Rm-32846</t>
  </si>
  <si>
    <t>Rm-50382</t>
  </si>
  <si>
    <t>gi|189339121|dbj|BAG41813.1|</t>
  </si>
  <si>
    <t>gi|254674508|dbj|BAH86062.1|</t>
  </si>
  <si>
    <t>gi|346466171|gb|AEO32930.1|</t>
  </si>
  <si>
    <t>gi|442747401|gb|JAA65860.1|</t>
  </si>
  <si>
    <t>gi|346465959|gb|AEO32824.1|</t>
  </si>
  <si>
    <t>gi|346469857|gb|AEO34773.1|</t>
  </si>
  <si>
    <t>gi|427777737|gb|JAA54320.1|</t>
  </si>
  <si>
    <t>gi|427789169|gb|JAA60036.1|</t>
  </si>
  <si>
    <t>gi|427789439|gb|JAA60171.1|</t>
  </si>
  <si>
    <t>gi|427795293|gb|JAA63098.1|</t>
  </si>
  <si>
    <t>gi|442749105|gb|JAA66712.1|</t>
  </si>
  <si>
    <t>gi|556065543|gb|JAB75807.1|</t>
  </si>
  <si>
    <t>gi|148717319|dbj|BAF63673.1|</t>
  </si>
  <si>
    <t>gi|215504612|gb|EEC14106.1|</t>
  </si>
  <si>
    <t>gi|442750725|gb|JAA67522.1|</t>
  </si>
  <si>
    <t>gi|442753619|gb|JAA68969.1|</t>
  </si>
  <si>
    <t>gi|556064673|gb|JAB75372.1|</t>
  </si>
  <si>
    <t>gi|556070157|gb|JAB78095.1|</t>
  </si>
  <si>
    <t>Rm-73635</t>
  </si>
  <si>
    <t>Rm-79606</t>
  </si>
  <si>
    <t>gi|215504632|gb|EEC14126.1|</t>
  </si>
  <si>
    <t>gi|260908418|gb|ACX53929.1|</t>
  </si>
  <si>
    <t>gi|346465995|gb|AEO32842.1|</t>
  </si>
  <si>
    <t>gi|346466425|gb|AEO33057.1|</t>
  </si>
  <si>
    <t>gi|556063869|gb|JAB74970.1|</t>
  </si>
  <si>
    <t>Rm-46289</t>
  </si>
  <si>
    <t>Rm-6587</t>
  </si>
  <si>
    <t>gi|34539115|gb|AAQ74441.1|</t>
  </si>
  <si>
    <t>gi|346469573|gb|AEO34631.1|</t>
  </si>
  <si>
    <t>gi|346471319|gb|AEO35504.1|</t>
  </si>
  <si>
    <t>gi|427789577|gb|JAA60240.1|</t>
  </si>
  <si>
    <t>gi|556060594|gb|JAB73342.1|</t>
  </si>
  <si>
    <t>Rm-69447</t>
  </si>
  <si>
    <t>gi|196476818|gb|ACG76272.1|</t>
  </si>
  <si>
    <t>gi|325303614|tpg|DAA34555.1|</t>
  </si>
  <si>
    <t>gi|346465577|gb|AEO32633.1|</t>
  </si>
  <si>
    <t>gi|427788171|gb|JAA59537.1|</t>
  </si>
  <si>
    <t>gi|427793155|gb|JAA62029.1|</t>
  </si>
  <si>
    <t>gi|556066272|gb|JAB76162.1|</t>
  </si>
  <si>
    <t>gi|65332126|gb|AAY42205.1|</t>
  </si>
  <si>
    <t>gi|169159125|dbj|BAG12081.1|</t>
  </si>
  <si>
    <t>gi|307933356|dbj|BAJ21514.1|</t>
  </si>
  <si>
    <t>gi|365189209|dbj|BAL42280.1|</t>
  </si>
  <si>
    <t>gi|307933358|dbj|BAJ21515.1|</t>
  </si>
  <si>
    <t>gi|427789957|gb|JAA60430.1|</t>
  </si>
  <si>
    <t>Rm-72548</t>
  </si>
  <si>
    <t>Rm-7619</t>
  </si>
  <si>
    <t>gi|164472819|dbj|BAF98180.1|</t>
  </si>
  <si>
    <t>gi|427799043|gb|JAA64973.1|</t>
  </si>
  <si>
    <t>gi|442762197|gb|JAA73257.1|</t>
  </si>
  <si>
    <t>gi|42662201|dbj|BAD11156.1|</t>
  </si>
  <si>
    <t>gi|427788401|gb|JAA59652.1|</t>
  </si>
  <si>
    <t>gi|89954505|gb|ABD83654.1|</t>
  </si>
  <si>
    <t>gi|427792449|gb|JAA61676.1|</t>
  </si>
  <si>
    <t>gi|440573224|gb|AGC13075.1|</t>
  </si>
  <si>
    <t>gi|346465893|gb|AEO32791.1|</t>
  </si>
  <si>
    <t>gi|296051289|gb|ADG86641.1|</t>
  </si>
  <si>
    <t>gi|346469987|gb|AEO34838.1|</t>
  </si>
  <si>
    <t>gi|346464501|gb|AEO32095.1|</t>
  </si>
  <si>
    <t>gi|460239124|gb|AGH08176.1|</t>
  </si>
  <si>
    <t>gi|167613909|gb|ABZ89554.1|</t>
  </si>
  <si>
    <t>gi|346465649|gb|AEO32669.1|</t>
  </si>
  <si>
    <t>Rm-69112</t>
  </si>
  <si>
    <t>gi|148616183|gb|ABQ96858.1|</t>
  </si>
  <si>
    <t>gi|83319201|dbj|BAE53722.1|</t>
  </si>
  <si>
    <t>gi|346470069|gb|AEO34879.1|</t>
  </si>
  <si>
    <t>gi|301015208|gb|ADK47399.1|</t>
  </si>
  <si>
    <t>gi|346469535|gb|AEO34612.1|</t>
  </si>
  <si>
    <t>gi|427794259|gb|JAA62581.1|</t>
  </si>
  <si>
    <t>Rm-10851</t>
  </si>
  <si>
    <t>gi|346468407|gb|AEO34048.1|</t>
  </si>
  <si>
    <t>tr|L7M097|L7M097_9ACAR</t>
  </si>
  <si>
    <t>MER135254</t>
  </si>
  <si>
    <t>Retinal dehydrogenase 1 - Gallus gallus - retinal dehydrogenase activity - cytoplasm - retinol metabolic process - oxidation-reduction process</t>
  </si>
  <si>
    <t>retinal dehydrogenase activity</t>
  </si>
  <si>
    <t>Catalysis of the reaction: retinal + NAD+ + H2O = retinoate + NADH. Acts on both 11-trans and 13-cis forms of retinal.  [EC:1.2.1.36]</t>
  </si>
  <si>
    <t>cytosolic retinal dehydrogenase activity  EXACT [EC:1.2.1.36]</t>
  </si>
  <si>
    <t>retinol metabolic process</t>
  </si>
  <si>
    <t>The chemical reactions and pathways involving retinol, one of the three compounds that makes up vitamin A.  [GOC:jl, http://www.indstate.edu/thcme/mwking/vitamins.html, PMID:1924551]</t>
  </si>
  <si>
    <t>retinol metabolism  EXACT []</t>
  </si>
  <si>
    <t>ALDH_F1AB_F2_RALDH1 | ALDH_F1-2_Ald2-like e-168| ALDH_F2BC e-154| PLN02466 e-152| PLN02766 e-149| ALDH_AldA_AN0554 e-147| ALDH_ALD2-YMR170C e-143| Aldedh e-129| ALDH_HMSADH_HapE e-126| ALDH_F1L_FTFDH e-126|</t>
  </si>
  <si>
    <t>tr|A0A023FLL7|A0A023FLL7_9ACAR</t>
  </si>
  <si>
    <t>beta_tubulin | PTZ00010 | PLN00220 | COG5023 e-130| Tubulin e-108| PTZ00335 3e-099| PLN00221 3e-097| alpha_tubulin 2e-094| Tubulin_FtsZ 6e-079| gamma_tubulin 2e-070|</t>
  </si>
  <si>
    <t>tr|A0A034WXH1|A0A034WXH1_RHIMP</t>
  </si>
  <si>
    <t>MER391744</t>
  </si>
  <si>
    <t>LPD_N 6e-015| Vitellogenin_N 1e-014| DUF1943 4e-010| TLF | FANC | HEAT_2 | THR_DH_like | fabG | TM_PBP1_LivM_like | menC_gamma/gm+ |</t>
  </si>
  <si>
    <t>tr|A0A023GGV6|A0A023GGV6_9ACAR</t>
  </si>
  <si>
    <t>MER210294</t>
  </si>
  <si>
    <t>Uncharacterized protein - Oryctolagus cuniculus - cytosol - 15-hydroxyprostaglandin dehydrogenase (NAD+) activity - oxidation-reduction process</t>
  </si>
  <si>
    <t>15-hydroxyprostaglandin dehydrogenase (NAD+) activity</t>
  </si>
  <si>
    <t>Catalysis of the reaction: (5Z,13E)-(15S)-11-alpha,15-dihydroxy-9-oxoprost-13-enoate + NAD+ = (5Z,13E)-11-alpha-hydroxy-9,15-dioxoprost-13-enoate + NADH + H+.  [EC:1.1.1.141]</t>
  </si>
  <si>
    <t>(5Z,13E)-(15S)-11alpha,15-dihydroxy-9-oxoprost-13-enoate:NAD+ 15-oxidoreductase activity  EXACT [EC:1.1.1.141]</t>
  </si>
  <si>
    <t>ADH_SDR_c_like 2e-033| PRK06172 1e-024| PRK06949 2e-024| SDR_c 5e-024| 23BDH 1e-023| PHB_DH 1e-023| BKR_3_SDR_c 9e-023| HSD10-like_SDR_c 2e-022| 3beta-17beta-HSD_like_SDR_c 2e-022| PRK07067 2e-022|</t>
  </si>
  <si>
    <t>beta tubulin partial</t>
  </si>
  <si>
    <t>15-hydroxyprostaglandin dehydrogenase</t>
  </si>
  <si>
    <t>Contig number</t>
  </si>
  <si>
    <t>radixin/ezrin/moesin</t>
  </si>
  <si>
    <t>transketolase</t>
  </si>
  <si>
    <t>longipain</t>
  </si>
  <si>
    <t>cathepsin L-like</t>
  </si>
  <si>
    <t xml:space="preserve">aspartic protease </t>
  </si>
  <si>
    <t xml:space="preserve">14-3-3zeta </t>
  </si>
  <si>
    <t>glycine-rich protein</t>
  </si>
  <si>
    <t>zinc finger protein</t>
  </si>
  <si>
    <t>homocysteine S-methyltransferase</t>
  </si>
  <si>
    <t xml:space="preserve">phosphoribosylamidoimidazole-succinocarboxamide synthase </t>
  </si>
  <si>
    <t xml:space="preserve">elongation factor 1-alpha </t>
  </si>
  <si>
    <t>apolipophorin</t>
  </si>
  <si>
    <t>Glycine-rich protein</t>
  </si>
  <si>
    <t>Cytoskeletal</t>
  </si>
  <si>
    <t>Oxidant metabolism/detoxification</t>
  </si>
  <si>
    <t>Extracellular matrix/cell adhesion</t>
  </si>
  <si>
    <t>Immunity</t>
  </si>
  <si>
    <t>Metabolism, carbohydrate</t>
  </si>
  <si>
    <t>Metabolism, energy</t>
  </si>
  <si>
    <t>Metabolism, lipid</t>
  </si>
  <si>
    <t>Metabolism, amino acid</t>
  </si>
  <si>
    <t>Metabolism, nucleotide</t>
  </si>
  <si>
    <t>Nuclear regulation</t>
  </si>
  <si>
    <t>Protein export machinery</t>
  </si>
  <si>
    <t>Protein modification machinery</t>
  </si>
  <si>
    <t>Proteasome machinery</t>
  </si>
  <si>
    <t>Protein synthesis machinery</t>
  </si>
  <si>
    <t>Secreted conserved protein</t>
  </si>
  <si>
    <t>Lipocalin</t>
  </si>
  <si>
    <t>Proteinase</t>
  </si>
  <si>
    <t>Proteinase inhibitor</t>
  </si>
  <si>
    <t>Signal transduction</t>
  </si>
  <si>
    <t>Heme/iron metabolism</t>
  </si>
  <si>
    <t>Transcription machinery</t>
  </si>
  <si>
    <t>Transporters/receptors</t>
  </si>
  <si>
    <t>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</si>
</sst>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rgb="FF002060"/>
      <name val="Calibri"/>
      <family val="2"/>
      <scheme val="minor"/>
    </font>
    <font>
      <b/>
      <sz val="8"/>
      <color rgb="FFFF0000"/>
      <name val="Calibri"/>
      <family val="2"/>
      <scheme val="minor"/>
    </font>
    <font>
      <i/>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11" fontId="18" fillId="0" borderId="0" xfId="0" applyNumberFormat="1" applyFont="1"/>
    <xf numFmtId="0" fontId="18" fillId="0" borderId="0" xfId="0" applyFont="1" applyFill="1"/>
    <xf numFmtId="11" fontId="18" fillId="0" borderId="0" xfId="0" applyNumberFormat="1" applyFont="1" applyFill="1"/>
    <xf numFmtId="0" fontId="19" fillId="33" borderId="0" xfId="0" applyFont="1" applyFill="1" applyAlignment="1">
      <alignment wrapText="1"/>
    </xf>
    <xf numFmtId="0" fontId="19" fillId="34" borderId="0" xfId="0" applyFont="1" applyFill="1" applyAlignment="1">
      <alignment wrapText="1"/>
    </xf>
    <xf numFmtId="0" fontId="20" fillId="0" borderId="0" xfId="0" applyFont="1"/>
    <xf numFmtId="0" fontId="21" fillId="0" borderId="0" xfId="0" applyFont="1"/>
    <xf numFmtId="0" fontId="21" fillId="0"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139"/>
  <sheetViews>
    <sheetView tabSelected="1" workbookViewId="0">
      <selection activeCell="E8" sqref="E8"/>
    </sheetView>
  </sheetViews>
  <sheetFormatPr defaultRowHeight="11.25" x14ac:dyDescent="0.2"/>
  <cols>
    <col min="1" max="1" width="23.5703125" style="1" bestFit="1" customWidth="1"/>
    <col min="2" max="2" width="18.42578125" style="1" customWidth="1"/>
    <col min="3" max="4" width="9.140625" style="1"/>
    <col min="5" max="5" width="26.42578125" style="1" customWidth="1"/>
    <col min="6" max="6" width="33.7109375" style="1" customWidth="1"/>
    <col min="7" max="7" width="25.140625" style="1" bestFit="1" customWidth="1"/>
    <col min="8" max="16384" width="9.140625" style="1"/>
  </cols>
  <sheetData>
    <row r="1" spans="1:108" s="5" customFormat="1" ht="56.25" x14ac:dyDescent="0.2">
      <c r="A1" s="5" t="s">
        <v>1447</v>
      </c>
      <c r="B1" s="5" t="s">
        <v>1447</v>
      </c>
      <c r="C1" s="5" t="s">
        <v>0</v>
      </c>
      <c r="D1" s="5" t="s">
        <v>1</v>
      </c>
      <c r="E1" s="5" t="s">
        <v>2</v>
      </c>
      <c r="F1" s="6" t="s">
        <v>1483</v>
      </c>
      <c r="G1" s="6" t="s">
        <v>1274</v>
      </c>
      <c r="H1" s="5" t="s">
        <v>3</v>
      </c>
      <c r="I1" s="5" t="s">
        <v>4</v>
      </c>
      <c r="J1" s="5" t="s">
        <v>5</v>
      </c>
      <c r="K1" s="5" t="s">
        <v>6</v>
      </c>
      <c r="L1" s="5" t="s">
        <v>7</v>
      </c>
      <c r="M1" s="5" t="s">
        <v>8</v>
      </c>
      <c r="N1" s="5" t="s">
        <v>9</v>
      </c>
      <c r="O1" s="5" t="s">
        <v>10</v>
      </c>
      <c r="P1" s="5" t="s">
        <v>11</v>
      </c>
      <c r="Q1" s="5" t="s">
        <v>12</v>
      </c>
      <c r="R1" s="5" t="s">
        <v>13</v>
      </c>
      <c r="S1" s="5" t="s">
        <v>14</v>
      </c>
      <c r="T1" s="5" t="s">
        <v>15</v>
      </c>
      <c r="U1" s="5" t="s">
        <v>16</v>
      </c>
      <c r="V1" s="5" t="s">
        <v>17</v>
      </c>
      <c r="W1" s="5" t="s">
        <v>18</v>
      </c>
      <c r="X1" s="5" t="s">
        <v>4</v>
      </c>
      <c r="Y1" s="5" t="s">
        <v>5</v>
      </c>
      <c r="Z1" s="5" t="s">
        <v>6</v>
      </c>
      <c r="AA1" s="5" t="s">
        <v>7</v>
      </c>
      <c r="AB1" s="5" t="s">
        <v>8</v>
      </c>
      <c r="AC1" s="5" t="s">
        <v>9</v>
      </c>
      <c r="AD1" s="5" t="s">
        <v>10</v>
      </c>
      <c r="AE1" s="5" t="s">
        <v>11</v>
      </c>
      <c r="AF1" s="5" t="s">
        <v>12</v>
      </c>
      <c r="AG1" s="5" t="s">
        <v>13</v>
      </c>
      <c r="AH1" s="5" t="s">
        <v>14</v>
      </c>
      <c r="AI1" s="5" t="s">
        <v>15</v>
      </c>
      <c r="AJ1" s="5" t="s">
        <v>16</v>
      </c>
      <c r="AK1" s="5" t="s">
        <v>17</v>
      </c>
      <c r="AL1" s="5" t="s">
        <v>19</v>
      </c>
      <c r="AM1" s="5" t="s">
        <v>4</v>
      </c>
      <c r="AN1" s="5" t="s">
        <v>5</v>
      </c>
      <c r="AO1" s="5" t="s">
        <v>6</v>
      </c>
      <c r="AP1" s="5" t="s">
        <v>7</v>
      </c>
      <c r="AQ1" s="5" t="s">
        <v>8</v>
      </c>
      <c r="AR1" s="5" t="s">
        <v>9</v>
      </c>
      <c r="AS1" s="5" t="s">
        <v>10</v>
      </c>
      <c r="AT1" s="5" t="s">
        <v>11</v>
      </c>
      <c r="AU1" s="5" t="s">
        <v>12</v>
      </c>
      <c r="AV1" s="5" t="s">
        <v>13</v>
      </c>
      <c r="AW1" s="5" t="s">
        <v>14</v>
      </c>
      <c r="AX1" s="5" t="s">
        <v>15</v>
      </c>
      <c r="AY1" s="5" t="s">
        <v>16</v>
      </c>
      <c r="AZ1" s="5" t="s">
        <v>17</v>
      </c>
      <c r="BA1" s="5" t="s">
        <v>20</v>
      </c>
      <c r="BB1" s="5" t="s">
        <v>4</v>
      </c>
      <c r="BC1" s="5" t="s">
        <v>5</v>
      </c>
      <c r="BD1" s="5" t="s">
        <v>6</v>
      </c>
      <c r="BE1" s="5" t="s">
        <v>7</v>
      </c>
      <c r="BF1" s="5" t="s">
        <v>8</v>
      </c>
      <c r="BG1" s="5" t="s">
        <v>9</v>
      </c>
      <c r="BH1" s="5" t="s">
        <v>10</v>
      </c>
      <c r="BI1" s="5" t="s">
        <v>11</v>
      </c>
      <c r="BJ1" s="5" t="s">
        <v>12</v>
      </c>
      <c r="BK1" s="5" t="s">
        <v>13</v>
      </c>
      <c r="BL1" s="5" t="s">
        <v>14</v>
      </c>
      <c r="BM1" s="5" t="s">
        <v>15</v>
      </c>
      <c r="BN1" s="5" t="s">
        <v>16</v>
      </c>
      <c r="BO1" s="5" t="s">
        <v>17</v>
      </c>
      <c r="BP1" s="5" t="s">
        <v>21</v>
      </c>
      <c r="BQ1" s="5" t="s">
        <v>4</v>
      </c>
      <c r="BR1" s="5" t="s">
        <v>22</v>
      </c>
      <c r="BS1" s="5" t="s">
        <v>23</v>
      </c>
      <c r="BT1" s="5" t="s">
        <v>24</v>
      </c>
      <c r="BU1" s="5" t="s">
        <v>25</v>
      </c>
      <c r="BV1" s="5" t="s">
        <v>26</v>
      </c>
      <c r="BW1" s="5" t="s">
        <v>27</v>
      </c>
      <c r="BX1" s="5" t="s">
        <v>4</v>
      </c>
      <c r="BY1" s="5" t="s">
        <v>28</v>
      </c>
      <c r="BZ1" s="5" t="s">
        <v>29</v>
      </c>
      <c r="CA1" s="5" t="s">
        <v>24</v>
      </c>
      <c r="CB1" s="5" t="s">
        <v>25</v>
      </c>
      <c r="CC1" s="5" t="s">
        <v>26</v>
      </c>
      <c r="CD1" s="5" t="s">
        <v>27</v>
      </c>
      <c r="CE1" s="5" t="s">
        <v>4</v>
      </c>
      <c r="CF1" s="5" t="s">
        <v>30</v>
      </c>
      <c r="CG1" s="5" t="s">
        <v>31</v>
      </c>
      <c r="CH1" s="5" t="s">
        <v>24</v>
      </c>
      <c r="CI1" s="5" t="s">
        <v>25</v>
      </c>
      <c r="CJ1" s="5" t="s">
        <v>26</v>
      </c>
      <c r="CK1" s="5" t="s">
        <v>27</v>
      </c>
      <c r="CL1" s="5" t="s">
        <v>4</v>
      </c>
      <c r="CM1" s="5" t="s">
        <v>32</v>
      </c>
      <c r="CN1" s="5" t="s">
        <v>4</v>
      </c>
      <c r="CO1" s="5" t="s">
        <v>33</v>
      </c>
      <c r="CP1" s="5" t="s">
        <v>34</v>
      </c>
      <c r="CQ1" s="5" t="s">
        <v>4</v>
      </c>
      <c r="CR1" s="5" t="s">
        <v>5</v>
      </c>
      <c r="CS1" s="5" t="s">
        <v>6</v>
      </c>
      <c r="CT1" s="5" t="s">
        <v>7</v>
      </c>
      <c r="CU1" s="5" t="s">
        <v>8</v>
      </c>
      <c r="CV1" s="5" t="s">
        <v>9</v>
      </c>
      <c r="CW1" s="5" t="s">
        <v>10</v>
      </c>
      <c r="CX1" s="5" t="s">
        <v>11</v>
      </c>
      <c r="CY1" s="5" t="s">
        <v>12</v>
      </c>
      <c r="CZ1" s="5" t="s">
        <v>13</v>
      </c>
      <c r="DA1" s="5" t="s">
        <v>14</v>
      </c>
      <c r="DB1" s="5" t="s">
        <v>15</v>
      </c>
      <c r="DC1" s="5" t="s">
        <v>16</v>
      </c>
      <c r="DD1" s="5" t="s">
        <v>17</v>
      </c>
    </row>
    <row r="2" spans="1:108" x14ac:dyDescent="0.2">
      <c r="A2" s="1" t="s">
        <v>1321</v>
      </c>
      <c r="B2" s="1" t="str">
        <f>HYPERLINK(".\links\\gi_117938920-.txt","gi_117938920")</f>
        <v>gi_117938920</v>
      </c>
      <c r="C2" s="1" t="s">
        <v>98</v>
      </c>
      <c r="D2" s="1">
        <v>217</v>
      </c>
      <c r="E2" s="8" t="s">
        <v>53</v>
      </c>
      <c r="F2" s="1" t="s">
        <v>1218</v>
      </c>
      <c r="G2" s="1" t="s">
        <v>1460</v>
      </c>
      <c r="H2" s="1" t="str">
        <f>HYPERLINK(".\links\UNIPROT-ACARI\gi_117938920-UNIPROT-ACARI.txt","Cement-like antigen (Fragment)")</f>
        <v>Cement-like antigen (Fragment)</v>
      </c>
      <c r="I2" s="1" t="str">
        <f>HYPERLINK("http://www.ncbi.nlm.nih.gov/sutils/blink.cgi?pid=A0JC33","1E-127")</f>
        <v>1E-127</v>
      </c>
      <c r="J2" s="1" t="s">
        <v>285</v>
      </c>
      <c r="K2" s="1">
        <v>452</v>
      </c>
      <c r="L2" s="1">
        <v>217</v>
      </c>
      <c r="M2" s="1">
        <v>217</v>
      </c>
      <c r="N2" s="1">
        <v>100</v>
      </c>
      <c r="O2" s="1">
        <v>100</v>
      </c>
      <c r="P2" s="1">
        <v>100</v>
      </c>
      <c r="Q2" s="1">
        <v>0</v>
      </c>
      <c r="R2" s="1">
        <v>0</v>
      </c>
      <c r="S2" s="1">
        <v>1</v>
      </c>
      <c r="T2" s="1">
        <v>1</v>
      </c>
      <c r="U2" s="1">
        <v>1</v>
      </c>
      <c r="V2" s="1" t="s">
        <v>36</v>
      </c>
      <c r="W2" s="1" t="str">
        <f>HYPERLINK(".\links\NR-LIGHT\gi_117938920-NR-LIGHT.txt","cement-like antigen")</f>
        <v>cement-like antigen</v>
      </c>
      <c r="X2" s="1" t="str">
        <f>HYPERLINK("http://www.ncbi.nlm.nih.gov/sutils/blink.cgi?pid=117938920","1E-126")</f>
        <v>1E-126</v>
      </c>
      <c r="Y2" s="1" t="str">
        <f>HYPERLINK("http://www.ncbi.nlm.nih.gov/protein/117938920","gi|117938920")</f>
        <v>gi|117938920</v>
      </c>
      <c r="Z2" s="1">
        <v>452</v>
      </c>
      <c r="AA2" s="1">
        <v>217</v>
      </c>
      <c r="AB2" s="1">
        <v>217</v>
      </c>
      <c r="AC2" s="1">
        <v>100</v>
      </c>
      <c r="AD2" s="1">
        <v>100</v>
      </c>
      <c r="AE2" s="1">
        <v>100</v>
      </c>
      <c r="AF2" s="1">
        <v>0</v>
      </c>
      <c r="AG2" s="1">
        <v>0</v>
      </c>
      <c r="AH2" s="1">
        <v>1</v>
      </c>
      <c r="AI2" s="1">
        <v>1</v>
      </c>
      <c r="AJ2" s="1">
        <v>1</v>
      </c>
      <c r="AK2" s="1" t="s">
        <v>53</v>
      </c>
      <c r="AL2" s="1" t="str">
        <f>HYPERLINK(".\links\REFSEQ-INVERTEBRATE\gi_117938920-REFSEQ-INVERTEBRATE.txt","hypothetical protein CRE_02887")</f>
        <v>hypothetical protein CRE_02887</v>
      </c>
      <c r="AM2" s="1" t="str">
        <f>HYPERLINK("http://www.ncbi.nlm.nih.gov/sutils/blink.cgi?pid=308498980","3E-032")</f>
        <v>3E-032</v>
      </c>
      <c r="AN2" s="1" t="str">
        <f>HYPERLINK("http://www.ncbi.nlm.nih.gov/protein/308498980","gi|308498980")</f>
        <v>gi|308498980</v>
      </c>
      <c r="AO2" s="1">
        <v>139</v>
      </c>
      <c r="AP2" s="1">
        <v>174</v>
      </c>
      <c r="AQ2" s="1">
        <v>267</v>
      </c>
      <c r="AR2" s="1">
        <v>54</v>
      </c>
      <c r="AS2" s="1">
        <v>58</v>
      </c>
      <c r="AT2" s="1">
        <v>65</v>
      </c>
      <c r="AU2" s="1">
        <v>79</v>
      </c>
      <c r="AV2" s="1">
        <v>19</v>
      </c>
      <c r="AW2" s="1">
        <v>101</v>
      </c>
      <c r="AX2" s="1">
        <v>21</v>
      </c>
      <c r="AY2" s="1">
        <v>1</v>
      </c>
      <c r="AZ2" s="1" t="s">
        <v>286</v>
      </c>
      <c r="BA2" s="1" t="str">
        <f>HYPERLINK(".\links\MEROPS\gi_117938920-MEROPS.txt","- clp-1 g.p. ({Caenorhabditis elegans}) (Ascaris suum)")</f>
        <v>- clp-1 g.p. ({Caenorhabditis elegans}) (Ascaris suum)</v>
      </c>
      <c r="BB2" s="1" t="str">
        <f>HYPERLINK("http://www.ncbi.nlm.nih.gov/sutils/blink.cgi?pid=241620 - clp-1 g.p. ({Caenorhabditis elegans}) (Ascaris suum) [C02.A03]#C02A#{peptidase unit","7E-019")</f>
        <v>7E-019</v>
      </c>
      <c r="BC2" s="1" t="s">
        <v>287</v>
      </c>
      <c r="BD2" s="1">
        <v>94.4</v>
      </c>
      <c r="BE2" s="1">
        <v>207</v>
      </c>
      <c r="BF2" s="1">
        <v>855</v>
      </c>
      <c r="BG2" s="1">
        <v>38</v>
      </c>
      <c r="BH2" s="1">
        <v>45</v>
      </c>
      <c r="BI2" s="1">
        <v>24</v>
      </c>
      <c r="BJ2" s="1">
        <v>127</v>
      </c>
      <c r="BK2" s="1">
        <v>40</v>
      </c>
      <c r="BL2" s="1">
        <v>85</v>
      </c>
      <c r="BM2" s="1">
        <v>35</v>
      </c>
      <c r="BN2" s="1">
        <v>1</v>
      </c>
      <c r="BO2" s="1" t="s">
        <v>288</v>
      </c>
      <c r="BP2" s="1" t="s">
        <v>289</v>
      </c>
      <c r="BQ2" s="1">
        <f>HYPERLINK(".\links\GO\gi_117938920-GO.txt",5E-27)</f>
        <v>5.0000000000000002E-27</v>
      </c>
      <c r="BR2" s="1" t="str">
        <f>HYPERLINK("http://amigo.geneontology.org/cgi-bin/amigo/term_details?term=GO:0003674","GO:0003674")</f>
        <v>GO:0003674</v>
      </c>
      <c r="BS2" s="1" t="s">
        <v>220</v>
      </c>
      <c r="BT2" s="1" t="s">
        <v>221</v>
      </c>
      <c r="BU2" s="1" t="s">
        <v>222</v>
      </c>
      <c r="BV2" s="1" t="s">
        <v>36</v>
      </c>
      <c r="BX2" s="2">
        <v>2.9999999999999998E-25</v>
      </c>
      <c r="BY2" s="1" t="str">
        <f>HYPERLINK("http://amigo.geneontology.org/cgi-bin/amigo/term_details?term=GO:0005575","GO:0005575")</f>
        <v>GO:0005575</v>
      </c>
      <c r="BZ2" s="1" t="s">
        <v>60</v>
      </c>
      <c r="CA2" s="1" t="s">
        <v>61</v>
      </c>
      <c r="CB2" s="1" t="s">
        <v>62</v>
      </c>
      <c r="CC2" s="1" t="s">
        <v>36</v>
      </c>
      <c r="CE2" s="2">
        <v>2.9999999999999998E-25</v>
      </c>
      <c r="CF2" s="1" t="str">
        <f>HYPERLINK("http://amigo.geneontology.org/cgi-bin/amigo/term_details?term=GO:0008150","GO:0008150")</f>
        <v>GO:0008150</v>
      </c>
      <c r="CG2" s="1" t="s">
        <v>223</v>
      </c>
      <c r="CH2" s="1" t="s">
        <v>224</v>
      </c>
      <c r="CI2" s="1" t="s">
        <v>225</v>
      </c>
      <c r="CJ2" s="1" t="s">
        <v>36</v>
      </c>
      <c r="CL2" s="2">
        <v>2.9999999999999998E-25</v>
      </c>
      <c r="CM2" s="1" t="str">
        <f>HYPERLINK(".\links\CDD\gi_117938920-CDD.txt","Gly_rich")</f>
        <v>Gly_rich</v>
      </c>
      <c r="CN2" s="1" t="str">
        <f>HYPERLINK("http://www.ncbi.nlm.nih.gov/Structure/cdd/cddsrv.cgi?uid=pfam12810&amp;version=v4.0","4E-010")</f>
        <v>4E-010</v>
      </c>
      <c r="CO2" s="1" t="s">
        <v>290</v>
      </c>
      <c r="CP2" s="1" t="str">
        <f>HYPERLINK(".\links\ACARI\gi_117938920-ACARI.txt","cement-like antigen, partial")</f>
        <v>cement-like antigen, partial</v>
      </c>
      <c r="CQ2" s="1" t="str">
        <f>HYPERLINK("http://www.ncbi.nlm.nih.gov/sutils/blink.cgi?pid=117938920","1E-127")</f>
        <v>1E-127</v>
      </c>
      <c r="CR2" s="1" t="str">
        <f>HYPERLINK("http://www.ncbi.nlm.nih.gov/protein/117938920","gi|117938920")</f>
        <v>gi|117938920</v>
      </c>
      <c r="CS2" s="1">
        <v>452</v>
      </c>
      <c r="CT2" s="1">
        <v>217</v>
      </c>
      <c r="CU2" s="1">
        <v>217</v>
      </c>
      <c r="CV2" s="1">
        <v>100</v>
      </c>
      <c r="CW2" s="1">
        <v>100</v>
      </c>
      <c r="CX2" s="1">
        <v>100</v>
      </c>
      <c r="CY2" s="1">
        <v>0</v>
      </c>
      <c r="CZ2" s="1">
        <v>0</v>
      </c>
      <c r="DA2" s="1">
        <v>1</v>
      </c>
      <c r="DB2" s="1">
        <v>1</v>
      </c>
      <c r="DC2" s="1">
        <v>1</v>
      </c>
      <c r="DD2" s="1" t="s">
        <v>53</v>
      </c>
    </row>
    <row r="3" spans="1:108" x14ac:dyDescent="0.2">
      <c r="A3" s="3" t="s">
        <v>1358</v>
      </c>
      <c r="B3" s="3" t="str">
        <f>HYPERLINK(".\links\\gi_427777737-.txt","gi_427777737")</f>
        <v>gi_427777737</v>
      </c>
      <c r="C3" s="3" t="s">
        <v>35</v>
      </c>
      <c r="D3" s="3">
        <v>355</v>
      </c>
      <c r="E3" s="9" t="s">
        <v>68</v>
      </c>
      <c r="F3" s="3" t="s">
        <v>1454</v>
      </c>
      <c r="G3" s="1" t="s">
        <v>1460</v>
      </c>
      <c r="H3" s="3" t="str">
        <f>HYPERLINK(".\links\UNIPROT-ACARI\gi_427777737-UNIPROT-ACARI.txt","Putative glycine rich protein")</f>
        <v>Putative glycine rich protein</v>
      </c>
      <c r="I3" s="3" t="str">
        <f>HYPERLINK("http://www.ncbi.nlm.nih.gov/sutils/blink.cgi?pid=L7LRH1","0.0")</f>
        <v>0.0</v>
      </c>
      <c r="J3" s="3" t="s">
        <v>649</v>
      </c>
      <c r="K3" s="3">
        <v>763</v>
      </c>
      <c r="L3" s="3">
        <v>355</v>
      </c>
      <c r="M3" s="3">
        <v>355</v>
      </c>
      <c r="N3" s="3">
        <v>100</v>
      </c>
      <c r="O3" s="3">
        <v>100</v>
      </c>
      <c r="P3" s="3">
        <v>100</v>
      </c>
      <c r="Q3" s="3">
        <v>0</v>
      </c>
      <c r="R3" s="3">
        <v>0</v>
      </c>
      <c r="S3" s="3">
        <v>1</v>
      </c>
      <c r="T3" s="3">
        <v>1</v>
      </c>
      <c r="U3" s="3">
        <v>1</v>
      </c>
      <c r="V3" s="3" t="s">
        <v>36</v>
      </c>
      <c r="W3" s="3" t="str">
        <f>HYPERLINK(".\links\NR-LIGHT\gi_427777737-NR-LIGHT.txt","RNA-binding protein musashi, putative")</f>
        <v>RNA-binding protein musashi, putative</v>
      </c>
      <c r="X3" s="3" t="str">
        <f>HYPERLINK("http://www.ncbi.nlm.nih.gov/sutils/blink.cgi?pid=241627626","0.0")</f>
        <v>0.0</v>
      </c>
      <c r="Y3" s="3" t="str">
        <f>HYPERLINK("http://www.ncbi.nlm.nih.gov/protein/241627626","gi|241627626")</f>
        <v>gi|241627626</v>
      </c>
      <c r="Z3" s="3">
        <v>659</v>
      </c>
      <c r="AA3" s="3">
        <v>360</v>
      </c>
      <c r="AB3" s="3">
        <v>353</v>
      </c>
      <c r="AC3" s="3">
        <v>90</v>
      </c>
      <c r="AD3" s="3">
        <v>91</v>
      </c>
      <c r="AE3" s="3">
        <v>102</v>
      </c>
      <c r="AF3" s="3">
        <v>36</v>
      </c>
      <c r="AG3" s="3">
        <v>12</v>
      </c>
      <c r="AH3" s="3">
        <v>1</v>
      </c>
      <c r="AI3" s="3">
        <v>1</v>
      </c>
      <c r="AJ3" s="3">
        <v>1</v>
      </c>
      <c r="AK3" s="3" t="s">
        <v>40</v>
      </c>
      <c r="AL3" s="3" t="str">
        <f>HYPERLINK(".\links\REFSEQ-INVERTEBRATE\gi_427777737-REFSEQ-INVERTEBRATE.txt","RNA-binding protein musashi, putative")</f>
        <v>RNA-binding protein musashi, putative</v>
      </c>
      <c r="AM3" s="3" t="str">
        <f>HYPERLINK("http://www.ncbi.nlm.nih.gov/sutils/blink.cgi?pid=241627626","0.0")</f>
        <v>0.0</v>
      </c>
      <c r="AN3" s="3" t="str">
        <f>HYPERLINK("http://www.ncbi.nlm.nih.gov/protein/241627626","gi|241627626")</f>
        <v>gi|241627626</v>
      </c>
      <c r="AO3" s="3">
        <v>659</v>
      </c>
      <c r="AP3" s="3">
        <v>360</v>
      </c>
      <c r="AQ3" s="3">
        <v>353</v>
      </c>
      <c r="AR3" s="3">
        <v>90</v>
      </c>
      <c r="AS3" s="3">
        <v>91</v>
      </c>
      <c r="AT3" s="3">
        <v>102</v>
      </c>
      <c r="AU3" s="3">
        <v>36</v>
      </c>
      <c r="AV3" s="3">
        <v>12</v>
      </c>
      <c r="AW3" s="3">
        <v>1</v>
      </c>
      <c r="AX3" s="3">
        <v>1</v>
      </c>
      <c r="AY3" s="3">
        <v>1</v>
      </c>
      <c r="AZ3" s="3" t="s">
        <v>40</v>
      </c>
      <c r="BA3" s="3" t="str">
        <f>HYPERLINK(".\links\MEROPS\gi_427777737-MEROPS.txt","- PHEX peptidase (Tupaia chinensis)")</f>
        <v>- PHEX peptidase (Tupaia chinensis)</v>
      </c>
      <c r="BB3" s="3" t="str">
        <f>HYPERLINK("http://www.ncbi.nlm.nih.gov/sutils/blink.cgi?pid=189162 - PHEX peptidase (Tupaia chinensis) [M13.091]#M13#{peptidase unit","1E-037")</f>
        <v>1E-037</v>
      </c>
      <c r="BC3" s="3" t="s">
        <v>650</v>
      </c>
      <c r="BD3" s="3">
        <v>157</v>
      </c>
      <c r="BE3" s="3">
        <v>224</v>
      </c>
      <c r="BF3" s="3">
        <v>915</v>
      </c>
      <c r="BG3" s="3">
        <v>41</v>
      </c>
      <c r="BH3" s="3">
        <v>51</v>
      </c>
      <c r="BI3" s="3">
        <v>24</v>
      </c>
      <c r="BJ3" s="3">
        <v>130</v>
      </c>
      <c r="BK3" s="3">
        <v>29</v>
      </c>
      <c r="BL3" s="3">
        <v>497</v>
      </c>
      <c r="BM3" s="3">
        <v>96</v>
      </c>
      <c r="BN3" s="3">
        <v>1</v>
      </c>
      <c r="BO3" s="3" t="s">
        <v>651</v>
      </c>
      <c r="BP3" s="3" t="s">
        <v>652</v>
      </c>
      <c r="BQ3" s="3">
        <f>HYPERLINK(".\links\GO\gi_427777737-GO.txt",2E-80)</f>
        <v>1.9999999999999999E-80</v>
      </c>
      <c r="BR3" s="3" t="str">
        <f>HYPERLINK("http://amigo.geneontology.org/cgi-bin/amigo/term_details?term=GO:0003730","GO:0003730")</f>
        <v>GO:0003730</v>
      </c>
      <c r="BS3" s="3" t="s">
        <v>653</v>
      </c>
      <c r="BT3" s="3" t="s">
        <v>654</v>
      </c>
      <c r="BU3" s="3" t="s">
        <v>655</v>
      </c>
      <c r="BV3" s="3" t="s">
        <v>36</v>
      </c>
      <c r="BW3" s="3"/>
      <c r="BX3" s="4">
        <v>1.9999999999999999E-80</v>
      </c>
      <c r="BY3" s="3" t="str">
        <f>HYPERLINK("http://amigo.geneontology.org/cgi-bin/amigo/term_details?term=GO:0005634","GO:0005634")</f>
        <v>GO:0005634</v>
      </c>
      <c r="BZ3" s="3" t="s">
        <v>359</v>
      </c>
      <c r="CA3" s="3" t="s">
        <v>360</v>
      </c>
      <c r="CB3" s="3" t="s">
        <v>361</v>
      </c>
      <c r="CC3" s="3" t="s">
        <v>36</v>
      </c>
      <c r="CD3" s="3"/>
      <c r="CE3" s="4">
        <v>1.9999999999999999E-80</v>
      </c>
      <c r="CF3" s="3" t="str">
        <f>HYPERLINK("http://amigo.geneontology.org/cgi-bin/amigo/term_details?term=GO:0008069","GO:0008069")</f>
        <v>GO:0008069</v>
      </c>
      <c r="CG3" s="3" t="s">
        <v>656</v>
      </c>
      <c r="CH3" s="3" t="s">
        <v>657</v>
      </c>
      <c r="CI3" s="3" t="s">
        <v>658</v>
      </c>
      <c r="CJ3" s="3" t="s">
        <v>36</v>
      </c>
      <c r="CK3" s="3"/>
      <c r="CL3" s="4">
        <v>1.9999999999999999E-80</v>
      </c>
      <c r="CM3" s="3" t="str">
        <f>HYPERLINK(".\links\CDD\gi_427777737-CDD.txt","RRM1_hnRPDL")</f>
        <v>RRM1_hnRPDL</v>
      </c>
      <c r="CN3" s="3" t="str">
        <f>HYPERLINK("http://www.ncbi.nlm.nih.gov/Structure/cdd/cddsrv.cgi?uid=cd12758&amp;version=v4.0","8E-021")</f>
        <v>8E-021</v>
      </c>
      <c r="CO3" s="3" t="s">
        <v>659</v>
      </c>
      <c r="CP3" s="3" t="str">
        <f>HYPERLINK(".\links\ACARI\gi_427777737-ACARI.txt","Putative glycine rich protein")</f>
        <v>Putative glycine rich protein</v>
      </c>
      <c r="CQ3" s="3" t="str">
        <f>HYPERLINK("http://www.ncbi.nlm.nih.gov/sutils/blink.cgi?pid=427777737","0.0")</f>
        <v>0.0</v>
      </c>
      <c r="CR3" s="3" t="str">
        <f>HYPERLINK("http://www.ncbi.nlm.nih.gov/protein/427777737","gi|427777737")</f>
        <v>gi|427777737</v>
      </c>
      <c r="CS3" s="3">
        <v>763</v>
      </c>
      <c r="CT3" s="3">
        <v>355</v>
      </c>
      <c r="CU3" s="3">
        <v>355</v>
      </c>
      <c r="CV3" s="3">
        <v>100</v>
      </c>
      <c r="CW3" s="3">
        <v>100</v>
      </c>
      <c r="CX3" s="3">
        <v>100</v>
      </c>
      <c r="CY3" s="3">
        <v>0</v>
      </c>
      <c r="CZ3" s="3">
        <v>0</v>
      </c>
      <c r="DA3" s="3">
        <v>1</v>
      </c>
      <c r="DB3" s="3">
        <v>1</v>
      </c>
      <c r="DC3" s="3">
        <v>1</v>
      </c>
      <c r="DD3" s="3" t="s">
        <v>68</v>
      </c>
    </row>
    <row r="4" spans="1:108" x14ac:dyDescent="0.2">
      <c r="A4" s="3" t="s">
        <v>1300</v>
      </c>
      <c r="B4" s="3" t="str">
        <f>HYPERLINK(".\links\\Rm-6837-.txt","Rm-6837")</f>
        <v>Rm-6837</v>
      </c>
      <c r="C4" s="3" t="s">
        <v>35</v>
      </c>
      <c r="D4" s="3">
        <v>130</v>
      </c>
      <c r="E4" s="9" t="s">
        <v>203</v>
      </c>
      <c r="F4" s="3" t="s">
        <v>347</v>
      </c>
      <c r="G4" s="1" t="s">
        <v>1460</v>
      </c>
      <c r="H4" s="3" t="str">
        <f>HYPERLINK(".\links\UNIPROT-ACARI\Rm-6837-UNIPROT-ACARI.txt","Large GYY protein 1")</f>
        <v>Large GYY protein 1</v>
      </c>
      <c r="I4" s="3" t="str">
        <f>HYPERLINK("http://www.ncbi.nlm.nih.gov/sutils/blink.cgi?pid=A0A034WXT5","2E-073")</f>
        <v>2E-073</v>
      </c>
      <c r="J4" s="3" t="s">
        <v>348</v>
      </c>
      <c r="K4" s="3">
        <v>271</v>
      </c>
      <c r="L4" s="3">
        <v>130</v>
      </c>
      <c r="M4" s="3">
        <v>130</v>
      </c>
      <c r="N4" s="3">
        <v>100</v>
      </c>
      <c r="O4" s="3">
        <v>100</v>
      </c>
      <c r="P4" s="3">
        <v>100</v>
      </c>
      <c r="Q4" s="3">
        <v>0</v>
      </c>
      <c r="R4" s="3">
        <v>0</v>
      </c>
      <c r="S4" s="3">
        <v>1</v>
      </c>
      <c r="T4" s="3">
        <v>1</v>
      </c>
      <c r="U4" s="3">
        <v>1</v>
      </c>
      <c r="V4" s="3" t="s">
        <v>36</v>
      </c>
      <c r="W4" s="3" t="str">
        <f>HYPERLINK(".\links\NR-LIGHT\Rm-6837-NR-LIGHT.txt","glycine proline-rich secreted protein, putative")</f>
        <v>glycine proline-rich secreted protein, putative</v>
      </c>
      <c r="X4" s="3" t="str">
        <f>HYPERLINK("http://www.ncbi.nlm.nih.gov/sutils/blink.cgi?pid=241705099","2E-044")</f>
        <v>2E-044</v>
      </c>
      <c r="Y4" s="3" t="str">
        <f>HYPERLINK("http://www.ncbi.nlm.nih.gov/protein/241705099","gi|241705099")</f>
        <v>gi|241705099</v>
      </c>
      <c r="Z4" s="3">
        <v>180</v>
      </c>
      <c r="AA4" s="3">
        <v>116</v>
      </c>
      <c r="AB4" s="3">
        <v>115</v>
      </c>
      <c r="AC4" s="3">
        <v>69</v>
      </c>
      <c r="AD4" s="3">
        <v>85</v>
      </c>
      <c r="AE4" s="3">
        <v>101</v>
      </c>
      <c r="AF4" s="3">
        <v>35</v>
      </c>
      <c r="AG4" s="3">
        <v>1</v>
      </c>
      <c r="AH4" s="3">
        <v>1</v>
      </c>
      <c r="AI4" s="3">
        <v>15</v>
      </c>
      <c r="AJ4" s="3">
        <v>1</v>
      </c>
      <c r="AK4" s="3" t="s">
        <v>40</v>
      </c>
      <c r="AL4" s="3" t="str">
        <f>HYPERLINK(".\links\REFSEQ-INVERTEBRATE\Rm-6837-REFSEQ-INVERTEBRATE.txt","glycine proline-rich secreted protein, putative")</f>
        <v>glycine proline-rich secreted protein, putative</v>
      </c>
      <c r="AM4" s="3" t="str">
        <f>HYPERLINK("http://www.ncbi.nlm.nih.gov/sutils/blink.cgi?pid=241705099","5E-045")</f>
        <v>5E-045</v>
      </c>
      <c r="AN4" s="3" t="str">
        <f>HYPERLINK("http://www.ncbi.nlm.nih.gov/protein/241705099","gi|241705099")</f>
        <v>gi|241705099</v>
      </c>
      <c r="AO4" s="3">
        <v>180</v>
      </c>
      <c r="AP4" s="3">
        <v>116</v>
      </c>
      <c r="AQ4" s="3">
        <v>115</v>
      </c>
      <c r="AR4" s="3">
        <v>69</v>
      </c>
      <c r="AS4" s="3">
        <v>85</v>
      </c>
      <c r="AT4" s="3">
        <v>101</v>
      </c>
      <c r="AU4" s="3">
        <v>35</v>
      </c>
      <c r="AV4" s="3">
        <v>1</v>
      </c>
      <c r="AW4" s="3">
        <v>1</v>
      </c>
      <c r="AX4" s="3">
        <v>15</v>
      </c>
      <c r="AY4" s="3">
        <v>1</v>
      </c>
      <c r="AZ4" s="3" t="s">
        <v>40</v>
      </c>
      <c r="BA4" s="3" t="str">
        <f>HYPERLINK(".\links\MEROPS\Rm-6837-MEROPS.txt","- nup189 ({Schizosaccharomyces pombe}) (Arthroderma otae)")</f>
        <v>- nup189 ({Schizosaccharomyces pombe}) (Arthroderma otae)</v>
      </c>
      <c r="BB4" s="3" t="str">
        <f>HYPERLINK("http://www.ncbi.nlm.nih.gov/sutils/blink.cgi?pid=330945 - nup189 ({Schizosaccharomyces pombe}) (Arthroderma otae) [S59.A07]#S59#{peptidase unit","3E-005")</f>
        <v>3E-005</v>
      </c>
      <c r="BC4" s="3" t="s">
        <v>349</v>
      </c>
      <c r="BD4" s="3">
        <v>47.8</v>
      </c>
      <c r="BE4" s="3">
        <v>114</v>
      </c>
      <c r="BF4" s="3">
        <v>1945</v>
      </c>
      <c r="BG4" s="3">
        <v>28</v>
      </c>
      <c r="BH4" s="3">
        <v>42</v>
      </c>
      <c r="BI4" s="3">
        <v>6</v>
      </c>
      <c r="BJ4" s="3">
        <v>81</v>
      </c>
      <c r="BK4" s="3">
        <v>20</v>
      </c>
      <c r="BL4" s="3">
        <v>24</v>
      </c>
      <c r="BM4" s="3">
        <v>37</v>
      </c>
      <c r="BN4" s="3">
        <v>1</v>
      </c>
      <c r="BO4" s="3" t="s">
        <v>350</v>
      </c>
      <c r="BP4" s="3" t="s">
        <v>351</v>
      </c>
      <c r="BQ4" s="3">
        <f>HYPERLINK(".\links\GO\Rm-6837-GO.txt",0.0000007)</f>
        <v>6.9999999999999997E-7</v>
      </c>
      <c r="BR4" s="3" t="str">
        <f>HYPERLINK("http://amigo.geneontology.org/cgi-bin/amigo/term_details?term=GO:0008026","GO:0008026")</f>
        <v>GO:0008026</v>
      </c>
      <c r="BS4" s="3" t="s">
        <v>352</v>
      </c>
      <c r="BT4" s="3" t="s">
        <v>353</v>
      </c>
      <c r="BU4" s="3" t="s">
        <v>36</v>
      </c>
      <c r="BV4" s="3" t="s">
        <v>36</v>
      </c>
      <c r="BW4" s="3"/>
      <c r="BX4" s="3">
        <v>6.9999999999999997E-7</v>
      </c>
      <c r="BY4" s="3" t="str">
        <f>HYPERLINK("http://amigo.geneontology.org/cgi-bin/amigo/term_details?term=GO:0005700","GO:0005700")</f>
        <v>GO:0005700</v>
      </c>
      <c r="BZ4" s="3" t="s">
        <v>354</v>
      </c>
      <c r="CA4" s="3" t="s">
        <v>355</v>
      </c>
      <c r="CB4" s="3" t="s">
        <v>36</v>
      </c>
      <c r="CC4" s="3" t="s">
        <v>36</v>
      </c>
      <c r="CD4" s="3"/>
      <c r="CE4" s="3">
        <v>6.9999999999999997E-7</v>
      </c>
      <c r="CF4" s="3" t="str">
        <f>HYPERLINK("http://amigo.geneontology.org/cgi-bin/amigo/term_details?term=GO:0007549","GO:0007549")</f>
        <v>GO:0007549</v>
      </c>
      <c r="CG4" s="3" t="s">
        <v>356</v>
      </c>
      <c r="CH4" s="3" t="s">
        <v>357</v>
      </c>
      <c r="CI4" s="3" t="s">
        <v>36</v>
      </c>
      <c r="CJ4" s="3" t="s">
        <v>36</v>
      </c>
      <c r="CK4" s="3"/>
      <c r="CL4" s="3">
        <v>6.9999999999999997E-7</v>
      </c>
      <c r="CM4" s="3" t="str">
        <f>HYPERLINK(".\links\CDD\Rm-6837-CDD.txt","eIF-4B")</f>
        <v>eIF-4B</v>
      </c>
      <c r="CN4" s="3" t="str">
        <f>HYPERLINK("http://www.ncbi.nlm.nih.gov/Structure/cdd/cddsrv.cgi?uid=pfam06273&amp;version=v4.0","8E-004")</f>
        <v>8E-004</v>
      </c>
      <c r="CO4" s="3" t="s">
        <v>358</v>
      </c>
      <c r="CP4" s="3" t="str">
        <f>HYPERLINK(".\links\ACARI\Rm-6837-ACARI.txt","large GYY protein 1")</f>
        <v>large GYY protein 1</v>
      </c>
      <c r="CQ4" s="3" t="str">
        <f>HYPERLINK("http://www.ncbi.nlm.nih.gov/sutils/blink.cgi?pid=629510373","2E-073")</f>
        <v>2E-073</v>
      </c>
      <c r="CR4" s="3" t="str">
        <f>HYPERLINK("http://www.ncbi.nlm.nih.gov/protein/629510373","gi|629510373")</f>
        <v>gi|629510373</v>
      </c>
      <c r="CS4" s="3">
        <v>271</v>
      </c>
      <c r="CT4" s="3">
        <v>130</v>
      </c>
      <c r="CU4" s="3">
        <v>130</v>
      </c>
      <c r="CV4" s="3">
        <v>100</v>
      </c>
      <c r="CW4" s="3">
        <v>100</v>
      </c>
      <c r="CX4" s="3">
        <v>100</v>
      </c>
      <c r="CY4" s="3">
        <v>0</v>
      </c>
      <c r="CZ4" s="3">
        <v>0</v>
      </c>
      <c r="DA4" s="3">
        <v>1</v>
      </c>
      <c r="DB4" s="3">
        <v>1</v>
      </c>
      <c r="DC4" s="3">
        <v>1</v>
      </c>
      <c r="DD4" s="3" t="s">
        <v>203</v>
      </c>
    </row>
    <row r="5" spans="1:108" x14ac:dyDescent="0.2">
      <c r="A5" s="1" t="s">
        <v>1415</v>
      </c>
      <c r="B5" s="1" t="str">
        <f>HYPERLINK(".\links\\gi_148616183-.txt","gi_148616183")</f>
        <v>gi_148616183</v>
      </c>
      <c r="C5" s="1" t="s">
        <v>35</v>
      </c>
      <c r="D5" s="1">
        <v>284</v>
      </c>
      <c r="E5" s="8" t="s">
        <v>390</v>
      </c>
      <c r="F5" s="1" t="s">
        <v>1262</v>
      </c>
      <c r="G5" s="1" t="s">
        <v>1461</v>
      </c>
      <c r="H5" s="1" t="str">
        <f>HYPERLINK(".\links\UNIPROT-ACARI\gi_148616183-UNIPROT-ACARI.txt","Putative uncharacterized protein")</f>
        <v>Putative uncharacterized protein</v>
      </c>
      <c r="I5" s="1" t="str">
        <f>HYPERLINK("http://www.ncbi.nlm.nih.gov/sutils/blink.cgi?pid=A5Z1D9","1E-151")</f>
        <v>1E-151</v>
      </c>
      <c r="J5" s="1" t="s">
        <v>1170</v>
      </c>
      <c r="K5" s="1">
        <v>531</v>
      </c>
      <c r="L5" s="1">
        <v>284</v>
      </c>
      <c r="M5" s="1">
        <v>284</v>
      </c>
      <c r="N5" s="1">
        <v>100</v>
      </c>
      <c r="O5" s="1">
        <v>100</v>
      </c>
      <c r="P5" s="1">
        <v>100</v>
      </c>
      <c r="Q5" s="1">
        <v>0</v>
      </c>
      <c r="R5" s="1">
        <v>0</v>
      </c>
      <c r="S5" s="1">
        <v>1</v>
      </c>
      <c r="T5" s="1">
        <v>1</v>
      </c>
      <c r="U5" s="1">
        <v>1</v>
      </c>
      <c r="V5" s="1" t="s">
        <v>36</v>
      </c>
      <c r="W5" s="1" t="str">
        <f>HYPERLINK(".\links\NR-LIGHT\gi_148616183-NR-LIGHT.txt","unknown")</f>
        <v>unknown</v>
      </c>
      <c r="X5" s="1" t="str">
        <f>HYPERLINK("http://www.ncbi.nlm.nih.gov/sutils/blink.cgi?pid=148616183","1E-149")</f>
        <v>1E-149</v>
      </c>
      <c r="Y5" s="1" t="str">
        <f>HYPERLINK("http://www.ncbi.nlm.nih.gov/protein/148616183","gi|148616183")</f>
        <v>gi|148616183</v>
      </c>
      <c r="Z5" s="1">
        <v>531</v>
      </c>
      <c r="AA5" s="1">
        <v>284</v>
      </c>
      <c r="AB5" s="1">
        <v>284</v>
      </c>
      <c r="AC5" s="1">
        <v>100</v>
      </c>
      <c r="AD5" s="1">
        <v>100</v>
      </c>
      <c r="AE5" s="1">
        <v>100</v>
      </c>
      <c r="AF5" s="1">
        <v>0</v>
      </c>
      <c r="AG5" s="1">
        <v>0</v>
      </c>
      <c r="AH5" s="1">
        <v>1</v>
      </c>
      <c r="AI5" s="1">
        <v>1</v>
      </c>
      <c r="AJ5" s="1">
        <v>1</v>
      </c>
      <c r="AK5" s="1" t="s">
        <v>390</v>
      </c>
      <c r="AL5" s="1" t="str">
        <f>HYPERLINK(".\links\REFSEQ-INVERTEBRATE\gi_148616183-REFSEQ-INVERTEBRATE.txt","tropomyosin-like isoform 2")</f>
        <v>tropomyosin-like isoform 2</v>
      </c>
      <c r="AM5" s="1" t="str">
        <f>HYPERLINK("http://www.ncbi.nlm.nih.gov/sutils/blink.cgi?pid=391341817","1E-132")</f>
        <v>1E-132</v>
      </c>
      <c r="AN5" s="1" t="str">
        <f>HYPERLINK("http://www.ncbi.nlm.nih.gov/protein/391341817","gi|391341817")</f>
        <v>gi|391341817</v>
      </c>
      <c r="AO5" s="1">
        <v>471</v>
      </c>
      <c r="AP5" s="1">
        <v>284</v>
      </c>
      <c r="AQ5" s="1">
        <v>284</v>
      </c>
      <c r="AR5" s="1">
        <v>88</v>
      </c>
      <c r="AS5" s="1">
        <v>93</v>
      </c>
      <c r="AT5" s="1">
        <v>100</v>
      </c>
      <c r="AU5" s="1">
        <v>34</v>
      </c>
      <c r="AV5" s="1">
        <v>0</v>
      </c>
      <c r="AW5" s="1">
        <v>1</v>
      </c>
      <c r="AX5" s="1">
        <v>1</v>
      </c>
      <c r="AY5" s="1">
        <v>1</v>
      </c>
      <c r="AZ5" s="1" t="s">
        <v>392</v>
      </c>
      <c r="BA5" s="1" t="str">
        <f>HYPERLINK(".\links\MEROPS\gi_148616183-MEROPS.txt","- subfamily M23B non-peptidase homologues (Arthrospira platensis)")</f>
        <v>- subfamily M23B non-peptidase homologues (Arthrospira platensis)</v>
      </c>
      <c r="BB5" s="1" t="str">
        <f>HYPERLINK("http://www.ncbi.nlm.nih.gov/sutils/blink.cgi?pid=499572 - subfamily M23B non-peptidase homologues (Arthrospira platensis) [M23.UNB]#M23B#{peptidase unit","2E-015")</f>
        <v>2E-015</v>
      </c>
      <c r="BC5" s="1" t="s">
        <v>1171</v>
      </c>
      <c r="BD5" s="1">
        <v>84</v>
      </c>
      <c r="BE5" s="1">
        <v>287</v>
      </c>
      <c r="BF5" s="1">
        <v>813</v>
      </c>
      <c r="BG5" s="1">
        <v>19</v>
      </c>
      <c r="BH5" s="1">
        <v>46</v>
      </c>
      <c r="BI5" s="1">
        <v>35</v>
      </c>
      <c r="BJ5" s="1">
        <v>232</v>
      </c>
      <c r="BK5" s="1">
        <v>11</v>
      </c>
      <c r="BL5" s="1">
        <v>357</v>
      </c>
      <c r="BM5" s="1">
        <v>6</v>
      </c>
      <c r="BN5" s="1">
        <v>1</v>
      </c>
      <c r="BO5" s="1" t="s">
        <v>415</v>
      </c>
      <c r="BP5" s="1" t="s">
        <v>1172</v>
      </c>
      <c r="BQ5" s="1">
        <f>HYPERLINK(".\links\GO\gi_148616183-GO.txt",0)</f>
        <v>0</v>
      </c>
      <c r="BR5" s="1" t="str">
        <f>HYPERLINK("http://amigo.geneontology.org/cgi-bin/amigo/term_details?term=GO:0003674","GO:0003674")</f>
        <v>GO:0003674</v>
      </c>
      <c r="BS5" s="1" t="s">
        <v>220</v>
      </c>
      <c r="BT5" s="1" t="s">
        <v>221</v>
      </c>
      <c r="BU5" s="1" t="s">
        <v>222</v>
      </c>
      <c r="BV5" s="1" t="s">
        <v>36</v>
      </c>
      <c r="BX5" s="2">
        <v>9.9999999999999999E-119</v>
      </c>
      <c r="BY5" s="1" t="str">
        <f>HYPERLINK("http://amigo.geneontology.org/cgi-bin/amigo/term_details?term=GO:0005575","GO:0005575")</f>
        <v>GO:0005575</v>
      </c>
      <c r="BZ5" s="1" t="s">
        <v>60</v>
      </c>
      <c r="CA5" s="1" t="s">
        <v>61</v>
      </c>
      <c r="CB5" s="1" t="s">
        <v>62</v>
      </c>
      <c r="CC5" s="1" t="s">
        <v>36</v>
      </c>
      <c r="CE5" s="2">
        <v>9.9999999999999999E-119</v>
      </c>
      <c r="CF5" s="1" t="str">
        <f>HYPERLINK("http://amigo.geneontology.org/cgi-bin/amigo/term_details?term=GO:0008150","GO:0008150")</f>
        <v>GO:0008150</v>
      </c>
      <c r="CG5" s="1" t="s">
        <v>223</v>
      </c>
      <c r="CH5" s="1" t="s">
        <v>224</v>
      </c>
      <c r="CI5" s="1" t="s">
        <v>225</v>
      </c>
      <c r="CJ5" s="1" t="s">
        <v>36</v>
      </c>
      <c r="CL5" s="2">
        <v>9.9999999999999999E-119</v>
      </c>
      <c r="CM5" s="1" t="str">
        <f>HYPERLINK(".\links\CDD\gi_148616183-CDD.txt","Tropomyosin")</f>
        <v>Tropomyosin</v>
      </c>
      <c r="CN5" s="1" t="str">
        <f>HYPERLINK("http://www.ncbi.nlm.nih.gov/Structure/cdd/cddsrv.cgi?uid=pfam00261&amp;version=v4.0","1E-091")</f>
        <v>1E-091</v>
      </c>
      <c r="CO5" s="1" t="s">
        <v>1173</v>
      </c>
      <c r="CP5" s="1" t="str">
        <f>HYPERLINK(".\links\ACARI\gi_148616183-ACARI.txt","unknown")</f>
        <v>unknown</v>
      </c>
      <c r="CQ5" s="1" t="str">
        <f>HYPERLINK("http://www.ncbi.nlm.nih.gov/sutils/blink.cgi?pid=148616183","1E-151")</f>
        <v>1E-151</v>
      </c>
      <c r="CR5" s="1" t="str">
        <f>HYPERLINK("http://www.ncbi.nlm.nih.gov/protein/148616183","gi|148616183")</f>
        <v>gi|148616183</v>
      </c>
      <c r="CS5" s="1">
        <v>531</v>
      </c>
      <c r="CT5" s="1">
        <v>284</v>
      </c>
      <c r="CU5" s="1">
        <v>284</v>
      </c>
      <c r="CV5" s="1">
        <v>100</v>
      </c>
      <c r="CW5" s="1">
        <v>100</v>
      </c>
      <c r="CX5" s="1">
        <v>100</v>
      </c>
      <c r="CY5" s="1">
        <v>0</v>
      </c>
      <c r="CZ5" s="1">
        <v>0</v>
      </c>
      <c r="DA5" s="1">
        <v>1</v>
      </c>
      <c r="DB5" s="1">
        <v>1</v>
      </c>
      <c r="DC5" s="1">
        <v>1</v>
      </c>
      <c r="DD5" s="1" t="s">
        <v>390</v>
      </c>
    </row>
    <row r="6" spans="1:108" x14ac:dyDescent="0.2">
      <c r="A6" s="1" t="s">
        <v>1399</v>
      </c>
      <c r="B6" s="1" t="str">
        <f>HYPERLINK(".\links\\gi_164472819-.txt","gi_164472819")</f>
        <v>gi_164472819</v>
      </c>
      <c r="C6" s="1" t="s">
        <v>35</v>
      </c>
      <c r="D6" s="1">
        <v>376</v>
      </c>
      <c r="E6" s="8" t="s">
        <v>1148</v>
      </c>
      <c r="F6" s="1" t="s">
        <v>1263</v>
      </c>
      <c r="G6" s="1" t="s">
        <v>1461</v>
      </c>
      <c r="H6" s="1" t="str">
        <f>HYPERLINK(".\links\UNIPROT-ACARI\gi_164472819-UNIPROT-ACARI.txt","Actin")</f>
        <v>Actin</v>
      </c>
      <c r="I6" s="1" t="str">
        <f>HYPERLINK("http://www.ncbi.nlm.nih.gov/sutils/blink.cgi?pid=A9ZT00","0.0")</f>
        <v>0.0</v>
      </c>
      <c r="J6" s="1" t="s">
        <v>1149</v>
      </c>
      <c r="K6" s="1">
        <v>759</v>
      </c>
      <c r="L6" s="1">
        <v>376</v>
      </c>
      <c r="M6" s="1">
        <v>376</v>
      </c>
      <c r="N6" s="1">
        <v>100</v>
      </c>
      <c r="O6" s="1">
        <v>100</v>
      </c>
      <c r="P6" s="1">
        <v>100</v>
      </c>
      <c r="Q6" s="1">
        <v>0</v>
      </c>
      <c r="R6" s="1">
        <v>0</v>
      </c>
      <c r="S6" s="1">
        <v>1</v>
      </c>
      <c r="T6" s="1">
        <v>1</v>
      </c>
      <c r="U6" s="1">
        <v>1</v>
      </c>
      <c r="V6" s="1" t="s">
        <v>36</v>
      </c>
      <c r="W6" s="1" t="str">
        <f>HYPERLINK(".\links\NR-LIGHT\gi_164472819-NR-LIGHT.txt","actin")</f>
        <v>actin</v>
      </c>
      <c r="X6" s="1" t="str">
        <f>HYPERLINK("http://www.ncbi.nlm.nih.gov/sutils/blink.cgi?pid=164472819","0.0")</f>
        <v>0.0</v>
      </c>
      <c r="Y6" s="1" t="str">
        <f>HYPERLINK("http://www.ncbi.nlm.nih.gov/protein/164472819","gi|164472819")</f>
        <v>gi|164472819</v>
      </c>
      <c r="Z6" s="1">
        <v>759</v>
      </c>
      <c r="AA6" s="1">
        <v>376</v>
      </c>
      <c r="AB6" s="1">
        <v>376</v>
      </c>
      <c r="AC6" s="1">
        <v>100</v>
      </c>
      <c r="AD6" s="1">
        <v>100</v>
      </c>
      <c r="AE6" s="1">
        <v>100</v>
      </c>
      <c r="AF6" s="1">
        <v>0</v>
      </c>
      <c r="AG6" s="1">
        <v>0</v>
      </c>
      <c r="AH6" s="1">
        <v>1</v>
      </c>
      <c r="AI6" s="1">
        <v>1</v>
      </c>
      <c r="AJ6" s="1">
        <v>1</v>
      </c>
      <c r="AK6" s="1" t="s">
        <v>1148</v>
      </c>
      <c r="AL6" s="1" t="str">
        <f>HYPERLINK(".\links\REFSEQ-INVERTEBRATE\gi_164472819-REFSEQ-INVERTEBRATE.txt","actin related protein 1")</f>
        <v>actin related protein 1</v>
      </c>
      <c r="AM6" s="1" t="str">
        <f>HYPERLINK("http://www.ncbi.nlm.nih.gov/sutils/blink.cgi?pid=254910945","0.0")</f>
        <v>0.0</v>
      </c>
      <c r="AN6" s="1" t="str">
        <f>HYPERLINK("http://www.ncbi.nlm.nih.gov/protein/254910945","gi|254910945")</f>
        <v>gi|254910945</v>
      </c>
      <c r="AO6" s="1">
        <v>753</v>
      </c>
      <c r="AP6" s="1">
        <v>376</v>
      </c>
      <c r="AQ6" s="1">
        <v>376</v>
      </c>
      <c r="AR6" s="1">
        <v>99</v>
      </c>
      <c r="AS6" s="1">
        <v>99</v>
      </c>
      <c r="AT6" s="1">
        <v>100</v>
      </c>
      <c r="AU6" s="1">
        <v>3</v>
      </c>
      <c r="AV6" s="1">
        <v>0</v>
      </c>
      <c r="AW6" s="1">
        <v>1</v>
      </c>
      <c r="AX6" s="1">
        <v>1</v>
      </c>
      <c r="AY6" s="1">
        <v>1</v>
      </c>
      <c r="AZ6" s="1" t="s">
        <v>905</v>
      </c>
      <c r="BA6" s="1" t="str">
        <f>HYPERLINK(".\links\MEROPS\gi_164472819-MEROPS.txt","- subfamily M67C non-peptidase homologues (Cricetulus griseus)")</f>
        <v>- subfamily M67C non-peptidase homologues (Cricetulus griseus)</v>
      </c>
      <c r="BB6" s="1" t="str">
        <f>HYPERLINK("http://www.ncbi.nlm.nih.gov/sutils/blink.cgi?pid=331132 - subfamily M67C non-peptidase homologues (Cricetulus griseus) [M67.UNC]#M67C#{peptidase unit","0.0")</f>
        <v>0.0</v>
      </c>
      <c r="BC6" s="1" t="s">
        <v>1150</v>
      </c>
      <c r="BD6" s="1">
        <v>721</v>
      </c>
      <c r="BE6" s="1">
        <v>376</v>
      </c>
      <c r="BF6" s="1">
        <v>723</v>
      </c>
      <c r="BG6" s="1">
        <v>93</v>
      </c>
      <c r="BH6" s="1">
        <v>96</v>
      </c>
      <c r="BI6" s="1">
        <v>52</v>
      </c>
      <c r="BJ6" s="1">
        <v>24</v>
      </c>
      <c r="BK6" s="1">
        <v>0</v>
      </c>
      <c r="BL6" s="1">
        <v>348</v>
      </c>
      <c r="BM6" s="1">
        <v>1</v>
      </c>
      <c r="BN6" s="1">
        <v>1</v>
      </c>
      <c r="BO6" s="1" t="s">
        <v>1151</v>
      </c>
      <c r="BP6" s="1" t="s">
        <v>1152</v>
      </c>
      <c r="BQ6" s="1">
        <f>HYPERLINK(".\links\GO\gi_164472819-GO.txt",0)</f>
        <v>0</v>
      </c>
      <c r="BR6" s="1" t="str">
        <f>HYPERLINK("http://amigo.geneontology.org/cgi-bin/amigo/term_details?term=GO:0005200","GO:0005200")</f>
        <v>GO:0005200</v>
      </c>
      <c r="BS6" s="1" t="s">
        <v>1153</v>
      </c>
      <c r="BT6" s="1" t="s">
        <v>1154</v>
      </c>
      <c r="BU6" s="1" t="s">
        <v>36</v>
      </c>
      <c r="BV6" s="1" t="s">
        <v>36</v>
      </c>
      <c r="BX6" s="1">
        <v>0</v>
      </c>
      <c r="BY6" s="1" t="str">
        <f>HYPERLINK("http://amigo.geneontology.org/cgi-bin/amigo/term_details?term=GO:0005884","GO:0005884")</f>
        <v>GO:0005884</v>
      </c>
      <c r="BZ6" s="1" t="s">
        <v>1155</v>
      </c>
      <c r="CA6" s="1" t="s">
        <v>1156</v>
      </c>
      <c r="CB6" s="1" t="s">
        <v>1157</v>
      </c>
      <c r="CC6" s="1" t="s">
        <v>36</v>
      </c>
      <c r="CE6" s="1">
        <v>0</v>
      </c>
      <c r="CF6" s="1" t="str">
        <f>HYPERLINK("http://amigo.geneontology.org/cgi-bin/amigo/term_details?term=GO:0007010","GO:0007010")</f>
        <v>GO:0007010</v>
      </c>
      <c r="CG6" s="1" t="s">
        <v>109</v>
      </c>
      <c r="CH6" s="1" t="s">
        <v>110</v>
      </c>
      <c r="CI6" s="1" t="s">
        <v>111</v>
      </c>
      <c r="CJ6" s="1" t="s">
        <v>36</v>
      </c>
      <c r="CL6" s="1">
        <v>0</v>
      </c>
      <c r="CM6" s="1" t="str">
        <f>HYPERLINK(".\links\CDD\gi_164472819-CDD.txt","PTZ00281")</f>
        <v>PTZ00281</v>
      </c>
      <c r="CN6" s="1" t="str">
        <f>HYPERLINK("http://www.ncbi.nlm.nih.gov/Structure/cdd/cddsrv.cgi?uid=PTZ00281&amp;version=v4.0","0.0")</f>
        <v>0.0</v>
      </c>
      <c r="CO6" s="1" t="s">
        <v>1158</v>
      </c>
      <c r="CP6" s="1" t="str">
        <f>HYPERLINK(".\links\ACARI\gi_164472819-ACARI.txt","actin")</f>
        <v>actin</v>
      </c>
      <c r="CQ6" s="1" t="str">
        <f>HYPERLINK("http://www.ncbi.nlm.nih.gov/sutils/blink.cgi?pid=164472819","0.0")</f>
        <v>0.0</v>
      </c>
      <c r="CR6" s="1" t="str">
        <f>HYPERLINK("http://www.ncbi.nlm.nih.gov/protein/164472819","gi|164472819")</f>
        <v>gi|164472819</v>
      </c>
      <c r="CS6" s="1">
        <v>759</v>
      </c>
      <c r="CT6" s="1">
        <v>376</v>
      </c>
      <c r="CU6" s="1">
        <v>376</v>
      </c>
      <c r="CV6" s="1">
        <v>100</v>
      </c>
      <c r="CW6" s="1">
        <v>100</v>
      </c>
      <c r="CX6" s="1">
        <v>100</v>
      </c>
      <c r="CY6" s="1">
        <v>0</v>
      </c>
      <c r="CZ6" s="1">
        <v>0</v>
      </c>
      <c r="DA6" s="1">
        <v>1</v>
      </c>
      <c r="DB6" s="1">
        <v>1</v>
      </c>
      <c r="DC6" s="1">
        <v>1</v>
      </c>
      <c r="DD6" s="1" t="s">
        <v>1148</v>
      </c>
    </row>
    <row r="7" spans="1:108" x14ac:dyDescent="0.2">
      <c r="A7" s="3" t="s">
        <v>1372</v>
      </c>
      <c r="B7" s="3" t="str">
        <f>HYPERLINK(".\links\\gi_215504632-.txt","gi_215504632")</f>
        <v>gi_215504632</v>
      </c>
      <c r="C7" s="3" t="s">
        <v>35</v>
      </c>
      <c r="D7" s="3">
        <v>536</v>
      </c>
      <c r="E7" s="9" t="s">
        <v>40</v>
      </c>
      <c r="F7" s="3" t="s">
        <v>1448</v>
      </c>
      <c r="G7" s="1" t="s">
        <v>1461</v>
      </c>
      <c r="H7" s="3" t="str">
        <f>HYPERLINK(".\links\UNIPROT-ACARI\gi_215504632-UNIPROT-ACARI.txt","Radixin, moesin, putative")</f>
        <v>Radixin, moesin, putative</v>
      </c>
      <c r="I7" s="3" t="str">
        <f>HYPERLINK("http://www.ncbi.nlm.nih.gov/sutils/blink.cgi?pid=B7Q5K4","0.0")</f>
        <v>0.0</v>
      </c>
      <c r="J7" s="3" t="s">
        <v>843</v>
      </c>
      <c r="K7" s="3">
        <v>1068</v>
      </c>
      <c r="L7" s="3">
        <v>536</v>
      </c>
      <c r="M7" s="3">
        <v>536</v>
      </c>
      <c r="N7" s="3">
        <v>100</v>
      </c>
      <c r="O7" s="3">
        <v>100</v>
      </c>
      <c r="P7" s="3">
        <v>100</v>
      </c>
      <c r="Q7" s="3">
        <v>0</v>
      </c>
      <c r="R7" s="3">
        <v>0</v>
      </c>
      <c r="S7" s="3">
        <v>1</v>
      </c>
      <c r="T7" s="3">
        <v>1</v>
      </c>
      <c r="U7" s="3">
        <v>1</v>
      </c>
      <c r="V7" s="3" t="s">
        <v>36</v>
      </c>
      <c r="W7" s="3" t="str">
        <f>HYPERLINK(".\links\NR-LIGHT\gi_215504632-NR-LIGHT.txt","radixin, moesin, putative")</f>
        <v>radixin, moesin, putative</v>
      </c>
      <c r="X7" s="3" t="str">
        <f>HYPERLINK("http://www.ncbi.nlm.nih.gov/sutils/blink.cgi?pid=241691407","0.0")</f>
        <v>0.0</v>
      </c>
      <c r="Y7" s="3" t="str">
        <f>HYPERLINK("http://www.ncbi.nlm.nih.gov/protein/241691407","gi|241691407")</f>
        <v>gi|241691407</v>
      </c>
      <c r="Z7" s="3">
        <v>1068</v>
      </c>
      <c r="AA7" s="3">
        <v>536</v>
      </c>
      <c r="AB7" s="3">
        <v>536</v>
      </c>
      <c r="AC7" s="3">
        <v>100</v>
      </c>
      <c r="AD7" s="3">
        <v>100</v>
      </c>
      <c r="AE7" s="3">
        <v>100</v>
      </c>
      <c r="AF7" s="3">
        <v>0</v>
      </c>
      <c r="AG7" s="3">
        <v>0</v>
      </c>
      <c r="AH7" s="3">
        <v>1</v>
      </c>
      <c r="AI7" s="3">
        <v>1</v>
      </c>
      <c r="AJ7" s="3">
        <v>1</v>
      </c>
      <c r="AK7" s="3" t="s">
        <v>40</v>
      </c>
      <c r="AL7" s="3" t="str">
        <f>HYPERLINK(".\links\REFSEQ-INVERTEBRATE\gi_215504632-REFSEQ-INVERTEBRATE.txt","radixin, moesin, putative")</f>
        <v>radixin, moesin, putative</v>
      </c>
      <c r="AM7" s="3" t="str">
        <f>HYPERLINK("http://www.ncbi.nlm.nih.gov/sutils/blink.cgi?pid=241691407","0.0")</f>
        <v>0.0</v>
      </c>
      <c r="AN7" s="3" t="str">
        <f>HYPERLINK("http://www.ncbi.nlm.nih.gov/protein/241691407","gi|241691407")</f>
        <v>gi|241691407</v>
      </c>
      <c r="AO7" s="3">
        <v>1068</v>
      </c>
      <c r="AP7" s="3">
        <v>536</v>
      </c>
      <c r="AQ7" s="3">
        <v>536</v>
      </c>
      <c r="AR7" s="3">
        <v>100</v>
      </c>
      <c r="AS7" s="3">
        <v>100</v>
      </c>
      <c r="AT7" s="3">
        <v>100</v>
      </c>
      <c r="AU7" s="3">
        <v>0</v>
      </c>
      <c r="AV7" s="3">
        <v>0</v>
      </c>
      <c r="AW7" s="3">
        <v>1</v>
      </c>
      <c r="AX7" s="3">
        <v>1</v>
      </c>
      <c r="AY7" s="3">
        <v>1</v>
      </c>
      <c r="AZ7" s="3" t="s">
        <v>40</v>
      </c>
      <c r="BA7" s="3" t="str">
        <f>HYPERLINK(".\links\MEROPS\gi_215504632-MEROPS.txt","- PREPL A protein (Saccoglossus kowalevskii)")</f>
        <v>- PREPL A protein (Saccoglossus kowalevskii)</v>
      </c>
      <c r="BB7" s="3" t="str">
        <f>HYPERLINK("http://www.ncbi.nlm.nih.gov/sutils/blink.cgi?pid=226322 - PREPL A protein (Saccoglossus kowalevskii) [S09.015]#S09A#{peptidase unit","3E-014")</f>
        <v>3E-014</v>
      </c>
      <c r="BC7" s="3" t="s">
        <v>844</v>
      </c>
      <c r="BD7" s="3">
        <v>80.900000000000006</v>
      </c>
      <c r="BE7" s="3">
        <v>265</v>
      </c>
      <c r="BF7" s="3">
        <v>1196</v>
      </c>
      <c r="BG7" s="3">
        <v>23</v>
      </c>
      <c r="BH7" s="3">
        <v>45</v>
      </c>
      <c r="BI7" s="3">
        <v>22</v>
      </c>
      <c r="BJ7" s="3">
        <v>202</v>
      </c>
      <c r="BK7" s="3">
        <v>24</v>
      </c>
      <c r="BL7" s="3">
        <v>59</v>
      </c>
      <c r="BM7" s="3">
        <v>5</v>
      </c>
      <c r="BN7" s="3">
        <v>1</v>
      </c>
      <c r="BO7" s="3" t="s">
        <v>845</v>
      </c>
      <c r="BP7" s="3" t="s">
        <v>846</v>
      </c>
      <c r="BQ7" s="3">
        <f>HYPERLINK(".\links\GO\gi_215504632-GO.txt",0)</f>
        <v>0</v>
      </c>
      <c r="BR7" s="3" t="str">
        <f>HYPERLINK("http://amigo.geneontology.org/cgi-bin/amigo/term_details?term=GO:0003779","GO:0003779")</f>
        <v>GO:0003779</v>
      </c>
      <c r="BS7" s="3" t="s">
        <v>315</v>
      </c>
      <c r="BT7" s="3" t="s">
        <v>316</v>
      </c>
      <c r="BU7" s="3" t="s">
        <v>317</v>
      </c>
      <c r="BV7" s="3" t="s">
        <v>36</v>
      </c>
      <c r="BW7" s="3"/>
      <c r="BX7" s="3">
        <v>0</v>
      </c>
      <c r="BY7" s="3" t="str">
        <f>HYPERLINK("http://amigo.geneontology.org/cgi-bin/amigo/term_details?term=GO:0005912","GO:0005912")</f>
        <v>GO:0005912</v>
      </c>
      <c r="BZ7" s="3" t="s">
        <v>847</v>
      </c>
      <c r="CA7" s="3" t="s">
        <v>848</v>
      </c>
      <c r="CB7" s="3" t="s">
        <v>36</v>
      </c>
      <c r="CC7" s="3" t="s">
        <v>36</v>
      </c>
      <c r="CD7" s="3"/>
      <c r="CE7" s="3">
        <v>0</v>
      </c>
      <c r="CF7" s="3" t="str">
        <f>HYPERLINK("http://amigo.geneontology.org/cgi-bin/amigo/term_details?term=GO:0045197","GO:0045197")</f>
        <v>GO:0045197</v>
      </c>
      <c r="CG7" s="3" t="s">
        <v>849</v>
      </c>
      <c r="CH7" s="3" t="s">
        <v>850</v>
      </c>
      <c r="CI7" s="3" t="s">
        <v>36</v>
      </c>
      <c r="CJ7" s="3" t="s">
        <v>36</v>
      </c>
      <c r="CK7" s="3"/>
      <c r="CL7" s="3">
        <v>0</v>
      </c>
      <c r="CM7" s="3" t="str">
        <f>HYPERLINK(".\links\CDD\gi_215504632-CDD.txt","FERM_C_ERM")</f>
        <v>FERM_C_ERM</v>
      </c>
      <c r="CN7" s="3" t="str">
        <f>HYPERLINK("http://www.ncbi.nlm.nih.gov/Structure/cdd/cddsrv.cgi?uid=cd13194&amp;version=v4.0","5E-049")</f>
        <v>5E-049</v>
      </c>
      <c r="CO7" s="3" t="s">
        <v>851</v>
      </c>
      <c r="CP7" s="3" t="str">
        <f>HYPERLINK(".\links\ACARI\gi_215504632-ACARI.txt","radixin, moesin, putative")</f>
        <v>radixin, moesin, putative</v>
      </c>
      <c r="CQ7" s="3" t="str">
        <f>HYPERLINK("http://www.ncbi.nlm.nih.gov/sutils/blink.cgi?pid=241691407","0.0")</f>
        <v>0.0</v>
      </c>
      <c r="CR7" s="3" t="str">
        <f>HYPERLINK("http://www.ncbi.nlm.nih.gov/protein/241691407","gi|241691407")</f>
        <v>gi|241691407</v>
      </c>
      <c r="CS7" s="3">
        <v>1068</v>
      </c>
      <c r="CT7" s="3">
        <v>536</v>
      </c>
      <c r="CU7" s="3">
        <v>536</v>
      </c>
      <c r="CV7" s="3">
        <v>100</v>
      </c>
      <c r="CW7" s="3">
        <v>100</v>
      </c>
      <c r="CX7" s="3">
        <v>100</v>
      </c>
      <c r="CY7" s="3">
        <v>0</v>
      </c>
      <c r="CZ7" s="3">
        <v>0</v>
      </c>
      <c r="DA7" s="3">
        <v>1</v>
      </c>
      <c r="DB7" s="3">
        <v>1</v>
      </c>
      <c r="DC7" s="3">
        <v>1</v>
      </c>
      <c r="DD7" s="3" t="s">
        <v>40</v>
      </c>
    </row>
    <row r="8" spans="1:108" x14ac:dyDescent="0.2">
      <c r="A8" s="3" t="s">
        <v>1373</v>
      </c>
      <c r="B8" s="3" t="str">
        <f>HYPERLINK(".\links\\gi_260908418-.txt","gi_260908418")</f>
        <v>gi_260908418</v>
      </c>
      <c r="C8" s="3" t="s">
        <v>35</v>
      </c>
      <c r="D8" s="3">
        <v>122</v>
      </c>
      <c r="E8" s="9" t="s">
        <v>259</v>
      </c>
      <c r="F8" s="3" t="s">
        <v>816</v>
      </c>
      <c r="G8" s="1" t="s">
        <v>1461</v>
      </c>
      <c r="H8" s="3" t="str">
        <f>HYPERLINK(".\links\UNIPROT-ACARI\gi_260908418-UNIPROT-ACARI.txt","Putative beta thymosin")</f>
        <v>Putative beta thymosin</v>
      </c>
      <c r="I8" s="3" t="str">
        <f>HYPERLINK("http://www.ncbi.nlm.nih.gov/sutils/blink.cgi?pid=C9W1I2","3E-065")</f>
        <v>3E-065</v>
      </c>
      <c r="J8" s="3" t="s">
        <v>817</v>
      </c>
      <c r="K8" s="3">
        <v>243</v>
      </c>
      <c r="L8" s="3">
        <v>122</v>
      </c>
      <c r="M8" s="3">
        <v>122</v>
      </c>
      <c r="N8" s="3">
        <v>100</v>
      </c>
      <c r="O8" s="3">
        <v>100</v>
      </c>
      <c r="P8" s="3">
        <v>100</v>
      </c>
      <c r="Q8" s="3">
        <v>0</v>
      </c>
      <c r="R8" s="3">
        <v>0</v>
      </c>
      <c r="S8" s="3">
        <v>1</v>
      </c>
      <c r="T8" s="3">
        <v>1</v>
      </c>
      <c r="U8" s="3">
        <v>1</v>
      </c>
      <c r="V8" s="3" t="s">
        <v>36</v>
      </c>
      <c r="W8" s="3" t="str">
        <f>HYPERLINK(".\links\NR-LIGHT\gi_260908418-NR-LIGHT.txt","uncharacterized protein LOC663390 isoform X3")</f>
        <v>uncharacterized protein LOC663390 isoform X3</v>
      </c>
      <c r="X8" s="3" t="str">
        <f>HYPERLINK("http://www.ncbi.nlm.nih.gov/sutils/blink.cgi?pid=642913913","3E-032")</f>
        <v>3E-032</v>
      </c>
      <c r="Y8" s="3" t="str">
        <f>HYPERLINK("http://www.ncbi.nlm.nih.gov/protein/642913913","gi|642913913")</f>
        <v>gi|642913913</v>
      </c>
      <c r="Z8" s="3">
        <v>139</v>
      </c>
      <c r="AA8" s="3">
        <v>116</v>
      </c>
      <c r="AB8" s="3">
        <v>169</v>
      </c>
      <c r="AC8" s="3">
        <v>55</v>
      </c>
      <c r="AD8" s="3">
        <v>75</v>
      </c>
      <c r="AE8" s="3">
        <v>69</v>
      </c>
      <c r="AF8" s="3">
        <v>52</v>
      </c>
      <c r="AG8" s="3">
        <v>0</v>
      </c>
      <c r="AH8" s="3">
        <v>14</v>
      </c>
      <c r="AI8" s="3">
        <v>5</v>
      </c>
      <c r="AJ8" s="3">
        <v>1</v>
      </c>
      <c r="AK8" s="3" t="s">
        <v>580</v>
      </c>
      <c r="AL8" s="3" t="str">
        <f>HYPERLINK(".\links\REFSEQ-INVERTEBRATE\gi_260908418-REFSEQ-INVERTEBRATE.txt","uncharacterized protein LOC100908890")</f>
        <v>uncharacterized protein LOC100908890</v>
      </c>
      <c r="AM8" s="3" t="str">
        <f>HYPERLINK("http://www.ncbi.nlm.nih.gov/sutils/blink.cgi?pid=391346495","5E-033")</f>
        <v>5E-033</v>
      </c>
      <c r="AN8" s="3" t="str">
        <f>HYPERLINK("http://www.ncbi.nlm.nih.gov/protein/391346495","gi|391346495")</f>
        <v>gi|391346495</v>
      </c>
      <c r="AO8" s="3">
        <v>140</v>
      </c>
      <c r="AP8" s="3">
        <v>118</v>
      </c>
      <c r="AQ8" s="3">
        <v>147</v>
      </c>
      <c r="AR8" s="3">
        <v>57</v>
      </c>
      <c r="AS8" s="3">
        <v>75</v>
      </c>
      <c r="AT8" s="3">
        <v>80</v>
      </c>
      <c r="AU8" s="3">
        <v>50</v>
      </c>
      <c r="AV8" s="3">
        <v>0</v>
      </c>
      <c r="AW8" s="3">
        <v>29</v>
      </c>
      <c r="AX8" s="3">
        <v>5</v>
      </c>
      <c r="AY8" s="3">
        <v>1</v>
      </c>
      <c r="AZ8" s="3" t="s">
        <v>392</v>
      </c>
      <c r="BA8" s="3" t="str">
        <f>HYPERLINK(".\links\MEROPS\gi_260908418-MEROPS.txt","- phytocalpain (Sterkiella histriomuscorum)")</f>
        <v>- phytocalpain (Sterkiella histriomuscorum)</v>
      </c>
      <c r="BB8" s="3" t="str">
        <f>HYPERLINK("http://www.ncbi.nlm.nih.gov/sutils/blink.cgi?pid=295585 - phytocalpain (Sterkiella histriomuscorum) [C02.019]#C02A#{peptidase unit","0.025")</f>
        <v>0.025</v>
      </c>
      <c r="BC8" s="3" t="s">
        <v>818</v>
      </c>
      <c r="BD8" s="3">
        <v>37.700000000000003</v>
      </c>
      <c r="BE8" s="3">
        <v>129</v>
      </c>
      <c r="BF8" s="3">
        <v>2074</v>
      </c>
      <c r="BG8" s="3">
        <v>25</v>
      </c>
      <c r="BH8" s="3">
        <v>51</v>
      </c>
      <c r="BI8" s="3">
        <v>6</v>
      </c>
      <c r="BJ8" s="3">
        <v>96</v>
      </c>
      <c r="BK8" s="3">
        <v>14</v>
      </c>
      <c r="BL8" s="3">
        <v>1242</v>
      </c>
      <c r="BM8" s="3">
        <v>3</v>
      </c>
      <c r="BN8" s="3">
        <v>1</v>
      </c>
      <c r="BO8" s="3" t="s">
        <v>819</v>
      </c>
      <c r="BP8" s="3" t="s">
        <v>820</v>
      </c>
      <c r="BQ8" s="3">
        <f>HYPERLINK(".\links\GO\gi_260908418-GO.txt",4E-30)</f>
        <v>4.0000000000000003E-30</v>
      </c>
      <c r="BR8" s="3" t="str">
        <f>HYPERLINK("http://amigo.geneontology.org/cgi-bin/amigo/term_details?term=GO:0003785","GO:0003785")</f>
        <v>GO:0003785</v>
      </c>
      <c r="BS8" s="3" t="s">
        <v>821</v>
      </c>
      <c r="BT8" s="3" t="s">
        <v>822</v>
      </c>
      <c r="BU8" s="3" t="s">
        <v>823</v>
      </c>
      <c r="BV8" s="3" t="s">
        <v>36</v>
      </c>
      <c r="BW8" s="3"/>
      <c r="BX8" s="4">
        <v>4.0000000000000003E-30</v>
      </c>
      <c r="BY8" s="3" t="str">
        <f>HYPERLINK("http://amigo.geneontology.org/cgi-bin/amigo/term_details?term=GO:0005829","GO:0005829")</f>
        <v>GO:0005829</v>
      </c>
      <c r="BZ8" s="3" t="s">
        <v>643</v>
      </c>
      <c r="CA8" s="3" t="s">
        <v>644</v>
      </c>
      <c r="CB8" s="3" t="s">
        <v>36</v>
      </c>
      <c r="CC8" s="3" t="s">
        <v>36</v>
      </c>
      <c r="CD8" s="3"/>
      <c r="CE8" s="4">
        <v>4.0000000000000003E-30</v>
      </c>
      <c r="CF8" s="3" t="str">
        <f>HYPERLINK("http://amigo.geneontology.org/cgi-bin/amigo/term_details?term=GO:0007420","GO:0007420")</f>
        <v>GO:0007420</v>
      </c>
      <c r="CG8" s="3" t="s">
        <v>824</v>
      </c>
      <c r="CH8" s="3" t="s">
        <v>825</v>
      </c>
      <c r="CI8" s="3" t="s">
        <v>36</v>
      </c>
      <c r="CJ8" s="3" t="s">
        <v>36</v>
      </c>
      <c r="CK8" s="3"/>
      <c r="CL8" s="4">
        <v>4.0000000000000003E-30</v>
      </c>
      <c r="CM8" s="3" t="str">
        <f>HYPERLINK(".\links\CDD\gi_260908418-CDD.txt","Thymosin")</f>
        <v>Thymosin</v>
      </c>
      <c r="CN8" s="3" t="str">
        <f>HYPERLINK("http://www.ncbi.nlm.nih.gov/Structure/cdd/cddsrv.cgi?uid=pfam01290&amp;version=v4.0","3E-006")</f>
        <v>3E-006</v>
      </c>
      <c r="CO8" s="3" t="s">
        <v>826</v>
      </c>
      <c r="CP8" s="3" t="str">
        <f>HYPERLINK(".\links\ACARI\gi_260908418-ACARI.txt","putative beta thymosin")</f>
        <v>putative beta thymosin</v>
      </c>
      <c r="CQ8" s="3" t="str">
        <f>HYPERLINK("http://www.ncbi.nlm.nih.gov/sutils/blink.cgi?pid=260908418","4E-065")</f>
        <v>4E-065</v>
      </c>
      <c r="CR8" s="3" t="str">
        <f>HYPERLINK("http://www.ncbi.nlm.nih.gov/protein/260908418","gi|260908418")</f>
        <v>gi|260908418</v>
      </c>
      <c r="CS8" s="3">
        <v>243</v>
      </c>
      <c r="CT8" s="3">
        <v>122</v>
      </c>
      <c r="CU8" s="3">
        <v>122</v>
      </c>
      <c r="CV8" s="3">
        <v>100</v>
      </c>
      <c r="CW8" s="3">
        <v>100</v>
      </c>
      <c r="CX8" s="3">
        <v>100</v>
      </c>
      <c r="CY8" s="3">
        <v>0</v>
      </c>
      <c r="CZ8" s="3">
        <v>0</v>
      </c>
      <c r="DA8" s="3">
        <v>1</v>
      </c>
      <c r="DB8" s="3">
        <v>1</v>
      </c>
      <c r="DC8" s="3">
        <v>1</v>
      </c>
      <c r="DD8" s="3" t="s">
        <v>259</v>
      </c>
    </row>
    <row r="9" spans="1:108" x14ac:dyDescent="0.2">
      <c r="A9" s="3" t="s">
        <v>1386</v>
      </c>
      <c r="B9" s="3" t="str">
        <f>HYPERLINK(".\links\\gi_325303614-.txt","gi_325303614")</f>
        <v>gi_325303614</v>
      </c>
      <c r="C9" s="3" t="s">
        <v>35</v>
      </c>
      <c r="D9" s="3">
        <v>173</v>
      </c>
      <c r="E9" s="9" t="s">
        <v>114</v>
      </c>
      <c r="F9" s="3" t="s">
        <v>1273</v>
      </c>
      <c r="G9" s="1" t="s">
        <v>1461</v>
      </c>
      <c r="H9" s="3" t="str">
        <f>HYPERLINK(".\links\UNIPROT-ACARI\gi_325303614-UNIPROT-ACARI.txt","Microtubule-binding protein")</f>
        <v>Microtubule-binding protein</v>
      </c>
      <c r="I9" s="3" t="str">
        <f>HYPERLINK("http://www.ncbi.nlm.nih.gov/sutils/blink.cgi?pid=F0J9T2","5E-097")</f>
        <v>5E-097</v>
      </c>
      <c r="J9" s="3" t="s">
        <v>873</v>
      </c>
      <c r="K9" s="3">
        <v>350</v>
      </c>
      <c r="L9" s="3">
        <v>173</v>
      </c>
      <c r="M9" s="3">
        <v>173</v>
      </c>
      <c r="N9" s="3">
        <v>100</v>
      </c>
      <c r="O9" s="3">
        <v>100</v>
      </c>
      <c r="P9" s="3">
        <v>100</v>
      </c>
      <c r="Q9" s="3">
        <v>0</v>
      </c>
      <c r="R9" s="3">
        <v>0</v>
      </c>
      <c r="S9" s="3">
        <v>1</v>
      </c>
      <c r="T9" s="3">
        <v>1</v>
      </c>
      <c r="U9" s="3">
        <v>1</v>
      </c>
      <c r="V9" s="3" t="s">
        <v>36</v>
      </c>
      <c r="W9" s="3" t="str">
        <f>HYPERLINK(".\links\NR-LIGHT\gi_325303614-NR-LIGHT.txt","microtubule-binding protein")</f>
        <v>microtubule-binding protein</v>
      </c>
      <c r="X9" s="3" t="str">
        <f>HYPERLINK("http://www.ncbi.nlm.nih.gov/sutils/blink.cgi?pid=325303614","1E-095")</f>
        <v>1E-095</v>
      </c>
      <c r="Y9" s="3" t="str">
        <f>HYPERLINK("http://www.ncbi.nlm.nih.gov/protein/325303614","gi|325303614")</f>
        <v>gi|325303614</v>
      </c>
      <c r="Z9" s="3">
        <v>350</v>
      </c>
      <c r="AA9" s="3">
        <v>173</v>
      </c>
      <c r="AB9" s="3">
        <v>173</v>
      </c>
      <c r="AC9" s="3">
        <v>100</v>
      </c>
      <c r="AD9" s="3">
        <v>100</v>
      </c>
      <c r="AE9" s="3">
        <v>100</v>
      </c>
      <c r="AF9" s="3">
        <v>0</v>
      </c>
      <c r="AG9" s="3">
        <v>0</v>
      </c>
      <c r="AH9" s="3">
        <v>1</v>
      </c>
      <c r="AI9" s="3">
        <v>1</v>
      </c>
      <c r="AJ9" s="3">
        <v>1</v>
      </c>
      <c r="AK9" s="3" t="s">
        <v>114</v>
      </c>
      <c r="AL9" s="3" t="str">
        <f>HYPERLINK(".\links\REFSEQ-INVERTEBRATE\gi_325303614-REFSEQ-INVERTEBRATE.txt","translationally controlled tumor protein, putative, partial")</f>
        <v>translationally controlled tumor protein, putative, partial</v>
      </c>
      <c r="AM9" s="3" t="str">
        <f>HYPERLINK("http://www.ncbi.nlm.nih.gov/sutils/blink.cgi?pid=241563604","2E-057")</f>
        <v>2E-057</v>
      </c>
      <c r="AN9" s="3" t="str">
        <f>HYPERLINK("http://www.ncbi.nlm.nih.gov/protein/241563604","gi|241563604")</f>
        <v>gi|241563604</v>
      </c>
      <c r="AO9" s="3">
        <v>222</v>
      </c>
      <c r="AP9" s="3">
        <v>135</v>
      </c>
      <c r="AQ9" s="3">
        <v>138</v>
      </c>
      <c r="AR9" s="3">
        <v>77</v>
      </c>
      <c r="AS9" s="3">
        <v>89</v>
      </c>
      <c r="AT9" s="3">
        <v>98</v>
      </c>
      <c r="AU9" s="3">
        <v>30</v>
      </c>
      <c r="AV9" s="3">
        <v>0</v>
      </c>
      <c r="AW9" s="3">
        <v>1</v>
      </c>
      <c r="AX9" s="3">
        <v>1</v>
      </c>
      <c r="AY9" s="3">
        <v>1</v>
      </c>
      <c r="AZ9" s="3" t="s">
        <v>40</v>
      </c>
      <c r="BA9" s="3" t="str">
        <f>HYPERLINK(".\links\MEROPS\gi_325303614-MEROPS.txt","- family I39 unassigned peptidase inhibitors (Cavia porcellus)")</f>
        <v>- family I39 unassigned peptidase inhibitors (Cavia porcellus)</v>
      </c>
      <c r="BB9" s="3" t="str">
        <f>HYPERLINK("http://www.ncbi.nlm.nih.gov/sutils/blink.cgi?pid=271000 - family I39 unassigned peptidase inhibitors (Cavia porcellus) [I39.UPW]#I39#{inhibitor unit","0.19")</f>
        <v>0.19</v>
      </c>
      <c r="BC9" s="3" t="s">
        <v>874</v>
      </c>
      <c r="BD9" s="3">
        <v>35.799999999999997</v>
      </c>
      <c r="BE9" s="3">
        <v>123</v>
      </c>
      <c r="BF9" s="3">
        <v>312</v>
      </c>
      <c r="BG9" s="3">
        <v>29</v>
      </c>
      <c r="BH9" s="3">
        <v>46</v>
      </c>
      <c r="BI9" s="3">
        <v>39</v>
      </c>
      <c r="BJ9" s="3">
        <v>87</v>
      </c>
      <c r="BK9" s="3">
        <v>12</v>
      </c>
      <c r="BL9" s="3">
        <v>68</v>
      </c>
      <c r="BM9" s="3">
        <v>30</v>
      </c>
      <c r="BN9" s="3">
        <v>1</v>
      </c>
      <c r="BO9" s="3" t="s">
        <v>42</v>
      </c>
      <c r="BP9" s="3" t="s">
        <v>875</v>
      </c>
      <c r="BQ9" s="3">
        <f>HYPERLINK(".\links\GO\gi_325303614-GO.txt",3E-38)</f>
        <v>2.9999999999999999E-38</v>
      </c>
      <c r="BR9" s="3" t="str">
        <f>HYPERLINK("http://amigo.geneontology.org/cgi-bin/amigo/term_details?term=GO:0005085","GO:0005085")</f>
        <v>GO:0005085</v>
      </c>
      <c r="BS9" s="3" t="s">
        <v>876</v>
      </c>
      <c r="BT9" s="3" t="s">
        <v>877</v>
      </c>
      <c r="BU9" s="3" t="s">
        <v>878</v>
      </c>
      <c r="BV9" s="3" t="s">
        <v>36</v>
      </c>
      <c r="BW9" s="3"/>
      <c r="BX9" s="4">
        <v>9.0000000000000002E-38</v>
      </c>
      <c r="BY9" s="3" t="str">
        <f>HYPERLINK("http://amigo.geneontology.org/cgi-bin/amigo/term_details?term=GO:0005737","GO:0005737")</f>
        <v>GO:0005737</v>
      </c>
      <c r="BZ9" s="3" t="s">
        <v>374</v>
      </c>
      <c r="CA9" s="3" t="s">
        <v>375</v>
      </c>
      <c r="CB9" s="3" t="s">
        <v>36</v>
      </c>
      <c r="CC9" s="3" t="s">
        <v>36</v>
      </c>
      <c r="CD9" s="3"/>
      <c r="CE9" s="4">
        <v>9.0000000000000002E-38</v>
      </c>
      <c r="CF9" s="3" t="str">
        <f>HYPERLINK("http://amigo.geneontology.org/cgi-bin/amigo/term_details?term=GO:0045793","GO:0045793")</f>
        <v>GO:0045793</v>
      </c>
      <c r="CG9" s="3" t="s">
        <v>879</v>
      </c>
      <c r="CH9" s="3" t="s">
        <v>880</v>
      </c>
      <c r="CI9" s="3" t="s">
        <v>881</v>
      </c>
      <c r="CJ9" s="3" t="s">
        <v>36</v>
      </c>
      <c r="CK9" s="3"/>
      <c r="CL9" s="4">
        <v>9.0000000000000002E-38</v>
      </c>
      <c r="CM9" s="3" t="str">
        <f>HYPERLINK(".\links\CDD\gi_325303614-CDD.txt","TCTP")</f>
        <v>TCTP</v>
      </c>
      <c r="CN9" s="3" t="str">
        <f>HYPERLINK("http://www.ncbi.nlm.nih.gov/Structure/cdd/cddsrv.cgi?uid=pfam00838&amp;version=v4.0","7E-041")</f>
        <v>7E-041</v>
      </c>
      <c r="CO9" s="3" t="s">
        <v>882</v>
      </c>
      <c r="CP9" s="3" t="str">
        <f>HYPERLINK(".\links\ACARI\gi_325303614-ACARI.txt","microtubule-binding protein")</f>
        <v>microtubule-binding protein</v>
      </c>
      <c r="CQ9" s="3" t="str">
        <f>HYPERLINK("http://www.ncbi.nlm.nih.gov/sutils/blink.cgi?pid=325303614","6E-097")</f>
        <v>6E-097</v>
      </c>
      <c r="CR9" s="3" t="str">
        <f>HYPERLINK("http://www.ncbi.nlm.nih.gov/protein/325303614","gi|325303614")</f>
        <v>gi|325303614</v>
      </c>
      <c r="CS9" s="3">
        <v>350</v>
      </c>
      <c r="CT9" s="3">
        <v>173</v>
      </c>
      <c r="CU9" s="3">
        <v>173</v>
      </c>
      <c r="CV9" s="3">
        <v>100</v>
      </c>
      <c r="CW9" s="3">
        <v>100</v>
      </c>
      <c r="CX9" s="3">
        <v>100</v>
      </c>
      <c r="CY9" s="3">
        <v>0</v>
      </c>
      <c r="CZ9" s="3">
        <v>0</v>
      </c>
      <c r="DA9" s="3">
        <v>1</v>
      </c>
      <c r="DB9" s="3">
        <v>1</v>
      </c>
      <c r="DC9" s="3">
        <v>1</v>
      </c>
      <c r="DD9" s="3" t="s">
        <v>114</v>
      </c>
    </row>
    <row r="10" spans="1:108" x14ac:dyDescent="0.2">
      <c r="A10" s="3" t="s">
        <v>1413</v>
      </c>
      <c r="B10" s="3" t="str">
        <f>HYPERLINK(".\links\\gi_346465649-.txt","gi_346465649")</f>
        <v>gi_346465649</v>
      </c>
      <c r="C10" s="3" t="s">
        <v>335</v>
      </c>
      <c r="D10" s="3">
        <v>477</v>
      </c>
      <c r="E10" s="9" t="s">
        <v>173</v>
      </c>
      <c r="F10" s="3" t="s">
        <v>1214</v>
      </c>
      <c r="G10" s="1" t="s">
        <v>1461</v>
      </c>
      <c r="H10" s="3" t="str">
        <f>HYPERLINK(".\links\UNIPROT-ACARI\gi_346465649-UNIPROT-ACARI.txt","Putative uncharacterized protein (Fragment)")</f>
        <v>Putative uncharacterized protein (Fragment)</v>
      </c>
      <c r="I10" s="3" t="str">
        <f>HYPERLINK("http://www.ncbi.nlm.nih.gov/sutils/blink.cgi?pid=G3MGQ1","0.0")</f>
        <v>0.0</v>
      </c>
      <c r="J10" s="3" t="s">
        <v>1109</v>
      </c>
      <c r="K10" s="3">
        <v>984</v>
      </c>
      <c r="L10" s="3">
        <v>477</v>
      </c>
      <c r="M10" s="3">
        <v>477</v>
      </c>
      <c r="N10" s="3">
        <v>100</v>
      </c>
      <c r="O10" s="3">
        <v>100</v>
      </c>
      <c r="P10" s="3">
        <v>100</v>
      </c>
      <c r="Q10" s="3">
        <v>0</v>
      </c>
      <c r="R10" s="3">
        <v>0</v>
      </c>
      <c r="S10" s="3">
        <v>1</v>
      </c>
      <c r="T10" s="3">
        <v>1</v>
      </c>
      <c r="U10" s="3">
        <v>1</v>
      </c>
      <c r="V10" s="3" t="s">
        <v>36</v>
      </c>
      <c r="W10" s="3" t="str">
        <f>HYPERLINK(".\links\NR-LIGHT\gi_346465649-NR-LIGHT.txt","alpha tubulin")</f>
        <v>alpha tubulin</v>
      </c>
      <c r="X10" s="3" t="str">
        <f>HYPERLINK("http://www.ncbi.nlm.nih.gov/sutils/blink.cgi?pid=241243543","0.0")</f>
        <v>0.0</v>
      </c>
      <c r="Y10" s="3" t="str">
        <f>HYPERLINK("http://www.ncbi.nlm.nih.gov/protein/241243543","gi|241243543")</f>
        <v>gi|241243543</v>
      </c>
      <c r="Z10" s="3">
        <v>909</v>
      </c>
      <c r="AA10" s="3">
        <v>446</v>
      </c>
      <c r="AB10" s="3">
        <v>451</v>
      </c>
      <c r="AC10" s="3">
        <v>98</v>
      </c>
      <c r="AD10" s="3">
        <v>99</v>
      </c>
      <c r="AE10" s="3">
        <v>99</v>
      </c>
      <c r="AF10" s="3">
        <v>5</v>
      </c>
      <c r="AG10" s="3">
        <v>0</v>
      </c>
      <c r="AH10" s="3">
        <v>6</v>
      </c>
      <c r="AI10" s="3">
        <v>32</v>
      </c>
      <c r="AJ10" s="3">
        <v>1</v>
      </c>
      <c r="AK10" s="3" t="s">
        <v>40</v>
      </c>
      <c r="AL10" s="3" t="str">
        <f>HYPERLINK(".\links\REFSEQ-INVERTEBRATE\gi_346465649-REFSEQ-INVERTEBRATE.txt","alpha tubulin")</f>
        <v>alpha tubulin</v>
      </c>
      <c r="AM10" s="3" t="str">
        <f>HYPERLINK("http://www.ncbi.nlm.nih.gov/sutils/blink.cgi?pid=241243543","0.0")</f>
        <v>0.0</v>
      </c>
      <c r="AN10" s="3" t="str">
        <f>HYPERLINK("http://www.ncbi.nlm.nih.gov/protein/241243543","gi|241243543")</f>
        <v>gi|241243543</v>
      </c>
      <c r="AO10" s="3">
        <v>909</v>
      </c>
      <c r="AP10" s="3">
        <v>446</v>
      </c>
      <c r="AQ10" s="3">
        <v>451</v>
      </c>
      <c r="AR10" s="3">
        <v>98</v>
      </c>
      <c r="AS10" s="3">
        <v>99</v>
      </c>
      <c r="AT10" s="3">
        <v>99</v>
      </c>
      <c r="AU10" s="3">
        <v>5</v>
      </c>
      <c r="AV10" s="3">
        <v>0</v>
      </c>
      <c r="AW10" s="3">
        <v>6</v>
      </c>
      <c r="AX10" s="3">
        <v>32</v>
      </c>
      <c r="AY10" s="3">
        <v>1</v>
      </c>
      <c r="AZ10" s="3" t="s">
        <v>40</v>
      </c>
      <c r="BA10" s="3" t="str">
        <f>HYPERLINK(".\links\MEROPS\gi_346465649-MEROPS.txt","- Afg3-like protein 1B (Nomascus leucogenys)")</f>
        <v>- Afg3-like protein 1B (Nomascus leucogenys)</v>
      </c>
      <c r="BB10" s="3" t="str">
        <f>HYPERLINK("http://www.ncbi.nlm.nih.gov/sutils/blink.cgi?pid=256488 - Afg3-like protein 1B (Nomascus leucogenys) [M41.016]#M41#{peptidase unit","5E-099")</f>
        <v>5E-099</v>
      </c>
      <c r="BC10" s="3" t="s">
        <v>729</v>
      </c>
      <c r="BD10" s="3">
        <v>362</v>
      </c>
      <c r="BE10" s="3">
        <v>435</v>
      </c>
      <c r="BF10" s="3">
        <v>2989</v>
      </c>
      <c r="BG10" s="3">
        <v>40</v>
      </c>
      <c r="BH10" s="3">
        <v>60</v>
      </c>
      <c r="BI10" s="3">
        <v>15</v>
      </c>
      <c r="BJ10" s="3">
        <v>259</v>
      </c>
      <c r="BK10" s="3">
        <v>10</v>
      </c>
      <c r="BL10" s="3">
        <v>1257</v>
      </c>
      <c r="BM10" s="3">
        <v>33</v>
      </c>
      <c r="BN10" s="3">
        <v>1</v>
      </c>
      <c r="BO10" s="3" t="s">
        <v>730</v>
      </c>
      <c r="BP10" s="3" t="s">
        <v>1110</v>
      </c>
      <c r="BQ10" s="3">
        <f>HYPERLINK(".\links\GO\gi_346465649-GO.txt",0)</f>
        <v>0</v>
      </c>
      <c r="BR10" s="3" t="str">
        <f>HYPERLINK("http://amigo.geneontology.org/cgi-bin/amigo/term_details?term=GO:0003924","GO:0003924")</f>
        <v>GO:0003924</v>
      </c>
      <c r="BS10" s="3" t="s">
        <v>1111</v>
      </c>
      <c r="BT10" s="3" t="s">
        <v>1112</v>
      </c>
      <c r="BU10" s="3" t="s">
        <v>1113</v>
      </c>
      <c r="BV10" s="3" t="s">
        <v>36</v>
      </c>
      <c r="BW10" s="3"/>
      <c r="BX10" s="3">
        <v>0</v>
      </c>
      <c r="BY10" s="3" t="str">
        <f>HYPERLINK("http://amigo.geneontology.org/cgi-bin/amigo/term_details?term=GO:0005881","GO:0005881")</f>
        <v>GO:0005881</v>
      </c>
      <c r="BZ10" s="3" t="s">
        <v>1114</v>
      </c>
      <c r="CA10" s="3" t="s">
        <v>1115</v>
      </c>
      <c r="CB10" s="3" t="s">
        <v>1116</v>
      </c>
      <c r="CC10" s="3" t="s">
        <v>36</v>
      </c>
      <c r="CD10" s="3"/>
      <c r="CE10" s="3">
        <v>0</v>
      </c>
      <c r="CF10" s="3" t="str">
        <f>HYPERLINK("http://amigo.geneontology.org/cgi-bin/amigo/term_details?term=GO:0006184","GO:0006184")</f>
        <v>GO:0006184</v>
      </c>
      <c r="CG10" s="3" t="s">
        <v>735</v>
      </c>
      <c r="CH10" s="3" t="s">
        <v>736</v>
      </c>
      <c r="CI10" s="3" t="s">
        <v>737</v>
      </c>
      <c r="CJ10" s="3" t="s">
        <v>36</v>
      </c>
      <c r="CK10" s="3"/>
      <c r="CL10" s="3">
        <v>0</v>
      </c>
      <c r="CM10" s="3" t="str">
        <f>HYPERLINK(".\links\CDD\gi_346465649-CDD.txt","alpha_tubulin")</f>
        <v>alpha_tubulin</v>
      </c>
      <c r="CN10" s="3" t="str">
        <f>HYPERLINK("http://www.ncbi.nlm.nih.gov/Structure/cdd/cddsrv.cgi?uid=cd02186&amp;version=v4.0","0.0")</f>
        <v>0.0</v>
      </c>
      <c r="CO10" s="3" t="s">
        <v>1117</v>
      </c>
      <c r="CP10" s="3" t="str">
        <f>HYPERLINK(".\links\ACARI\gi_346465649-ACARI.txt","hypothetical protein, partial")</f>
        <v>hypothetical protein, partial</v>
      </c>
      <c r="CQ10" s="3" t="str">
        <f>HYPERLINK("http://www.ncbi.nlm.nih.gov/sutils/blink.cgi?pid=346465649","0.0")</f>
        <v>0.0</v>
      </c>
      <c r="CR10" s="3" t="str">
        <f>HYPERLINK("http://www.ncbi.nlm.nih.gov/protein/346465649","gi|346465649")</f>
        <v>gi|346465649</v>
      </c>
      <c r="CS10" s="3">
        <v>984</v>
      </c>
      <c r="CT10" s="3">
        <v>477</v>
      </c>
      <c r="CU10" s="3">
        <v>477</v>
      </c>
      <c r="CV10" s="3">
        <v>100</v>
      </c>
      <c r="CW10" s="3">
        <v>100</v>
      </c>
      <c r="CX10" s="3">
        <v>100</v>
      </c>
      <c r="CY10" s="3">
        <v>0</v>
      </c>
      <c r="CZ10" s="3">
        <v>0</v>
      </c>
      <c r="DA10" s="3">
        <v>1</v>
      </c>
      <c r="DB10" s="3">
        <v>1</v>
      </c>
      <c r="DC10" s="3">
        <v>1</v>
      </c>
      <c r="DD10" s="3" t="s">
        <v>173</v>
      </c>
    </row>
    <row r="11" spans="1:108" x14ac:dyDescent="0.2">
      <c r="A11" s="3" t="s">
        <v>1356</v>
      </c>
      <c r="B11" s="3" t="str">
        <f>HYPERLINK(".\links\\gi_346465959-.txt","gi_346465959")</f>
        <v>gi_346465959</v>
      </c>
      <c r="C11" s="3" t="s">
        <v>98</v>
      </c>
      <c r="D11" s="3">
        <v>170</v>
      </c>
      <c r="E11" s="9" t="s">
        <v>173</v>
      </c>
      <c r="F11" s="3" t="s">
        <v>1261</v>
      </c>
      <c r="G11" s="1" t="s">
        <v>1461</v>
      </c>
      <c r="H11" s="3" t="str">
        <f>HYPERLINK(".\links\UNIPROT-ACARI\gi_346465959-UNIPROT-ACARI.txt","Putative uncharacterized protein (Fragment)")</f>
        <v>Putative uncharacterized protein (Fragment)</v>
      </c>
      <c r="I11" s="3" t="str">
        <f>HYPERLINK("http://www.ncbi.nlm.nih.gov/sutils/blink.cgi?pid=G3MH56","5E-095")</f>
        <v>5E-095</v>
      </c>
      <c r="J11" s="3" t="s">
        <v>795</v>
      </c>
      <c r="K11" s="3">
        <v>343</v>
      </c>
      <c r="L11" s="3">
        <v>170</v>
      </c>
      <c r="M11" s="3">
        <v>170</v>
      </c>
      <c r="N11" s="3">
        <v>100</v>
      </c>
      <c r="O11" s="3">
        <v>100</v>
      </c>
      <c r="P11" s="3">
        <v>100</v>
      </c>
      <c r="Q11" s="3">
        <v>0</v>
      </c>
      <c r="R11" s="3">
        <v>0</v>
      </c>
      <c r="S11" s="3">
        <v>1</v>
      </c>
      <c r="T11" s="3">
        <v>1</v>
      </c>
      <c r="U11" s="3">
        <v>1</v>
      </c>
      <c r="V11" s="3" t="s">
        <v>36</v>
      </c>
      <c r="W11" s="3" t="str">
        <f>HYPERLINK(".\links\NR-LIGHT\gi_346465959-NR-LIGHT.txt","actin depolymerizing factor")</f>
        <v>actin depolymerizing factor</v>
      </c>
      <c r="X11" s="3" t="str">
        <f>HYPERLINK("http://www.ncbi.nlm.nih.gov/sutils/blink.cgi?pid=325303826","1E-079")</f>
        <v>1E-079</v>
      </c>
      <c r="Y11" s="3" t="str">
        <f>HYPERLINK("http://www.ncbi.nlm.nih.gov/protein/325303826","gi|325303826")</f>
        <v>gi|325303826</v>
      </c>
      <c r="Z11" s="3">
        <v>297</v>
      </c>
      <c r="AA11" s="3">
        <v>147</v>
      </c>
      <c r="AB11" s="3">
        <v>147</v>
      </c>
      <c r="AC11" s="3">
        <v>100</v>
      </c>
      <c r="AD11" s="3">
        <v>100</v>
      </c>
      <c r="AE11" s="3">
        <v>100</v>
      </c>
      <c r="AF11" s="3">
        <v>0</v>
      </c>
      <c r="AG11" s="3">
        <v>0</v>
      </c>
      <c r="AH11" s="3">
        <v>1</v>
      </c>
      <c r="AI11" s="3">
        <v>24</v>
      </c>
      <c r="AJ11" s="3">
        <v>1</v>
      </c>
      <c r="AK11" s="3" t="s">
        <v>114</v>
      </c>
      <c r="AL11" s="3" t="str">
        <f>HYPERLINK(".\links\REFSEQ-INVERTEBRATE\gi_346465959-REFSEQ-INVERTEBRATE.txt","actin depolymerizing factor, putative")</f>
        <v>actin depolymerizing factor, putative</v>
      </c>
      <c r="AM11" s="3" t="str">
        <f>HYPERLINK("http://www.ncbi.nlm.nih.gov/sutils/blink.cgi?pid=242000982","9E-066")</f>
        <v>9E-066</v>
      </c>
      <c r="AN11" s="3" t="str">
        <f>HYPERLINK("http://www.ncbi.nlm.nih.gov/protein/242000982","gi|242000982")</f>
        <v>gi|242000982</v>
      </c>
      <c r="AO11" s="3">
        <v>249</v>
      </c>
      <c r="AP11" s="3">
        <v>147</v>
      </c>
      <c r="AQ11" s="3">
        <v>147</v>
      </c>
      <c r="AR11" s="3">
        <v>79</v>
      </c>
      <c r="AS11" s="3">
        <v>89</v>
      </c>
      <c r="AT11" s="3">
        <v>100</v>
      </c>
      <c r="AU11" s="3">
        <v>30</v>
      </c>
      <c r="AV11" s="3">
        <v>0</v>
      </c>
      <c r="AW11" s="3">
        <v>1</v>
      </c>
      <c r="AX11" s="3">
        <v>24</v>
      </c>
      <c r="AY11" s="3">
        <v>1</v>
      </c>
      <c r="AZ11" s="3" t="s">
        <v>40</v>
      </c>
      <c r="BA11" s="3" t="str">
        <f>HYPERLINK(".\links\MEROPS\gi_346465959-MEROPS.txt","- glutamate synthase (alpha chain) precursor (Acyrthosiphon pisum)")</f>
        <v>- glutamate synthase (alpha chain) precursor (Acyrthosiphon pisum)</v>
      </c>
      <c r="BB11" s="3" t="str">
        <f>HYPERLINK("http://www.ncbi.nlm.nih.gov/sutils/blink.cgi?pid=457791 - glutamate synthase (alpha chain) precursor (Acyrthosiphon pisum) [C44.003]#C44#{peptidase unit","0.53")</f>
        <v>0.53</v>
      </c>
      <c r="BC11" s="3" t="s">
        <v>796</v>
      </c>
      <c r="BD11" s="3">
        <v>34.299999999999997</v>
      </c>
      <c r="BE11" s="3">
        <v>101</v>
      </c>
      <c r="BF11" s="3">
        <v>2080</v>
      </c>
      <c r="BG11" s="3">
        <v>25</v>
      </c>
      <c r="BH11" s="3">
        <v>44</v>
      </c>
      <c r="BI11" s="3">
        <v>5</v>
      </c>
      <c r="BJ11" s="3">
        <v>75</v>
      </c>
      <c r="BK11" s="3">
        <v>20</v>
      </c>
      <c r="BL11" s="3">
        <v>727</v>
      </c>
      <c r="BM11" s="3">
        <v>86</v>
      </c>
      <c r="BN11" s="3">
        <v>1</v>
      </c>
      <c r="BO11" s="3" t="s">
        <v>797</v>
      </c>
      <c r="BP11" s="3" t="s">
        <v>314</v>
      </c>
      <c r="BQ11" s="3">
        <f>HYPERLINK(".\links\GO\gi_346465959-GO.txt",5E-40)</f>
        <v>4.9999999999999996E-40</v>
      </c>
      <c r="BR11" s="3" t="str">
        <f>HYPERLINK("http://amigo.geneontology.org/cgi-bin/amigo/term_details?term=GO:0003779","GO:0003779")</f>
        <v>GO:0003779</v>
      </c>
      <c r="BS11" s="3" t="s">
        <v>315</v>
      </c>
      <c r="BT11" s="3" t="s">
        <v>316</v>
      </c>
      <c r="BU11" s="3" t="s">
        <v>317</v>
      </c>
      <c r="BV11" s="3" t="s">
        <v>36</v>
      </c>
      <c r="BW11" s="3"/>
      <c r="BX11" s="4">
        <v>4.9999999999999996E-40</v>
      </c>
      <c r="BY11" s="3" t="str">
        <f>HYPERLINK("http://amigo.geneontology.org/cgi-bin/amigo/term_details?term=GO:0015629","GO:0015629")</f>
        <v>GO:0015629</v>
      </c>
      <c r="BZ11" s="3" t="s">
        <v>318</v>
      </c>
      <c r="CA11" s="3" t="s">
        <v>319</v>
      </c>
      <c r="CB11" s="3" t="s">
        <v>36</v>
      </c>
      <c r="CC11" s="3" t="s">
        <v>36</v>
      </c>
      <c r="CD11" s="3"/>
      <c r="CE11" s="4">
        <v>4.9999999999999996E-40</v>
      </c>
      <c r="CF11" s="3" t="str">
        <f>HYPERLINK("http://amigo.geneontology.org/cgi-bin/amigo/term_details?term=GO:0030042","GO:0030042")</f>
        <v>GO:0030042</v>
      </c>
      <c r="CG11" s="3" t="s">
        <v>320</v>
      </c>
      <c r="CH11" s="3" t="s">
        <v>321</v>
      </c>
      <c r="CI11" s="3" t="s">
        <v>322</v>
      </c>
      <c r="CJ11" s="3" t="s">
        <v>36</v>
      </c>
      <c r="CK11" s="3"/>
      <c r="CL11" s="4">
        <v>4.9999999999999996E-40</v>
      </c>
      <c r="CM11" s="3" t="str">
        <f>HYPERLINK(".\links\CDD\gi_346465959-CDD.txt","ADF_cofilin_lik")</f>
        <v>ADF_cofilin_lik</v>
      </c>
      <c r="CN11" s="3" t="str">
        <f>HYPERLINK("http://www.ncbi.nlm.nih.gov/Structure/cdd/cddsrv.cgi?uid=cd11286&amp;version=v4.0","8E-028")</f>
        <v>8E-028</v>
      </c>
      <c r="CO11" s="3" t="s">
        <v>798</v>
      </c>
      <c r="CP11" s="3" t="str">
        <f>HYPERLINK(".\links\ACARI\gi_346465959-ACARI.txt","hypothetical protein, partial")</f>
        <v>hypothetical protein, partial</v>
      </c>
      <c r="CQ11" s="3" t="str">
        <f>HYPERLINK("http://www.ncbi.nlm.nih.gov/sutils/blink.cgi?pid=346465959","6E-095")</f>
        <v>6E-095</v>
      </c>
      <c r="CR11" s="3" t="str">
        <f>HYPERLINK("http://www.ncbi.nlm.nih.gov/protein/346465959","gi|346465959")</f>
        <v>gi|346465959</v>
      </c>
      <c r="CS11" s="3">
        <v>343</v>
      </c>
      <c r="CT11" s="3">
        <v>170</v>
      </c>
      <c r="CU11" s="3">
        <v>170</v>
      </c>
      <c r="CV11" s="3">
        <v>100</v>
      </c>
      <c r="CW11" s="3">
        <v>100</v>
      </c>
      <c r="CX11" s="3">
        <v>100</v>
      </c>
      <c r="CY11" s="3">
        <v>0</v>
      </c>
      <c r="CZ11" s="3">
        <v>0</v>
      </c>
      <c r="DA11" s="3">
        <v>1</v>
      </c>
      <c r="DB11" s="3">
        <v>1</v>
      </c>
      <c r="DC11" s="3">
        <v>1</v>
      </c>
      <c r="DD11" s="3" t="s">
        <v>173</v>
      </c>
    </row>
    <row r="12" spans="1:108" x14ac:dyDescent="0.2">
      <c r="A12" s="3" t="s">
        <v>1329</v>
      </c>
      <c r="B12" s="3" t="str">
        <f>HYPERLINK(".\links\\gi_346468263-.txt","gi_346468263")</f>
        <v>gi_346468263</v>
      </c>
      <c r="C12" s="3" t="s">
        <v>35</v>
      </c>
      <c r="D12" s="3">
        <v>446</v>
      </c>
      <c r="E12" s="9" t="s">
        <v>173</v>
      </c>
      <c r="F12" s="3" t="s">
        <v>1211</v>
      </c>
      <c r="G12" s="1" t="s">
        <v>1461</v>
      </c>
      <c r="H12" s="3" t="str">
        <f>HYPERLINK(".\links\UNIPROT-ACARI\gi_346468263-UNIPROT-ACARI.txt","Putative beta tubulin")</f>
        <v>Putative beta tubulin</v>
      </c>
      <c r="I12" s="3" t="str">
        <f>HYPERLINK("http://www.ncbi.nlm.nih.gov/sutils/blink.cgi?pid=A0A023GK59","0.0")</f>
        <v>0.0</v>
      </c>
      <c r="J12" s="3" t="s">
        <v>728</v>
      </c>
      <c r="K12" s="3">
        <v>912</v>
      </c>
      <c r="L12" s="3">
        <v>446</v>
      </c>
      <c r="M12" s="3">
        <v>446</v>
      </c>
      <c r="N12" s="3">
        <v>100</v>
      </c>
      <c r="O12" s="3">
        <v>100</v>
      </c>
      <c r="P12" s="3">
        <v>100</v>
      </c>
      <c r="Q12" s="3">
        <v>0</v>
      </c>
      <c r="R12" s="3">
        <v>0</v>
      </c>
      <c r="S12" s="3">
        <v>1</v>
      </c>
      <c r="T12" s="3">
        <v>1</v>
      </c>
      <c r="U12" s="3">
        <v>1</v>
      </c>
      <c r="V12" s="3" t="s">
        <v>36</v>
      </c>
      <c r="W12" s="3" t="str">
        <f>HYPERLINK(".\links\NR-LIGHT\gi_346468263-NR-LIGHT.txt","beta tubulin")</f>
        <v>beta tubulin</v>
      </c>
      <c r="X12" s="3" t="str">
        <f>HYPERLINK("http://www.ncbi.nlm.nih.gov/sutils/blink.cgi?pid=241151391","0.0")</f>
        <v>0.0</v>
      </c>
      <c r="Y12" s="3" t="str">
        <f>HYPERLINK("http://www.ncbi.nlm.nih.gov/protein/241151391","gi|241151391")</f>
        <v>gi|241151391</v>
      </c>
      <c r="Z12" s="3">
        <v>900</v>
      </c>
      <c r="AA12" s="3">
        <v>446</v>
      </c>
      <c r="AB12" s="3">
        <v>446</v>
      </c>
      <c r="AC12" s="3">
        <v>98</v>
      </c>
      <c r="AD12" s="3">
        <v>99</v>
      </c>
      <c r="AE12" s="3">
        <v>100</v>
      </c>
      <c r="AF12" s="3">
        <v>7</v>
      </c>
      <c r="AG12" s="3">
        <v>0</v>
      </c>
      <c r="AH12" s="3">
        <v>1</v>
      </c>
      <c r="AI12" s="3">
        <v>1</v>
      </c>
      <c r="AJ12" s="3">
        <v>1</v>
      </c>
      <c r="AK12" s="3" t="s">
        <v>40</v>
      </c>
      <c r="AL12" s="3" t="str">
        <f>HYPERLINK(".\links\REFSEQ-INVERTEBRATE\gi_346468263-REFSEQ-INVERTEBRATE.txt","beta tubulin")</f>
        <v>beta tubulin</v>
      </c>
      <c r="AM12" s="3" t="str">
        <f>HYPERLINK("http://www.ncbi.nlm.nih.gov/sutils/blink.cgi?pid=241151391","0.0")</f>
        <v>0.0</v>
      </c>
      <c r="AN12" s="3" t="str">
        <f>HYPERLINK("http://www.ncbi.nlm.nih.gov/protein/241151391","gi|241151391")</f>
        <v>gi|241151391</v>
      </c>
      <c r="AO12" s="3">
        <v>900</v>
      </c>
      <c r="AP12" s="3">
        <v>446</v>
      </c>
      <c r="AQ12" s="3">
        <v>446</v>
      </c>
      <c r="AR12" s="3">
        <v>98</v>
      </c>
      <c r="AS12" s="3">
        <v>99</v>
      </c>
      <c r="AT12" s="3">
        <v>100</v>
      </c>
      <c r="AU12" s="3">
        <v>7</v>
      </c>
      <c r="AV12" s="3">
        <v>0</v>
      </c>
      <c r="AW12" s="3">
        <v>1</v>
      </c>
      <c r="AX12" s="3">
        <v>1</v>
      </c>
      <c r="AY12" s="3">
        <v>1</v>
      </c>
      <c r="AZ12" s="3" t="s">
        <v>40</v>
      </c>
      <c r="BA12" s="3" t="str">
        <f>HYPERLINK(".\links\MEROPS\gi_346468263-MEROPS.txt","- Afg3-like protein 1B (Nomascus leucogenys)")</f>
        <v>- Afg3-like protein 1B (Nomascus leucogenys)</v>
      </c>
      <c r="BB12" s="3" t="str">
        <f>HYPERLINK("http://www.ncbi.nlm.nih.gov/sutils/blink.cgi?pid=256488 - Afg3-like protein 1B (Nomascus leucogenys) [M41.016]#M41#{peptidase unit","0.0")</f>
        <v>0.0</v>
      </c>
      <c r="BC12" s="3" t="s">
        <v>729</v>
      </c>
      <c r="BD12" s="3">
        <v>847</v>
      </c>
      <c r="BE12" s="3">
        <v>446</v>
      </c>
      <c r="BF12" s="3">
        <v>2989</v>
      </c>
      <c r="BG12" s="3">
        <v>91</v>
      </c>
      <c r="BH12" s="3">
        <v>96</v>
      </c>
      <c r="BI12" s="3">
        <v>15</v>
      </c>
      <c r="BJ12" s="3">
        <v>37</v>
      </c>
      <c r="BK12" s="3">
        <v>0</v>
      </c>
      <c r="BL12" s="3">
        <v>1251</v>
      </c>
      <c r="BM12" s="3">
        <v>1</v>
      </c>
      <c r="BN12" s="3">
        <v>1</v>
      </c>
      <c r="BO12" s="3" t="s">
        <v>730</v>
      </c>
      <c r="BP12" s="3" t="s">
        <v>731</v>
      </c>
      <c r="BQ12" s="3">
        <f>HYPERLINK(".\links\GO\gi_346468263-GO.txt",0)</f>
        <v>0</v>
      </c>
      <c r="BR12" s="3" t="str">
        <f>HYPERLINK("http://amigo.geneontology.org/cgi-bin/amigo/term_details?term=GO:0003725","GO:0003725")</f>
        <v>GO:0003725</v>
      </c>
      <c r="BS12" s="3" t="s">
        <v>732</v>
      </c>
      <c r="BT12" s="3" t="s">
        <v>733</v>
      </c>
      <c r="BU12" s="3" t="s">
        <v>734</v>
      </c>
      <c r="BV12" s="3" t="s">
        <v>36</v>
      </c>
      <c r="BW12" s="3"/>
      <c r="BX12" s="3">
        <v>0</v>
      </c>
      <c r="BY12" s="3" t="str">
        <f>HYPERLINK("http://amigo.geneontology.org/cgi-bin/amigo/term_details?term=GO:0005737","GO:0005737")</f>
        <v>GO:0005737</v>
      </c>
      <c r="BZ12" s="3" t="s">
        <v>374</v>
      </c>
      <c r="CA12" s="3" t="s">
        <v>375</v>
      </c>
      <c r="CB12" s="3" t="s">
        <v>36</v>
      </c>
      <c r="CC12" s="3" t="s">
        <v>36</v>
      </c>
      <c r="CD12" s="3"/>
      <c r="CE12" s="3">
        <v>0</v>
      </c>
      <c r="CF12" s="3" t="str">
        <f>HYPERLINK("http://amigo.geneontology.org/cgi-bin/amigo/term_details?term=GO:0006184","GO:0006184")</f>
        <v>GO:0006184</v>
      </c>
      <c r="CG12" s="3" t="s">
        <v>735</v>
      </c>
      <c r="CH12" s="3" t="s">
        <v>736</v>
      </c>
      <c r="CI12" s="3" t="s">
        <v>737</v>
      </c>
      <c r="CJ12" s="3" t="s">
        <v>36</v>
      </c>
      <c r="CK12" s="3"/>
      <c r="CL12" s="3">
        <v>0</v>
      </c>
      <c r="CM12" s="3" t="str">
        <f>HYPERLINK(".\links\CDD\gi_346468263-CDD.txt","beta_tubulin")</f>
        <v>beta_tubulin</v>
      </c>
      <c r="CN12" s="3" t="str">
        <f>HYPERLINK("http://www.ncbi.nlm.nih.gov/Structure/cdd/cddsrv.cgi?uid=cd02187&amp;version=v4.0","0.0")</f>
        <v>0.0</v>
      </c>
      <c r="CO12" s="3" t="s">
        <v>738</v>
      </c>
      <c r="CP12" s="3" t="str">
        <f>HYPERLINK(".\links\ACARI\gi_346468263-ACARI.txt","hypothetical protein")</f>
        <v>hypothetical protein</v>
      </c>
      <c r="CQ12" s="3" t="str">
        <f>HYPERLINK("http://www.ncbi.nlm.nih.gov/sutils/blink.cgi?pid=346468263","0.0")</f>
        <v>0.0</v>
      </c>
      <c r="CR12" s="3" t="str">
        <f>HYPERLINK("http://www.ncbi.nlm.nih.gov/protein/346468263","gi|346468263")</f>
        <v>gi|346468263</v>
      </c>
      <c r="CS12" s="3">
        <v>912</v>
      </c>
      <c r="CT12" s="3">
        <v>446</v>
      </c>
      <c r="CU12" s="3">
        <v>446</v>
      </c>
      <c r="CV12" s="3">
        <v>100</v>
      </c>
      <c r="CW12" s="3">
        <v>100</v>
      </c>
      <c r="CX12" s="3">
        <v>100</v>
      </c>
      <c r="CY12" s="3">
        <v>0</v>
      </c>
      <c r="CZ12" s="3">
        <v>0</v>
      </c>
      <c r="DA12" s="3">
        <v>1</v>
      </c>
      <c r="DB12" s="3">
        <v>1</v>
      </c>
      <c r="DC12" s="3">
        <v>1</v>
      </c>
      <c r="DD12" s="3" t="s">
        <v>173</v>
      </c>
    </row>
    <row r="13" spans="1:108" s="3" customFormat="1" x14ac:dyDescent="0.2">
      <c r="A13" s="3" t="s">
        <v>1336</v>
      </c>
      <c r="B13" s="3" t="str">
        <f>HYPERLINK(".\links\\gi_403241999-.txt","gi_403241999")</f>
        <v>gi_403241999</v>
      </c>
      <c r="C13" s="3" t="s">
        <v>35</v>
      </c>
      <c r="D13" s="3">
        <v>873</v>
      </c>
      <c r="E13" s="9" t="s">
        <v>53</v>
      </c>
      <c r="F13" s="3" t="s">
        <v>1272</v>
      </c>
      <c r="G13" s="1" t="s">
        <v>1461</v>
      </c>
      <c r="H13" s="3" t="str">
        <f>HYPERLINK(".\links\UNIPROT-ACARI\gi_403241999-UNIPROT-ACARI.txt","Paramyosin")</f>
        <v>Paramyosin</v>
      </c>
      <c r="I13" s="3" t="str">
        <f>HYPERLINK("http://www.ncbi.nlm.nih.gov/sutils/blink.cgi?pid=J7LVN2","0.0")</f>
        <v>0.0</v>
      </c>
      <c r="J13" s="3" t="s">
        <v>499</v>
      </c>
      <c r="K13" s="3">
        <v>1644</v>
      </c>
      <c r="L13" s="3">
        <v>873</v>
      </c>
      <c r="M13" s="3">
        <v>873</v>
      </c>
      <c r="N13" s="3">
        <v>100</v>
      </c>
      <c r="O13" s="3">
        <v>100</v>
      </c>
      <c r="P13" s="3">
        <v>100</v>
      </c>
      <c r="Q13" s="3">
        <v>0</v>
      </c>
      <c r="R13" s="3">
        <v>0</v>
      </c>
      <c r="S13" s="3">
        <v>1</v>
      </c>
      <c r="T13" s="3">
        <v>1</v>
      </c>
      <c r="U13" s="3">
        <v>1</v>
      </c>
      <c r="V13" s="3" t="s">
        <v>36</v>
      </c>
      <c r="W13" s="3" t="str">
        <f>HYPERLINK(".\links\NR-LIGHT\gi_403241999-NR-LIGHT.txt","paramyosin")</f>
        <v>paramyosin</v>
      </c>
      <c r="X13" s="3" t="str">
        <f>HYPERLINK("http://www.ncbi.nlm.nih.gov/sutils/blink.cgi?pid=403241999","0.0")</f>
        <v>0.0</v>
      </c>
      <c r="Y13" s="3" t="str">
        <f>HYPERLINK("http://www.ncbi.nlm.nih.gov/protein/403241999","gi|403241999")</f>
        <v>gi|403241999</v>
      </c>
      <c r="Z13" s="3">
        <v>1644</v>
      </c>
      <c r="AA13" s="3">
        <v>873</v>
      </c>
      <c r="AB13" s="3">
        <v>873</v>
      </c>
      <c r="AC13" s="3">
        <v>100</v>
      </c>
      <c r="AD13" s="3">
        <v>100</v>
      </c>
      <c r="AE13" s="3">
        <v>100</v>
      </c>
      <c r="AF13" s="3">
        <v>0</v>
      </c>
      <c r="AG13" s="3">
        <v>0</v>
      </c>
      <c r="AH13" s="3">
        <v>1</v>
      </c>
      <c r="AI13" s="3">
        <v>1</v>
      </c>
      <c r="AJ13" s="3">
        <v>1</v>
      </c>
      <c r="AK13" s="3" t="s">
        <v>53</v>
      </c>
      <c r="AL13" s="3" t="str">
        <f>HYPERLINK(".\links\REFSEQ-INVERTEBRATE\gi_403241999-REFSEQ-INVERTEBRATE.txt","paramyosin, putative")</f>
        <v>paramyosin, putative</v>
      </c>
      <c r="AM13" s="3" t="str">
        <f>HYPERLINK("http://www.ncbi.nlm.nih.gov/sutils/blink.cgi?pid=241048541","0.0")</f>
        <v>0.0</v>
      </c>
      <c r="AN13" s="3" t="str">
        <f>HYPERLINK("http://www.ncbi.nlm.nih.gov/protein/241048541","gi|241048541")</f>
        <v>gi|241048541</v>
      </c>
      <c r="AO13" s="3">
        <v>1548</v>
      </c>
      <c r="AP13" s="3">
        <v>873</v>
      </c>
      <c r="AQ13" s="3">
        <v>857</v>
      </c>
      <c r="AR13" s="3">
        <v>93</v>
      </c>
      <c r="AS13" s="3">
        <v>96</v>
      </c>
      <c r="AT13" s="3">
        <v>102</v>
      </c>
      <c r="AU13" s="3">
        <v>55</v>
      </c>
      <c r="AV13" s="3">
        <v>16</v>
      </c>
      <c r="AW13" s="3">
        <v>1</v>
      </c>
      <c r="AX13" s="3">
        <v>1</v>
      </c>
      <c r="AY13" s="3">
        <v>1</v>
      </c>
      <c r="AZ13" s="3" t="s">
        <v>40</v>
      </c>
      <c r="BA13" s="3" t="str">
        <f>HYPERLINK(".\links\MEROPS\gi_403241999-MEROPS.txt","- subfamily M23B non-peptidase homologues (Dipodomys ordii)")</f>
        <v>- subfamily M23B non-peptidase homologues (Dipodomys ordii)</v>
      </c>
      <c r="BB13" s="3" t="str">
        <f>HYPERLINK("http://www.ncbi.nlm.nih.gov/sutils/blink.cgi?pid=157071 - subfamily M23B non-peptidase homologues (Dipodomys ordii) [M23.UNB]#M23B#{peptidase unit","1E-163")</f>
        <v>1E-163</v>
      </c>
      <c r="BC13" s="3" t="s">
        <v>414</v>
      </c>
      <c r="BD13" s="3">
        <v>577</v>
      </c>
      <c r="BE13" s="3">
        <v>819</v>
      </c>
      <c r="BF13" s="3">
        <v>1940</v>
      </c>
      <c r="BG13" s="3">
        <v>37</v>
      </c>
      <c r="BH13" s="3">
        <v>62</v>
      </c>
      <c r="BI13" s="3">
        <v>42</v>
      </c>
      <c r="BJ13" s="3">
        <v>511</v>
      </c>
      <c r="BK13" s="3">
        <v>1</v>
      </c>
      <c r="BL13" s="3">
        <v>1113</v>
      </c>
      <c r="BM13" s="3">
        <v>30</v>
      </c>
      <c r="BN13" s="3">
        <v>1</v>
      </c>
      <c r="BO13" s="3" t="s">
        <v>415</v>
      </c>
      <c r="BP13" s="3" t="s">
        <v>500</v>
      </c>
      <c r="BQ13" s="3">
        <f>HYPERLINK(".\links\GO\gi_403241999-GO.txt",0)</f>
        <v>0</v>
      </c>
      <c r="BR13" s="3" t="str">
        <f>HYPERLINK("http://amigo.geneontology.org/cgi-bin/amigo/term_details?term=GO:0008307","GO:0008307")</f>
        <v>GO:0008307</v>
      </c>
      <c r="BS13" s="3" t="s">
        <v>501</v>
      </c>
      <c r="BT13" s="3" t="s">
        <v>502</v>
      </c>
      <c r="BU13" s="3" t="s">
        <v>36</v>
      </c>
      <c r="BV13" s="3" t="s">
        <v>36</v>
      </c>
      <c r="BX13" s="3">
        <v>0</v>
      </c>
      <c r="BY13" s="3" t="str">
        <f>HYPERLINK("http://amigo.geneontology.org/cgi-bin/amigo/term_details?term=GO:0005863","GO:0005863")</f>
        <v>GO:0005863</v>
      </c>
      <c r="BZ13" s="3" t="s">
        <v>503</v>
      </c>
      <c r="CA13" s="3" t="s">
        <v>504</v>
      </c>
      <c r="CB13" s="3" t="s">
        <v>36</v>
      </c>
      <c r="CC13" s="3" t="s">
        <v>36</v>
      </c>
      <c r="CE13" s="3">
        <v>0</v>
      </c>
      <c r="CF13" s="3" t="str">
        <f>HYPERLINK("http://amigo.geneontology.org/cgi-bin/amigo/term_details?term=GO:0007498","GO:0007498")</f>
        <v>GO:0007498</v>
      </c>
      <c r="CG13" s="3" t="s">
        <v>505</v>
      </c>
      <c r="CH13" s="3" t="s">
        <v>506</v>
      </c>
      <c r="CI13" s="3" t="s">
        <v>36</v>
      </c>
      <c r="CJ13" s="3" t="s">
        <v>36</v>
      </c>
      <c r="CL13" s="3">
        <v>0</v>
      </c>
      <c r="CM13" s="3" t="str">
        <f>HYPERLINK(".\links\CDD\gi_403241999-CDD.txt","Myosin_tail_1")</f>
        <v>Myosin_tail_1</v>
      </c>
      <c r="CN13" s="3" t="str">
        <f>HYPERLINK("http://www.ncbi.nlm.nih.gov/Structure/cdd/cddsrv.cgi?uid=pfam01576&amp;version=v4.0","0.0")</f>
        <v>0.0</v>
      </c>
      <c r="CO13" s="3" t="s">
        <v>507</v>
      </c>
      <c r="CP13" s="3" t="str">
        <f>HYPERLINK(".\links\ACARI\gi_403241999-ACARI.txt","paramyosin")</f>
        <v>paramyosin</v>
      </c>
      <c r="CQ13" s="3" t="str">
        <f>HYPERLINK("http://www.ncbi.nlm.nih.gov/sutils/blink.cgi?pid=403241999","0.0")</f>
        <v>0.0</v>
      </c>
      <c r="CR13" s="3" t="str">
        <f>HYPERLINK("http://www.ncbi.nlm.nih.gov/protein/403241999","gi|403241999")</f>
        <v>gi|403241999</v>
      </c>
      <c r="CS13" s="3">
        <v>1644</v>
      </c>
      <c r="CT13" s="3">
        <v>873</v>
      </c>
      <c r="CU13" s="3">
        <v>873</v>
      </c>
      <c r="CV13" s="3">
        <v>100</v>
      </c>
      <c r="CW13" s="3">
        <v>100</v>
      </c>
      <c r="CX13" s="3">
        <v>100</v>
      </c>
      <c r="CY13" s="3">
        <v>0</v>
      </c>
      <c r="CZ13" s="3">
        <v>0</v>
      </c>
      <c r="DA13" s="3">
        <v>1</v>
      </c>
      <c r="DB13" s="3">
        <v>1</v>
      </c>
      <c r="DC13" s="3">
        <v>1</v>
      </c>
      <c r="DD13" s="3" t="s">
        <v>53</v>
      </c>
    </row>
    <row r="14" spans="1:108" s="3" customFormat="1" x14ac:dyDescent="0.2">
      <c r="A14" s="3" t="s">
        <v>1390</v>
      </c>
      <c r="B14" s="3" t="str">
        <f>HYPERLINK(".\links\\gi_556066272-.txt","gi_556066272")</f>
        <v>gi_556066272</v>
      </c>
      <c r="C14" s="3" t="s">
        <v>35</v>
      </c>
      <c r="D14" s="3">
        <v>106</v>
      </c>
      <c r="E14" s="9" t="s">
        <v>37</v>
      </c>
      <c r="F14" s="3" t="s">
        <v>1266</v>
      </c>
      <c r="G14" s="1" t="s">
        <v>1461</v>
      </c>
      <c r="H14" s="3" t="str">
        <f>HYPERLINK(".\links\UNIPROT-ACARI\gi_556066272-UNIPROT-ACARI.txt","Putative cut up")</f>
        <v>Putative cut up</v>
      </c>
      <c r="I14" s="3" t="str">
        <f>HYPERLINK("http://www.ncbi.nlm.nih.gov/sutils/blink.cgi?pid=V5HLE1","4E-058")</f>
        <v>4E-058</v>
      </c>
      <c r="J14" s="3" t="s">
        <v>437</v>
      </c>
      <c r="K14" s="3">
        <v>220</v>
      </c>
      <c r="L14" s="3">
        <v>106</v>
      </c>
      <c r="M14" s="3">
        <v>106</v>
      </c>
      <c r="N14" s="3">
        <v>100</v>
      </c>
      <c r="O14" s="3">
        <v>100</v>
      </c>
      <c r="P14" s="3">
        <v>100</v>
      </c>
      <c r="Q14" s="3">
        <v>0</v>
      </c>
      <c r="R14" s="3">
        <v>0</v>
      </c>
      <c r="S14" s="3">
        <v>1</v>
      </c>
      <c r="T14" s="3">
        <v>1</v>
      </c>
      <c r="U14" s="3">
        <v>1</v>
      </c>
      <c r="V14" s="3" t="s">
        <v>36</v>
      </c>
      <c r="W14" s="3" t="str">
        <f>HYPERLINK(".\links\NR-LIGHT\gi_556066272-NR-LIGHT.txt","dynein light chain")</f>
        <v>dynein light chain</v>
      </c>
      <c r="X14" s="3" t="str">
        <f>HYPERLINK("http://www.ncbi.nlm.nih.gov/sutils/blink.cgi?pid=241363986","5E-042")</f>
        <v>5E-042</v>
      </c>
      <c r="Y14" s="3" t="str">
        <f>HYPERLINK("http://www.ncbi.nlm.nih.gov/protein/241363986","gi|241363986")</f>
        <v>gi|241363986</v>
      </c>
      <c r="Z14" s="3">
        <v>172</v>
      </c>
      <c r="AA14" s="3">
        <v>82</v>
      </c>
      <c r="AB14" s="3">
        <v>89</v>
      </c>
      <c r="AC14" s="3">
        <v>100</v>
      </c>
      <c r="AD14" s="3">
        <v>100</v>
      </c>
      <c r="AE14" s="3">
        <v>92</v>
      </c>
      <c r="AF14" s="3">
        <v>0</v>
      </c>
      <c r="AG14" s="3">
        <v>0</v>
      </c>
      <c r="AH14" s="3">
        <v>1</v>
      </c>
      <c r="AI14" s="3">
        <v>1</v>
      </c>
      <c r="AJ14" s="3">
        <v>1</v>
      </c>
      <c r="AK14" s="3" t="s">
        <v>40</v>
      </c>
      <c r="AL14" s="3" t="str">
        <f>HYPERLINK(".\links\REFSEQ-INVERTEBRATE\gi_556066272-REFSEQ-INVERTEBRATE.txt","dynein light chain")</f>
        <v>dynein light chain</v>
      </c>
      <c r="AM14" s="3" t="str">
        <f>HYPERLINK("http://www.ncbi.nlm.nih.gov/sutils/blink.cgi?pid=241363986","1E-042")</f>
        <v>1E-042</v>
      </c>
      <c r="AN14" s="3" t="str">
        <f>HYPERLINK("http://www.ncbi.nlm.nih.gov/protein/241363986","gi|241363986")</f>
        <v>gi|241363986</v>
      </c>
      <c r="AO14" s="3">
        <v>172</v>
      </c>
      <c r="AP14" s="3">
        <v>82</v>
      </c>
      <c r="AQ14" s="3">
        <v>89</v>
      </c>
      <c r="AR14" s="3">
        <v>100</v>
      </c>
      <c r="AS14" s="3">
        <v>100</v>
      </c>
      <c r="AT14" s="3">
        <v>92</v>
      </c>
      <c r="AU14" s="3">
        <v>0</v>
      </c>
      <c r="AV14" s="3">
        <v>0</v>
      </c>
      <c r="AW14" s="3">
        <v>1</v>
      </c>
      <c r="AX14" s="3">
        <v>1</v>
      </c>
      <c r="AY14" s="3">
        <v>1</v>
      </c>
      <c r="AZ14" s="3" t="s">
        <v>40</v>
      </c>
      <c r="BA14" s="3" t="str">
        <f>HYPERLINK(".\links\MEROPS\gi_556066272-MEROPS.txt","- legumain, animal-type (Ictalurus punctatus)")</f>
        <v>- legumain, animal-type (Ictalurus punctatus)</v>
      </c>
      <c r="BB14" s="3" t="str">
        <f>HYPERLINK("http://www.ncbi.nlm.nih.gov/sutils/blink.cgi?pid=292317 - legumain, animal-type (Ictalurus punctatus) [C13.004]#C13#{peptidase unit","4E-005")</f>
        <v>4E-005</v>
      </c>
      <c r="BC14" s="3" t="s">
        <v>438</v>
      </c>
      <c r="BD14" s="3">
        <v>47</v>
      </c>
      <c r="BE14" s="3">
        <v>74</v>
      </c>
      <c r="BF14" s="3">
        <v>110</v>
      </c>
      <c r="BG14" s="3">
        <v>44</v>
      </c>
      <c r="BH14" s="3">
        <v>58</v>
      </c>
      <c r="BI14" s="3">
        <v>67</v>
      </c>
      <c r="BJ14" s="3">
        <v>41</v>
      </c>
      <c r="BK14" s="3">
        <v>13</v>
      </c>
      <c r="BL14" s="3">
        <v>1</v>
      </c>
      <c r="BM14" s="3">
        <v>11</v>
      </c>
      <c r="BN14" s="3">
        <v>1</v>
      </c>
      <c r="BO14" s="3" t="s">
        <v>439</v>
      </c>
      <c r="BP14" s="3" t="s">
        <v>440</v>
      </c>
      <c r="BQ14" s="3">
        <f>HYPERLINK(".\links\GO\gi_556066272-GO.txt",2E-41)</f>
        <v>2E-41</v>
      </c>
      <c r="BR14" s="3" t="str">
        <f>HYPERLINK("http://amigo.geneontology.org/cgi-bin/amigo/term_details?term=GO:0003777","GO:0003777")</f>
        <v>GO:0003777</v>
      </c>
      <c r="BS14" s="3" t="s">
        <v>441</v>
      </c>
      <c r="BT14" s="3" t="s">
        <v>442</v>
      </c>
      <c r="BU14" s="3" t="s">
        <v>443</v>
      </c>
      <c r="BV14" s="3" t="s">
        <v>36</v>
      </c>
      <c r="BX14" s="4">
        <v>2E-41</v>
      </c>
      <c r="BY14" s="3" t="str">
        <f>HYPERLINK("http://amigo.geneontology.org/cgi-bin/amigo/term_details?term=GO:0005856","GO:0005856")</f>
        <v>GO:0005856</v>
      </c>
      <c r="BZ14" s="3" t="s">
        <v>444</v>
      </c>
      <c r="CA14" s="3" t="s">
        <v>445</v>
      </c>
      <c r="CB14" s="3" t="s">
        <v>36</v>
      </c>
      <c r="CC14" s="3" t="s">
        <v>36</v>
      </c>
      <c r="CE14" s="4">
        <v>2E-41</v>
      </c>
      <c r="CF14" s="3" t="str">
        <f>HYPERLINK("http://amigo.geneontology.org/cgi-bin/amigo/term_details?term=GO:0048477","GO:0048477")</f>
        <v>GO:0048477</v>
      </c>
      <c r="CG14" s="3" t="s">
        <v>446</v>
      </c>
      <c r="CH14" s="3" t="s">
        <v>447</v>
      </c>
      <c r="CI14" s="3" t="s">
        <v>448</v>
      </c>
      <c r="CJ14" s="3" t="s">
        <v>36</v>
      </c>
      <c r="CL14" s="4">
        <v>2E-41</v>
      </c>
      <c r="CM14" s="3" t="str">
        <f>HYPERLINK(".\links\CDD\gi_556066272-CDD.txt","PTZ00059")</f>
        <v>PTZ00059</v>
      </c>
      <c r="CN14" s="3" t="str">
        <f>HYPERLINK("http://www.ncbi.nlm.nih.gov/Structure/cdd/cddsrv.cgi?uid=PTZ00059&amp;version=v4.0","1E-041")</f>
        <v>1E-041</v>
      </c>
      <c r="CO14" s="3" t="s">
        <v>449</v>
      </c>
      <c r="CP14" s="3" t="str">
        <f>HYPERLINK(".\links\ACARI\gi_556066272-ACARI.txt","putative cut up")</f>
        <v>putative cut up</v>
      </c>
      <c r="CQ14" s="3" t="str">
        <f>HYPERLINK("http://www.ncbi.nlm.nih.gov/sutils/blink.cgi?pid=556066272","5E-058")</f>
        <v>5E-058</v>
      </c>
      <c r="CR14" s="3" t="str">
        <f>HYPERLINK("http://www.ncbi.nlm.nih.gov/protein/556066272","gi|556066272")</f>
        <v>gi|556066272</v>
      </c>
      <c r="CS14" s="3">
        <v>220</v>
      </c>
      <c r="CT14" s="3">
        <v>106</v>
      </c>
      <c r="CU14" s="3">
        <v>106</v>
      </c>
      <c r="CV14" s="3">
        <v>100</v>
      </c>
      <c r="CW14" s="3">
        <v>100</v>
      </c>
      <c r="CX14" s="3">
        <v>100</v>
      </c>
      <c r="CY14" s="3">
        <v>0</v>
      </c>
      <c r="CZ14" s="3">
        <v>0</v>
      </c>
      <c r="DA14" s="3">
        <v>1</v>
      </c>
      <c r="DB14" s="3">
        <v>1</v>
      </c>
      <c r="DC14" s="3">
        <v>1</v>
      </c>
      <c r="DD14" s="3" t="s">
        <v>37</v>
      </c>
    </row>
    <row r="15" spans="1:108" s="3" customFormat="1" x14ac:dyDescent="0.2">
      <c r="A15" s="3" t="s">
        <v>1322</v>
      </c>
      <c r="B15" s="3" t="str">
        <f>HYPERLINK(".\links\\gi_556079866-.txt","gi_556079866")</f>
        <v>gi_556079866</v>
      </c>
      <c r="C15" s="3" t="s">
        <v>35</v>
      </c>
      <c r="D15" s="3">
        <v>2224</v>
      </c>
      <c r="E15" s="9" t="s">
        <v>37</v>
      </c>
      <c r="F15" s="3" t="s">
        <v>1212</v>
      </c>
      <c r="G15" s="1" t="s">
        <v>1461</v>
      </c>
      <c r="H15" s="3" t="str">
        <f>HYPERLINK(".\links\UNIPROT-ACARI\gi_556079866-UNIPROT-ACARI.txt","myosin class i heavy chain")</f>
        <v>myosin class i heavy chain</v>
      </c>
      <c r="I15" s="3" t="str">
        <f>HYPERLINK("http://www.ncbi.nlm.nih.gov/sutils/blink.cgi?pid=V5I001","0.0")</f>
        <v>0.0</v>
      </c>
      <c r="J15" s="3" t="s">
        <v>413</v>
      </c>
      <c r="K15" s="3">
        <v>4331</v>
      </c>
      <c r="L15" s="3">
        <v>2224</v>
      </c>
      <c r="M15" s="3">
        <v>2224</v>
      </c>
      <c r="N15" s="3">
        <v>100</v>
      </c>
      <c r="O15" s="3">
        <v>100</v>
      </c>
      <c r="P15" s="3">
        <v>100</v>
      </c>
      <c r="Q15" s="3">
        <v>0</v>
      </c>
      <c r="R15" s="3">
        <v>0</v>
      </c>
      <c r="S15" s="3">
        <v>1</v>
      </c>
      <c r="T15" s="3">
        <v>1</v>
      </c>
      <c r="U15" s="3">
        <v>1</v>
      </c>
      <c r="V15" s="3" t="s">
        <v>36</v>
      </c>
      <c r="W15" s="3" t="str">
        <f>HYPERLINK(".\links\NR-LIGHT\gi_556079866-NR-LIGHT.txt","myosin heavy chain, skeletal muscle or cardiac muscle, putative")</f>
        <v>myosin heavy chain, skeletal muscle or cardiac muscle, putative</v>
      </c>
      <c r="X15" s="3" t="str">
        <f>HYPERLINK("http://www.ncbi.nlm.nih.gov/sutils/blink.cgi?pid=241997622","0.0")</f>
        <v>0.0</v>
      </c>
      <c r="Y15" s="3" t="str">
        <f>HYPERLINK("http://www.ncbi.nlm.nih.gov/protein/241997622","gi|241997622")</f>
        <v>gi|241997622</v>
      </c>
      <c r="Z15" s="3">
        <v>2753</v>
      </c>
      <c r="AA15" s="3">
        <v>1777</v>
      </c>
      <c r="AB15" s="3">
        <v>1812</v>
      </c>
      <c r="AC15" s="3">
        <v>80</v>
      </c>
      <c r="AD15" s="3">
        <v>86</v>
      </c>
      <c r="AE15" s="3">
        <v>98</v>
      </c>
      <c r="AF15" s="3">
        <v>339</v>
      </c>
      <c r="AG15" s="3">
        <v>74</v>
      </c>
      <c r="AH15" s="3">
        <v>1</v>
      </c>
      <c r="AI15" s="3">
        <v>1</v>
      </c>
      <c r="AJ15" s="3">
        <v>1</v>
      </c>
      <c r="AK15" s="3" t="s">
        <v>40</v>
      </c>
      <c r="AL15" s="3" t="str">
        <f>HYPERLINK(".\links\REFSEQ-INVERTEBRATE\gi_556079866-REFSEQ-INVERTEBRATE.txt","myosin heavy chain, skeletal muscle or cardiac muscle, putative")</f>
        <v>myosin heavy chain, skeletal muscle or cardiac muscle, putative</v>
      </c>
      <c r="AM15" s="3" t="str">
        <f>HYPERLINK("http://www.ncbi.nlm.nih.gov/sutils/blink.cgi?pid=241997622","0.0")</f>
        <v>0.0</v>
      </c>
      <c r="AN15" s="3" t="str">
        <f>HYPERLINK("http://www.ncbi.nlm.nih.gov/protein/241997622","gi|241997622")</f>
        <v>gi|241997622</v>
      </c>
      <c r="AO15" s="3">
        <v>2753</v>
      </c>
      <c r="AP15" s="3">
        <v>1777</v>
      </c>
      <c r="AQ15" s="3">
        <v>1812</v>
      </c>
      <c r="AR15" s="3">
        <v>80</v>
      </c>
      <c r="AS15" s="3">
        <v>86</v>
      </c>
      <c r="AT15" s="3">
        <v>98</v>
      </c>
      <c r="AU15" s="3">
        <v>339</v>
      </c>
      <c r="AV15" s="3">
        <v>74</v>
      </c>
      <c r="AW15" s="3">
        <v>1</v>
      </c>
      <c r="AX15" s="3">
        <v>1</v>
      </c>
      <c r="AY15" s="3">
        <v>1</v>
      </c>
      <c r="AZ15" s="3" t="s">
        <v>40</v>
      </c>
      <c r="BA15" s="3" t="str">
        <f>HYPERLINK(".\links\MEROPS\gi_556079866-MEROPS.txt","- subfamily M23B non-peptidase homologues (Dipodomys ordii)")</f>
        <v>- subfamily M23B non-peptidase homologues (Dipodomys ordii)</v>
      </c>
      <c r="BB15" s="3" t="str">
        <f>HYPERLINK("http://www.ncbi.nlm.nih.gov/sutils/blink.cgi?pid=157071 - subfamily M23B non-peptidase homologues (Dipodomys ordii) [M23.UNB]#M23B#{peptidase unit","0.0")</f>
        <v>0.0</v>
      </c>
      <c r="BC15" s="3" t="s">
        <v>414</v>
      </c>
      <c r="BD15" s="3">
        <v>1846</v>
      </c>
      <c r="BE15" s="3">
        <v>1969</v>
      </c>
      <c r="BF15" s="3">
        <v>1940</v>
      </c>
      <c r="BG15" s="3">
        <v>48</v>
      </c>
      <c r="BH15" s="3">
        <v>68</v>
      </c>
      <c r="BI15" s="3">
        <v>101</v>
      </c>
      <c r="BJ15" s="3">
        <v>1005</v>
      </c>
      <c r="BK15" s="3">
        <v>58</v>
      </c>
      <c r="BL15" s="3">
        <v>7</v>
      </c>
      <c r="BM15" s="3">
        <v>1</v>
      </c>
      <c r="BN15" s="3">
        <v>1</v>
      </c>
      <c r="BO15" s="3" t="s">
        <v>415</v>
      </c>
      <c r="BP15" s="3" t="s">
        <v>416</v>
      </c>
      <c r="BQ15" s="3">
        <f>HYPERLINK(".\links\GO\gi_556079866-GO.txt",0)</f>
        <v>0</v>
      </c>
      <c r="BR15" s="3" t="str">
        <f>HYPERLINK("http://amigo.geneontology.org/cgi-bin/amigo/term_details?term=GO:0042803","GO:0042803")</f>
        <v>GO:0042803</v>
      </c>
      <c r="BS15" s="3" t="s">
        <v>417</v>
      </c>
      <c r="BT15" s="3" t="s">
        <v>418</v>
      </c>
      <c r="BU15" s="3" t="s">
        <v>419</v>
      </c>
      <c r="BV15" s="3" t="s">
        <v>36</v>
      </c>
      <c r="BX15" s="3">
        <v>0</v>
      </c>
      <c r="BY15" s="3" t="str">
        <f>HYPERLINK("http://amigo.geneontology.org/cgi-bin/amigo/term_details?term=GO:0030017","GO:0030017")</f>
        <v>GO:0030017</v>
      </c>
      <c r="BZ15" s="3" t="s">
        <v>420</v>
      </c>
      <c r="CA15" s="3" t="s">
        <v>421</v>
      </c>
      <c r="CB15" s="3" t="s">
        <v>36</v>
      </c>
      <c r="CC15" s="3" t="s">
        <v>36</v>
      </c>
      <c r="CE15" s="3">
        <v>0</v>
      </c>
      <c r="CF15" s="3" t="str">
        <f>HYPERLINK("http://amigo.geneontology.org/cgi-bin/amigo/term_details?term=GO:0006936","GO:0006936")</f>
        <v>GO:0006936</v>
      </c>
      <c r="CG15" s="3" t="s">
        <v>422</v>
      </c>
      <c r="CH15" s="3" t="s">
        <v>423</v>
      </c>
      <c r="CI15" s="3" t="s">
        <v>36</v>
      </c>
      <c r="CJ15" s="3" t="s">
        <v>36</v>
      </c>
      <c r="CL15" s="3">
        <v>0</v>
      </c>
      <c r="CM15" s="3" t="str">
        <f>HYPERLINK(".\links\CDD\gi_556079866-CDD.txt","MYSc_type_II")</f>
        <v>MYSc_type_II</v>
      </c>
      <c r="CN15" s="3" t="str">
        <f>HYPERLINK("http://www.ncbi.nlm.nih.gov/Structure/cdd/cddsrv.cgi?uid=cd01377&amp;version=v4.0","0.0")</f>
        <v>0.0</v>
      </c>
      <c r="CO15" s="3" t="s">
        <v>424</v>
      </c>
      <c r="CP15" s="3" t="str">
        <f>HYPERLINK(".\links\ACARI\gi_556079866-ACARI.txt","putative myosin class i heavy chain")</f>
        <v>putative myosin class i heavy chain</v>
      </c>
      <c r="CQ15" s="3" t="str">
        <f>HYPERLINK("http://www.ncbi.nlm.nih.gov/sutils/blink.cgi?pid=556079866","0.0")</f>
        <v>0.0</v>
      </c>
      <c r="CR15" s="3" t="str">
        <f>HYPERLINK("http://www.ncbi.nlm.nih.gov/protein/556079866","gi|556079866")</f>
        <v>gi|556079866</v>
      </c>
      <c r="CS15" s="3">
        <v>4331</v>
      </c>
      <c r="CT15" s="3">
        <v>2224</v>
      </c>
      <c r="CU15" s="3">
        <v>2224</v>
      </c>
      <c r="CV15" s="3">
        <v>100</v>
      </c>
      <c r="CW15" s="3">
        <v>100</v>
      </c>
      <c r="CX15" s="3">
        <v>100</v>
      </c>
      <c r="CY15" s="3">
        <v>0</v>
      </c>
      <c r="CZ15" s="3">
        <v>0</v>
      </c>
      <c r="DA15" s="3">
        <v>1</v>
      </c>
      <c r="DB15" s="3">
        <v>1</v>
      </c>
      <c r="DC15" s="3">
        <v>1</v>
      </c>
      <c r="DD15" s="3" t="s">
        <v>37</v>
      </c>
    </row>
    <row r="16" spans="1:108" s="3" customFormat="1" x14ac:dyDescent="0.2">
      <c r="A16" s="3" t="s">
        <v>1391</v>
      </c>
      <c r="B16" s="3" t="str">
        <f>HYPERLINK(".\links\\gi_65332126-.txt","gi_65332126")</f>
        <v>gi_65332126</v>
      </c>
      <c r="C16" s="3" t="s">
        <v>35</v>
      </c>
      <c r="D16" s="3">
        <v>389</v>
      </c>
      <c r="E16" s="9" t="s">
        <v>390</v>
      </c>
      <c r="F16" s="3" t="s">
        <v>389</v>
      </c>
      <c r="G16" s="1" t="s">
        <v>1461</v>
      </c>
      <c r="H16" s="3" t="str">
        <f>HYPERLINK(".\links\UNIPROT-ACARI\gi_65332126-UNIPROT-ACARI.txt","Troponin T")</f>
        <v>Troponin T</v>
      </c>
      <c r="I16" s="3" t="str">
        <f>HYPERLINK("http://www.ncbi.nlm.nih.gov/sutils/blink.cgi?pid=A8E4K0","0.0")</f>
        <v>0.0</v>
      </c>
      <c r="J16" s="3" t="s">
        <v>391</v>
      </c>
      <c r="K16" s="3">
        <v>771</v>
      </c>
      <c r="L16" s="3">
        <v>389</v>
      </c>
      <c r="M16" s="3">
        <v>389</v>
      </c>
      <c r="N16" s="3">
        <v>100</v>
      </c>
      <c r="O16" s="3">
        <v>100</v>
      </c>
      <c r="P16" s="3">
        <v>100</v>
      </c>
      <c r="Q16" s="3">
        <v>0</v>
      </c>
      <c r="R16" s="3">
        <v>0</v>
      </c>
      <c r="S16" s="3">
        <v>1</v>
      </c>
      <c r="T16" s="3">
        <v>1</v>
      </c>
      <c r="U16" s="3">
        <v>1</v>
      </c>
      <c r="V16" s="3" t="s">
        <v>36</v>
      </c>
      <c r="W16" s="3" t="str">
        <f>HYPERLINK(".\links\NR-LIGHT\gi_65332126-NR-LIGHT.txt","troponin T")</f>
        <v>troponin T</v>
      </c>
      <c r="X16" s="3" t="str">
        <f>HYPERLINK("http://www.ncbi.nlm.nih.gov/sutils/blink.cgi?pid=65332126","0.0")</f>
        <v>0.0</v>
      </c>
      <c r="Y16" s="3" t="str">
        <f>HYPERLINK("http://www.ncbi.nlm.nih.gov/protein/65332126","gi|65332126")</f>
        <v>gi|65332126</v>
      </c>
      <c r="Z16" s="3">
        <v>771</v>
      </c>
      <c r="AA16" s="3">
        <v>389</v>
      </c>
      <c r="AB16" s="3">
        <v>389</v>
      </c>
      <c r="AC16" s="3">
        <v>100</v>
      </c>
      <c r="AD16" s="3">
        <v>100</v>
      </c>
      <c r="AE16" s="3">
        <v>100</v>
      </c>
      <c r="AF16" s="3">
        <v>0</v>
      </c>
      <c r="AG16" s="3">
        <v>0</v>
      </c>
      <c r="AH16" s="3">
        <v>1</v>
      </c>
      <c r="AI16" s="3">
        <v>1</v>
      </c>
      <c r="AJ16" s="3">
        <v>1</v>
      </c>
      <c r="AK16" s="3" t="s">
        <v>390</v>
      </c>
      <c r="AL16" s="3" t="str">
        <f>HYPERLINK(".\links\REFSEQ-INVERTEBRATE\gi_65332126-REFSEQ-INVERTEBRATE.txt","troponin T-like")</f>
        <v>troponin T-like</v>
      </c>
      <c r="AM16" s="3" t="str">
        <f>HYPERLINK("http://www.ncbi.nlm.nih.gov/sutils/blink.cgi?pid=391328626","1E-155")</f>
        <v>1E-155</v>
      </c>
      <c r="AN16" s="3" t="str">
        <f>HYPERLINK("http://www.ncbi.nlm.nih.gov/protein/391328626","gi|391328626")</f>
        <v>gi|391328626</v>
      </c>
      <c r="AO16" s="3">
        <v>548</v>
      </c>
      <c r="AP16" s="3">
        <v>389</v>
      </c>
      <c r="AQ16" s="3">
        <v>398</v>
      </c>
      <c r="AR16" s="3">
        <v>72</v>
      </c>
      <c r="AS16" s="3">
        <v>83</v>
      </c>
      <c r="AT16" s="3">
        <v>98</v>
      </c>
      <c r="AU16" s="3">
        <v>106</v>
      </c>
      <c r="AV16" s="3">
        <v>14</v>
      </c>
      <c r="AW16" s="3">
        <v>19</v>
      </c>
      <c r="AX16" s="3">
        <v>1</v>
      </c>
      <c r="AY16" s="3">
        <v>1</v>
      </c>
      <c r="AZ16" s="3" t="s">
        <v>392</v>
      </c>
      <c r="BA16" s="3" t="str">
        <f>HYPERLINK(".\links\MEROPS\gi_65332126-MEROPS.txt","- Hap serine peptidase (Haemophilus sputorum)")</f>
        <v>- Hap serine peptidase (Haemophilus sputorum)</v>
      </c>
      <c r="BB16" s="3" t="str">
        <f>HYPERLINK("http://www.ncbi.nlm.nih.gov/sutils/blink.cgi?pid=294447 - Hap serine peptidase (Haemophilus sputorum) [S06.006]#S06#{peptidase unit","2E-015")</f>
        <v>2E-015</v>
      </c>
      <c r="BC16" s="3" t="s">
        <v>393</v>
      </c>
      <c r="BD16" s="3">
        <v>84.3</v>
      </c>
      <c r="BE16" s="3">
        <v>398</v>
      </c>
      <c r="BF16" s="3">
        <v>1744</v>
      </c>
      <c r="BG16" s="3">
        <v>25</v>
      </c>
      <c r="BH16" s="3">
        <v>44</v>
      </c>
      <c r="BI16" s="3">
        <v>23</v>
      </c>
      <c r="BJ16" s="3">
        <v>297</v>
      </c>
      <c r="BK16" s="3">
        <v>29</v>
      </c>
      <c r="BL16" s="3">
        <v>977</v>
      </c>
      <c r="BM16" s="3">
        <v>3</v>
      </c>
      <c r="BN16" s="3">
        <v>1</v>
      </c>
      <c r="BO16" s="3" t="s">
        <v>394</v>
      </c>
      <c r="BP16" s="3" t="s">
        <v>395</v>
      </c>
      <c r="BQ16" s="3">
        <f>HYPERLINK(".\links\GO\gi_65332126-GO.txt",0)</f>
        <v>0</v>
      </c>
      <c r="BR16" s="3" t="str">
        <f>HYPERLINK("http://amigo.geneontology.org/cgi-bin/amigo/term_details?term=GO:0005509","GO:0005509")</f>
        <v>GO:0005509</v>
      </c>
      <c r="BS16" s="3" t="s">
        <v>166</v>
      </c>
      <c r="BT16" s="3" t="s">
        <v>167</v>
      </c>
      <c r="BU16" s="3" t="s">
        <v>168</v>
      </c>
      <c r="BV16" s="3" t="s">
        <v>36</v>
      </c>
      <c r="BX16" s="4">
        <v>1E-100</v>
      </c>
      <c r="BY16" s="3" t="str">
        <f>HYPERLINK("http://amigo.geneontology.org/cgi-bin/amigo/term_details?term=GO:0005865","GO:0005865")</f>
        <v>GO:0005865</v>
      </c>
      <c r="BZ16" s="3" t="s">
        <v>396</v>
      </c>
      <c r="CA16" s="3" t="s">
        <v>397</v>
      </c>
      <c r="CB16" s="3" t="s">
        <v>36</v>
      </c>
      <c r="CC16" s="3" t="s">
        <v>36</v>
      </c>
      <c r="CE16" s="4">
        <v>1E-100</v>
      </c>
      <c r="CF16" s="3" t="str">
        <f>HYPERLINK("http://amigo.geneontology.org/cgi-bin/amigo/term_details?term=GO:0048644","GO:0048644")</f>
        <v>GO:0048644</v>
      </c>
      <c r="CG16" s="3" t="s">
        <v>398</v>
      </c>
      <c r="CH16" s="3" t="s">
        <v>399</v>
      </c>
      <c r="CI16" s="3" t="s">
        <v>36</v>
      </c>
      <c r="CJ16" s="3" t="s">
        <v>36</v>
      </c>
      <c r="CL16" s="4">
        <v>1E-100</v>
      </c>
      <c r="CM16" s="3" t="str">
        <f>HYPERLINK(".\links\CDD\gi_65332126-CDD.txt","PTZ00121")</f>
        <v>PTZ00121</v>
      </c>
      <c r="CN16" s="3" t="str">
        <f>HYPERLINK("http://www.ncbi.nlm.nih.gov/Structure/cdd/cddsrv.cgi?uid=PTZ00121&amp;version=v4.0","7E-021")</f>
        <v>7E-021</v>
      </c>
      <c r="CO16" s="3" t="s">
        <v>400</v>
      </c>
      <c r="CP16" s="3" t="str">
        <f>HYPERLINK(".\links\ACARI\gi_65332126-ACARI.txt","troponin T")</f>
        <v>troponin T</v>
      </c>
      <c r="CQ16" s="3" t="str">
        <f>HYPERLINK("http://www.ncbi.nlm.nih.gov/sutils/blink.cgi?pid=65332126","0.0")</f>
        <v>0.0</v>
      </c>
      <c r="CR16" s="3" t="str">
        <f>HYPERLINK("http://www.ncbi.nlm.nih.gov/protein/65332126","gi|65332126")</f>
        <v>gi|65332126</v>
      </c>
      <c r="CS16" s="3">
        <v>771</v>
      </c>
      <c r="CT16" s="3">
        <v>389</v>
      </c>
      <c r="CU16" s="3">
        <v>389</v>
      </c>
      <c r="CV16" s="3">
        <v>100</v>
      </c>
      <c r="CW16" s="3">
        <v>100</v>
      </c>
      <c r="CX16" s="3">
        <v>100</v>
      </c>
      <c r="CY16" s="3">
        <v>0</v>
      </c>
      <c r="CZ16" s="3">
        <v>0</v>
      </c>
      <c r="DA16" s="3">
        <v>1</v>
      </c>
      <c r="DB16" s="3">
        <v>1</v>
      </c>
      <c r="DC16" s="3">
        <v>1</v>
      </c>
      <c r="DD16" s="3" t="s">
        <v>390</v>
      </c>
    </row>
    <row r="17" spans="1:108" s="3" customFormat="1" x14ac:dyDescent="0.2">
      <c r="A17" s="3" t="str">
        <f>HYPERLINK(".\links\\Rm-1533-.txt","Rm-1533")</f>
        <v>Rm-1533</v>
      </c>
      <c r="B17" s="3" t="str">
        <f>HYPERLINK(".\links\\Rm-1533-.txt","Rm-1533")</f>
        <v>Rm-1533</v>
      </c>
      <c r="C17" s="3" t="s">
        <v>98</v>
      </c>
      <c r="D17" s="3">
        <v>391</v>
      </c>
      <c r="E17" s="9" t="s">
        <v>203</v>
      </c>
      <c r="F17" s="3" t="s">
        <v>1445</v>
      </c>
      <c r="G17" s="1" t="s">
        <v>1461</v>
      </c>
      <c r="H17" s="3" t="str">
        <f>HYPERLINK(".\links\UNIPROT-ACARI\Rm-1533-UNIPROT-ACARI.txt","Putative beta tubulin (Fragment)")</f>
        <v>Putative beta tubulin (Fragment)</v>
      </c>
      <c r="I17" s="3">
        <v>0</v>
      </c>
      <c r="J17" s="3" t="s">
        <v>1433</v>
      </c>
      <c r="K17" s="3">
        <v>794</v>
      </c>
      <c r="L17" s="3">
        <v>391</v>
      </c>
      <c r="M17" s="3">
        <v>457</v>
      </c>
      <c r="N17" s="3">
        <v>99</v>
      </c>
      <c r="O17" s="3">
        <v>100</v>
      </c>
      <c r="P17" s="3">
        <v>86</v>
      </c>
      <c r="Q17" s="3">
        <v>2</v>
      </c>
      <c r="R17" s="3">
        <v>0</v>
      </c>
      <c r="S17" s="3">
        <v>67</v>
      </c>
      <c r="T17" s="3">
        <v>1</v>
      </c>
      <c r="U17" s="3">
        <v>1</v>
      </c>
      <c r="V17" s="3" t="s">
        <v>36</v>
      </c>
      <c r="W17" s="3" t="str">
        <f>HYPERLINK(".\links\NR-LIGHT\Rm-1533-NR-LIGHT.txt","beta tubulin")</f>
        <v>beta tubulin</v>
      </c>
      <c r="X17" s="3" t="str">
        <f>HYPERLINK("http://www.ncbi.nlm.nih.gov/sutils/blink.cgi?pid=241151391","0.0")</f>
        <v>0.0</v>
      </c>
      <c r="Y17" s="3" t="str">
        <f>HYPERLINK("http://www.ncbi.nlm.nih.gov/protein/241151391","gi|241151391")</f>
        <v>gi|241151391</v>
      </c>
      <c r="Z17" s="3">
        <v>791</v>
      </c>
      <c r="AA17" s="3">
        <v>391</v>
      </c>
      <c r="AB17" s="3">
        <v>446</v>
      </c>
      <c r="AC17" s="3">
        <v>99</v>
      </c>
      <c r="AD17" s="3">
        <v>99</v>
      </c>
      <c r="AE17" s="3">
        <v>88</v>
      </c>
      <c r="AF17" s="3">
        <v>3</v>
      </c>
      <c r="AG17" s="3">
        <v>0</v>
      </c>
      <c r="AH17" s="3">
        <v>56</v>
      </c>
      <c r="AI17" s="3">
        <v>1</v>
      </c>
      <c r="AJ17" s="3">
        <v>1</v>
      </c>
      <c r="AK17" s="3" t="s">
        <v>40</v>
      </c>
      <c r="AL17" s="3" t="str">
        <f>HYPERLINK(".\links\REFSEQ-INVERTEBRATE\Rm-1533-REFSEQ-INVERTEBRATE.txt","beta tubulin")</f>
        <v>beta tubulin</v>
      </c>
      <c r="AM17" s="3" t="str">
        <f>HYPERLINK("http://www.ncbi.nlm.nih.gov/sutils/blink.cgi?pid=241151391","0.0")</f>
        <v>0.0</v>
      </c>
      <c r="AN17" s="3" t="str">
        <f>HYPERLINK("http://www.ncbi.nlm.nih.gov/protein/241151391","gi|241151391")</f>
        <v>gi|241151391</v>
      </c>
      <c r="AO17" s="3">
        <v>791</v>
      </c>
      <c r="AP17" s="3">
        <v>391</v>
      </c>
      <c r="AQ17" s="3">
        <v>446</v>
      </c>
      <c r="AR17" s="3">
        <v>99</v>
      </c>
      <c r="AS17" s="3">
        <v>99</v>
      </c>
      <c r="AT17" s="3">
        <v>88</v>
      </c>
      <c r="AU17" s="3">
        <v>3</v>
      </c>
      <c r="AV17" s="3">
        <v>0</v>
      </c>
      <c r="AW17" s="3">
        <v>56</v>
      </c>
      <c r="AX17" s="3">
        <v>1</v>
      </c>
      <c r="AY17" s="3">
        <v>1</v>
      </c>
      <c r="AZ17" s="3" t="s">
        <v>40</v>
      </c>
      <c r="BA17" s="3" t="str">
        <f>HYPERLINK(".\links\MEROPS\Rm-1533-MEROPS.txt","- Afg3-like protein 1B (Nomascus leucogenys)")</f>
        <v>- Afg3-like protein 1B (Nomascus leucogenys)</v>
      </c>
      <c r="BB17" s="3">
        <v>0</v>
      </c>
      <c r="BC17" s="3" t="s">
        <v>729</v>
      </c>
      <c r="BD17" s="3">
        <v>748</v>
      </c>
      <c r="BE17" s="3">
        <v>389</v>
      </c>
      <c r="BF17" s="3">
        <v>2989</v>
      </c>
      <c r="BG17" s="3">
        <v>93</v>
      </c>
      <c r="BH17" s="3">
        <v>96</v>
      </c>
      <c r="BI17" s="3">
        <v>13</v>
      </c>
      <c r="BJ17" s="3">
        <v>27</v>
      </c>
      <c r="BK17" s="3">
        <v>0</v>
      </c>
      <c r="BL17" s="3">
        <v>1308</v>
      </c>
      <c r="BM17" s="3">
        <v>3</v>
      </c>
      <c r="BN17" s="3">
        <v>1</v>
      </c>
      <c r="BO17" s="3" t="s">
        <v>36</v>
      </c>
      <c r="BP17" s="3" t="s">
        <v>731</v>
      </c>
      <c r="BQ17" s="3">
        <f>HYPERLINK(".\links\GO\Rm-1533-GO.txt",0)</f>
        <v>0</v>
      </c>
      <c r="BR17" s="3" t="str">
        <f>HYPERLINK("http://amigo.geneontology.org/cgi-bin/amigo/term_details?term=GO:0003725","GO:0003725")</f>
        <v>GO:0003725</v>
      </c>
      <c r="BS17" s="3" t="s">
        <v>732</v>
      </c>
      <c r="BT17" s="3" t="s">
        <v>733</v>
      </c>
      <c r="BU17" s="3" t="s">
        <v>734</v>
      </c>
      <c r="BV17" s="3" t="s">
        <v>36</v>
      </c>
      <c r="BX17" s="3">
        <v>0</v>
      </c>
      <c r="BY17" s="3" t="str">
        <f>HYPERLINK("http://amigo.geneontology.org/cgi-bin/amigo/term_details?term=GO:0005737","GO:0005737")</f>
        <v>GO:0005737</v>
      </c>
      <c r="BZ17" s="3" t="s">
        <v>374</v>
      </c>
      <c r="CA17" s="3" t="s">
        <v>375</v>
      </c>
      <c r="CB17" s="3" t="s">
        <v>36</v>
      </c>
      <c r="CC17" s="3" t="s">
        <v>36</v>
      </c>
      <c r="CE17" s="3">
        <v>0</v>
      </c>
      <c r="CF17" s="3" t="str">
        <f>HYPERLINK("http://amigo.geneontology.org/cgi-bin/amigo/term_details?term=GO:0006184","GO:0006184")</f>
        <v>GO:0006184</v>
      </c>
      <c r="CG17" s="3" t="s">
        <v>735</v>
      </c>
      <c r="CH17" s="3" t="s">
        <v>736</v>
      </c>
      <c r="CI17" s="3" t="s">
        <v>737</v>
      </c>
      <c r="CJ17" s="3" t="s">
        <v>36</v>
      </c>
      <c r="CL17" s="3">
        <v>0</v>
      </c>
      <c r="CM17" s="3" t="str">
        <f>HYPERLINK(".\links\CDD\Rm-1533-CDD.txt","beta_tubulin")</f>
        <v>beta_tubulin</v>
      </c>
      <c r="CN17" s="3" t="str">
        <f>HYPERLINK("http://www.ncbi.nlm.nih.gov/Structure/cdd/cddsrv.cgi?uid=cd02187&amp;version=v4.0","0.0")</f>
        <v>0.0</v>
      </c>
      <c r="CO17" s="3" t="s">
        <v>1434</v>
      </c>
      <c r="CP17" s="3" t="str">
        <f>HYPERLINK(".\links\ACARI\Rm-1533-ACARI.txt","putative beta tubulin, partial")</f>
        <v>putative beta tubulin, partial</v>
      </c>
      <c r="CQ17" s="3" t="str">
        <f>HYPERLINK("http://www.ncbi.nlm.nih.gov/sutils/blink.cgi?pid=604799185","0.0")</f>
        <v>0.0</v>
      </c>
      <c r="CR17" s="3" t="str">
        <f>HYPERLINK("http://www.ncbi.nlm.nih.gov/protein/604799185","gi|604799185")</f>
        <v>gi|604799185</v>
      </c>
      <c r="CS17" s="3">
        <v>794</v>
      </c>
      <c r="CT17" s="3">
        <v>391</v>
      </c>
      <c r="CU17" s="3">
        <v>457</v>
      </c>
      <c r="CV17" s="3">
        <v>99</v>
      </c>
      <c r="CW17" s="3">
        <v>100</v>
      </c>
      <c r="CX17" s="3">
        <v>86</v>
      </c>
      <c r="CY17" s="3">
        <v>2</v>
      </c>
      <c r="CZ17" s="3">
        <v>0</v>
      </c>
      <c r="DA17" s="3">
        <v>67</v>
      </c>
      <c r="DB17" s="3">
        <v>1</v>
      </c>
      <c r="DC17" s="3">
        <v>1</v>
      </c>
      <c r="DD17" s="3" t="s">
        <v>203</v>
      </c>
    </row>
    <row r="18" spans="1:108" s="3" customFormat="1" x14ac:dyDescent="0.2">
      <c r="A18" s="3" t="s">
        <v>1311</v>
      </c>
      <c r="B18" s="3" t="str">
        <f>HYPERLINK(".\links\\Rm-21891-.txt","Rm-21891")</f>
        <v>Rm-21891</v>
      </c>
      <c r="C18" s="3" t="s">
        <v>35</v>
      </c>
      <c r="D18" s="3">
        <v>147</v>
      </c>
      <c r="E18" s="9" t="s">
        <v>203</v>
      </c>
      <c r="F18" s="3" t="s">
        <v>1267</v>
      </c>
      <c r="G18" s="1" t="s">
        <v>1461</v>
      </c>
      <c r="H18" s="3" t="str">
        <f>HYPERLINK(".\links\UNIPROT-ACARI\Rm-21891-UNIPROT-ACARI.txt","Actin-depolymerizing factor 1")</f>
        <v>Actin-depolymerizing factor 1</v>
      </c>
      <c r="I18" s="3" t="str">
        <f>HYPERLINK("http://www.ncbi.nlm.nih.gov/sutils/blink.cgi?pid=A0A034WYZ2","8E-081")</f>
        <v>8E-081</v>
      </c>
      <c r="J18" s="3" t="s">
        <v>311</v>
      </c>
      <c r="K18" s="3">
        <v>296</v>
      </c>
      <c r="L18" s="3">
        <v>147</v>
      </c>
      <c r="M18" s="3">
        <v>147</v>
      </c>
      <c r="N18" s="3">
        <v>100</v>
      </c>
      <c r="O18" s="3">
        <v>100</v>
      </c>
      <c r="P18" s="3">
        <v>100</v>
      </c>
      <c r="Q18" s="3">
        <v>0</v>
      </c>
      <c r="R18" s="3">
        <v>0</v>
      </c>
      <c r="S18" s="3">
        <v>1</v>
      </c>
      <c r="T18" s="3">
        <v>1</v>
      </c>
      <c r="U18" s="3">
        <v>1</v>
      </c>
      <c r="V18" s="3" t="s">
        <v>36</v>
      </c>
      <c r="W18" s="3" t="str">
        <f>HYPERLINK(".\links\NR-LIGHT\Rm-21891-NR-LIGHT.txt","actin depolymerizing factor")</f>
        <v>actin depolymerizing factor</v>
      </c>
      <c r="X18" s="3" t="str">
        <f>HYPERLINK("http://www.ncbi.nlm.nih.gov/sutils/blink.cgi?pid=325303826","3E-076")</f>
        <v>3E-076</v>
      </c>
      <c r="Y18" s="3" t="str">
        <f>HYPERLINK("http://www.ncbi.nlm.nih.gov/protein/325303826","gi|325303826")</f>
        <v>gi|325303826</v>
      </c>
      <c r="Z18" s="3">
        <v>285</v>
      </c>
      <c r="AA18" s="3">
        <v>147</v>
      </c>
      <c r="AB18" s="3">
        <v>147</v>
      </c>
      <c r="AC18" s="3">
        <v>95</v>
      </c>
      <c r="AD18" s="3">
        <v>97</v>
      </c>
      <c r="AE18" s="3">
        <v>100</v>
      </c>
      <c r="AF18" s="3">
        <v>6</v>
      </c>
      <c r="AG18" s="3">
        <v>0</v>
      </c>
      <c r="AH18" s="3">
        <v>1</v>
      </c>
      <c r="AI18" s="3">
        <v>1</v>
      </c>
      <c r="AJ18" s="3">
        <v>1</v>
      </c>
      <c r="AK18" s="3" t="s">
        <v>114</v>
      </c>
      <c r="AL18" s="3" t="str">
        <f>HYPERLINK(".\links\REFSEQ-INVERTEBRATE\Rm-21891-REFSEQ-INVERTEBRATE.txt","actin depolymerizing factor, putative")</f>
        <v>actin depolymerizing factor, putative</v>
      </c>
      <c r="AM18" s="3" t="str">
        <f>HYPERLINK("http://www.ncbi.nlm.nih.gov/sutils/blink.cgi?pid=242000982","2E-064")</f>
        <v>2E-064</v>
      </c>
      <c r="AN18" s="3" t="str">
        <f>HYPERLINK("http://www.ncbi.nlm.nih.gov/protein/242000982","gi|242000982")</f>
        <v>gi|242000982</v>
      </c>
      <c r="AO18" s="3">
        <v>244</v>
      </c>
      <c r="AP18" s="3">
        <v>147</v>
      </c>
      <c r="AQ18" s="3">
        <v>147</v>
      </c>
      <c r="AR18" s="3">
        <v>78</v>
      </c>
      <c r="AS18" s="3">
        <v>88</v>
      </c>
      <c r="AT18" s="3">
        <v>100</v>
      </c>
      <c r="AU18" s="3">
        <v>32</v>
      </c>
      <c r="AV18" s="3">
        <v>0</v>
      </c>
      <c r="AW18" s="3">
        <v>1</v>
      </c>
      <c r="AX18" s="3">
        <v>1</v>
      </c>
      <c r="AY18" s="3">
        <v>1</v>
      </c>
      <c r="AZ18" s="3" t="s">
        <v>40</v>
      </c>
      <c r="BA18" s="3" t="str">
        <f>HYPERLINK(".\links\MEROPS\Rm-21891-MEROPS.txt","- hyperthermophile prolidase (Eubacterium cellulosolvens)")</f>
        <v>- hyperthermophile prolidase (Eubacterium cellulosolvens)</v>
      </c>
      <c r="BB18" s="3" t="str">
        <f>HYPERLINK("http://www.ncbi.nlm.nih.gov/sutils/blink.cgi?pid=396582 - hyperthermophile prolidase (Eubacterium cellulosolvens) [M24.008]#M24B#{peptidase unit","1.0")</f>
        <v>1.0</v>
      </c>
      <c r="BC18" s="3" t="s">
        <v>312</v>
      </c>
      <c r="BD18" s="3">
        <v>32.700000000000003</v>
      </c>
      <c r="BE18" s="3">
        <v>44</v>
      </c>
      <c r="BF18" s="3">
        <v>357</v>
      </c>
      <c r="BG18" s="3">
        <v>38</v>
      </c>
      <c r="BH18" s="3">
        <v>59</v>
      </c>
      <c r="BI18" s="3">
        <v>12</v>
      </c>
      <c r="BJ18" s="3">
        <v>27</v>
      </c>
      <c r="BK18" s="3">
        <v>0</v>
      </c>
      <c r="BL18" s="3">
        <v>234</v>
      </c>
      <c r="BM18" s="3">
        <v>98</v>
      </c>
      <c r="BN18" s="3">
        <v>1</v>
      </c>
      <c r="BO18" s="3" t="s">
        <v>313</v>
      </c>
      <c r="BP18" s="3" t="s">
        <v>314</v>
      </c>
      <c r="BQ18" s="3">
        <f>HYPERLINK(".\links\GO\Rm-21891-GO.txt",1E-40)</f>
        <v>9.9999999999999993E-41</v>
      </c>
      <c r="BR18" s="3" t="str">
        <f>HYPERLINK("http://amigo.geneontology.org/cgi-bin/amigo/term_details?term=GO:0003779","GO:0003779")</f>
        <v>GO:0003779</v>
      </c>
      <c r="BS18" s="3" t="s">
        <v>315</v>
      </c>
      <c r="BT18" s="3" t="s">
        <v>316</v>
      </c>
      <c r="BU18" s="3" t="s">
        <v>317</v>
      </c>
      <c r="BV18" s="3" t="s">
        <v>36</v>
      </c>
      <c r="BX18" s="4">
        <v>9.9999999999999993E-41</v>
      </c>
      <c r="BY18" s="3" t="str">
        <f>HYPERLINK("http://amigo.geneontology.org/cgi-bin/amigo/term_details?term=GO:0015629","GO:0015629")</f>
        <v>GO:0015629</v>
      </c>
      <c r="BZ18" s="3" t="s">
        <v>318</v>
      </c>
      <c r="CA18" s="3" t="s">
        <v>319</v>
      </c>
      <c r="CB18" s="3" t="s">
        <v>36</v>
      </c>
      <c r="CC18" s="3" t="s">
        <v>36</v>
      </c>
      <c r="CE18" s="4">
        <v>9.9999999999999993E-41</v>
      </c>
      <c r="CF18" s="3" t="str">
        <f>HYPERLINK("http://amigo.geneontology.org/cgi-bin/amigo/term_details?term=GO:0030042","GO:0030042")</f>
        <v>GO:0030042</v>
      </c>
      <c r="CG18" s="3" t="s">
        <v>320</v>
      </c>
      <c r="CH18" s="3" t="s">
        <v>321</v>
      </c>
      <c r="CI18" s="3" t="s">
        <v>322</v>
      </c>
      <c r="CJ18" s="3" t="s">
        <v>36</v>
      </c>
      <c r="CL18" s="4">
        <v>9.9999999999999993E-41</v>
      </c>
      <c r="CM18" s="3" t="str">
        <f>HYPERLINK(".\links\CDD\Rm-21891-CDD.txt","ADF_cofilin_lik")</f>
        <v>ADF_cofilin_lik</v>
      </c>
      <c r="CN18" s="3" t="str">
        <f>HYPERLINK("http://www.ncbi.nlm.nih.gov/Structure/cdd/cddsrv.cgi?uid=cd11286&amp;version=v4.0","8E-028")</f>
        <v>8E-028</v>
      </c>
      <c r="CO18" s="3" t="s">
        <v>323</v>
      </c>
      <c r="CP18" s="3" t="str">
        <f>HYPERLINK(".\links\ACARI\Rm-21891-ACARI.txt","actin-depolymerizing factor 1")</f>
        <v>actin-depolymerizing factor 1</v>
      </c>
      <c r="CQ18" s="3" t="str">
        <f>HYPERLINK("http://www.ncbi.nlm.nih.gov/sutils/blink.cgi?pid=629510349","1E-080")</f>
        <v>1E-080</v>
      </c>
      <c r="CR18" s="3" t="str">
        <f>HYPERLINK("http://www.ncbi.nlm.nih.gov/protein/629510349","gi|629510349")</f>
        <v>gi|629510349</v>
      </c>
      <c r="CS18" s="3">
        <v>296</v>
      </c>
      <c r="CT18" s="3">
        <v>147</v>
      </c>
      <c r="CU18" s="3">
        <v>147</v>
      </c>
      <c r="CV18" s="3">
        <v>100</v>
      </c>
      <c r="CW18" s="3">
        <v>100</v>
      </c>
      <c r="CX18" s="3">
        <v>100</v>
      </c>
      <c r="CY18" s="3">
        <v>0</v>
      </c>
      <c r="CZ18" s="3">
        <v>0</v>
      </c>
      <c r="DA18" s="3">
        <v>1</v>
      </c>
      <c r="DB18" s="3">
        <v>1</v>
      </c>
      <c r="DC18" s="3">
        <v>1</v>
      </c>
      <c r="DD18" s="3" t="s">
        <v>203</v>
      </c>
    </row>
    <row r="19" spans="1:108" s="3" customFormat="1" x14ac:dyDescent="0.2">
      <c r="A19" s="3" t="s">
        <v>1340</v>
      </c>
      <c r="B19" s="3" t="str">
        <f>HYPERLINK(".\links\\Rm-80704-.txt","Rm-80704")</f>
        <v>Rm-80704</v>
      </c>
      <c r="C19" s="3" t="s">
        <v>335</v>
      </c>
      <c r="D19" s="3">
        <v>821</v>
      </c>
      <c r="E19" s="9" t="s">
        <v>203</v>
      </c>
      <c r="F19" s="3" t="s">
        <v>1213</v>
      </c>
      <c r="G19" s="1" t="s">
        <v>1461</v>
      </c>
      <c r="H19" s="3" t="str">
        <f>HYPERLINK(".\links\UNIPROT-ACARI\Rm-80704-UNIPROT-ACARI.txt","Putative myosin class ii heavy chain (Fragment)")</f>
        <v>Putative myosin class ii heavy chain (Fragment)</v>
      </c>
      <c r="I19" s="3" t="str">
        <f>HYPERLINK("http://www.ncbi.nlm.nih.gov/sutils/blink.cgi?pid=A0A023FMJ4","0.0")</f>
        <v>0.0</v>
      </c>
      <c r="J19" s="3" t="s">
        <v>1007</v>
      </c>
      <c r="K19" s="3">
        <v>1504</v>
      </c>
      <c r="L19" s="3">
        <v>810</v>
      </c>
      <c r="M19" s="3">
        <v>1700</v>
      </c>
      <c r="N19" s="3">
        <v>99</v>
      </c>
      <c r="O19" s="3">
        <v>99</v>
      </c>
      <c r="P19" s="3">
        <v>48</v>
      </c>
      <c r="Q19" s="3">
        <v>8</v>
      </c>
      <c r="R19" s="3">
        <v>2</v>
      </c>
      <c r="S19" s="3">
        <v>892</v>
      </c>
      <c r="T19" s="3">
        <v>13</v>
      </c>
      <c r="U19" s="3">
        <v>1</v>
      </c>
      <c r="V19" s="3" t="s">
        <v>36</v>
      </c>
      <c r="W19" s="3" t="str">
        <f>HYPERLINK(".\links\NR-LIGHT\Rm-80704-NR-LIGHT.txt","myosin heavy chain, isoform N")</f>
        <v>myosin heavy chain, isoform N</v>
      </c>
      <c r="X19" s="3" t="str">
        <f>HYPERLINK("http://www.ncbi.nlm.nih.gov/sutils/blink.cgi?pid=281365095","0.0")</f>
        <v>0.0</v>
      </c>
      <c r="Y19" s="3" t="str">
        <f>HYPERLINK("http://www.ncbi.nlm.nih.gov/protein/281365095","gi|281365095")</f>
        <v>gi|281365095</v>
      </c>
      <c r="Z19" s="3">
        <v>1199</v>
      </c>
      <c r="AA19" s="3">
        <v>805</v>
      </c>
      <c r="AB19" s="3">
        <v>1949</v>
      </c>
      <c r="AC19" s="3">
        <v>76</v>
      </c>
      <c r="AD19" s="3">
        <v>87</v>
      </c>
      <c r="AE19" s="3">
        <v>41</v>
      </c>
      <c r="AF19" s="3">
        <v>187</v>
      </c>
      <c r="AG19" s="3">
        <v>2</v>
      </c>
      <c r="AH19" s="3">
        <v>1136</v>
      </c>
      <c r="AI19" s="3">
        <v>13</v>
      </c>
      <c r="AJ19" s="3">
        <v>1</v>
      </c>
      <c r="AK19" s="3" t="s">
        <v>153</v>
      </c>
      <c r="AL19" s="3" t="str">
        <f>HYPERLINK(".\links\REFSEQ-INVERTEBRATE\Rm-80704-REFSEQ-INVERTEBRATE.txt","myosin heavy chain, muscle-like")</f>
        <v>myosin heavy chain, muscle-like</v>
      </c>
      <c r="AM19" s="3" t="str">
        <f>HYPERLINK("http://www.ncbi.nlm.nih.gov/sutils/blink.cgi?pid=391347036","0.0")</f>
        <v>0.0</v>
      </c>
      <c r="AN19" s="3" t="str">
        <f>HYPERLINK("http://www.ncbi.nlm.nih.gov/protein/391347036","gi|391347036")</f>
        <v>gi|391347036</v>
      </c>
      <c r="AO19" s="3">
        <v>1273</v>
      </c>
      <c r="AP19" s="3">
        <v>802</v>
      </c>
      <c r="AQ19" s="3">
        <v>1932</v>
      </c>
      <c r="AR19" s="3">
        <v>82</v>
      </c>
      <c r="AS19" s="3">
        <v>91</v>
      </c>
      <c r="AT19" s="3">
        <v>42</v>
      </c>
      <c r="AU19" s="3">
        <v>140</v>
      </c>
      <c r="AV19" s="3">
        <v>2</v>
      </c>
      <c r="AW19" s="3">
        <v>1131</v>
      </c>
      <c r="AX19" s="3">
        <v>13</v>
      </c>
      <c r="AY19" s="3">
        <v>1</v>
      </c>
      <c r="AZ19" s="3" t="s">
        <v>392</v>
      </c>
      <c r="BA19" s="3" t="str">
        <f>HYPERLINK(".\links\MEROPS\Rm-80704-MEROPS.txt","- subfamily M23B non-peptidase homologues (Dipodomys ordii)")</f>
        <v>- subfamily M23B non-peptidase homologues (Dipodomys ordii)</v>
      </c>
      <c r="BB19" s="3" t="str">
        <f>HYPERLINK("http://www.ncbi.nlm.nih.gov/sutils/blink.cgi?pid=157071 - subfamily M23B non-peptidase homologues (Dipodomys ordii) [M23.UNB]#M23B#{peptidase unit","0.0")</f>
        <v>0.0</v>
      </c>
      <c r="BC19" s="3" t="s">
        <v>414</v>
      </c>
      <c r="BD19" s="3">
        <v>837</v>
      </c>
      <c r="BE19" s="3">
        <v>789</v>
      </c>
      <c r="BF19" s="3">
        <v>1940</v>
      </c>
      <c r="BG19" s="3">
        <v>53</v>
      </c>
      <c r="BH19" s="3">
        <v>75</v>
      </c>
      <c r="BI19" s="3">
        <v>41</v>
      </c>
      <c r="BJ19" s="3">
        <v>368</v>
      </c>
      <c r="BK19" s="3">
        <v>1</v>
      </c>
      <c r="BL19" s="3">
        <v>1142</v>
      </c>
      <c r="BM19" s="3">
        <v>13</v>
      </c>
      <c r="BN19" s="3">
        <v>1</v>
      </c>
      <c r="BO19" s="3" t="s">
        <v>415</v>
      </c>
      <c r="BP19" s="3" t="s">
        <v>416</v>
      </c>
      <c r="BQ19" s="3">
        <f>HYPERLINK(".\links\GO\Rm-80704-GO.txt",0)</f>
        <v>0</v>
      </c>
      <c r="BR19" s="3" t="str">
        <f>HYPERLINK("http://amigo.geneontology.org/cgi-bin/amigo/term_details?term=GO:0042803","GO:0042803")</f>
        <v>GO:0042803</v>
      </c>
      <c r="BS19" s="3" t="s">
        <v>417</v>
      </c>
      <c r="BT19" s="3" t="s">
        <v>418</v>
      </c>
      <c r="BU19" s="3" t="s">
        <v>419</v>
      </c>
      <c r="BV19" s="3" t="s">
        <v>36</v>
      </c>
      <c r="BX19" s="3">
        <v>0</v>
      </c>
      <c r="BY19" s="3" t="str">
        <f>HYPERLINK("http://amigo.geneontology.org/cgi-bin/amigo/term_details?term=GO:0030017","GO:0030017")</f>
        <v>GO:0030017</v>
      </c>
      <c r="BZ19" s="3" t="s">
        <v>420</v>
      </c>
      <c r="CA19" s="3" t="s">
        <v>421</v>
      </c>
      <c r="CB19" s="3" t="s">
        <v>36</v>
      </c>
      <c r="CC19" s="3" t="s">
        <v>36</v>
      </c>
      <c r="CE19" s="3">
        <v>0</v>
      </c>
      <c r="CF19" s="3" t="str">
        <f>HYPERLINK("http://amigo.geneontology.org/cgi-bin/amigo/term_details?term=GO:0006936","GO:0006936")</f>
        <v>GO:0006936</v>
      </c>
      <c r="CG19" s="3" t="s">
        <v>422</v>
      </c>
      <c r="CH19" s="3" t="s">
        <v>423</v>
      </c>
      <c r="CI19" s="3" t="s">
        <v>36</v>
      </c>
      <c r="CJ19" s="3" t="s">
        <v>36</v>
      </c>
      <c r="CL19" s="3">
        <v>0</v>
      </c>
      <c r="CM19" s="3" t="str">
        <f>HYPERLINK(".\links\CDD\Rm-80704-CDD.txt","Myosin_tail_1")</f>
        <v>Myosin_tail_1</v>
      </c>
      <c r="CN19" s="3" t="str">
        <f>HYPERLINK("http://www.ncbi.nlm.nih.gov/Structure/cdd/cddsrv.cgi?uid=pfam01576&amp;version=v4.0","0.0")</f>
        <v>0.0</v>
      </c>
      <c r="CO19" s="3" t="s">
        <v>1008</v>
      </c>
      <c r="CP19" s="3" t="str">
        <f>HYPERLINK(".\links\ACARI\Rm-80704-ACARI.txt","putative myosin class ii heavy chain, partial")</f>
        <v>putative myosin class ii heavy chain, partial</v>
      </c>
      <c r="CQ19" s="3" t="str">
        <f>HYPERLINK("http://www.ncbi.nlm.nih.gov/sutils/blink.cgi?pid=604800006","0.0")</f>
        <v>0.0</v>
      </c>
      <c r="CR19" s="3" t="str">
        <f>HYPERLINK("http://www.ncbi.nlm.nih.gov/protein/604800006","gi|604800006")</f>
        <v>gi|604800006</v>
      </c>
      <c r="CS19" s="3">
        <v>1504</v>
      </c>
      <c r="CT19" s="3">
        <v>810</v>
      </c>
      <c r="CU19" s="3">
        <v>1700</v>
      </c>
      <c r="CV19" s="3">
        <v>99</v>
      </c>
      <c r="CW19" s="3">
        <v>99</v>
      </c>
      <c r="CX19" s="3">
        <v>48</v>
      </c>
      <c r="CY19" s="3">
        <v>8</v>
      </c>
      <c r="CZ19" s="3">
        <v>2</v>
      </c>
      <c r="DA19" s="3">
        <v>892</v>
      </c>
      <c r="DB19" s="3">
        <v>13</v>
      </c>
      <c r="DC19" s="3">
        <v>1</v>
      </c>
      <c r="DD19" s="3" t="s">
        <v>964</v>
      </c>
    </row>
    <row r="20" spans="1:108" s="3" customFormat="1" x14ac:dyDescent="0.2">
      <c r="A20" s="1" t="s">
        <v>1328</v>
      </c>
      <c r="B20" s="1" t="str">
        <f>HYPERLINK(".\links\\gi_194246095-.txt","gi_194246095")</f>
        <v>gi_194246095</v>
      </c>
      <c r="C20" s="1" t="s">
        <v>35</v>
      </c>
      <c r="D20" s="1">
        <v>222</v>
      </c>
      <c r="E20" s="8" t="s">
        <v>401</v>
      </c>
      <c r="F20" s="1" t="s">
        <v>1215</v>
      </c>
      <c r="G20" s="1" t="s">
        <v>1462</v>
      </c>
      <c r="H20" s="1" t="str">
        <f>HYPERLINK(".\links\UNIPROT-ACARI\gi_194246095-UNIPROT-ACARI.txt","Putative glutathione S-transferase")</f>
        <v>Putative glutathione S-transferase</v>
      </c>
      <c r="I20" s="1" t="str">
        <f>HYPERLINK("http://www.ncbi.nlm.nih.gov/sutils/blink.cgi?pid=B7SP57","1E-128")</f>
        <v>1E-128</v>
      </c>
      <c r="J20" s="1" t="s">
        <v>402</v>
      </c>
      <c r="K20" s="1">
        <v>454</v>
      </c>
      <c r="L20" s="1">
        <v>222</v>
      </c>
      <c r="M20" s="1">
        <v>222</v>
      </c>
      <c r="N20" s="1">
        <v>100</v>
      </c>
      <c r="O20" s="1">
        <v>100</v>
      </c>
      <c r="P20" s="1">
        <v>100</v>
      </c>
      <c r="Q20" s="1">
        <v>0</v>
      </c>
      <c r="R20" s="1">
        <v>0</v>
      </c>
      <c r="S20" s="1">
        <v>1</v>
      </c>
      <c r="T20" s="1">
        <v>1</v>
      </c>
      <c r="U20" s="1">
        <v>1</v>
      </c>
      <c r="V20" s="1" t="s">
        <v>36</v>
      </c>
      <c r="W20" s="1" t="str">
        <f>HYPERLINK(".\links\NR-LIGHT\gi_194246095-NR-LIGHT.txt","glutathione S-transferase, putative")</f>
        <v>glutathione S-transferase, putative</v>
      </c>
      <c r="X20" s="1" t="str">
        <f>HYPERLINK("http://www.ncbi.nlm.nih.gov/sutils/blink.cgi?pid=242004301","1E-080")</f>
        <v>1E-080</v>
      </c>
      <c r="Y20" s="1" t="str">
        <f>HYPERLINK("http://www.ncbi.nlm.nih.gov/protein/242004301","gi|242004301")</f>
        <v>gi|242004301</v>
      </c>
      <c r="Z20" s="1">
        <v>301</v>
      </c>
      <c r="AA20" s="1">
        <v>223</v>
      </c>
      <c r="AB20" s="1">
        <v>279</v>
      </c>
      <c r="AC20" s="1">
        <v>66</v>
      </c>
      <c r="AD20" s="1">
        <v>78</v>
      </c>
      <c r="AE20" s="1">
        <v>80</v>
      </c>
      <c r="AF20" s="1">
        <v>75</v>
      </c>
      <c r="AG20" s="1">
        <v>2</v>
      </c>
      <c r="AH20" s="1">
        <v>51</v>
      </c>
      <c r="AI20" s="1">
        <v>1</v>
      </c>
      <c r="AJ20" s="1">
        <v>1</v>
      </c>
      <c r="AK20" s="1" t="s">
        <v>40</v>
      </c>
      <c r="AL20" s="1" t="str">
        <f>HYPERLINK(".\links\REFSEQ-INVERTEBRATE\gi_194246095-REFSEQ-INVERTEBRATE.txt","glutathione S-transferase, putative")</f>
        <v>glutathione S-transferase, putative</v>
      </c>
      <c r="AM20" s="1" t="str">
        <f>HYPERLINK("http://www.ncbi.nlm.nih.gov/sutils/blink.cgi?pid=242004301","5E-081")</f>
        <v>5E-081</v>
      </c>
      <c r="AN20" s="1" t="str">
        <f>HYPERLINK("http://www.ncbi.nlm.nih.gov/protein/242004301","gi|242004301")</f>
        <v>gi|242004301</v>
      </c>
      <c r="AO20" s="1">
        <v>301</v>
      </c>
      <c r="AP20" s="1">
        <v>223</v>
      </c>
      <c r="AQ20" s="1">
        <v>279</v>
      </c>
      <c r="AR20" s="1">
        <v>66</v>
      </c>
      <c r="AS20" s="1">
        <v>78</v>
      </c>
      <c r="AT20" s="1">
        <v>80</v>
      </c>
      <c r="AU20" s="1">
        <v>75</v>
      </c>
      <c r="AV20" s="1">
        <v>2</v>
      </c>
      <c r="AW20" s="1">
        <v>51</v>
      </c>
      <c r="AX20" s="1">
        <v>1</v>
      </c>
      <c r="AY20" s="1">
        <v>1</v>
      </c>
      <c r="AZ20" s="1" t="s">
        <v>40</v>
      </c>
      <c r="BA20" s="1" t="str">
        <f>HYPERLINK(".\links\MEROPS\gi_194246095-MEROPS.txt","- shallot potyvirus NIa peptidase ()")</f>
        <v>- shallot potyvirus NIa peptidase ()</v>
      </c>
      <c r="BB20" s="1" t="str">
        <f>HYPERLINK("http://www.ncbi.nlm.nih.gov/sutils/blink.cgi?pid=314828 - shallot potyvirus NIa peptidase () [C04.007]#C04#{peptidase unit","2.1")</f>
        <v>2.1</v>
      </c>
      <c r="BC20" s="1" t="s">
        <v>403</v>
      </c>
      <c r="BD20" s="1">
        <v>33.1</v>
      </c>
      <c r="BE20" s="1">
        <v>97</v>
      </c>
      <c r="BF20" s="1">
        <v>2561</v>
      </c>
      <c r="BG20" s="1">
        <v>23</v>
      </c>
      <c r="BH20" s="1">
        <v>45</v>
      </c>
      <c r="BI20" s="1">
        <v>4</v>
      </c>
      <c r="BJ20" s="1">
        <v>74</v>
      </c>
      <c r="BK20" s="1">
        <v>18</v>
      </c>
      <c r="BL20" s="1">
        <v>185</v>
      </c>
      <c r="BM20" s="1">
        <v>19</v>
      </c>
      <c r="BN20" s="1">
        <v>1</v>
      </c>
      <c r="BO20" s="1" t="s">
        <v>404</v>
      </c>
      <c r="BP20" s="1" t="s">
        <v>405</v>
      </c>
      <c r="BQ20" s="1">
        <f>HYPERLINK(".\links\GO\gi_194246095-GO.txt",1E-30)</f>
        <v>1.0000000000000001E-30</v>
      </c>
      <c r="BR20" s="1" t="str">
        <f>HYPERLINK("http://amigo.geneontology.org/cgi-bin/amigo/term_details?term=GO:0004364","GO:0004364")</f>
        <v>GO:0004364</v>
      </c>
      <c r="BS20" s="1" t="s">
        <v>406</v>
      </c>
      <c r="BT20" s="1" t="s">
        <v>407</v>
      </c>
      <c r="BU20" s="1" t="s">
        <v>408</v>
      </c>
      <c r="BV20" s="1" t="str">
        <f>HYPERLINK("http://www.genome.jp/dbget-bin/www_bfind_sub?mode=bfind&amp;max_hit=1000&amp;dbkey=kegg&amp;keywords=EC:2.5.1.18","EC:2.5.1.18")</f>
        <v>EC:2.5.1.18</v>
      </c>
      <c r="BW20" s="1"/>
      <c r="BX20" s="2">
        <v>1.0000000000000001E-30</v>
      </c>
      <c r="BY20" s="1" t="str">
        <f>HYPERLINK("http://amigo.geneontology.org/cgi-bin/amigo/term_details?term=GO:0005737","GO:0005737")</f>
        <v>GO:0005737</v>
      </c>
      <c r="BZ20" s="1" t="s">
        <v>374</v>
      </c>
      <c r="CA20" s="1" t="s">
        <v>375</v>
      </c>
      <c r="CB20" s="1" t="s">
        <v>36</v>
      </c>
      <c r="CC20" s="1" t="s">
        <v>36</v>
      </c>
      <c r="CD20" s="1"/>
      <c r="CE20" s="2">
        <v>1.0000000000000001E-30</v>
      </c>
      <c r="CF20" s="1" t="str">
        <f>HYPERLINK("http://amigo.geneontology.org/cgi-bin/amigo/term_details?term=GO:0006749","GO:0006749")</f>
        <v>GO:0006749</v>
      </c>
      <c r="CG20" s="1" t="s">
        <v>409</v>
      </c>
      <c r="CH20" s="1" t="s">
        <v>410</v>
      </c>
      <c r="CI20" s="1" t="s">
        <v>411</v>
      </c>
      <c r="CJ20" s="1" t="s">
        <v>36</v>
      </c>
      <c r="CK20" s="1"/>
      <c r="CL20" s="2">
        <v>1.0000000000000001E-30</v>
      </c>
      <c r="CM20" s="1" t="str">
        <f>HYPERLINK(".\links\CDD\gi_194246095-CDD.txt","GST_N_Delta_Eps")</f>
        <v>GST_N_Delta_Eps</v>
      </c>
      <c r="CN20" s="1" t="str">
        <f>HYPERLINK("http://www.ncbi.nlm.nih.gov/Structure/cdd/cddsrv.cgi?uid=cd03045&amp;version=v4.0","5E-019")</f>
        <v>5E-019</v>
      </c>
      <c r="CO20" s="1" t="s">
        <v>412</v>
      </c>
      <c r="CP20" s="1" t="str">
        <f>HYPERLINK(".\links\ACARI\gi_194246095-ACARI.txt","putative glutathione S-transferase")</f>
        <v>putative glutathione S-transferase</v>
      </c>
      <c r="CQ20" s="1" t="str">
        <f>HYPERLINK("http://www.ncbi.nlm.nih.gov/sutils/blink.cgi?pid=194246095","1E-128")</f>
        <v>1E-128</v>
      </c>
      <c r="CR20" s="1" t="str">
        <f>HYPERLINK("http://www.ncbi.nlm.nih.gov/protein/194246095","gi|194246095")</f>
        <v>gi|194246095</v>
      </c>
      <c r="CS20" s="1">
        <v>454</v>
      </c>
      <c r="CT20" s="1">
        <v>222</v>
      </c>
      <c r="CU20" s="1">
        <v>222</v>
      </c>
      <c r="CV20" s="1">
        <v>100</v>
      </c>
      <c r="CW20" s="1">
        <v>100</v>
      </c>
      <c r="CX20" s="1">
        <v>100</v>
      </c>
      <c r="CY20" s="1">
        <v>0</v>
      </c>
      <c r="CZ20" s="1">
        <v>0</v>
      </c>
      <c r="DA20" s="1">
        <v>1</v>
      </c>
      <c r="DB20" s="1">
        <v>1</v>
      </c>
      <c r="DC20" s="1">
        <v>1</v>
      </c>
      <c r="DD20" s="1" t="s">
        <v>401</v>
      </c>
    </row>
    <row r="21" spans="1:108" s="3" customFormat="1" x14ac:dyDescent="0.2">
      <c r="A21" s="3" t="s">
        <v>1385</v>
      </c>
      <c r="B21" s="3" t="str">
        <f>HYPERLINK(".\links\\gi_196476818-.txt","gi_196476818")</f>
        <v>gi_196476818</v>
      </c>
      <c r="C21" s="3" t="s">
        <v>35</v>
      </c>
      <c r="D21" s="3">
        <v>160</v>
      </c>
      <c r="E21" s="9" t="s">
        <v>377</v>
      </c>
      <c r="F21" s="3" t="s">
        <v>1284</v>
      </c>
      <c r="G21" s="1" t="s">
        <v>1462</v>
      </c>
      <c r="H21" s="3" t="str">
        <f>HYPERLINK(".\links\UNIPROT-ACARI\gi_196476818-UNIPROT-ACARI.txt","Aldehyde dehydrogenase 7 family member A1-like protein (Fragment)")</f>
        <v>Aldehyde dehydrogenase 7 family member A1-like protein (Fragment)</v>
      </c>
      <c r="I21" s="3" t="str">
        <f>HYPERLINK("http://www.ncbi.nlm.nih.gov/sutils/blink.cgi?pid=B5M7A4","5E-090")</f>
        <v>5E-090</v>
      </c>
      <c r="J21" s="3" t="s">
        <v>378</v>
      </c>
      <c r="K21" s="3">
        <v>327</v>
      </c>
      <c r="L21" s="3">
        <v>160</v>
      </c>
      <c r="M21" s="3">
        <v>160</v>
      </c>
      <c r="N21" s="3">
        <v>100</v>
      </c>
      <c r="O21" s="3">
        <v>100</v>
      </c>
      <c r="P21" s="3">
        <v>100</v>
      </c>
      <c r="Q21" s="3">
        <v>0</v>
      </c>
      <c r="R21" s="3">
        <v>0</v>
      </c>
      <c r="S21" s="3">
        <v>1</v>
      </c>
      <c r="T21" s="3">
        <v>1</v>
      </c>
      <c r="U21" s="3">
        <v>1</v>
      </c>
      <c r="V21" s="3" t="s">
        <v>36</v>
      </c>
      <c r="W21" s="3" t="str">
        <f>HYPERLINK(".\links\NR-LIGHT\gi_196476818-NR-LIGHT.txt","aldehyde dehydrogenase, putative")</f>
        <v>aldehyde dehydrogenase, putative</v>
      </c>
      <c r="X21" s="3" t="str">
        <f>HYPERLINK("http://www.ncbi.nlm.nih.gov/sutils/blink.cgi?pid=241601186","2E-053")</f>
        <v>2E-053</v>
      </c>
      <c r="Y21" s="3" t="str">
        <f>HYPERLINK("http://www.ncbi.nlm.nih.gov/protein/241601186","gi|241601186")</f>
        <v>gi|241601186</v>
      </c>
      <c r="Z21" s="3">
        <v>210</v>
      </c>
      <c r="AA21" s="3">
        <v>155</v>
      </c>
      <c r="AB21" s="3">
        <v>561</v>
      </c>
      <c r="AC21" s="3">
        <v>66</v>
      </c>
      <c r="AD21" s="3">
        <v>82</v>
      </c>
      <c r="AE21" s="3">
        <v>28</v>
      </c>
      <c r="AF21" s="3">
        <v>52</v>
      </c>
      <c r="AG21" s="3">
        <v>2</v>
      </c>
      <c r="AH21" s="3">
        <v>28</v>
      </c>
      <c r="AI21" s="3">
        <v>1</v>
      </c>
      <c r="AJ21" s="3">
        <v>1</v>
      </c>
      <c r="AK21" s="3" t="s">
        <v>40</v>
      </c>
      <c r="AL21" s="3" t="str">
        <f>HYPERLINK(".\links\REFSEQ-INVERTEBRATE\gi_196476818-REFSEQ-INVERTEBRATE.txt","aldehyde dehydrogenase, putative")</f>
        <v>aldehyde dehydrogenase, putative</v>
      </c>
      <c r="AM21" s="3" t="str">
        <f>HYPERLINK("http://www.ncbi.nlm.nih.gov/sutils/blink.cgi?pid=241601186","7E-054")</f>
        <v>7E-054</v>
      </c>
      <c r="AN21" s="3" t="str">
        <f>HYPERLINK("http://www.ncbi.nlm.nih.gov/protein/241601186","gi|241601186")</f>
        <v>gi|241601186</v>
      </c>
      <c r="AO21" s="3">
        <v>210</v>
      </c>
      <c r="AP21" s="3">
        <v>155</v>
      </c>
      <c r="AQ21" s="3">
        <v>561</v>
      </c>
      <c r="AR21" s="3">
        <v>66</v>
      </c>
      <c r="AS21" s="3">
        <v>82</v>
      </c>
      <c r="AT21" s="3">
        <v>28</v>
      </c>
      <c r="AU21" s="3">
        <v>52</v>
      </c>
      <c r="AV21" s="3">
        <v>2</v>
      </c>
      <c r="AW21" s="3">
        <v>28</v>
      </c>
      <c r="AX21" s="3">
        <v>1</v>
      </c>
      <c r="AY21" s="3">
        <v>1</v>
      </c>
      <c r="AZ21" s="3" t="s">
        <v>40</v>
      </c>
      <c r="BA21" s="3" t="str">
        <f>HYPERLINK(".\links\MEROPS\gi_196476818-MEROPS.txt","- proteasome subunit beta 2 (Ascaris suum)")</f>
        <v>- proteasome subunit beta 2 (Ascaris suum)</v>
      </c>
      <c r="BB21" s="3" t="str">
        <f>HYPERLINK("http://www.ncbi.nlm.nih.gov/sutils/blink.cgi?pid=465655 - proteasome subunit beta 2 (Ascaris suum) [T01.984]#T01A#{peptidase unit","2E-039")</f>
        <v>2E-039</v>
      </c>
      <c r="BC21" s="3" t="s">
        <v>379</v>
      </c>
      <c r="BD21" s="3">
        <v>161</v>
      </c>
      <c r="BE21" s="3">
        <v>139</v>
      </c>
      <c r="BF21" s="3">
        <v>613</v>
      </c>
      <c r="BG21" s="3">
        <v>55</v>
      </c>
      <c r="BH21" s="3">
        <v>77</v>
      </c>
      <c r="BI21" s="3">
        <v>23</v>
      </c>
      <c r="BJ21" s="3">
        <v>62</v>
      </c>
      <c r="BK21" s="3">
        <v>2</v>
      </c>
      <c r="BL21" s="3">
        <v>14</v>
      </c>
      <c r="BM21" s="3">
        <v>16</v>
      </c>
      <c r="BN21" s="3">
        <v>1</v>
      </c>
      <c r="BO21" s="3" t="s">
        <v>380</v>
      </c>
      <c r="BP21" s="3" t="s">
        <v>381</v>
      </c>
      <c r="BQ21" s="3">
        <f>HYPERLINK(".\links\GO\gi_196476818-GO.txt",5E-42)</f>
        <v>5E-42</v>
      </c>
      <c r="BR21" s="3" t="str">
        <f>HYPERLINK("http://amigo.geneontology.org/cgi-bin/amigo/term_details?term=GO:0004029","GO:0004029")</f>
        <v>GO:0004029</v>
      </c>
      <c r="BS21" s="3" t="s">
        <v>382</v>
      </c>
      <c r="BT21" s="3" t="s">
        <v>383</v>
      </c>
      <c r="BU21" s="3" t="s">
        <v>384</v>
      </c>
      <c r="BV21" s="3" t="str">
        <f>HYPERLINK("http://www.genome.jp/dbget-bin/www_bfind_sub?mode=bfind&amp;max_hit=1000&amp;dbkey=kegg&amp;keywords=EC:1.2.1.3","EC:1.2.1.3")</f>
        <v>EC:1.2.1.3</v>
      </c>
      <c r="BX21" s="4">
        <v>5E-42</v>
      </c>
      <c r="BY21" s="3" t="str">
        <f>HYPERLINK("http://amigo.geneontology.org/cgi-bin/amigo/term_details?term=GO:0005634","GO:0005634")</f>
        <v>GO:0005634</v>
      </c>
      <c r="BZ21" s="3" t="s">
        <v>359</v>
      </c>
      <c r="CA21" s="3" t="s">
        <v>360</v>
      </c>
      <c r="CB21" s="3" t="s">
        <v>361</v>
      </c>
      <c r="CC21" s="3" t="s">
        <v>36</v>
      </c>
      <c r="CE21" s="4">
        <v>5E-42</v>
      </c>
      <c r="CF21" s="3" t="str">
        <f>HYPERLINK("http://amigo.geneontology.org/cgi-bin/amigo/term_details?term=GO:0006081","GO:0006081")</f>
        <v>GO:0006081</v>
      </c>
      <c r="CG21" s="3" t="s">
        <v>385</v>
      </c>
      <c r="CH21" s="3" t="s">
        <v>386</v>
      </c>
      <c r="CI21" s="3" t="s">
        <v>387</v>
      </c>
      <c r="CJ21" s="3" t="s">
        <v>36</v>
      </c>
      <c r="CL21" s="4">
        <v>5E-42</v>
      </c>
      <c r="CM21" s="3" t="str">
        <f>HYPERLINK(".\links\CDD\gi_196476818-CDD.txt","ALDH_F7_AASADH")</f>
        <v>ALDH_F7_AASADH</v>
      </c>
      <c r="CN21" s="3" t="str">
        <f>HYPERLINK("http://www.ncbi.nlm.nih.gov/Structure/cdd/cddsrv.cgi?uid=cd07130&amp;version=v4.0","3E-037")</f>
        <v>3E-037</v>
      </c>
      <c r="CO21" s="3" t="s">
        <v>388</v>
      </c>
      <c r="CP21" s="3" t="str">
        <f>HYPERLINK(".\links\ACARI\gi_196476818-ACARI.txt","aldehyde dehydrogenase 7 family member A1-like protein, partial")</f>
        <v>aldehyde dehydrogenase 7 family member A1-like protein, partial</v>
      </c>
      <c r="CQ21" s="3" t="str">
        <f>HYPERLINK("http://www.ncbi.nlm.nih.gov/sutils/blink.cgi?pid=196476818","6E-090")</f>
        <v>6E-090</v>
      </c>
      <c r="CR21" s="3" t="str">
        <f>HYPERLINK("http://www.ncbi.nlm.nih.gov/protein/196476818","gi|196476818")</f>
        <v>gi|196476818</v>
      </c>
      <c r="CS21" s="3">
        <v>327</v>
      </c>
      <c r="CT21" s="3">
        <v>160</v>
      </c>
      <c r="CU21" s="3">
        <v>160</v>
      </c>
      <c r="CV21" s="3">
        <v>100</v>
      </c>
      <c r="CW21" s="3">
        <v>100</v>
      </c>
      <c r="CX21" s="3">
        <v>100</v>
      </c>
      <c r="CY21" s="3">
        <v>0</v>
      </c>
      <c r="CZ21" s="3">
        <v>0</v>
      </c>
      <c r="DA21" s="3">
        <v>1</v>
      </c>
      <c r="DB21" s="3">
        <v>1</v>
      </c>
      <c r="DC21" s="3">
        <v>1</v>
      </c>
      <c r="DD21" s="3" t="s">
        <v>377</v>
      </c>
    </row>
    <row r="22" spans="1:108" s="3" customFormat="1" x14ac:dyDescent="0.2">
      <c r="A22" s="3" t="s">
        <v>1379</v>
      </c>
      <c r="B22" s="3" t="str">
        <f>HYPERLINK(".\links\\gi_34539115-.txt","gi_34539115")</f>
        <v>gi_34539115</v>
      </c>
      <c r="C22" s="3" t="s">
        <v>35</v>
      </c>
      <c r="D22" s="3">
        <v>223</v>
      </c>
      <c r="E22" s="9" t="s">
        <v>53</v>
      </c>
      <c r="F22" s="3" t="s">
        <v>1215</v>
      </c>
      <c r="G22" s="1" t="s">
        <v>1462</v>
      </c>
      <c r="H22" s="3" t="str">
        <f>HYPERLINK(".\links\UNIPROT-ACARI\gi_34539115-UNIPROT-ACARI.txt","Glutathione S-transferase")</f>
        <v>Glutathione S-transferase</v>
      </c>
      <c r="I22" s="3" t="str">
        <f>HYPERLINK("http://www.ncbi.nlm.nih.gov/sutils/blink.cgi?pid=Q6JVN0","1E-132")</f>
        <v>1E-132</v>
      </c>
      <c r="J22" s="3" t="s">
        <v>883</v>
      </c>
      <c r="K22" s="3">
        <v>467</v>
      </c>
      <c r="L22" s="3">
        <v>223</v>
      </c>
      <c r="M22" s="3">
        <v>223</v>
      </c>
      <c r="N22" s="3">
        <v>100</v>
      </c>
      <c r="O22" s="3">
        <v>100</v>
      </c>
      <c r="P22" s="3">
        <v>100</v>
      </c>
      <c r="Q22" s="3">
        <v>0</v>
      </c>
      <c r="R22" s="3">
        <v>0</v>
      </c>
      <c r="S22" s="3">
        <v>1</v>
      </c>
      <c r="T22" s="3">
        <v>1</v>
      </c>
      <c r="U22" s="3">
        <v>1</v>
      </c>
      <c r="V22" s="3" t="s">
        <v>36</v>
      </c>
      <c r="W22" s="3" t="str">
        <f>HYPERLINK(".\links\NR-LIGHT\gi_34539115-NR-LIGHT.txt","glutathione S-transferase")</f>
        <v>glutathione S-transferase</v>
      </c>
      <c r="X22" s="3" t="str">
        <f>HYPERLINK("http://www.ncbi.nlm.nih.gov/sutils/blink.cgi?pid=34539115","1E-130")</f>
        <v>1E-130</v>
      </c>
      <c r="Y22" s="3" t="str">
        <f>HYPERLINK("http://www.ncbi.nlm.nih.gov/protein/34539115","gi|34539115")</f>
        <v>gi|34539115</v>
      </c>
      <c r="Z22" s="3">
        <v>467</v>
      </c>
      <c r="AA22" s="3">
        <v>223</v>
      </c>
      <c r="AB22" s="3">
        <v>223</v>
      </c>
      <c r="AC22" s="3">
        <v>100</v>
      </c>
      <c r="AD22" s="3">
        <v>100</v>
      </c>
      <c r="AE22" s="3">
        <v>100</v>
      </c>
      <c r="AF22" s="3">
        <v>0</v>
      </c>
      <c r="AG22" s="3">
        <v>0</v>
      </c>
      <c r="AH22" s="3">
        <v>1</v>
      </c>
      <c r="AI22" s="3">
        <v>1</v>
      </c>
      <c r="AJ22" s="3">
        <v>1</v>
      </c>
      <c r="AK22" s="3" t="s">
        <v>53</v>
      </c>
      <c r="AL22" s="3" t="str">
        <f>HYPERLINK(".\links\REFSEQ-INVERTEBRATE\gi_34539115-REFSEQ-INVERTEBRATE.txt","glutathione S-transferase, putative")</f>
        <v>glutathione S-transferase, putative</v>
      </c>
      <c r="AM22" s="3" t="str">
        <f>HYPERLINK("http://www.ncbi.nlm.nih.gov/sutils/blink.cgi?pid=241758154","1E-113")</f>
        <v>1E-113</v>
      </c>
      <c r="AN22" s="3" t="str">
        <f>HYPERLINK("http://www.ncbi.nlm.nih.gov/protein/241758154","gi|241758154")</f>
        <v>gi|241758154</v>
      </c>
      <c r="AO22" s="3">
        <v>407</v>
      </c>
      <c r="AP22" s="3">
        <v>223</v>
      </c>
      <c r="AQ22" s="3">
        <v>223</v>
      </c>
      <c r="AR22" s="3">
        <v>85</v>
      </c>
      <c r="AS22" s="3">
        <v>93</v>
      </c>
      <c r="AT22" s="3">
        <v>100</v>
      </c>
      <c r="AU22" s="3">
        <v>33</v>
      </c>
      <c r="AV22" s="3">
        <v>0</v>
      </c>
      <c r="AW22" s="3">
        <v>1</v>
      </c>
      <c r="AX22" s="3">
        <v>1</v>
      </c>
      <c r="AY22" s="3">
        <v>1</v>
      </c>
      <c r="AZ22" s="3" t="s">
        <v>40</v>
      </c>
      <c r="BA22" s="3" t="str">
        <f>HYPERLINK(".\links\MEROPS\gi_34539115-MEROPS.txt","- repressor LexA ()")</f>
        <v>- repressor LexA ()</v>
      </c>
      <c r="BB22" s="3" t="str">
        <f>HYPERLINK("http://www.ncbi.nlm.nih.gov/sutils/blink.cgi?pid=304349 - repressor LexA () [S24.001]#S24#{peptidase unit","7E-052")</f>
        <v>7E-052</v>
      </c>
      <c r="BC22" s="3" t="s">
        <v>884</v>
      </c>
      <c r="BD22" s="3">
        <v>204</v>
      </c>
      <c r="BE22" s="3">
        <v>216</v>
      </c>
      <c r="BF22" s="3">
        <v>726</v>
      </c>
      <c r="BG22" s="3">
        <v>48</v>
      </c>
      <c r="BH22" s="3">
        <v>61</v>
      </c>
      <c r="BI22" s="3">
        <v>30</v>
      </c>
      <c r="BJ22" s="3">
        <v>111</v>
      </c>
      <c r="BK22" s="3">
        <v>5</v>
      </c>
      <c r="BL22" s="3">
        <v>1</v>
      </c>
      <c r="BM22" s="3">
        <v>1</v>
      </c>
      <c r="BN22" s="3">
        <v>1</v>
      </c>
      <c r="BO22" s="3" t="s">
        <v>885</v>
      </c>
      <c r="BP22" s="3" t="s">
        <v>886</v>
      </c>
      <c r="BQ22" s="3">
        <f>HYPERLINK(".\links\GO\gi_34539115-GO.txt",1E-68)</f>
        <v>1.0000000000000001E-68</v>
      </c>
      <c r="BR22" s="3" t="str">
        <f>HYPERLINK("http://amigo.geneontology.org/cgi-bin/amigo/term_details?term=GO:0004364","GO:0004364")</f>
        <v>GO:0004364</v>
      </c>
      <c r="BS22" s="3" t="s">
        <v>406</v>
      </c>
      <c r="BT22" s="3" t="s">
        <v>407</v>
      </c>
      <c r="BU22" s="3" t="s">
        <v>408</v>
      </c>
      <c r="BV22" s="3" t="str">
        <f>HYPERLINK("http://www.genome.jp/dbget-bin/www_bfind_sub?mode=bfind&amp;max_hit=1000&amp;dbkey=kegg&amp;keywords=EC:2.5.1.18","EC:2.5.1.18")</f>
        <v>EC:2.5.1.18</v>
      </c>
      <c r="BX22" s="4">
        <v>1.0000000000000001E-68</v>
      </c>
      <c r="BY22" s="3" t="str">
        <f>HYPERLINK("http://amigo.geneontology.org/cgi-bin/amigo/term_details?term=GO:0005737","GO:0005737")</f>
        <v>GO:0005737</v>
      </c>
      <c r="BZ22" s="3" t="s">
        <v>374</v>
      </c>
      <c r="CA22" s="3" t="s">
        <v>375</v>
      </c>
      <c r="CB22" s="3" t="s">
        <v>36</v>
      </c>
      <c r="CC22" s="3" t="s">
        <v>36</v>
      </c>
      <c r="CE22" s="4">
        <v>1.0000000000000001E-68</v>
      </c>
      <c r="CF22" s="3" t="str">
        <f>HYPERLINK("http://amigo.geneontology.org/cgi-bin/amigo/term_details?term=GO:0006749","GO:0006749")</f>
        <v>GO:0006749</v>
      </c>
      <c r="CG22" s="3" t="s">
        <v>409</v>
      </c>
      <c r="CH22" s="3" t="s">
        <v>410</v>
      </c>
      <c r="CI22" s="3" t="s">
        <v>411</v>
      </c>
      <c r="CJ22" s="3" t="s">
        <v>36</v>
      </c>
      <c r="CL22" s="4">
        <v>1.0000000000000001E-68</v>
      </c>
      <c r="CM22" s="3" t="str">
        <f>HYPERLINK(".\links\CDD\gi_34539115-CDD.txt","GST_C_Mu")</f>
        <v>GST_C_Mu</v>
      </c>
      <c r="CN22" s="3" t="str">
        <f>HYPERLINK("http://www.ncbi.nlm.nih.gov/Structure/cdd/cddsrv.cgi?uid=cd03209&amp;version=v4.0","2E-039")</f>
        <v>2E-039</v>
      </c>
      <c r="CO22" s="3" t="s">
        <v>887</v>
      </c>
      <c r="CP22" s="3" t="str">
        <f>HYPERLINK(".\links\ACARI\gi_34539115-ACARI.txt","glutathione S-transferase")</f>
        <v>glutathione S-transferase</v>
      </c>
      <c r="CQ22" s="3" t="str">
        <f>HYPERLINK("http://www.ncbi.nlm.nih.gov/sutils/blink.cgi?pid=34539115","1E-132")</f>
        <v>1E-132</v>
      </c>
      <c r="CR22" s="3" t="str">
        <f>HYPERLINK("http://www.ncbi.nlm.nih.gov/protein/34539115","gi|34539115")</f>
        <v>gi|34539115</v>
      </c>
      <c r="CS22" s="3">
        <v>467</v>
      </c>
      <c r="CT22" s="3">
        <v>223</v>
      </c>
      <c r="CU22" s="3">
        <v>223</v>
      </c>
      <c r="CV22" s="3">
        <v>100</v>
      </c>
      <c r="CW22" s="3">
        <v>100</v>
      </c>
      <c r="CX22" s="3">
        <v>100</v>
      </c>
      <c r="CY22" s="3">
        <v>0</v>
      </c>
      <c r="CZ22" s="3">
        <v>0</v>
      </c>
      <c r="DA22" s="3">
        <v>1</v>
      </c>
      <c r="DB22" s="3">
        <v>1</v>
      </c>
      <c r="DC22" s="3">
        <v>1</v>
      </c>
      <c r="DD22" s="3" t="s">
        <v>53</v>
      </c>
    </row>
    <row r="23" spans="1:108" s="3" customFormat="1" x14ac:dyDescent="0.2">
      <c r="A23" s="3" t="s">
        <v>1375</v>
      </c>
      <c r="B23" s="3" t="str">
        <f>HYPERLINK(".\links\\gi_346466425-.txt","gi_346466425")</f>
        <v>gi_346466425</v>
      </c>
      <c r="C23" s="3" t="s">
        <v>739</v>
      </c>
      <c r="D23" s="3">
        <v>385</v>
      </c>
      <c r="E23" s="9" t="s">
        <v>173</v>
      </c>
      <c r="F23" s="3" t="s">
        <v>1268</v>
      </c>
      <c r="G23" s="1" t="s">
        <v>1462</v>
      </c>
      <c r="H23" s="3" t="str">
        <f>HYPERLINK(".\links\UNIPROT-ACARI\gi_346466425-UNIPROT-ACARI.txt","Putative uncharacterized protein (Fragment)")</f>
        <v>Putative uncharacterized protein (Fragment)</v>
      </c>
      <c r="I23" s="3" t="str">
        <f>HYPERLINK("http://www.ncbi.nlm.nih.gov/sutils/blink.cgi?pid=G3MHT9","0.0")</f>
        <v>0.0</v>
      </c>
      <c r="J23" s="3" t="s">
        <v>740</v>
      </c>
      <c r="K23" s="3">
        <v>805</v>
      </c>
      <c r="L23" s="3">
        <v>385</v>
      </c>
      <c r="M23" s="3">
        <v>385</v>
      </c>
      <c r="N23" s="3">
        <v>100</v>
      </c>
      <c r="O23" s="3">
        <v>100</v>
      </c>
      <c r="P23" s="3">
        <v>100</v>
      </c>
      <c r="Q23" s="3">
        <v>0</v>
      </c>
      <c r="R23" s="3">
        <v>0</v>
      </c>
      <c r="S23" s="3">
        <v>1</v>
      </c>
      <c r="T23" s="3">
        <v>1</v>
      </c>
      <c r="U23" s="3">
        <v>1</v>
      </c>
      <c r="V23" s="3" t="s">
        <v>36</v>
      </c>
      <c r="W23" s="3" t="str">
        <f>HYPERLINK(".\links\NR-LIGHT\gi_346466425-NR-LIGHT.txt","salivary sulfotransferase, putative")</f>
        <v>salivary sulfotransferase, putative</v>
      </c>
      <c r="X23" s="3" t="str">
        <f>HYPERLINK("http://www.ncbi.nlm.nih.gov/sutils/blink.cgi?pid=242003233","8E-088")</f>
        <v>8E-088</v>
      </c>
      <c r="Y23" s="3" t="str">
        <f>HYPERLINK("http://www.ncbi.nlm.nih.gov/protein/242003233","gi|242003233")</f>
        <v>gi|242003233</v>
      </c>
      <c r="Z23" s="3">
        <v>327</v>
      </c>
      <c r="AA23" s="3">
        <v>307</v>
      </c>
      <c r="AB23" s="3">
        <v>321</v>
      </c>
      <c r="AC23" s="3">
        <v>49</v>
      </c>
      <c r="AD23" s="3">
        <v>70</v>
      </c>
      <c r="AE23" s="3">
        <v>96</v>
      </c>
      <c r="AF23" s="3">
        <v>156</v>
      </c>
      <c r="AG23" s="3">
        <v>19</v>
      </c>
      <c r="AH23" s="3">
        <v>10</v>
      </c>
      <c r="AI23" s="3">
        <v>91</v>
      </c>
      <c r="AJ23" s="3">
        <v>1</v>
      </c>
      <c r="AK23" s="3" t="s">
        <v>40</v>
      </c>
      <c r="AL23" s="3" t="str">
        <f>HYPERLINK(".\links\REFSEQ-INVERTEBRATE\gi_346466425-REFSEQ-INVERTEBRATE.txt","salivary sulfotransferase, putative, partial")</f>
        <v>salivary sulfotransferase, putative, partial</v>
      </c>
      <c r="AM23" s="3" t="str">
        <f>HYPERLINK("http://www.ncbi.nlm.nih.gov/sutils/blink.cgi?pid=242003233","3E-088")</f>
        <v>3E-088</v>
      </c>
      <c r="AN23" s="3" t="str">
        <f>HYPERLINK("http://www.ncbi.nlm.nih.gov/protein/242003233","gi|242003233")</f>
        <v>gi|242003233</v>
      </c>
      <c r="AO23" s="3">
        <v>327</v>
      </c>
      <c r="AP23" s="3">
        <v>307</v>
      </c>
      <c r="AQ23" s="3">
        <v>321</v>
      </c>
      <c r="AR23" s="3">
        <v>49</v>
      </c>
      <c r="AS23" s="3">
        <v>70</v>
      </c>
      <c r="AT23" s="3">
        <v>96</v>
      </c>
      <c r="AU23" s="3">
        <v>156</v>
      </c>
      <c r="AV23" s="3">
        <v>19</v>
      </c>
      <c r="AW23" s="3">
        <v>10</v>
      </c>
      <c r="AX23" s="3">
        <v>91</v>
      </c>
      <c r="AY23" s="3">
        <v>1</v>
      </c>
      <c r="AZ23" s="3" t="s">
        <v>40</v>
      </c>
      <c r="BA23" s="3" t="str">
        <f>HYPERLINK(".\links\MEROPS\gi_346466425-MEROPS.txt","- carboxypeptidase M (Anopheles darlingi)")</f>
        <v>- carboxypeptidase M (Anopheles darlingi)</v>
      </c>
      <c r="BB23" s="3" t="str">
        <f>HYPERLINK("http://www.ncbi.nlm.nih.gov/sutils/blink.cgi?pid=231262 - carboxypeptidase M (Anopheles darlingi) [M14.006]#M14B#{peptidase unit","0.002")</f>
        <v>0.002</v>
      </c>
      <c r="BC23" s="3" t="s">
        <v>741</v>
      </c>
      <c r="BD23" s="3">
        <v>44.7</v>
      </c>
      <c r="BE23" s="3">
        <v>40</v>
      </c>
      <c r="BF23" s="3">
        <v>1395</v>
      </c>
      <c r="BG23" s="3">
        <v>45</v>
      </c>
      <c r="BH23" s="3">
        <v>67</v>
      </c>
      <c r="BI23" s="3">
        <v>3</v>
      </c>
      <c r="BJ23" s="3">
        <v>22</v>
      </c>
      <c r="BK23" s="3">
        <v>0</v>
      </c>
      <c r="BL23" s="3">
        <v>216</v>
      </c>
      <c r="BM23" s="3">
        <v>250</v>
      </c>
      <c r="BN23" s="3">
        <v>1</v>
      </c>
      <c r="BO23" s="3" t="s">
        <v>742</v>
      </c>
      <c r="BP23" s="3" t="s">
        <v>743</v>
      </c>
      <c r="BQ23" s="3">
        <f>HYPERLINK(".\links\GO\gi_346466425-GO.txt",1E-32)</f>
        <v>1.0000000000000001E-32</v>
      </c>
      <c r="BR23" s="3" t="str">
        <f>HYPERLINK("http://amigo.geneontology.org/cgi-bin/amigo/term_details?term=GO:0004062","GO:0004062")</f>
        <v>GO:0004062</v>
      </c>
      <c r="BS23" s="3" t="s">
        <v>744</v>
      </c>
      <c r="BT23" s="3" t="s">
        <v>745</v>
      </c>
      <c r="BU23" s="3" t="s">
        <v>746</v>
      </c>
      <c r="BV23" s="3" t="str">
        <f>HYPERLINK("http://www.genome.jp/dbget-bin/www_bfind_sub?mode=bfind&amp;max_hit=1000&amp;dbkey=kegg&amp;keywords=EC:2.8.2.1","EC:2.8.2.1")</f>
        <v>EC:2.8.2.1</v>
      </c>
      <c r="BX23" s="4">
        <v>2.0000000000000001E-32</v>
      </c>
      <c r="BY23" s="3" t="str">
        <f>HYPERLINK("http://amigo.geneontology.org/cgi-bin/amigo/term_details?term=GO:0005829","GO:0005829")</f>
        <v>GO:0005829</v>
      </c>
      <c r="BZ23" s="3" t="s">
        <v>643</v>
      </c>
      <c r="CA23" s="3" t="s">
        <v>644</v>
      </c>
      <c r="CB23" s="3" t="s">
        <v>36</v>
      </c>
      <c r="CC23" s="3" t="s">
        <v>36</v>
      </c>
      <c r="CE23" s="4">
        <v>2.0000000000000001E-32</v>
      </c>
      <c r="CF23" s="3" t="str">
        <f>HYPERLINK("http://amigo.geneontology.org/cgi-bin/amigo/term_details?term=GO:0006790","GO:0006790")</f>
        <v>GO:0006790</v>
      </c>
      <c r="CG23" s="3" t="s">
        <v>747</v>
      </c>
      <c r="CH23" s="3" t="s">
        <v>748</v>
      </c>
      <c r="CI23" s="3" t="s">
        <v>749</v>
      </c>
      <c r="CJ23" s="3" t="s">
        <v>36</v>
      </c>
      <c r="CL23" s="4">
        <v>2.0000000000000001E-32</v>
      </c>
      <c r="CM23" s="3" t="str">
        <f>HYPERLINK(".\links\CDD\gi_346466425-CDD.txt","Sulfotransfer_1")</f>
        <v>Sulfotransfer_1</v>
      </c>
      <c r="CN23" s="3" t="str">
        <f>HYPERLINK("http://www.ncbi.nlm.nih.gov/Structure/cdd/cddsrv.cgi?uid=pfam00685&amp;version=v4.0","2E-032")</f>
        <v>2E-032</v>
      </c>
      <c r="CO23" s="3" t="s">
        <v>750</v>
      </c>
      <c r="CP23" s="3" t="str">
        <f>HYPERLINK(".\links\ACARI\gi_346466425-ACARI.txt","hypothetical protein, partial")</f>
        <v>hypothetical protein, partial</v>
      </c>
      <c r="CQ23" s="3" t="str">
        <f>HYPERLINK("http://www.ncbi.nlm.nih.gov/sutils/blink.cgi?pid=346466425","0.0")</f>
        <v>0.0</v>
      </c>
      <c r="CR23" s="3" t="str">
        <f>HYPERLINK("http://www.ncbi.nlm.nih.gov/protein/346466425","gi|346466425")</f>
        <v>gi|346466425</v>
      </c>
      <c r="CS23" s="3">
        <v>805</v>
      </c>
      <c r="CT23" s="3">
        <v>385</v>
      </c>
      <c r="CU23" s="3">
        <v>385</v>
      </c>
      <c r="CV23" s="3">
        <v>100</v>
      </c>
      <c r="CW23" s="3">
        <v>100</v>
      </c>
      <c r="CX23" s="3">
        <v>100</v>
      </c>
      <c r="CY23" s="3">
        <v>0</v>
      </c>
      <c r="CZ23" s="3">
        <v>0</v>
      </c>
      <c r="DA23" s="3">
        <v>1</v>
      </c>
      <c r="DB23" s="3">
        <v>1</v>
      </c>
      <c r="DC23" s="3">
        <v>1</v>
      </c>
      <c r="DD23" s="3" t="s">
        <v>173</v>
      </c>
    </row>
    <row r="24" spans="1:108" s="3" customFormat="1" x14ac:dyDescent="0.2">
      <c r="A24" s="3" t="s">
        <v>1324</v>
      </c>
      <c r="B24" s="3" t="str">
        <f>HYPERLINK(".\links\\gi_346471027-.txt","gi_346471027")</f>
        <v>gi_346471027</v>
      </c>
      <c r="C24" s="3" t="s">
        <v>35</v>
      </c>
      <c r="D24" s="3">
        <v>499</v>
      </c>
      <c r="E24" s="9" t="s">
        <v>173</v>
      </c>
      <c r="F24" s="3" t="s">
        <v>1269</v>
      </c>
      <c r="G24" s="1" t="s">
        <v>1462</v>
      </c>
      <c r="H24" s="3" t="str">
        <f>HYPERLINK(".\links\UNIPROT-ACARI\gi_346471027-UNIPROT-ACARI.txt","Catalase")</f>
        <v>Catalase</v>
      </c>
      <c r="I24" s="3" t="str">
        <f>HYPERLINK("http://www.ncbi.nlm.nih.gov/sutils/blink.cgi?pid=G3MPE0","0.0")</f>
        <v>0.0</v>
      </c>
      <c r="J24" s="3" t="s">
        <v>696</v>
      </c>
      <c r="K24" s="3">
        <v>1050</v>
      </c>
      <c r="L24" s="3">
        <v>499</v>
      </c>
      <c r="M24" s="3">
        <v>499</v>
      </c>
      <c r="N24" s="3">
        <v>100</v>
      </c>
      <c r="O24" s="3">
        <v>100</v>
      </c>
      <c r="P24" s="3">
        <v>100</v>
      </c>
      <c r="Q24" s="3">
        <v>0</v>
      </c>
      <c r="R24" s="3">
        <v>0</v>
      </c>
      <c r="S24" s="3">
        <v>1</v>
      </c>
      <c r="T24" s="3">
        <v>1</v>
      </c>
      <c r="U24" s="3">
        <v>1</v>
      </c>
      <c r="V24" s="3" t="s">
        <v>36</v>
      </c>
      <c r="W24" s="3" t="str">
        <f>HYPERLINK(".\links\NR-LIGHT\gi_346471027-NR-LIGHT.txt","Catalase, putative")</f>
        <v>Catalase, putative</v>
      </c>
      <c r="X24" s="3" t="str">
        <f>HYPERLINK("http://www.ncbi.nlm.nih.gov/sutils/blink.cgi?pid=242014048","0.0")</f>
        <v>0.0</v>
      </c>
      <c r="Y24" s="3" t="str">
        <f>HYPERLINK("http://www.ncbi.nlm.nih.gov/protein/242014048","gi|242014048")</f>
        <v>gi|242014048</v>
      </c>
      <c r="Z24" s="3">
        <v>758</v>
      </c>
      <c r="AA24" s="3">
        <v>484</v>
      </c>
      <c r="AB24" s="3">
        <v>491</v>
      </c>
      <c r="AC24" s="3">
        <v>73</v>
      </c>
      <c r="AD24" s="3">
        <v>85</v>
      </c>
      <c r="AE24" s="3">
        <v>99</v>
      </c>
      <c r="AF24" s="3">
        <v>127</v>
      </c>
      <c r="AG24" s="3">
        <v>3</v>
      </c>
      <c r="AH24" s="3">
        <v>4</v>
      </c>
      <c r="AI24" s="3">
        <v>3</v>
      </c>
      <c r="AJ24" s="3">
        <v>1</v>
      </c>
      <c r="AK24" s="3" t="s">
        <v>71</v>
      </c>
      <c r="AL24" s="3" t="str">
        <f>HYPERLINK(".\links\REFSEQ-INVERTEBRATE\gi_346471027-REFSEQ-INVERTEBRATE.txt","catalase-like")</f>
        <v>catalase-like</v>
      </c>
      <c r="AM24" s="3" t="str">
        <f>HYPERLINK("http://www.ncbi.nlm.nih.gov/sutils/blink.cgi?pid=391339337","0.0")</f>
        <v>0.0</v>
      </c>
      <c r="AN24" s="3" t="str">
        <f>HYPERLINK("http://www.ncbi.nlm.nih.gov/protein/391339337","gi|391339337")</f>
        <v>gi|391339337</v>
      </c>
      <c r="AO24" s="3">
        <v>758</v>
      </c>
      <c r="AP24" s="3">
        <v>504</v>
      </c>
      <c r="AQ24" s="3">
        <v>763</v>
      </c>
      <c r="AR24" s="3">
        <v>72</v>
      </c>
      <c r="AS24" s="3">
        <v>82</v>
      </c>
      <c r="AT24" s="3">
        <v>66</v>
      </c>
      <c r="AU24" s="3">
        <v>138</v>
      </c>
      <c r="AV24" s="3">
        <v>9</v>
      </c>
      <c r="AW24" s="3">
        <v>262</v>
      </c>
      <c r="AX24" s="3">
        <v>3</v>
      </c>
      <c r="AY24" s="3">
        <v>1</v>
      </c>
      <c r="AZ24" s="3" t="s">
        <v>392</v>
      </c>
      <c r="BA24" s="3" t="str">
        <f>HYPERLINK(".\links\MEROPS\gi_346471027-MEROPS.txt","- family C56 non-peptidase homologues (Shewanella putrefaciens)")</f>
        <v>- family C56 non-peptidase homologues (Shewanella putrefaciens)</v>
      </c>
      <c r="BB24" s="3" t="str">
        <f>HYPERLINK("http://www.ncbi.nlm.nih.gov/sutils/blink.cgi?pid=175243 - family C56 non-peptidase homologues (Shewanella putrefaciens) [C56.UNW]#C56#{peptidase unit","1E-110")</f>
        <v>1E-110</v>
      </c>
      <c r="BC24" s="3" t="s">
        <v>697</v>
      </c>
      <c r="BD24" s="3">
        <v>399</v>
      </c>
      <c r="BE24" s="3">
        <v>501</v>
      </c>
      <c r="BF24" s="3">
        <v>794</v>
      </c>
      <c r="BG24" s="3">
        <v>43</v>
      </c>
      <c r="BH24" s="3">
        <v>58</v>
      </c>
      <c r="BI24" s="3">
        <v>63</v>
      </c>
      <c r="BJ24" s="3">
        <v>285</v>
      </c>
      <c r="BK24" s="3">
        <v>12</v>
      </c>
      <c r="BL24" s="3">
        <v>109</v>
      </c>
      <c r="BM24" s="3">
        <v>8</v>
      </c>
      <c r="BN24" s="3">
        <v>1</v>
      </c>
      <c r="BO24" s="3" t="s">
        <v>698</v>
      </c>
      <c r="BP24" s="3" t="s">
        <v>699</v>
      </c>
      <c r="BQ24" s="3">
        <f>HYPERLINK(".\links\GO\gi_346471027-GO.txt",0)</f>
        <v>0</v>
      </c>
      <c r="BR24" s="3" t="str">
        <f>HYPERLINK("http://amigo.geneontology.org/cgi-bin/amigo/term_details?term=GO:0004046","GO:0004046")</f>
        <v>GO:0004046</v>
      </c>
      <c r="BS24" s="3" t="s">
        <v>700</v>
      </c>
      <c r="BT24" s="3" t="s">
        <v>701</v>
      </c>
      <c r="BU24" s="3" t="s">
        <v>702</v>
      </c>
      <c r="BV24" s="3" t="str">
        <f>HYPERLINK("http://www.genome.jp/dbget-bin/www_bfind_sub?mode=bfind&amp;max_hit=1000&amp;dbkey=kegg&amp;keywords=EC:3.5.1.14","EC:3.5.1.14")</f>
        <v>EC:3.5.1.14</v>
      </c>
      <c r="BX24" s="3">
        <v>0</v>
      </c>
      <c r="BY24" s="3" t="str">
        <f>HYPERLINK("http://amigo.geneontology.org/cgi-bin/amigo/term_details?term=GO:0005777","GO:0005777")</f>
        <v>GO:0005777</v>
      </c>
      <c r="BZ24" s="3" t="s">
        <v>703</v>
      </c>
      <c r="CA24" s="3" t="s">
        <v>704</v>
      </c>
      <c r="CB24" s="3" t="s">
        <v>705</v>
      </c>
      <c r="CC24" s="3" t="s">
        <v>36</v>
      </c>
      <c r="CE24" s="3">
        <v>0</v>
      </c>
      <c r="CF24" s="3" t="str">
        <f>HYPERLINK("http://amigo.geneontology.org/cgi-bin/amigo/term_details?term=GO:0006641","GO:0006641")</f>
        <v>GO:0006641</v>
      </c>
      <c r="CG24" s="3" t="s">
        <v>706</v>
      </c>
      <c r="CH24" s="3" t="s">
        <v>707</v>
      </c>
      <c r="CI24" s="3" t="s">
        <v>708</v>
      </c>
      <c r="CJ24" s="3" t="s">
        <v>36</v>
      </c>
      <c r="CL24" s="3">
        <v>0</v>
      </c>
      <c r="CM24" s="3" t="str">
        <f>HYPERLINK(".\links\CDD\gi_346471027-CDD.txt","catalase_clade_")</f>
        <v>catalase_clade_</v>
      </c>
      <c r="CN24" s="3" t="str">
        <f>HYPERLINK("http://www.ncbi.nlm.nih.gov/Structure/cdd/cddsrv.cgi?uid=cd08156&amp;version=v4.0","1E-170")</f>
        <v>1E-170</v>
      </c>
      <c r="CO24" s="3" t="s">
        <v>709</v>
      </c>
      <c r="CP24" s="3" t="str">
        <f>HYPERLINK(".\links\ACARI\gi_346471027-ACARI.txt","hypothetical protein")</f>
        <v>hypothetical protein</v>
      </c>
      <c r="CQ24" s="3" t="str">
        <f>HYPERLINK("http://www.ncbi.nlm.nih.gov/sutils/blink.cgi?pid=346471027","0.0")</f>
        <v>0.0</v>
      </c>
      <c r="CR24" s="3" t="str">
        <f>HYPERLINK("http://www.ncbi.nlm.nih.gov/protein/346471027","gi|346471027")</f>
        <v>gi|346471027</v>
      </c>
      <c r="CS24" s="3">
        <v>1050</v>
      </c>
      <c r="CT24" s="3">
        <v>499</v>
      </c>
      <c r="CU24" s="3">
        <v>499</v>
      </c>
      <c r="CV24" s="3">
        <v>100</v>
      </c>
      <c r="CW24" s="3">
        <v>100</v>
      </c>
      <c r="CX24" s="3">
        <v>100</v>
      </c>
      <c r="CY24" s="3">
        <v>0</v>
      </c>
      <c r="CZ24" s="3">
        <v>0</v>
      </c>
      <c r="DA24" s="3">
        <v>1</v>
      </c>
      <c r="DB24" s="3">
        <v>1</v>
      </c>
      <c r="DC24" s="3">
        <v>1</v>
      </c>
      <c r="DD24" s="3" t="s">
        <v>173</v>
      </c>
    </row>
    <row r="25" spans="1:108" s="3" customFormat="1" x14ac:dyDescent="0.2">
      <c r="A25" s="3" t="s">
        <v>1361</v>
      </c>
      <c r="B25" s="3" t="str">
        <f>HYPERLINK(".\links\\gi_427795293-.txt","gi_427795293")</f>
        <v>gi_427795293</v>
      </c>
      <c r="C25" s="3" t="s">
        <v>548</v>
      </c>
      <c r="D25" s="3">
        <v>552</v>
      </c>
      <c r="E25" s="9" t="s">
        <v>68</v>
      </c>
      <c r="F25" s="3" t="s">
        <v>1283</v>
      </c>
      <c r="G25" s="1" t="s">
        <v>1462</v>
      </c>
      <c r="H25" s="3" t="str">
        <f>HYPERLINK(".\links\UNIPROT-ACARI\gi_427795293-UNIPROT-ACARI.txt","Putative aldehyde dehydrogenase (Fragment)")</f>
        <v>Putative aldehyde dehydrogenase (Fragment)</v>
      </c>
      <c r="I25" s="3" t="str">
        <f>HYPERLINK("http://www.ncbi.nlm.nih.gov/sutils/blink.cgi?pid=L7MIL3","0.0")</f>
        <v>0.0</v>
      </c>
      <c r="J25" s="3" t="s">
        <v>549</v>
      </c>
      <c r="K25" s="3">
        <v>1113</v>
      </c>
      <c r="L25" s="3">
        <v>552</v>
      </c>
      <c r="M25" s="3">
        <v>552</v>
      </c>
      <c r="N25" s="3">
        <v>100</v>
      </c>
      <c r="O25" s="3">
        <v>100</v>
      </c>
      <c r="P25" s="3">
        <v>100</v>
      </c>
      <c r="Q25" s="3">
        <v>0</v>
      </c>
      <c r="R25" s="3">
        <v>0</v>
      </c>
      <c r="S25" s="3">
        <v>1</v>
      </c>
      <c r="T25" s="3">
        <v>1</v>
      </c>
      <c r="U25" s="3">
        <v>1</v>
      </c>
      <c r="V25" s="3" t="s">
        <v>36</v>
      </c>
      <c r="W25" s="3" t="str">
        <f>HYPERLINK(".\links\NR-LIGHT\gi_427795293-NR-LIGHT.txt","aldehyde dehydrogenase, putative")</f>
        <v>aldehyde dehydrogenase, putative</v>
      </c>
      <c r="X25" s="3" t="str">
        <f>HYPERLINK("http://www.ncbi.nlm.nih.gov/sutils/blink.cgi?pid=241601186","0.0")</f>
        <v>0.0</v>
      </c>
      <c r="Y25" s="3" t="str">
        <f>HYPERLINK("http://www.ncbi.nlm.nih.gov/protein/241601186","gi|241601186")</f>
        <v>gi|241601186</v>
      </c>
      <c r="Z25" s="3">
        <v>874</v>
      </c>
      <c r="AA25" s="3">
        <v>555</v>
      </c>
      <c r="AB25" s="3">
        <v>561</v>
      </c>
      <c r="AC25" s="3">
        <v>77</v>
      </c>
      <c r="AD25" s="3">
        <v>87</v>
      </c>
      <c r="AE25" s="3">
        <v>99</v>
      </c>
      <c r="AF25" s="3">
        <v>126</v>
      </c>
      <c r="AG25" s="3">
        <v>4</v>
      </c>
      <c r="AH25" s="3">
        <v>8</v>
      </c>
      <c r="AI25" s="3">
        <v>1</v>
      </c>
      <c r="AJ25" s="3">
        <v>1</v>
      </c>
      <c r="AK25" s="3" t="s">
        <v>40</v>
      </c>
      <c r="AL25" s="3" t="str">
        <f>HYPERLINK(".\links\REFSEQ-INVERTEBRATE\gi_427795293-REFSEQ-INVERTEBRATE.txt","aldehyde dehydrogenase, putative")</f>
        <v>aldehyde dehydrogenase, putative</v>
      </c>
      <c r="AM25" s="3" t="str">
        <f>HYPERLINK("http://www.ncbi.nlm.nih.gov/sutils/blink.cgi?pid=241601186","0.0")</f>
        <v>0.0</v>
      </c>
      <c r="AN25" s="3" t="str">
        <f>HYPERLINK("http://www.ncbi.nlm.nih.gov/protein/241601186","gi|241601186")</f>
        <v>gi|241601186</v>
      </c>
      <c r="AO25" s="3">
        <v>874</v>
      </c>
      <c r="AP25" s="3">
        <v>555</v>
      </c>
      <c r="AQ25" s="3">
        <v>561</v>
      </c>
      <c r="AR25" s="3">
        <v>77</v>
      </c>
      <c r="AS25" s="3">
        <v>87</v>
      </c>
      <c r="AT25" s="3">
        <v>99</v>
      </c>
      <c r="AU25" s="3">
        <v>126</v>
      </c>
      <c r="AV25" s="3">
        <v>4</v>
      </c>
      <c r="AW25" s="3">
        <v>8</v>
      </c>
      <c r="AX25" s="3">
        <v>1</v>
      </c>
      <c r="AY25" s="3">
        <v>1</v>
      </c>
      <c r="AZ25" s="3" t="s">
        <v>40</v>
      </c>
      <c r="BA25" s="3" t="str">
        <f>HYPERLINK(".\links\MEROPS\gi_427795293-MEROPS.txt","- proteasome subunit beta 2 (Ascaris suum)")</f>
        <v>- proteasome subunit beta 2 (Ascaris suum)</v>
      </c>
      <c r="BB25" s="3" t="str">
        <f>HYPERLINK("http://www.ncbi.nlm.nih.gov/sutils/blink.cgi?pid=465655 - proteasome subunit beta 2 (Ascaris suum) [T01.984]#T01A#{peptidase unit","1E-134")</f>
        <v>1E-134</v>
      </c>
      <c r="BC25" s="3" t="s">
        <v>379</v>
      </c>
      <c r="BD25" s="3">
        <v>480</v>
      </c>
      <c r="BE25" s="3">
        <v>384</v>
      </c>
      <c r="BF25" s="3">
        <v>613</v>
      </c>
      <c r="BG25" s="3">
        <v>59</v>
      </c>
      <c r="BH25" s="3">
        <v>78</v>
      </c>
      <c r="BI25" s="3">
        <v>63</v>
      </c>
      <c r="BJ25" s="3">
        <v>156</v>
      </c>
      <c r="BK25" s="3">
        <v>2</v>
      </c>
      <c r="BL25" s="3">
        <v>10</v>
      </c>
      <c r="BM25" s="3">
        <v>32</v>
      </c>
      <c r="BN25" s="3">
        <v>1</v>
      </c>
      <c r="BO25" s="3" t="s">
        <v>380</v>
      </c>
      <c r="BP25" s="3" t="s">
        <v>550</v>
      </c>
      <c r="BQ25" s="3">
        <f>HYPERLINK(".\links\GO\gi_427795293-GO.txt",0)</f>
        <v>0</v>
      </c>
      <c r="BR25" s="3" t="str">
        <f>HYPERLINK("http://amigo.geneontology.org/cgi-bin/amigo/term_details?term=GO:0004029","GO:0004029")</f>
        <v>GO:0004029</v>
      </c>
      <c r="BS25" s="3" t="s">
        <v>382</v>
      </c>
      <c r="BT25" s="3" t="s">
        <v>383</v>
      </c>
      <c r="BU25" s="3" t="s">
        <v>384</v>
      </c>
      <c r="BV25" s="3" t="str">
        <f>HYPERLINK("http://www.genome.jp/dbget-bin/www_bfind_sub?mode=bfind&amp;max_hit=1000&amp;dbkey=kegg&amp;keywords=EC:1.2.1.3","EC:1.2.1.3")</f>
        <v>EC:1.2.1.3</v>
      </c>
      <c r="BX25" s="3">
        <v>0</v>
      </c>
      <c r="BY25" s="3" t="str">
        <f>HYPERLINK("http://amigo.geneontology.org/cgi-bin/amigo/term_details?term=GO:0005634","GO:0005634")</f>
        <v>GO:0005634</v>
      </c>
      <c r="BZ25" s="3" t="s">
        <v>359</v>
      </c>
      <c r="CA25" s="3" t="s">
        <v>360</v>
      </c>
      <c r="CB25" s="3" t="s">
        <v>361</v>
      </c>
      <c r="CC25" s="3" t="s">
        <v>36</v>
      </c>
      <c r="CE25" s="3">
        <v>0</v>
      </c>
      <c r="CF25" s="3" t="str">
        <f>HYPERLINK("http://amigo.geneontology.org/cgi-bin/amigo/term_details?term=GO:0006081","GO:0006081")</f>
        <v>GO:0006081</v>
      </c>
      <c r="CG25" s="3" t="s">
        <v>385</v>
      </c>
      <c r="CH25" s="3" t="s">
        <v>386</v>
      </c>
      <c r="CI25" s="3" t="s">
        <v>387</v>
      </c>
      <c r="CJ25" s="3" t="s">
        <v>36</v>
      </c>
      <c r="CL25" s="3">
        <v>0</v>
      </c>
      <c r="CM25" s="3" t="str">
        <f>HYPERLINK(".\links\CDD\gi_427795293-CDD.txt","ALDH_F7_AASADH")</f>
        <v>ALDH_F7_AASADH</v>
      </c>
      <c r="CN25" s="3" t="str">
        <f>HYPERLINK("http://www.ncbi.nlm.nih.gov/Structure/cdd/cddsrv.cgi?uid=cd07130&amp;version=v4.0","0.0")</f>
        <v>0.0</v>
      </c>
      <c r="CO25" s="3" t="s">
        <v>551</v>
      </c>
      <c r="CP25" s="3" t="str">
        <f>HYPERLINK(".\links\ACARI\gi_427795293-ACARI.txt","Putative aldehyde dehydrogenase, partial")</f>
        <v>Putative aldehyde dehydrogenase, partial</v>
      </c>
      <c r="CQ25" s="3" t="str">
        <f>HYPERLINK("http://www.ncbi.nlm.nih.gov/sutils/blink.cgi?pid=427795293","0.0")</f>
        <v>0.0</v>
      </c>
      <c r="CR25" s="3" t="str">
        <f>HYPERLINK("http://www.ncbi.nlm.nih.gov/protein/427795293","gi|427795293")</f>
        <v>gi|427795293</v>
      </c>
      <c r="CS25" s="3">
        <v>1113</v>
      </c>
      <c r="CT25" s="3">
        <v>552</v>
      </c>
      <c r="CU25" s="3">
        <v>552</v>
      </c>
      <c r="CV25" s="3">
        <v>100</v>
      </c>
      <c r="CW25" s="3">
        <v>100</v>
      </c>
      <c r="CX25" s="3">
        <v>100</v>
      </c>
      <c r="CY25" s="3">
        <v>0</v>
      </c>
      <c r="CZ25" s="3">
        <v>0</v>
      </c>
      <c r="DA25" s="3">
        <v>1</v>
      </c>
      <c r="DB25" s="3">
        <v>1</v>
      </c>
      <c r="DC25" s="3">
        <v>1</v>
      </c>
      <c r="DD25" s="3" t="s">
        <v>68</v>
      </c>
    </row>
    <row r="26" spans="1:108" s="3" customFormat="1" x14ac:dyDescent="0.2">
      <c r="A26" s="3" t="s">
        <v>1406</v>
      </c>
      <c r="B26" s="3" t="str">
        <f>HYPERLINK(".\links\\gi_440573224-.txt","gi_440573224")</f>
        <v>gi_440573224</v>
      </c>
      <c r="C26" s="3" t="s">
        <v>35</v>
      </c>
      <c r="D26" s="3">
        <v>223</v>
      </c>
      <c r="E26" s="9" t="s">
        <v>53</v>
      </c>
      <c r="F26" s="3" t="s">
        <v>1270</v>
      </c>
      <c r="G26" s="1" t="s">
        <v>1462</v>
      </c>
      <c r="H26" s="3" t="str">
        <f>HYPERLINK(".\links\UNIPROT-ACARI\gi_440573224-UNIPROT-ACARI.txt","Glutathione peroxidase")</f>
        <v>Glutathione peroxidase</v>
      </c>
      <c r="I26" s="3" t="str">
        <f>HYPERLINK("http://www.ncbi.nlm.nih.gov/sutils/blink.cgi?pid=L7S6B3","1E-130")</f>
        <v>1E-130</v>
      </c>
      <c r="J26" s="3" t="s">
        <v>1031</v>
      </c>
      <c r="K26" s="3">
        <v>461</v>
      </c>
      <c r="L26" s="3">
        <v>223</v>
      </c>
      <c r="M26" s="3">
        <v>223</v>
      </c>
      <c r="N26" s="3">
        <v>100</v>
      </c>
      <c r="O26" s="3">
        <v>100</v>
      </c>
      <c r="P26" s="3">
        <v>100</v>
      </c>
      <c r="Q26" s="3">
        <v>0</v>
      </c>
      <c r="R26" s="3">
        <v>0</v>
      </c>
      <c r="S26" s="3">
        <v>1</v>
      </c>
      <c r="T26" s="3">
        <v>1</v>
      </c>
      <c r="U26" s="3">
        <v>1</v>
      </c>
      <c r="V26" s="3" t="s">
        <v>36</v>
      </c>
      <c r="W26" s="3" t="str">
        <f>HYPERLINK(".\links\NR-LIGHT\gi_440573224-NR-LIGHT.txt","glutathione peroxidase")</f>
        <v>glutathione peroxidase</v>
      </c>
      <c r="X26" s="3" t="str">
        <f>HYPERLINK("http://www.ncbi.nlm.nih.gov/sutils/blink.cgi?pid=440573224","1E-128")</f>
        <v>1E-128</v>
      </c>
      <c r="Y26" s="3" t="str">
        <f>HYPERLINK("http://www.ncbi.nlm.nih.gov/protein/440573224","gi|440573224")</f>
        <v>gi|440573224</v>
      </c>
      <c r="Z26" s="3">
        <v>461</v>
      </c>
      <c r="AA26" s="3">
        <v>223</v>
      </c>
      <c r="AB26" s="3">
        <v>223</v>
      </c>
      <c r="AC26" s="3">
        <v>100</v>
      </c>
      <c r="AD26" s="3">
        <v>100</v>
      </c>
      <c r="AE26" s="3">
        <v>100</v>
      </c>
      <c r="AF26" s="3">
        <v>0</v>
      </c>
      <c r="AG26" s="3">
        <v>0</v>
      </c>
      <c r="AH26" s="3">
        <v>1</v>
      </c>
      <c r="AI26" s="3">
        <v>1</v>
      </c>
      <c r="AJ26" s="3">
        <v>1</v>
      </c>
      <c r="AK26" s="3" t="s">
        <v>53</v>
      </c>
      <c r="AL26" s="3" t="str">
        <f>HYPERLINK(".\links\REFSEQ-INVERTEBRATE\gi_440573224-REFSEQ-INVERTEBRATE.txt","LOW QUALITY PROTEIN: glutathione peroxidase-like")</f>
        <v>LOW QUALITY PROTEIN: glutathione peroxidase-like</v>
      </c>
      <c r="AM26" s="3" t="str">
        <f>HYPERLINK("http://www.ncbi.nlm.nih.gov/sutils/blink.cgi?pid=391334796","5E-044")</f>
        <v>5E-044</v>
      </c>
      <c r="AN26" s="3" t="str">
        <f>HYPERLINK("http://www.ncbi.nlm.nih.gov/protein/391334796","gi|391334796")</f>
        <v>gi|391334796</v>
      </c>
      <c r="AO26" s="3">
        <v>178</v>
      </c>
      <c r="AP26" s="3">
        <v>209</v>
      </c>
      <c r="AQ26" s="3">
        <v>210</v>
      </c>
      <c r="AR26" s="3">
        <v>44</v>
      </c>
      <c r="AS26" s="3">
        <v>62</v>
      </c>
      <c r="AT26" s="3">
        <v>100</v>
      </c>
      <c r="AU26" s="3">
        <v>117</v>
      </c>
      <c r="AV26" s="3">
        <v>9</v>
      </c>
      <c r="AW26" s="3">
        <v>4</v>
      </c>
      <c r="AX26" s="3">
        <v>6</v>
      </c>
      <c r="AY26" s="3">
        <v>1</v>
      </c>
      <c r="AZ26" s="3" t="s">
        <v>392</v>
      </c>
      <c r="BA26" s="3" t="str">
        <f>HYPERLINK(".\links\MEROPS\gi_440573224-MEROPS.txt","- irvR self-cleaving protein (Staphylococcus pseudintermedius)")</f>
        <v>- irvR self-cleaving protein (Staphylococcus pseudintermedius)</v>
      </c>
      <c r="BB26" s="3" t="str">
        <f>HYPERLINK("http://www.ncbi.nlm.nih.gov/sutils/blink.cgi?pid=235168 - irvR self-cleaving protein (Staphylococcus pseudintermedius) [S24.005]#S24#{peptidase unit","2.1")</f>
        <v>2.1</v>
      </c>
      <c r="BC26" s="3" t="s">
        <v>1032</v>
      </c>
      <c r="BD26" s="3">
        <v>33.1</v>
      </c>
      <c r="BE26" s="3">
        <v>40</v>
      </c>
      <c r="BF26" s="3">
        <v>234</v>
      </c>
      <c r="BG26" s="3">
        <v>37</v>
      </c>
      <c r="BH26" s="3">
        <v>52</v>
      </c>
      <c r="BI26" s="3">
        <v>17</v>
      </c>
      <c r="BJ26" s="3">
        <v>25</v>
      </c>
      <c r="BK26" s="3">
        <v>2</v>
      </c>
      <c r="BL26" s="3">
        <v>129</v>
      </c>
      <c r="BM26" s="3">
        <v>108</v>
      </c>
      <c r="BN26" s="3">
        <v>1</v>
      </c>
      <c r="BO26" s="3" t="s">
        <v>1033</v>
      </c>
      <c r="BP26" s="3" t="s">
        <v>1034</v>
      </c>
      <c r="BQ26" s="3">
        <f>HYPERLINK(".\links\GO\gi_440573224-GO.txt",4E-39)</f>
        <v>3.9999999999999997E-39</v>
      </c>
      <c r="BR26" s="3" t="str">
        <f>HYPERLINK("http://amigo.geneontology.org/cgi-bin/amigo/term_details?term=GO:0004601","GO:0004601")</f>
        <v>GO:0004601</v>
      </c>
      <c r="BS26" s="3" t="s">
        <v>131</v>
      </c>
      <c r="BT26" s="3" t="s">
        <v>132</v>
      </c>
      <c r="BU26" s="3" t="s">
        <v>133</v>
      </c>
      <c r="BV26" s="3" t="str">
        <f>HYPERLINK("http://www.genome.jp/dbget-bin/www_bfind_sub?mode=bfind&amp;max_hit=1000&amp;dbkey=kegg&amp;keywords=EC:1.11.1.7","EC:1.11.1.7")</f>
        <v>EC:1.11.1.7</v>
      </c>
      <c r="BW26" s="3" t="str">
        <f>HYPERLINK("http://www.genome.jp/dbget-bin/www_bget?rn:R03532","KEGG:R03532")</f>
        <v>KEGG:R03532</v>
      </c>
      <c r="BX26" s="4">
        <v>3.9999999999999997E-39</v>
      </c>
      <c r="BY26" s="3" t="str">
        <f>HYPERLINK("http://amigo.geneontology.org/cgi-bin/amigo/term_details?term=GO:0005634","GO:0005634")</f>
        <v>GO:0005634</v>
      </c>
      <c r="BZ26" s="3" t="s">
        <v>359</v>
      </c>
      <c r="CA26" s="3" t="s">
        <v>360</v>
      </c>
      <c r="CB26" s="3" t="s">
        <v>361</v>
      </c>
      <c r="CC26" s="3" t="s">
        <v>36</v>
      </c>
      <c r="CE26" s="4">
        <v>3.9999999999999997E-39</v>
      </c>
      <c r="CF26" s="3" t="str">
        <f>HYPERLINK("http://amigo.geneontology.org/cgi-bin/amigo/term_details?term=GO:0000302","GO:0000302")</f>
        <v>GO:0000302</v>
      </c>
      <c r="CG26" s="3" t="s">
        <v>1035</v>
      </c>
      <c r="CH26" s="3" t="s">
        <v>1036</v>
      </c>
      <c r="CI26" s="3" t="s">
        <v>1037</v>
      </c>
      <c r="CJ26" s="3" t="s">
        <v>36</v>
      </c>
      <c r="CL26" s="4">
        <v>3.9999999999999997E-39</v>
      </c>
      <c r="CM26" s="3" t="str">
        <f>HYPERLINK(".\links\CDD\gi_440573224-CDD.txt","GSH_Peroxidase")</f>
        <v>GSH_Peroxidase</v>
      </c>
      <c r="CN26" s="3" t="str">
        <f>HYPERLINK("http://www.ncbi.nlm.nih.gov/Structure/cdd/cddsrv.cgi?uid=cd00340&amp;version=v4.0","4E-030")</f>
        <v>4E-030</v>
      </c>
      <c r="CO26" s="3" t="s">
        <v>1038</v>
      </c>
      <c r="CP26" s="3" t="str">
        <f>HYPERLINK(".\links\ACARI\gi_440573224-ACARI.txt","glutathione peroxidase")</f>
        <v>glutathione peroxidase</v>
      </c>
      <c r="CQ26" s="3" t="str">
        <f>HYPERLINK("http://www.ncbi.nlm.nih.gov/sutils/blink.cgi?pid=440573224","1E-130")</f>
        <v>1E-130</v>
      </c>
      <c r="CR26" s="3" t="str">
        <f>HYPERLINK("http://www.ncbi.nlm.nih.gov/protein/440573224","gi|440573224")</f>
        <v>gi|440573224</v>
      </c>
      <c r="CS26" s="3">
        <v>461</v>
      </c>
      <c r="CT26" s="3">
        <v>223</v>
      </c>
      <c r="CU26" s="3">
        <v>223</v>
      </c>
      <c r="CV26" s="3">
        <v>100</v>
      </c>
      <c r="CW26" s="3">
        <v>100</v>
      </c>
      <c r="CX26" s="3">
        <v>100</v>
      </c>
      <c r="CY26" s="3">
        <v>0</v>
      </c>
      <c r="CZ26" s="3">
        <v>0</v>
      </c>
      <c r="DA26" s="3">
        <v>1</v>
      </c>
      <c r="DB26" s="3">
        <v>1</v>
      </c>
      <c r="DC26" s="3">
        <v>1</v>
      </c>
      <c r="DD26" s="3" t="s">
        <v>53</v>
      </c>
    </row>
    <row r="27" spans="1:108" s="3" customFormat="1" x14ac:dyDescent="0.2">
      <c r="A27" s="3" t="str">
        <f>HYPERLINK(".\links\\Rm-14504-.txt","Rm-14504")</f>
        <v>Rm-14504</v>
      </c>
      <c r="B27" s="3" t="str">
        <f>HYPERLINK(".\links\\Rm-14504-.txt","Rm-14504")</f>
        <v>Rm-14504</v>
      </c>
      <c r="C27" s="3" t="s">
        <v>35</v>
      </c>
      <c r="D27" s="3">
        <v>493</v>
      </c>
      <c r="E27" s="9" t="s">
        <v>203</v>
      </c>
      <c r="F27" s="3" t="s">
        <v>1284</v>
      </c>
      <c r="G27" s="1" t="s">
        <v>1462</v>
      </c>
      <c r="H27" s="3" t="str">
        <f>HYPERLINK(".\links\UNIPROT-ACARI\Rm-14504-UNIPROT-ACARI.txt","Putative formyltetrahydrofolate dehydrogenase")</f>
        <v>Putative formyltetrahydrofolate dehydrogenase</v>
      </c>
      <c r="I27" s="3">
        <v>0</v>
      </c>
      <c r="J27" s="3" t="s">
        <v>1423</v>
      </c>
      <c r="K27" s="3">
        <v>982</v>
      </c>
      <c r="L27" s="3">
        <v>493</v>
      </c>
      <c r="M27" s="3">
        <v>493</v>
      </c>
      <c r="N27" s="3">
        <v>98</v>
      </c>
      <c r="O27" s="3">
        <v>99</v>
      </c>
      <c r="P27" s="3">
        <v>100</v>
      </c>
      <c r="Q27" s="3">
        <v>9</v>
      </c>
      <c r="R27" s="3">
        <v>0</v>
      </c>
      <c r="S27" s="3">
        <v>1</v>
      </c>
      <c r="T27" s="3">
        <v>1</v>
      </c>
      <c r="U27" s="3">
        <v>1</v>
      </c>
      <c r="V27" s="3" t="s">
        <v>36</v>
      </c>
      <c r="W27" s="3" t="str">
        <f>HYPERLINK(".\links\NR-LIGHT\Rm-14504-NR-LIGHT.txt","aldehyde dehydrogenase, putative")</f>
        <v>aldehyde dehydrogenase, putative</v>
      </c>
      <c r="X27" s="3" t="str">
        <f>HYPERLINK("http://www.ncbi.nlm.nih.gov/sutils/blink.cgi?pid=241677902","0.0")</f>
        <v>0.0</v>
      </c>
      <c r="Y27" s="3" t="str">
        <f>HYPERLINK("http://www.ncbi.nlm.nih.gov/protein/241677902","gi|241677902")</f>
        <v>gi|241677902</v>
      </c>
      <c r="Z27" s="3">
        <v>846</v>
      </c>
      <c r="AA27" s="3">
        <v>496</v>
      </c>
      <c r="AB27" s="3">
        <v>500</v>
      </c>
      <c r="AC27" s="3">
        <v>86</v>
      </c>
      <c r="AD27" s="3">
        <v>91</v>
      </c>
      <c r="AE27" s="3">
        <v>99</v>
      </c>
      <c r="AF27" s="3">
        <v>67</v>
      </c>
      <c r="AG27" s="3">
        <v>8</v>
      </c>
      <c r="AH27" s="3">
        <v>10</v>
      </c>
      <c r="AI27" s="3">
        <v>1</v>
      </c>
      <c r="AJ27" s="3">
        <v>1</v>
      </c>
      <c r="AK27" s="3" t="s">
        <v>40</v>
      </c>
      <c r="AL27" s="3" t="str">
        <f>HYPERLINK(".\links\REFSEQ-INVERTEBRATE\Rm-14504-REFSEQ-INVERTEBRATE.txt","aldehyde dehydrogenase, putative, partial")</f>
        <v>aldehyde dehydrogenase, putative, partial</v>
      </c>
      <c r="AM27" s="3" t="str">
        <f>HYPERLINK("http://www.ncbi.nlm.nih.gov/sutils/blink.cgi?pid=241677902","0.0")</f>
        <v>0.0</v>
      </c>
      <c r="AN27" s="3" t="str">
        <f>HYPERLINK("http://www.ncbi.nlm.nih.gov/protein/241677902","gi|241677902")</f>
        <v>gi|241677902</v>
      </c>
      <c r="AO27" s="3">
        <v>846</v>
      </c>
      <c r="AP27" s="3">
        <v>496</v>
      </c>
      <c r="AQ27" s="3">
        <v>500</v>
      </c>
      <c r="AR27" s="3">
        <v>86</v>
      </c>
      <c r="AS27" s="3">
        <v>91</v>
      </c>
      <c r="AT27" s="3">
        <v>99</v>
      </c>
      <c r="AU27" s="3">
        <v>67</v>
      </c>
      <c r="AV27" s="3">
        <v>8</v>
      </c>
      <c r="AW27" s="3">
        <v>10</v>
      </c>
      <c r="AX27" s="3">
        <v>1</v>
      </c>
      <c r="AY27" s="3">
        <v>1</v>
      </c>
      <c r="AZ27" s="3" t="s">
        <v>40</v>
      </c>
      <c r="BA27" s="3" t="str">
        <f>HYPERLINK(".\links\MEROPS\Rm-14504-MEROPS.txt","- family S9 non-peptidase homologues (Batrachochytrium dendrobatidis)")</f>
        <v>- family S9 non-peptidase homologues (Batrachochytrium dendrobatidis)</v>
      </c>
      <c r="BB27" s="3">
        <v>1.0000000000000001E-68</v>
      </c>
      <c r="BC27" s="3" t="s">
        <v>1424</v>
      </c>
      <c r="BD27" s="3">
        <v>261</v>
      </c>
      <c r="BE27" s="3">
        <v>246</v>
      </c>
      <c r="BF27" s="3">
        <v>3057</v>
      </c>
      <c r="BG27" s="3">
        <v>53</v>
      </c>
      <c r="BH27" s="3">
        <v>71</v>
      </c>
      <c r="BI27" s="3">
        <v>8</v>
      </c>
      <c r="BJ27" s="3">
        <v>114</v>
      </c>
      <c r="BK27" s="3">
        <v>4</v>
      </c>
      <c r="BL27" s="3">
        <v>2355</v>
      </c>
      <c r="BM27" s="3">
        <v>12</v>
      </c>
      <c r="BN27" s="3">
        <v>1</v>
      </c>
      <c r="BO27" s="3" t="s">
        <v>36</v>
      </c>
      <c r="BP27" s="3" t="s">
        <v>1425</v>
      </c>
      <c r="BQ27" s="3">
        <f>HYPERLINK(".\links\GO\Rm-14504-GO.txt",0)</f>
        <v>0</v>
      </c>
      <c r="BR27" s="3" t="str">
        <f>HYPERLINK("http://amigo.geneontology.org/cgi-bin/amigo/term_details?term=GO:0001758","GO:0001758")</f>
        <v>GO:0001758</v>
      </c>
      <c r="BS27" s="3" t="s">
        <v>1426</v>
      </c>
      <c r="BT27" s="3" t="s">
        <v>1427</v>
      </c>
      <c r="BU27" s="3" t="s">
        <v>1428</v>
      </c>
      <c r="BV27" s="3" t="str">
        <f>HYPERLINK("http://www.genome.jp/dbget-bin/www_bfind_sub?mode=bfind&amp;max_hit=1000&amp;dbkey=kegg&amp;keywords=EC:1.2.1.36","EC:1.2.1.36")</f>
        <v>EC:1.2.1.36</v>
      </c>
      <c r="BX27" s="3">
        <v>0</v>
      </c>
      <c r="BY27" s="3" t="str">
        <f>HYPERLINK("http://amigo.geneontology.org/cgi-bin/amigo/term_details?term=GO:0005737","GO:0005737")</f>
        <v>GO:0005737</v>
      </c>
      <c r="BZ27" s="3" t="s">
        <v>374</v>
      </c>
      <c r="CA27" s="3" t="s">
        <v>375</v>
      </c>
      <c r="CB27" s="3" t="s">
        <v>36</v>
      </c>
      <c r="CC27" s="3" t="s">
        <v>36</v>
      </c>
      <c r="CE27" s="3">
        <v>0</v>
      </c>
      <c r="CF27" s="3" t="str">
        <f>HYPERLINK("http://amigo.geneontology.org/cgi-bin/amigo/term_details?term=GO:0042572","GO:0042572")</f>
        <v>GO:0042572</v>
      </c>
      <c r="CG27" s="3" t="s">
        <v>1429</v>
      </c>
      <c r="CH27" s="3" t="s">
        <v>1430</v>
      </c>
      <c r="CI27" s="3" t="s">
        <v>1431</v>
      </c>
      <c r="CJ27" s="3" t="s">
        <v>36</v>
      </c>
      <c r="CL27" s="3">
        <v>0</v>
      </c>
      <c r="CM27" s="3" t="str">
        <f>HYPERLINK(".\links\CDD\Rm-14504-CDD.txt","ALDH_F1AB_F2_RA")</f>
        <v>ALDH_F1AB_F2_RA</v>
      </c>
      <c r="CN27" s="3" t="str">
        <f>HYPERLINK("http://www.ncbi.nlm.nih.gov/Structure/cdd/cddsrv.cgi?uid=cd07141&amp;version=v4.0","0.0")</f>
        <v>0.0</v>
      </c>
      <c r="CO27" s="3" t="s">
        <v>1432</v>
      </c>
      <c r="CP27" s="3" t="str">
        <f>HYPERLINK(".\links\ACARI\Rm-14504-ACARI.txt","Putative formyltetrahydrofolate dehydrogenase")</f>
        <v>Putative formyltetrahydrofolate dehydrogenase</v>
      </c>
      <c r="CQ27" s="3" t="str">
        <f>HYPERLINK("http://www.ncbi.nlm.nih.gov/sutils/blink.cgi?pid=427784589","0.0")</f>
        <v>0.0</v>
      </c>
      <c r="CR27" s="3" t="str">
        <f>HYPERLINK("http://www.ncbi.nlm.nih.gov/protein/427784589","gi|427784589")</f>
        <v>gi|427784589</v>
      </c>
      <c r="CS27" s="3">
        <v>982</v>
      </c>
      <c r="CT27" s="3">
        <v>493</v>
      </c>
      <c r="CU27" s="3">
        <v>493</v>
      </c>
      <c r="CV27" s="3">
        <v>98</v>
      </c>
      <c r="CW27" s="3">
        <v>99</v>
      </c>
      <c r="CX27" s="3">
        <v>100</v>
      </c>
      <c r="CY27" s="3">
        <v>9</v>
      </c>
      <c r="CZ27" s="3">
        <v>0</v>
      </c>
      <c r="DA27" s="3">
        <v>1</v>
      </c>
      <c r="DB27" s="3">
        <v>1</v>
      </c>
      <c r="DC27" s="3">
        <v>1</v>
      </c>
      <c r="DD27" s="3" t="s">
        <v>203</v>
      </c>
    </row>
    <row r="28" spans="1:108" s="3" customFormat="1" x14ac:dyDescent="0.2">
      <c r="A28" s="3" t="s">
        <v>1377</v>
      </c>
      <c r="B28" s="3" t="str">
        <f>HYPERLINK(".\links\\Rm-46289-.txt","Rm-46289")</f>
        <v>Rm-46289</v>
      </c>
      <c r="C28" s="3" t="s">
        <v>98</v>
      </c>
      <c r="D28" s="3">
        <v>538</v>
      </c>
      <c r="E28" s="9" t="s">
        <v>203</v>
      </c>
      <c r="F28" s="3" t="s">
        <v>1284</v>
      </c>
      <c r="G28" s="1" t="s">
        <v>1462</v>
      </c>
      <c r="H28" s="3" t="str">
        <f>HYPERLINK(".\links\UNIPROT-ACARI\Rm-46289-UNIPROT-ACARI.txt","Putative aldehyde dehydrogenase (Fragment)")</f>
        <v>Putative aldehyde dehydrogenase (Fragment)</v>
      </c>
      <c r="I28" s="3" t="str">
        <f>HYPERLINK("http://www.ncbi.nlm.nih.gov/sutils/blink.cgi?pid=L7MIL3","0.0")</f>
        <v>0.0</v>
      </c>
      <c r="J28" s="3" t="s">
        <v>549</v>
      </c>
      <c r="K28" s="3">
        <v>1042</v>
      </c>
      <c r="L28" s="3">
        <v>534</v>
      </c>
      <c r="M28" s="3">
        <v>552</v>
      </c>
      <c r="N28" s="3">
        <v>96</v>
      </c>
      <c r="O28" s="3">
        <v>97</v>
      </c>
      <c r="P28" s="3">
        <v>97</v>
      </c>
      <c r="Q28" s="3">
        <v>21</v>
      </c>
      <c r="R28" s="3">
        <v>0</v>
      </c>
      <c r="S28" s="3">
        <v>19</v>
      </c>
      <c r="T28" s="3">
        <v>5</v>
      </c>
      <c r="U28" s="3">
        <v>1</v>
      </c>
      <c r="V28" s="3" t="s">
        <v>36</v>
      </c>
      <c r="W28" s="3" t="str">
        <f>HYPERLINK(".\links\NR-LIGHT\Rm-46289-NR-LIGHT.txt","aldehyde dehydrogenase, putative")</f>
        <v>aldehyde dehydrogenase, putative</v>
      </c>
      <c r="X28" s="3" t="str">
        <f>HYPERLINK("http://www.ncbi.nlm.nih.gov/sutils/blink.cgi?pid=241601186","0.0")</f>
        <v>0.0</v>
      </c>
      <c r="Y28" s="3" t="str">
        <f>HYPERLINK("http://www.ncbi.nlm.nih.gov/protein/241601186","gi|241601186")</f>
        <v>gi|241601186</v>
      </c>
      <c r="Z28" s="3">
        <v>869</v>
      </c>
      <c r="AA28" s="3">
        <v>535</v>
      </c>
      <c r="AB28" s="3">
        <v>561</v>
      </c>
      <c r="AC28" s="3">
        <v>78</v>
      </c>
      <c r="AD28" s="3">
        <v>89</v>
      </c>
      <c r="AE28" s="3">
        <v>95</v>
      </c>
      <c r="AF28" s="3">
        <v>114</v>
      </c>
      <c r="AG28" s="3">
        <v>3</v>
      </c>
      <c r="AH28" s="3">
        <v>27</v>
      </c>
      <c r="AI28" s="3">
        <v>7</v>
      </c>
      <c r="AJ28" s="3">
        <v>1</v>
      </c>
      <c r="AK28" s="3" t="s">
        <v>40</v>
      </c>
      <c r="AL28" s="3" t="str">
        <f>HYPERLINK(".\links\REFSEQ-INVERTEBRATE\Rm-46289-REFSEQ-INVERTEBRATE.txt","aldehyde dehydrogenase, putative")</f>
        <v>aldehyde dehydrogenase, putative</v>
      </c>
      <c r="AM28" s="3" t="str">
        <f>HYPERLINK("http://www.ncbi.nlm.nih.gov/sutils/blink.cgi?pid=241601186","0.0")</f>
        <v>0.0</v>
      </c>
      <c r="AN28" s="3" t="str">
        <f>HYPERLINK("http://www.ncbi.nlm.nih.gov/protein/241601186","gi|241601186")</f>
        <v>gi|241601186</v>
      </c>
      <c r="AO28" s="3">
        <v>869</v>
      </c>
      <c r="AP28" s="3">
        <v>535</v>
      </c>
      <c r="AQ28" s="3">
        <v>561</v>
      </c>
      <c r="AR28" s="3">
        <v>78</v>
      </c>
      <c r="AS28" s="3">
        <v>89</v>
      </c>
      <c r="AT28" s="3">
        <v>95</v>
      </c>
      <c r="AU28" s="3">
        <v>114</v>
      </c>
      <c r="AV28" s="3">
        <v>3</v>
      </c>
      <c r="AW28" s="3">
        <v>27</v>
      </c>
      <c r="AX28" s="3">
        <v>7</v>
      </c>
      <c r="AY28" s="3">
        <v>1</v>
      </c>
      <c r="AZ28" s="3" t="s">
        <v>40</v>
      </c>
      <c r="BA28" s="3" t="str">
        <f>HYPERLINK(".\links\MEROPS\Rm-46289-MEROPS.txt","- proteasome subunit beta 2 (Ascaris suum)")</f>
        <v>- proteasome subunit beta 2 (Ascaris suum)</v>
      </c>
      <c r="BB28" s="3" t="str">
        <f>HYPERLINK("http://www.ncbi.nlm.nih.gov/sutils/blink.cgi?pid=465655 - proteasome subunit beta 2 (Ascaris suum) [T01.984]#T01A#{peptidase unit","1E-134")</f>
        <v>1E-134</v>
      </c>
      <c r="BC28" s="3" t="s">
        <v>379</v>
      </c>
      <c r="BD28" s="3">
        <v>480</v>
      </c>
      <c r="BE28" s="3">
        <v>382</v>
      </c>
      <c r="BF28" s="3">
        <v>613</v>
      </c>
      <c r="BG28" s="3">
        <v>59</v>
      </c>
      <c r="BH28" s="3">
        <v>78</v>
      </c>
      <c r="BI28" s="3">
        <v>62</v>
      </c>
      <c r="BJ28" s="3">
        <v>153</v>
      </c>
      <c r="BK28" s="3">
        <v>2</v>
      </c>
      <c r="BL28" s="3">
        <v>15</v>
      </c>
      <c r="BM28" s="3">
        <v>23</v>
      </c>
      <c r="BN28" s="3">
        <v>1</v>
      </c>
      <c r="BO28" s="3" t="s">
        <v>380</v>
      </c>
      <c r="BP28" s="3" t="s">
        <v>550</v>
      </c>
      <c r="BQ28" s="3">
        <f>HYPERLINK(".\links\GO\Rm-46289-GO.txt",0)</f>
        <v>0</v>
      </c>
      <c r="BR28" s="3" t="str">
        <f>HYPERLINK("http://amigo.geneontology.org/cgi-bin/amigo/term_details?term=GO:0004029","GO:0004029")</f>
        <v>GO:0004029</v>
      </c>
      <c r="BS28" s="3" t="s">
        <v>382</v>
      </c>
      <c r="BT28" s="3" t="s">
        <v>383</v>
      </c>
      <c r="BU28" s="3" t="s">
        <v>384</v>
      </c>
      <c r="BV28" s="3" t="str">
        <f>HYPERLINK("http://www.genome.jp/dbget-bin/www_bfind_sub?mode=bfind&amp;max_hit=1000&amp;dbkey=kegg&amp;keywords=EC:1.2.1.3","EC:1.2.1.3")</f>
        <v>EC:1.2.1.3</v>
      </c>
      <c r="BX28" s="3">
        <v>0</v>
      </c>
      <c r="BY28" s="3" t="str">
        <f>HYPERLINK("http://amigo.geneontology.org/cgi-bin/amigo/term_details?term=GO:0005634","GO:0005634")</f>
        <v>GO:0005634</v>
      </c>
      <c r="BZ28" s="3" t="s">
        <v>359</v>
      </c>
      <c r="CA28" s="3" t="s">
        <v>360</v>
      </c>
      <c r="CB28" s="3" t="s">
        <v>361</v>
      </c>
      <c r="CC28" s="3" t="s">
        <v>36</v>
      </c>
      <c r="CE28" s="3">
        <v>0</v>
      </c>
      <c r="CF28" s="3" t="str">
        <f>HYPERLINK("http://amigo.geneontology.org/cgi-bin/amigo/term_details?term=GO:0006081","GO:0006081")</f>
        <v>GO:0006081</v>
      </c>
      <c r="CG28" s="3" t="s">
        <v>385</v>
      </c>
      <c r="CH28" s="3" t="s">
        <v>386</v>
      </c>
      <c r="CI28" s="3" t="s">
        <v>387</v>
      </c>
      <c r="CJ28" s="3" t="s">
        <v>36</v>
      </c>
      <c r="CL28" s="3">
        <v>0</v>
      </c>
      <c r="CM28" s="3" t="str">
        <f>HYPERLINK(".\links\CDD\Rm-46289-CDD.txt","ALDH_F7_AASADH")</f>
        <v>ALDH_F7_AASADH</v>
      </c>
      <c r="CN28" s="3" t="str">
        <f>HYPERLINK("http://www.ncbi.nlm.nih.gov/Structure/cdd/cddsrv.cgi?uid=cd07130&amp;version=v4.0","0.0")</f>
        <v>0.0</v>
      </c>
      <c r="CO28" s="3" t="s">
        <v>958</v>
      </c>
      <c r="CP28" s="3" t="str">
        <f>HYPERLINK(".\links\ACARI\Rm-46289-ACARI.txt","Putative aldehyde dehydrogenase, partial")</f>
        <v>Putative aldehyde dehydrogenase, partial</v>
      </c>
      <c r="CQ28" s="3" t="str">
        <f>HYPERLINK("http://www.ncbi.nlm.nih.gov/sutils/blink.cgi?pid=427795293","0.0")</f>
        <v>0.0</v>
      </c>
      <c r="CR28" s="3" t="str">
        <f>HYPERLINK("http://www.ncbi.nlm.nih.gov/protein/427795293","gi|427795293")</f>
        <v>gi|427795293</v>
      </c>
      <c r="CS28" s="3">
        <v>1042</v>
      </c>
      <c r="CT28" s="3">
        <v>534</v>
      </c>
      <c r="CU28" s="3">
        <v>552</v>
      </c>
      <c r="CV28" s="3">
        <v>96</v>
      </c>
      <c r="CW28" s="3">
        <v>97</v>
      </c>
      <c r="CX28" s="3">
        <v>97</v>
      </c>
      <c r="CY28" s="3">
        <v>21</v>
      </c>
      <c r="CZ28" s="3">
        <v>0</v>
      </c>
      <c r="DA28" s="3">
        <v>19</v>
      </c>
      <c r="DB28" s="3">
        <v>5</v>
      </c>
      <c r="DC28" s="3">
        <v>1</v>
      </c>
      <c r="DD28" s="3" t="s">
        <v>68</v>
      </c>
    </row>
    <row r="29" spans="1:108" s="3" customFormat="1" x14ac:dyDescent="0.2">
      <c r="A29" s="3" t="s">
        <v>1332</v>
      </c>
      <c r="B29" s="3" t="str">
        <f>HYPERLINK(".\links\\gi_307141010-.txt","gi_307141010")</f>
        <v>gi_307141010</v>
      </c>
      <c r="C29" s="3" t="s">
        <v>67</v>
      </c>
      <c r="D29" s="3">
        <v>129</v>
      </c>
      <c r="E29" s="9" t="s">
        <v>53</v>
      </c>
      <c r="F29" s="3" t="s">
        <v>1271</v>
      </c>
      <c r="G29" s="1" t="s">
        <v>1463</v>
      </c>
      <c r="H29" s="3" t="str">
        <f>HYPERLINK(".\links\UNIPROT-ACARI\gi_307141010-UNIPROT-ACARI.txt","Cuticular protein (Fragment)")</f>
        <v>Cuticular protein (Fragment)</v>
      </c>
      <c r="I29" s="3" t="str">
        <f>HYPERLINK("http://www.ncbi.nlm.nih.gov/sutils/blink.cgi?pid=K7N8D7","2E-071")</f>
        <v>2E-071</v>
      </c>
      <c r="J29" s="3" t="s">
        <v>660</v>
      </c>
      <c r="K29" s="3">
        <v>264</v>
      </c>
      <c r="L29" s="3">
        <v>129</v>
      </c>
      <c r="M29" s="3">
        <v>129</v>
      </c>
      <c r="N29" s="3">
        <v>100</v>
      </c>
      <c r="O29" s="3">
        <v>100</v>
      </c>
      <c r="P29" s="3">
        <v>100</v>
      </c>
      <c r="Q29" s="3">
        <v>0</v>
      </c>
      <c r="R29" s="3">
        <v>0</v>
      </c>
      <c r="S29" s="3">
        <v>1</v>
      </c>
      <c r="T29" s="3">
        <v>1</v>
      </c>
      <c r="U29" s="3">
        <v>1</v>
      </c>
      <c r="V29" s="3" t="s">
        <v>36</v>
      </c>
      <c r="W29" s="3" t="str">
        <f>HYPERLINK(".\links\NR-LIGHT\gi_307141010-NR-LIGHT.txt","cuticular protein")</f>
        <v>cuticular protein</v>
      </c>
      <c r="X29" s="3" t="str">
        <f>HYPERLINK("http://www.ncbi.nlm.nih.gov/sutils/blink.cgi?pid=307141010","9E-070")</f>
        <v>9E-070</v>
      </c>
      <c r="Y29" s="3" t="str">
        <f>HYPERLINK("http://www.ncbi.nlm.nih.gov/protein/307141010","gi|307141010")</f>
        <v>gi|307141010</v>
      </c>
      <c r="Z29" s="3">
        <v>264</v>
      </c>
      <c r="AA29" s="3">
        <v>129</v>
      </c>
      <c r="AB29" s="3">
        <v>129</v>
      </c>
      <c r="AC29" s="3">
        <v>100</v>
      </c>
      <c r="AD29" s="3">
        <v>100</v>
      </c>
      <c r="AE29" s="3">
        <v>100</v>
      </c>
      <c r="AF29" s="3">
        <v>0</v>
      </c>
      <c r="AG29" s="3">
        <v>0</v>
      </c>
      <c r="AH29" s="3">
        <v>1</v>
      </c>
      <c r="AI29" s="3">
        <v>1</v>
      </c>
      <c r="AJ29" s="3">
        <v>1</v>
      </c>
      <c r="AK29" s="3" t="s">
        <v>53</v>
      </c>
      <c r="AL29" s="3" t="str">
        <f>HYPERLINK(".\links\REFSEQ-INVERTEBRATE\gi_307141010-REFSEQ-INVERTEBRATE.txt","cuticular protein, putative, partial")</f>
        <v>cuticular protein, putative, partial</v>
      </c>
      <c r="AM29" s="3" t="str">
        <f>HYPERLINK("http://www.ncbi.nlm.nih.gov/sutils/blink.cgi?pid=242002060","3E-046")</f>
        <v>3E-046</v>
      </c>
      <c r="AN29" s="3" t="str">
        <f>HYPERLINK("http://www.ncbi.nlm.nih.gov/protein/242002060","gi|242002060")</f>
        <v>gi|242002060</v>
      </c>
      <c r="AO29" s="3">
        <v>184</v>
      </c>
      <c r="AP29" s="3">
        <v>117</v>
      </c>
      <c r="AQ29" s="3">
        <v>117</v>
      </c>
      <c r="AR29" s="3">
        <v>76</v>
      </c>
      <c r="AS29" s="3">
        <v>86</v>
      </c>
      <c r="AT29" s="3">
        <v>100</v>
      </c>
      <c r="AU29" s="3">
        <v>27</v>
      </c>
      <c r="AV29" s="3">
        <v>1</v>
      </c>
      <c r="AW29" s="3">
        <v>1</v>
      </c>
      <c r="AX29" s="3">
        <v>12</v>
      </c>
      <c r="AY29" s="3">
        <v>1</v>
      </c>
      <c r="AZ29" s="3" t="s">
        <v>40</v>
      </c>
      <c r="BA29" s="3" t="str">
        <f>HYPERLINK(".\links\MEROPS\gi_307141010-MEROPS.txt","- YebA peptidase ()")</f>
        <v>- YebA peptidase ()</v>
      </c>
      <c r="BB29" s="3" t="str">
        <f>HYPERLINK("http://www.ncbi.nlm.nih.gov/sutils/blink.cgi?pid=163160 - YebA peptidase () [M23.011]#M23B#{peptidase unit","0.005")</f>
        <v>0.005</v>
      </c>
      <c r="BC29" s="3" t="s">
        <v>661</v>
      </c>
      <c r="BD29" s="3">
        <v>40</v>
      </c>
      <c r="BE29" s="3">
        <v>110</v>
      </c>
      <c r="BF29" s="3">
        <v>435</v>
      </c>
      <c r="BG29" s="3">
        <v>26</v>
      </c>
      <c r="BH29" s="3">
        <v>38</v>
      </c>
      <c r="BI29" s="3">
        <v>25</v>
      </c>
      <c r="BJ29" s="3">
        <v>81</v>
      </c>
      <c r="BK29" s="3">
        <v>16</v>
      </c>
      <c r="BL29" s="3">
        <v>68</v>
      </c>
      <c r="BM29" s="3">
        <v>20</v>
      </c>
      <c r="BN29" s="3">
        <v>1</v>
      </c>
      <c r="BO29" s="3" t="s">
        <v>662</v>
      </c>
      <c r="BP29" s="3" t="s">
        <v>663</v>
      </c>
      <c r="BQ29" s="3">
        <f>HYPERLINK(".\links\GO\gi_307141010-GO.txt",0.00000007)</f>
        <v>7.0000000000000005E-8</v>
      </c>
      <c r="BR29" s="3" t="str">
        <f>HYPERLINK("http://amigo.geneontology.org/cgi-bin/amigo/term_details?term=GO:0008010","GO:0008010")</f>
        <v>GO:0008010</v>
      </c>
      <c r="BS29" s="3" t="s">
        <v>664</v>
      </c>
      <c r="BT29" s="3" t="s">
        <v>665</v>
      </c>
      <c r="BU29" s="3" t="s">
        <v>666</v>
      </c>
      <c r="BV29" s="3" t="s">
        <v>36</v>
      </c>
      <c r="BX29" s="3">
        <v>7.0000000000000005E-8</v>
      </c>
      <c r="BY29" s="3" t="str">
        <f>HYPERLINK("http://amigo.geneontology.org/cgi-bin/amigo/term_details?term=GO:0031012","GO:0031012")</f>
        <v>GO:0031012</v>
      </c>
      <c r="BZ29" s="3" t="s">
        <v>667</v>
      </c>
      <c r="CA29" s="3" t="s">
        <v>668</v>
      </c>
      <c r="CB29" s="3" t="s">
        <v>36</v>
      </c>
      <c r="CC29" s="3" t="s">
        <v>36</v>
      </c>
      <c r="CE29" s="3">
        <v>7.0000000000000005E-8</v>
      </c>
      <c r="CF29" s="3" t="str">
        <f>HYPERLINK("http://amigo.geneontology.org/cgi-bin/amigo/term_details?term=GO:0040003","GO:0040003")</f>
        <v>GO:0040003</v>
      </c>
      <c r="CG29" s="3" t="s">
        <v>669</v>
      </c>
      <c r="CH29" s="3" t="s">
        <v>670</v>
      </c>
      <c r="CI29" s="3" t="s">
        <v>671</v>
      </c>
      <c r="CJ29" s="3" t="s">
        <v>36</v>
      </c>
      <c r="CL29" s="3">
        <v>7.0000000000000005E-8</v>
      </c>
      <c r="CM29" s="3" t="str">
        <f>HYPERLINK(".\links\CDD\gi_307141010-CDD.txt","Chitin_bind_4")</f>
        <v>Chitin_bind_4</v>
      </c>
      <c r="CN29" s="3" t="str">
        <f>HYPERLINK("http://www.ncbi.nlm.nih.gov/Structure/cdd/cddsrv.cgi?uid=pfam00379&amp;version=v4.0","9E-006")</f>
        <v>9E-006</v>
      </c>
      <c r="CO29" s="3" t="s">
        <v>672</v>
      </c>
      <c r="CP29" s="3" t="str">
        <f>HYPERLINK(".\links\ACARI\gi_307141010-ACARI.txt","cuticular protein, partial")</f>
        <v>cuticular protein, partial</v>
      </c>
      <c r="CQ29" s="3" t="str">
        <f>HYPERLINK("http://www.ncbi.nlm.nih.gov/sutils/blink.cgi?pid=307141010","3E-071")</f>
        <v>3E-071</v>
      </c>
      <c r="CR29" s="3" t="str">
        <f>HYPERLINK("http://www.ncbi.nlm.nih.gov/protein/307141010","gi|307141010")</f>
        <v>gi|307141010</v>
      </c>
      <c r="CS29" s="3">
        <v>264</v>
      </c>
      <c r="CT29" s="3">
        <v>129</v>
      </c>
      <c r="CU29" s="3">
        <v>129</v>
      </c>
      <c r="CV29" s="3">
        <v>100</v>
      </c>
      <c r="CW29" s="3">
        <v>100</v>
      </c>
      <c r="CX29" s="3">
        <v>100</v>
      </c>
      <c r="CY29" s="3">
        <v>0</v>
      </c>
      <c r="CZ29" s="3">
        <v>0</v>
      </c>
      <c r="DA29" s="3">
        <v>1</v>
      </c>
      <c r="DB29" s="3">
        <v>1</v>
      </c>
      <c r="DC29" s="3">
        <v>1</v>
      </c>
      <c r="DD29" s="3" t="s">
        <v>53</v>
      </c>
    </row>
    <row r="30" spans="1:108" s="3" customFormat="1" x14ac:dyDescent="0.2">
      <c r="A30" s="3" t="s">
        <v>1314</v>
      </c>
      <c r="B30" s="3" t="str">
        <f>HYPERLINK(".\links\\gi_427796483-.txt","gi_427796483")</f>
        <v>gi_427796483</v>
      </c>
      <c r="C30" s="3" t="s">
        <v>67</v>
      </c>
      <c r="D30" s="3">
        <v>1583</v>
      </c>
      <c r="E30" s="9" t="s">
        <v>68</v>
      </c>
      <c r="F30" s="3" t="s">
        <v>1217</v>
      </c>
      <c r="G30" s="1" t="s">
        <v>1463</v>
      </c>
      <c r="H30" s="3" t="str">
        <f>HYPERLINK(".\links\UNIPROT-ACARI\gi_427796483-UNIPROT-ACARI.txt","Uncharacterized protein (Fragment)")</f>
        <v>Uncharacterized protein (Fragment)</v>
      </c>
      <c r="I30" s="3" t="str">
        <f>HYPERLINK("http://www.ncbi.nlm.nih.gov/sutils/blink.cgi?pid=L7MK84","0.0")</f>
        <v>0.0</v>
      </c>
      <c r="J30" s="3" t="s">
        <v>69</v>
      </c>
      <c r="K30" s="3">
        <v>3311</v>
      </c>
      <c r="L30" s="3">
        <v>1583</v>
      </c>
      <c r="M30" s="3">
        <v>1583</v>
      </c>
      <c r="N30" s="3">
        <v>100</v>
      </c>
      <c r="O30" s="3">
        <v>100</v>
      </c>
      <c r="P30" s="3">
        <v>100</v>
      </c>
      <c r="Q30" s="3">
        <v>0</v>
      </c>
      <c r="R30" s="3">
        <v>0</v>
      </c>
      <c r="S30" s="3">
        <v>1</v>
      </c>
      <c r="T30" s="3">
        <v>1</v>
      </c>
      <c r="U30" s="3">
        <v>1</v>
      </c>
      <c r="V30" s="3" t="s">
        <v>36</v>
      </c>
      <c r="W30" s="3" t="str">
        <f>HYPERLINK(".\links\NR-LIGHT\gi_427796483-NR-LIGHT.txt","hypothetical protein DAPPUDRAFT_321711")</f>
        <v>hypothetical protein DAPPUDRAFT_321711</v>
      </c>
      <c r="X30" s="3" t="str">
        <f>HYPERLINK("http://www.ncbi.nlm.nih.gov/sutils/blink.cgi?pid=321466184","0.0")</f>
        <v>0.0</v>
      </c>
      <c r="Y30" s="3" t="str">
        <f>HYPERLINK("http://www.ncbi.nlm.nih.gov/protein/321466184","gi|321466184")</f>
        <v>gi|321466184</v>
      </c>
      <c r="Z30" s="3">
        <v>1900</v>
      </c>
      <c r="AA30" s="3">
        <v>1589</v>
      </c>
      <c r="AB30" s="3">
        <v>1626</v>
      </c>
      <c r="AC30" s="3">
        <v>55</v>
      </c>
      <c r="AD30" s="3">
        <v>72</v>
      </c>
      <c r="AE30" s="3">
        <v>98</v>
      </c>
      <c r="AF30" s="3">
        <v>701</v>
      </c>
      <c r="AG30" s="3">
        <v>12</v>
      </c>
      <c r="AH30" s="3">
        <v>39</v>
      </c>
      <c r="AI30" s="3">
        <v>6</v>
      </c>
      <c r="AJ30" s="3">
        <v>1</v>
      </c>
      <c r="AK30" s="3" t="s">
        <v>70</v>
      </c>
      <c r="AL30" s="3" t="str">
        <f>HYPERLINK(".\links\REFSEQ-INVERTEBRATE\gi_427796483-REFSEQ-INVERTEBRATE.txt","laminin A chain, putative")</f>
        <v>laminin A chain, putative</v>
      </c>
      <c r="AM30" s="3" t="str">
        <f>HYPERLINK("http://www.ncbi.nlm.nih.gov/sutils/blink.cgi?pid=242020772","0.0")</f>
        <v>0.0</v>
      </c>
      <c r="AN30" s="3" t="str">
        <f>HYPERLINK("http://www.ncbi.nlm.nih.gov/protein/242020772","gi|242020772")</f>
        <v>gi|242020772</v>
      </c>
      <c r="AO30" s="3">
        <v>1759</v>
      </c>
      <c r="AP30" s="3">
        <v>1592</v>
      </c>
      <c r="AQ30" s="3">
        <v>1616</v>
      </c>
      <c r="AR30" s="3">
        <v>51</v>
      </c>
      <c r="AS30" s="3">
        <v>69</v>
      </c>
      <c r="AT30" s="3">
        <v>99</v>
      </c>
      <c r="AU30" s="3">
        <v>767</v>
      </c>
      <c r="AV30" s="3">
        <v>20</v>
      </c>
      <c r="AW30" s="3">
        <v>29</v>
      </c>
      <c r="AX30" s="3">
        <v>6</v>
      </c>
      <c r="AY30" s="3">
        <v>1</v>
      </c>
      <c r="AZ30" s="3" t="s">
        <v>71</v>
      </c>
      <c r="BA30" s="3" t="str">
        <f>HYPERLINK(".\links\MEROPS\gi_427796483-MEROPS.txt","- family I63 unassigned peptidase inhibitors (Dipodomys ordii)")</f>
        <v>- family I63 unassigned peptidase inhibitors (Dipodomys ordii)</v>
      </c>
      <c r="BB30" s="3" t="str">
        <f>HYPERLINK("http://www.ncbi.nlm.nih.gov/sutils/blink.cgi?pid=156696 - family I63 unassigned peptidase inhibitors (Dipodomys ordii) [I63.UPW]#I63#{inhibitor unit","0.0")</f>
        <v>0.0</v>
      </c>
      <c r="BC30" s="3" t="s">
        <v>72</v>
      </c>
      <c r="BD30" s="3">
        <v>1419</v>
      </c>
      <c r="BE30" s="3">
        <v>1565</v>
      </c>
      <c r="BF30" s="3">
        <v>1544</v>
      </c>
      <c r="BG30" s="3">
        <v>44</v>
      </c>
      <c r="BH30" s="3">
        <v>62</v>
      </c>
      <c r="BI30" s="3">
        <v>101</v>
      </c>
      <c r="BJ30" s="3">
        <v>869</v>
      </c>
      <c r="BK30" s="3">
        <v>36</v>
      </c>
      <c r="BL30" s="3">
        <v>1</v>
      </c>
      <c r="BM30" s="3">
        <v>31</v>
      </c>
      <c r="BN30" s="3">
        <v>1</v>
      </c>
      <c r="BO30" s="3" t="s">
        <v>73</v>
      </c>
      <c r="BP30" s="3" t="s">
        <v>74</v>
      </c>
      <c r="BQ30" s="3">
        <f>HYPERLINK(".\links\GO\gi_427796483-GO.txt",0)</f>
        <v>0</v>
      </c>
      <c r="BR30" s="3" t="str">
        <f>HYPERLINK("http://amigo.geneontology.org/cgi-bin/amigo/term_details?term=GO:0005201","GO:0005201")</f>
        <v>GO:0005201</v>
      </c>
      <c r="BS30" s="3" t="s">
        <v>75</v>
      </c>
      <c r="BT30" s="3" t="s">
        <v>76</v>
      </c>
      <c r="BU30" s="3" t="s">
        <v>77</v>
      </c>
      <c r="BV30" s="3" t="s">
        <v>36</v>
      </c>
      <c r="BX30" s="3">
        <v>0</v>
      </c>
      <c r="BY30" s="3" t="str">
        <f>HYPERLINK("http://amigo.geneontology.org/cgi-bin/amigo/term_details?term=GO:0043259","GO:0043259")</f>
        <v>GO:0043259</v>
      </c>
      <c r="BZ30" s="3" t="s">
        <v>78</v>
      </c>
      <c r="CA30" s="3" t="s">
        <v>79</v>
      </c>
      <c r="CB30" s="3" t="s">
        <v>36</v>
      </c>
      <c r="CC30" s="3" t="s">
        <v>36</v>
      </c>
      <c r="CE30" s="3">
        <v>0</v>
      </c>
      <c r="CF30" s="3" t="str">
        <f>HYPERLINK("http://amigo.geneontology.org/cgi-bin/amigo/term_details?term=GO:0006461","GO:0006461")</f>
        <v>GO:0006461</v>
      </c>
      <c r="CG30" s="3" t="s">
        <v>80</v>
      </c>
      <c r="CH30" s="3" t="s">
        <v>81</v>
      </c>
      <c r="CI30" s="3" t="s">
        <v>82</v>
      </c>
      <c r="CJ30" s="3" t="s">
        <v>36</v>
      </c>
      <c r="CL30" s="3">
        <v>0</v>
      </c>
      <c r="CM30" s="3" t="str">
        <f>HYPERLINK(".\links\CDD\gi_427796483-CDD.txt","LamNT")</f>
        <v>LamNT</v>
      </c>
      <c r="CN30" s="3" t="str">
        <f>HYPERLINK("http://www.ncbi.nlm.nih.gov/Structure/cdd/cddsrv.cgi?uid=smart00136&amp;version=v4.0","1E-061")</f>
        <v>1E-061</v>
      </c>
      <c r="CO30" s="3" t="s">
        <v>83</v>
      </c>
      <c r="CP30" s="3" t="str">
        <f>HYPERLINK(".\links\ACARI\gi_427796483-ACARI.txt","hypothetical protein, partial")</f>
        <v>hypothetical protein, partial</v>
      </c>
      <c r="CQ30" s="3" t="str">
        <f>HYPERLINK("http://www.ncbi.nlm.nih.gov/sutils/blink.cgi?pid=427796483","0.0")</f>
        <v>0.0</v>
      </c>
      <c r="CR30" s="3" t="str">
        <f>HYPERLINK("http://www.ncbi.nlm.nih.gov/protein/427796483","gi|427796483")</f>
        <v>gi|427796483</v>
      </c>
      <c r="CS30" s="3">
        <v>3311</v>
      </c>
      <c r="CT30" s="3">
        <v>1583</v>
      </c>
      <c r="CU30" s="3">
        <v>1583</v>
      </c>
      <c r="CV30" s="3">
        <v>100</v>
      </c>
      <c r="CW30" s="3">
        <v>100</v>
      </c>
      <c r="CX30" s="3">
        <v>100</v>
      </c>
      <c r="CY30" s="3">
        <v>0</v>
      </c>
      <c r="CZ30" s="3">
        <v>0</v>
      </c>
      <c r="DA30" s="3">
        <v>1</v>
      </c>
      <c r="DB30" s="3">
        <v>1</v>
      </c>
      <c r="DC30" s="3">
        <v>1</v>
      </c>
      <c r="DD30" s="3" t="s">
        <v>68</v>
      </c>
    </row>
    <row r="31" spans="1:108" s="3" customFormat="1" x14ac:dyDescent="0.2">
      <c r="A31" s="3" t="s">
        <v>1302</v>
      </c>
      <c r="B31" s="3" t="str">
        <f>HYPERLINK(".\links\\gi_427779189-.txt","gi_427779189")</f>
        <v>gi_427779189</v>
      </c>
      <c r="C31" s="3" t="s">
        <v>35</v>
      </c>
      <c r="D31" s="3">
        <v>346</v>
      </c>
      <c r="E31" s="9" t="s">
        <v>68</v>
      </c>
      <c r="F31" s="3" t="s">
        <v>1219</v>
      </c>
      <c r="G31" s="3" t="s">
        <v>1464</v>
      </c>
      <c r="H31" s="3" t="str">
        <f>HYPERLINK(".\links\UNIPROT-ACARI\gi_427779189-UNIPROT-ACARI.txt","Putative toll-like receptor 5")</f>
        <v>Putative toll-like receptor 5</v>
      </c>
      <c r="I31" s="3" t="str">
        <f>HYPERLINK("http://www.ncbi.nlm.nih.gov/sutils/blink.cgi?pid=L7LSK2","0.0")</f>
        <v>0.0</v>
      </c>
      <c r="J31" s="3" t="s">
        <v>139</v>
      </c>
      <c r="K31" s="3">
        <v>701</v>
      </c>
      <c r="L31" s="3">
        <v>346</v>
      </c>
      <c r="M31" s="3">
        <v>346</v>
      </c>
      <c r="N31" s="3">
        <v>100</v>
      </c>
      <c r="O31" s="3">
        <v>100</v>
      </c>
      <c r="P31" s="3">
        <v>100</v>
      </c>
      <c r="Q31" s="3">
        <v>0</v>
      </c>
      <c r="R31" s="3">
        <v>0</v>
      </c>
      <c r="S31" s="3">
        <v>1</v>
      </c>
      <c r="T31" s="3">
        <v>1</v>
      </c>
      <c r="U31" s="3">
        <v>1</v>
      </c>
      <c r="V31" s="3" t="s">
        <v>36</v>
      </c>
      <c r="W31" s="3" t="str">
        <f>HYPERLINK(".\links\NR-LIGHT\gi_427779189-NR-LIGHT.txt","toll-like receptor 5")</f>
        <v>toll-like receptor 5</v>
      </c>
      <c r="X31" s="3" t="str">
        <f>HYPERLINK("http://www.ncbi.nlm.nih.gov/sutils/blink.cgi?pid=325302754","2E-073")</f>
        <v>2E-073</v>
      </c>
      <c r="Y31" s="3" t="str">
        <f>HYPERLINK("http://www.ncbi.nlm.nih.gov/protein/325302754","gi|325302754")</f>
        <v>gi|325302754</v>
      </c>
      <c r="Z31" s="3">
        <v>278</v>
      </c>
      <c r="AA31" s="3">
        <v>184</v>
      </c>
      <c r="AB31" s="3">
        <v>189</v>
      </c>
      <c r="AC31" s="3">
        <v>76</v>
      </c>
      <c r="AD31" s="3">
        <v>87</v>
      </c>
      <c r="AE31" s="3">
        <v>97</v>
      </c>
      <c r="AF31" s="3">
        <v>44</v>
      </c>
      <c r="AG31" s="3">
        <v>2</v>
      </c>
      <c r="AH31" s="3">
        <v>8</v>
      </c>
      <c r="AI31" s="3">
        <v>8</v>
      </c>
      <c r="AJ31" s="3">
        <v>1</v>
      </c>
      <c r="AK31" s="3" t="s">
        <v>114</v>
      </c>
      <c r="AL31" s="3" t="str">
        <f>HYPERLINK(".\links\REFSEQ-INVERTEBRATE\gi_427779189-REFSEQ-INVERTEBRATE.txt","conserved hypothetical protein")</f>
        <v>conserved hypothetical protein</v>
      </c>
      <c r="AM31" s="3" t="str">
        <f>HYPERLINK("http://www.ncbi.nlm.nih.gov/sutils/blink.cgi?pid=240974908","6E-060")</f>
        <v>6E-060</v>
      </c>
      <c r="AN31" s="3" t="str">
        <f>HYPERLINK("http://www.ncbi.nlm.nih.gov/protein/240974908","gi|240974908")</f>
        <v>gi|240974908</v>
      </c>
      <c r="AO31" s="3">
        <v>232</v>
      </c>
      <c r="AP31" s="3">
        <v>206</v>
      </c>
      <c r="AQ31" s="3">
        <v>251</v>
      </c>
      <c r="AR31" s="3">
        <v>57</v>
      </c>
      <c r="AS31" s="3">
        <v>74</v>
      </c>
      <c r="AT31" s="3">
        <v>82</v>
      </c>
      <c r="AU31" s="3">
        <v>87</v>
      </c>
      <c r="AV31" s="3">
        <v>3</v>
      </c>
      <c r="AW31" s="3">
        <v>49</v>
      </c>
      <c r="AX31" s="3">
        <v>9</v>
      </c>
      <c r="AY31" s="3">
        <v>1</v>
      </c>
      <c r="AZ31" s="3" t="s">
        <v>40</v>
      </c>
      <c r="BA31" s="3" t="str">
        <f>HYPERLINK(".\links\MEROPS\gi_427779189-MEROPS.txt","- oprin (Branchiostoma floridae)")</f>
        <v>- oprin (Branchiostoma floridae)</v>
      </c>
      <c r="BB31" s="3" t="str">
        <f>HYPERLINK("http://www.ncbi.nlm.nih.gov/sutils/blink.cgi?pid=205276 - oprin (Branchiostoma floridae) [I43.001]#I43#{inhibitor unit","2E-016")</f>
        <v>2E-016</v>
      </c>
      <c r="BC31" s="3" t="s">
        <v>140</v>
      </c>
      <c r="BD31" s="3">
        <v>87.8</v>
      </c>
      <c r="BE31" s="3">
        <v>285</v>
      </c>
      <c r="BF31" s="3">
        <v>367</v>
      </c>
      <c r="BG31" s="3">
        <v>26</v>
      </c>
      <c r="BH31" s="3">
        <v>49</v>
      </c>
      <c r="BI31" s="3">
        <v>78</v>
      </c>
      <c r="BJ31" s="3">
        <v>209</v>
      </c>
      <c r="BK31" s="3">
        <v>20</v>
      </c>
      <c r="BL31" s="3">
        <v>3</v>
      </c>
      <c r="BM31" s="3">
        <v>63</v>
      </c>
      <c r="BN31" s="3">
        <v>1</v>
      </c>
      <c r="BO31" s="3" t="s">
        <v>129</v>
      </c>
      <c r="BP31" s="3" t="s">
        <v>141</v>
      </c>
      <c r="BQ31" s="3">
        <f>HYPERLINK(".\links\GO\gi_427779189-GO.txt",0.00000000005)</f>
        <v>5.0000000000000002E-11</v>
      </c>
      <c r="BR31" s="3" t="str">
        <f>HYPERLINK("http://amigo.geneontology.org/cgi-bin/amigo/term_details?term=GO:0005114","GO:0005114")</f>
        <v>GO:0005114</v>
      </c>
      <c r="BS31" s="3" t="s">
        <v>142</v>
      </c>
      <c r="BT31" s="3" t="s">
        <v>143</v>
      </c>
      <c r="BU31" s="3" t="s">
        <v>144</v>
      </c>
      <c r="BV31" s="3" t="s">
        <v>36</v>
      </c>
      <c r="BX31" s="3">
        <v>7.0000000000000004E-11</v>
      </c>
      <c r="BY31" s="3" t="str">
        <f>HYPERLINK("http://amigo.geneontology.org/cgi-bin/amigo/term_details?term=GO:0005887","GO:0005887")</f>
        <v>GO:0005887</v>
      </c>
      <c r="BZ31" s="3" t="s">
        <v>145</v>
      </c>
      <c r="CA31" s="3" t="s">
        <v>146</v>
      </c>
      <c r="CB31" s="3" t="s">
        <v>147</v>
      </c>
      <c r="CC31" s="3" t="s">
        <v>36</v>
      </c>
      <c r="CE31" s="3">
        <v>7.0000000000000004E-11</v>
      </c>
      <c r="CF31" s="3" t="str">
        <f>HYPERLINK("http://amigo.geneontology.org/cgi-bin/amigo/term_details?term=GO:0007179","GO:0007179")</f>
        <v>GO:0007179</v>
      </c>
      <c r="CG31" s="3" t="s">
        <v>148</v>
      </c>
      <c r="CH31" s="3" t="s">
        <v>149</v>
      </c>
      <c r="CI31" s="3" t="s">
        <v>150</v>
      </c>
      <c r="CJ31" s="3" t="s">
        <v>36</v>
      </c>
      <c r="CL31" s="3">
        <v>7.0000000000000004E-11</v>
      </c>
      <c r="CM31" s="3" t="str">
        <f>HYPERLINK(".\links\CDD\gi_427779189-CDD.txt","E3 ubiquitin-protein ligase SlrP")</f>
        <v>E3 ubiquitin-protein ligase SlrP</v>
      </c>
      <c r="CN31" s="3" t="str">
        <f>HYPERLINK("http://www.ncbi.nlm.nih.gov/Structure/cdd/cddsrv.cgi?uid=PRK15370&amp;version=v4.0","9E-004")</f>
        <v>9E-004</v>
      </c>
      <c r="CO31" s="3" t="s">
        <v>151</v>
      </c>
      <c r="CP31" s="3" t="str">
        <f>HYPERLINK(".\links\ACARI\gi_427779189-ACARI.txt","Putative toll-like receptor 5")</f>
        <v>Putative toll-like receptor 5</v>
      </c>
      <c r="CQ31" s="3" t="str">
        <f>HYPERLINK("http://www.ncbi.nlm.nih.gov/sutils/blink.cgi?pid=427779189","0.0")</f>
        <v>0.0</v>
      </c>
      <c r="CR31" s="3" t="str">
        <f>HYPERLINK("http://www.ncbi.nlm.nih.gov/protein/427779189","gi|427779189")</f>
        <v>gi|427779189</v>
      </c>
      <c r="CS31" s="3">
        <v>701</v>
      </c>
      <c r="CT31" s="3">
        <v>346</v>
      </c>
      <c r="CU31" s="3">
        <v>346</v>
      </c>
      <c r="CV31" s="3">
        <v>100</v>
      </c>
      <c r="CW31" s="3">
        <v>100</v>
      </c>
      <c r="CX31" s="3">
        <v>100</v>
      </c>
      <c r="CY31" s="3">
        <v>0</v>
      </c>
      <c r="CZ31" s="3">
        <v>0</v>
      </c>
      <c r="DA31" s="3">
        <v>1</v>
      </c>
      <c r="DB31" s="3">
        <v>1</v>
      </c>
      <c r="DC31" s="3">
        <v>1</v>
      </c>
      <c r="DD31" s="3" t="s">
        <v>68</v>
      </c>
    </row>
    <row r="32" spans="1:108" s="3" customFormat="1" x14ac:dyDescent="0.2">
      <c r="A32" s="3" t="s">
        <v>1380</v>
      </c>
      <c r="B32" s="3" t="str">
        <f>HYPERLINK(".\links\\gi_346469573-.txt","gi_346469573")</f>
        <v>gi_346469573</v>
      </c>
      <c r="C32" s="3" t="s">
        <v>35</v>
      </c>
      <c r="D32" s="3">
        <v>369</v>
      </c>
      <c r="E32" s="9" t="s">
        <v>173</v>
      </c>
      <c r="F32" s="3" t="s">
        <v>1221</v>
      </c>
      <c r="G32" s="3" t="s">
        <v>1468</v>
      </c>
      <c r="H32" s="3" t="str">
        <f>HYPERLINK(".\links\UNIPROT-ACARI\gi_346469573-UNIPROT-ACARI.txt","Putative uncharacterized protein")</f>
        <v>Putative uncharacterized protein</v>
      </c>
      <c r="I32" s="3" t="str">
        <f>HYPERLINK("http://www.ncbi.nlm.nih.gov/sutils/blink.cgi?pid=G3MMB3","0.0")</f>
        <v>0.0</v>
      </c>
      <c r="J32" s="3" t="s">
        <v>716</v>
      </c>
      <c r="K32" s="3">
        <v>740</v>
      </c>
      <c r="L32" s="3">
        <v>369</v>
      </c>
      <c r="M32" s="3">
        <v>369</v>
      </c>
      <c r="N32" s="3">
        <v>100</v>
      </c>
      <c r="O32" s="3">
        <v>100</v>
      </c>
      <c r="P32" s="3">
        <v>100</v>
      </c>
      <c r="Q32" s="3">
        <v>0</v>
      </c>
      <c r="R32" s="3">
        <v>0</v>
      </c>
      <c r="S32" s="3">
        <v>1</v>
      </c>
      <c r="T32" s="3">
        <v>1</v>
      </c>
      <c r="U32" s="3">
        <v>1</v>
      </c>
      <c r="V32" s="3" t="s">
        <v>36</v>
      </c>
      <c r="W32" s="3" t="str">
        <f>HYPERLINK(".\links\NR-LIGHT\gi_346469573-NR-LIGHT.txt","phosphoserine aminotransferase, putative")</f>
        <v>phosphoserine aminotransferase, putative</v>
      </c>
      <c r="X32" s="3" t="str">
        <f>HYPERLINK("http://www.ncbi.nlm.nih.gov/sutils/blink.cgi?pid=241613922","1E-137")</f>
        <v>1E-137</v>
      </c>
      <c r="Y32" s="3" t="str">
        <f>HYPERLINK("http://www.ncbi.nlm.nih.gov/protein/241613922","gi|241613922")</f>
        <v>gi|241613922</v>
      </c>
      <c r="Z32" s="3">
        <v>489</v>
      </c>
      <c r="AA32" s="3">
        <v>272</v>
      </c>
      <c r="AB32" s="3">
        <v>278</v>
      </c>
      <c r="AC32" s="3">
        <v>87</v>
      </c>
      <c r="AD32" s="3">
        <v>92</v>
      </c>
      <c r="AE32" s="3">
        <v>98</v>
      </c>
      <c r="AF32" s="3">
        <v>33</v>
      </c>
      <c r="AG32" s="3">
        <v>0</v>
      </c>
      <c r="AH32" s="3">
        <v>7</v>
      </c>
      <c r="AI32" s="3">
        <v>64</v>
      </c>
      <c r="AJ32" s="3">
        <v>1</v>
      </c>
      <c r="AK32" s="3" t="s">
        <v>40</v>
      </c>
      <c r="AL32" s="3" t="str">
        <f>HYPERLINK(".\links\REFSEQ-INVERTEBRATE\gi_346469573-REFSEQ-INVERTEBRATE.txt","probable phosphoserine aminotransferase-like")</f>
        <v>probable phosphoserine aminotransferase-like</v>
      </c>
      <c r="AM32" s="3" t="str">
        <f>HYPERLINK("http://www.ncbi.nlm.nih.gov/sutils/blink.cgi?pid=391344376","1E-141")</f>
        <v>1E-141</v>
      </c>
      <c r="AN32" s="3" t="str">
        <f>HYPERLINK("http://www.ncbi.nlm.nih.gov/protein/391344376","gi|391344376")</f>
        <v>gi|391344376</v>
      </c>
      <c r="AO32" s="3">
        <v>502</v>
      </c>
      <c r="AP32" s="3">
        <v>363</v>
      </c>
      <c r="AQ32" s="3">
        <v>365</v>
      </c>
      <c r="AR32" s="3">
        <v>69</v>
      </c>
      <c r="AS32" s="3">
        <v>80</v>
      </c>
      <c r="AT32" s="3">
        <v>99</v>
      </c>
      <c r="AU32" s="3">
        <v>110</v>
      </c>
      <c r="AV32" s="3">
        <v>4</v>
      </c>
      <c r="AW32" s="3">
        <v>6</v>
      </c>
      <c r="AX32" s="3">
        <v>5</v>
      </c>
      <c r="AY32" s="3">
        <v>1</v>
      </c>
      <c r="AZ32" s="3" t="s">
        <v>392</v>
      </c>
      <c r="BA32" s="3" t="str">
        <f>HYPERLINK(".\links\MEROPS\gi_346469573-MEROPS.txt","- family M1 unassigned peptidases (Sorangium cellulosum)")</f>
        <v>- family M1 unassigned peptidases (Sorangium cellulosum)</v>
      </c>
      <c r="BB32" s="3" t="str">
        <f>HYPERLINK("http://www.ncbi.nlm.nih.gov/sutils/blink.cgi?pid=114461 - family M1 unassigned peptidases (Sorangium cellulosum) [M01.UPW]#M01#{peptidase unit","0.44")</f>
        <v>0.44</v>
      </c>
      <c r="BC32" s="3" t="s">
        <v>717</v>
      </c>
      <c r="BD32" s="3">
        <v>36.6</v>
      </c>
      <c r="BE32" s="3">
        <v>195</v>
      </c>
      <c r="BF32" s="3">
        <v>887</v>
      </c>
      <c r="BG32" s="3">
        <v>26</v>
      </c>
      <c r="BH32" s="3">
        <v>40</v>
      </c>
      <c r="BI32" s="3">
        <v>22</v>
      </c>
      <c r="BJ32" s="3">
        <v>143</v>
      </c>
      <c r="BK32" s="3">
        <v>24</v>
      </c>
      <c r="BL32" s="3">
        <v>535</v>
      </c>
      <c r="BM32" s="3">
        <v>159</v>
      </c>
      <c r="BN32" s="3">
        <v>1</v>
      </c>
      <c r="BO32" s="3" t="s">
        <v>718</v>
      </c>
      <c r="BP32" s="3" t="s">
        <v>719</v>
      </c>
      <c r="BQ32" s="3">
        <f>HYPERLINK(".\links\GO\gi_346469573-GO.txt",0)</f>
        <v>0</v>
      </c>
      <c r="BR32" s="3" t="str">
        <f>HYPERLINK("http://amigo.geneontology.org/cgi-bin/amigo/term_details?term=GO:0003824","GO:0003824")</f>
        <v>GO:0003824</v>
      </c>
      <c r="BS32" s="3" t="s">
        <v>91</v>
      </c>
      <c r="BT32" s="3" t="s">
        <v>92</v>
      </c>
      <c r="BU32" s="3" t="s">
        <v>93</v>
      </c>
      <c r="BV32" s="3" t="s">
        <v>36</v>
      </c>
      <c r="BX32" s="4">
        <v>9.9999999999999998E-121</v>
      </c>
      <c r="BY32" s="3" t="str">
        <f>HYPERLINK("http://amigo.geneontology.org/cgi-bin/amigo/term_details?term=GO:0070062","GO:0070062")</f>
        <v>GO:0070062</v>
      </c>
      <c r="BZ32" s="3" t="s">
        <v>343</v>
      </c>
      <c r="CA32" s="3" t="s">
        <v>344</v>
      </c>
      <c r="CB32" s="3" t="s">
        <v>36</v>
      </c>
      <c r="CC32" s="3" t="s">
        <v>36</v>
      </c>
      <c r="CE32" s="4">
        <v>9.9999999999999998E-121</v>
      </c>
      <c r="CF32" s="3" t="str">
        <f>HYPERLINK("http://amigo.geneontology.org/cgi-bin/amigo/term_details?term=GO:0006564","GO:0006564")</f>
        <v>GO:0006564</v>
      </c>
      <c r="CG32" s="3" t="s">
        <v>720</v>
      </c>
      <c r="CH32" s="3" t="s">
        <v>721</v>
      </c>
      <c r="CI32" s="3" t="s">
        <v>722</v>
      </c>
      <c r="CJ32" s="3" t="s">
        <v>36</v>
      </c>
      <c r="CL32" s="4">
        <v>9.9999999999999998E-121</v>
      </c>
      <c r="CM32" s="3" t="str">
        <f>HYPERLINK(".\links\CDD\gi_346469573-CDD.txt","PSAT_like")</f>
        <v>PSAT_like</v>
      </c>
      <c r="CN32" s="3" t="str">
        <f>HYPERLINK("http://www.ncbi.nlm.nih.gov/Structure/cdd/cddsrv.cgi?uid=cd00611&amp;version=v4.0","1E-120")</f>
        <v>1E-120</v>
      </c>
      <c r="CO32" s="3" t="s">
        <v>723</v>
      </c>
      <c r="CP32" s="3" t="str">
        <f>HYPERLINK(".\links\ACARI\gi_346469573-ACARI.txt","hypothetical protein")</f>
        <v>hypothetical protein</v>
      </c>
      <c r="CQ32" s="3" t="str">
        <f>HYPERLINK("http://www.ncbi.nlm.nih.gov/sutils/blink.cgi?pid=346469573","0.0")</f>
        <v>0.0</v>
      </c>
      <c r="CR32" s="3" t="str">
        <f>HYPERLINK("http://www.ncbi.nlm.nih.gov/protein/346469573","gi|346469573")</f>
        <v>gi|346469573</v>
      </c>
      <c r="CS32" s="3">
        <v>740</v>
      </c>
      <c r="CT32" s="3">
        <v>369</v>
      </c>
      <c r="CU32" s="3">
        <v>369</v>
      </c>
      <c r="CV32" s="3">
        <v>100</v>
      </c>
      <c r="CW32" s="3">
        <v>100</v>
      </c>
      <c r="CX32" s="3">
        <v>100</v>
      </c>
      <c r="CY32" s="3">
        <v>0</v>
      </c>
      <c r="CZ32" s="3">
        <v>0</v>
      </c>
      <c r="DA32" s="3">
        <v>1</v>
      </c>
      <c r="DB32" s="3">
        <v>1</v>
      </c>
      <c r="DC32" s="3">
        <v>1</v>
      </c>
      <c r="DD32" s="3" t="s">
        <v>173</v>
      </c>
    </row>
    <row r="33" spans="1:108" s="3" customFormat="1" x14ac:dyDescent="0.2">
      <c r="A33" s="3" t="s">
        <v>1346</v>
      </c>
      <c r="B33" s="3" t="str">
        <f>HYPERLINK(".\links\\Rm-73466-.txt","Rm-73466")</f>
        <v>Rm-73466</v>
      </c>
      <c r="C33" s="3" t="s">
        <v>35</v>
      </c>
      <c r="D33" s="3">
        <v>395</v>
      </c>
      <c r="E33" s="9" t="s">
        <v>203</v>
      </c>
      <c r="F33" s="3" t="s">
        <v>1456</v>
      </c>
      <c r="G33" s="3" t="s">
        <v>1468</v>
      </c>
      <c r="H33" s="3" t="str">
        <f>HYPERLINK(".\links\UNIPROT-ACARI\Rm-73466-UNIPROT-ACARI.txt","Putative cysteine s-methyltransferase")</f>
        <v>Putative cysteine s-methyltransferase</v>
      </c>
      <c r="I33" s="3" t="str">
        <f>HYPERLINK("http://www.ncbi.nlm.nih.gov/sutils/blink.cgi?pid=V5HKG8","0.0")</f>
        <v>0.0</v>
      </c>
      <c r="J33" s="3" t="s">
        <v>450</v>
      </c>
      <c r="K33" s="3">
        <v>688</v>
      </c>
      <c r="L33" s="3">
        <v>395</v>
      </c>
      <c r="M33" s="3">
        <v>396</v>
      </c>
      <c r="N33" s="3">
        <v>83</v>
      </c>
      <c r="O33" s="3">
        <v>90</v>
      </c>
      <c r="P33" s="3">
        <v>100</v>
      </c>
      <c r="Q33" s="3">
        <v>66</v>
      </c>
      <c r="R33" s="3">
        <v>0</v>
      </c>
      <c r="S33" s="3">
        <v>1</v>
      </c>
      <c r="T33" s="3">
        <v>1</v>
      </c>
      <c r="U33" s="3">
        <v>1</v>
      </c>
      <c r="V33" s="3" t="s">
        <v>36</v>
      </c>
      <c r="W33" s="3" t="str">
        <f>HYPERLINK(".\links\NR-LIGHT\Rm-73466-NR-LIGHT.txt","hypothetical protein BRAFLDRAFT_78594")</f>
        <v>hypothetical protein BRAFLDRAFT_78594</v>
      </c>
      <c r="X33" s="3" t="str">
        <f>HYPERLINK("http://www.ncbi.nlm.nih.gov/sutils/blink.cgi?pid=260829625","1E-166")</f>
        <v>1E-166</v>
      </c>
      <c r="Y33" s="3" t="str">
        <f>HYPERLINK("http://www.ncbi.nlm.nih.gov/protein/260829625","gi|260829625")</f>
        <v>gi|260829625</v>
      </c>
      <c r="Z33" s="3">
        <v>588</v>
      </c>
      <c r="AA33" s="3">
        <v>386</v>
      </c>
      <c r="AB33" s="3">
        <v>396</v>
      </c>
      <c r="AC33" s="3">
        <v>71</v>
      </c>
      <c r="AD33" s="3">
        <v>83</v>
      </c>
      <c r="AE33" s="3">
        <v>97</v>
      </c>
      <c r="AF33" s="3">
        <v>111</v>
      </c>
      <c r="AG33" s="3">
        <v>0</v>
      </c>
      <c r="AH33" s="3">
        <v>8</v>
      </c>
      <c r="AI33" s="3">
        <v>5</v>
      </c>
      <c r="AJ33" s="3">
        <v>1</v>
      </c>
      <c r="AK33" s="3" t="s">
        <v>989</v>
      </c>
      <c r="AL33" s="3" t="str">
        <f>HYPERLINK(".\links\REFSEQ-INVERTEBRATE\Rm-73466-REFSEQ-INVERTEBRATE.txt","betaine--homocysteine S-methyltransferase 1-like")</f>
        <v>betaine--homocysteine S-methyltransferase 1-like</v>
      </c>
      <c r="AM33" s="3" t="str">
        <f>HYPERLINK("http://www.ncbi.nlm.nih.gov/sutils/blink.cgi?pid=585680875","1E-165")</f>
        <v>1E-165</v>
      </c>
      <c r="AN33" s="3" t="str">
        <f>HYPERLINK("http://www.ncbi.nlm.nih.gov/protein/585680875","gi|585680875")</f>
        <v>gi|585680875</v>
      </c>
      <c r="AO33" s="3">
        <v>581</v>
      </c>
      <c r="AP33" s="3">
        <v>393</v>
      </c>
      <c r="AQ33" s="3">
        <v>450</v>
      </c>
      <c r="AR33" s="3">
        <v>69</v>
      </c>
      <c r="AS33" s="3">
        <v>84</v>
      </c>
      <c r="AT33" s="3">
        <v>87</v>
      </c>
      <c r="AU33" s="3">
        <v>119</v>
      </c>
      <c r="AV33" s="3">
        <v>5</v>
      </c>
      <c r="AW33" s="3">
        <v>54</v>
      </c>
      <c r="AX33" s="3">
        <v>2</v>
      </c>
      <c r="AY33" s="3">
        <v>1</v>
      </c>
      <c r="AZ33" s="3" t="s">
        <v>990</v>
      </c>
      <c r="BA33" s="3" t="str">
        <f>HYPERLINK(".\links\MEROPS\Rm-73466-MEROPS.txt","- family N10 unassigned peptide lyases (Allochromatium vinosum)")</f>
        <v>- family N10 unassigned peptide lyases (Allochromatium vinosum)</v>
      </c>
      <c r="BB33" s="3" t="str">
        <f>HYPERLINK("http://www.ncbi.nlm.nih.gov/sutils/blink.cgi?pid=224226 - family N10 unassigned peptide lyases (Allochromatium vinosum) [N10.UPW]#N10#{peptidase unit","0.63")</f>
        <v>0.63</v>
      </c>
      <c r="BC33" s="3" t="s">
        <v>991</v>
      </c>
      <c r="BD33" s="3">
        <v>36.200000000000003</v>
      </c>
      <c r="BE33" s="3">
        <v>198</v>
      </c>
      <c r="BF33" s="3">
        <v>2069</v>
      </c>
      <c r="BG33" s="3">
        <v>22</v>
      </c>
      <c r="BH33" s="3">
        <v>40</v>
      </c>
      <c r="BI33" s="3">
        <v>10</v>
      </c>
      <c r="BJ33" s="3">
        <v>153</v>
      </c>
      <c r="BK33" s="3">
        <v>44</v>
      </c>
      <c r="BL33" s="3">
        <v>37</v>
      </c>
      <c r="BM33" s="3">
        <v>13</v>
      </c>
      <c r="BN33" s="3">
        <v>1</v>
      </c>
      <c r="BO33" s="3" t="s">
        <v>768</v>
      </c>
      <c r="BP33" s="3" t="s">
        <v>453</v>
      </c>
      <c r="BQ33" s="3">
        <f>HYPERLINK(".\links\GO\Rm-73466-GO.txt",0)</f>
        <v>0</v>
      </c>
      <c r="BR33" s="3" t="str">
        <f>HYPERLINK("http://amigo.geneontology.org/cgi-bin/amigo/term_details?term=GO:0008270","GO:0008270")</f>
        <v>GO:0008270</v>
      </c>
      <c r="BS33" s="3" t="s">
        <v>454</v>
      </c>
      <c r="BT33" s="3" t="s">
        <v>455</v>
      </c>
      <c r="BU33" s="3" t="s">
        <v>456</v>
      </c>
      <c r="BV33" s="3" t="s">
        <v>36</v>
      </c>
      <c r="BX33" s="4">
        <v>9.9999999999999992E-164</v>
      </c>
      <c r="BY33" s="3" t="str">
        <f>HYPERLINK("http://amigo.geneontology.org/cgi-bin/amigo/term_details?term=GO:0005737","GO:0005737")</f>
        <v>GO:0005737</v>
      </c>
      <c r="BZ33" s="3" t="s">
        <v>374</v>
      </c>
      <c r="CA33" s="3" t="s">
        <v>375</v>
      </c>
      <c r="CB33" s="3" t="s">
        <v>36</v>
      </c>
      <c r="CC33" s="3" t="s">
        <v>36</v>
      </c>
      <c r="CE33" s="4">
        <v>9.9999999999999992E-164</v>
      </c>
      <c r="CF33" s="3" t="str">
        <f>HYPERLINK("http://amigo.geneontology.org/cgi-bin/amigo/term_details?term=GO:0009086","GO:0009086")</f>
        <v>GO:0009086</v>
      </c>
      <c r="CG33" s="3" t="s">
        <v>457</v>
      </c>
      <c r="CH33" s="3" t="s">
        <v>458</v>
      </c>
      <c r="CI33" s="3" t="s">
        <v>459</v>
      </c>
      <c r="CJ33" s="3" t="s">
        <v>36</v>
      </c>
      <c r="CL33" s="4">
        <v>9.9999999999999992E-164</v>
      </c>
      <c r="CM33" s="3" t="str">
        <f>HYPERLINK(".\links\CDD\Rm-73466-CDD.txt","10-methylenetetrahydrofolate reductase protein")</f>
        <v>10-methylenetetrahydrofolate reductase protein</v>
      </c>
      <c r="CN33" s="3" t="str">
        <f>HYPERLINK("http://www.ncbi.nlm.nih.gov/Structure/cdd/cddsrv.cgi?uid=PRK08645&amp;version=v4.0","6E-034")</f>
        <v>6E-034</v>
      </c>
      <c r="CO33" s="3" t="s">
        <v>992</v>
      </c>
      <c r="CP33" s="3" t="str">
        <f>HYPERLINK(".\links\ACARI\Rm-73466-ACARI.txt","putative cysteine s-methyltransferase")</f>
        <v>putative cysteine s-methyltransferase</v>
      </c>
      <c r="CQ33" s="3" t="str">
        <f>HYPERLINK("http://www.ncbi.nlm.nih.gov/sutils/blink.cgi?pid=556065543","0.0")</f>
        <v>0.0</v>
      </c>
      <c r="CR33" s="3" t="str">
        <f>HYPERLINK("http://www.ncbi.nlm.nih.gov/protein/556065543","gi|556065543")</f>
        <v>gi|556065543</v>
      </c>
      <c r="CS33" s="3">
        <v>688</v>
      </c>
      <c r="CT33" s="3">
        <v>395</v>
      </c>
      <c r="CU33" s="3">
        <v>396</v>
      </c>
      <c r="CV33" s="3">
        <v>83</v>
      </c>
      <c r="CW33" s="3">
        <v>90</v>
      </c>
      <c r="CX33" s="3">
        <v>100</v>
      </c>
      <c r="CY33" s="3">
        <v>66</v>
      </c>
      <c r="CZ33" s="3">
        <v>0</v>
      </c>
      <c r="DA33" s="3">
        <v>1</v>
      </c>
      <c r="DB33" s="3">
        <v>1</v>
      </c>
      <c r="DC33" s="3">
        <v>1</v>
      </c>
      <c r="DD33" s="3" t="s">
        <v>37</v>
      </c>
    </row>
    <row r="34" spans="1:108" s="3" customFormat="1" x14ac:dyDescent="0.2">
      <c r="A34" s="3" t="s">
        <v>1301</v>
      </c>
      <c r="B34" s="3" t="str">
        <f>HYPERLINK(".\links\\gi_260175590-.txt","gi_260175590")</f>
        <v>gi_260175590</v>
      </c>
      <c r="C34" s="3" t="s">
        <v>35</v>
      </c>
      <c r="D34" s="3">
        <v>439</v>
      </c>
      <c r="E34" s="9" t="s">
        <v>259</v>
      </c>
      <c r="F34" s="3" t="s">
        <v>1222</v>
      </c>
      <c r="G34" s="3" t="s">
        <v>1465</v>
      </c>
      <c r="H34" s="3" t="str">
        <f>HYPERLINK(".\links\UNIPROT-ACARI\gi_260175590-UNIPROT-ACARI.txt","Putative chitinase")</f>
        <v>Putative chitinase</v>
      </c>
      <c r="I34" s="3" t="str">
        <f>HYPERLINK("http://www.ncbi.nlm.nih.gov/sutils/blink.cgi?pid=D0E0G4","0.0")</f>
        <v>0.0</v>
      </c>
      <c r="J34" s="3" t="s">
        <v>260</v>
      </c>
      <c r="K34" s="3">
        <v>907</v>
      </c>
      <c r="L34" s="3">
        <v>439</v>
      </c>
      <c r="M34" s="3">
        <v>439</v>
      </c>
      <c r="N34" s="3">
        <v>100</v>
      </c>
      <c r="O34" s="3">
        <v>100</v>
      </c>
      <c r="P34" s="3">
        <v>100</v>
      </c>
      <c r="Q34" s="3">
        <v>0</v>
      </c>
      <c r="R34" s="3">
        <v>0</v>
      </c>
      <c r="S34" s="3">
        <v>1</v>
      </c>
      <c r="T34" s="3">
        <v>1</v>
      </c>
      <c r="U34" s="3">
        <v>1</v>
      </c>
      <c r="V34" s="3" t="s">
        <v>36</v>
      </c>
      <c r="W34" s="3" t="str">
        <f>HYPERLINK(".\links\NR-LIGHT\gi_260175590-NR-LIGHT.txt","putative chitinase")</f>
        <v>putative chitinase</v>
      </c>
      <c r="X34" s="3" t="str">
        <f>HYPERLINK("http://www.ncbi.nlm.nih.gov/sutils/blink.cgi?pid=260175590","0.0")</f>
        <v>0.0</v>
      </c>
      <c r="Y34" s="3" t="str">
        <f>HYPERLINK("http://www.ncbi.nlm.nih.gov/protein/260175590","gi|260175590")</f>
        <v>gi|260175590</v>
      </c>
      <c r="Z34" s="3">
        <v>907</v>
      </c>
      <c r="AA34" s="3">
        <v>439</v>
      </c>
      <c r="AB34" s="3">
        <v>439</v>
      </c>
      <c r="AC34" s="3">
        <v>100</v>
      </c>
      <c r="AD34" s="3">
        <v>100</v>
      </c>
      <c r="AE34" s="3">
        <v>100</v>
      </c>
      <c r="AF34" s="3">
        <v>0</v>
      </c>
      <c r="AG34" s="3">
        <v>0</v>
      </c>
      <c r="AH34" s="3">
        <v>1</v>
      </c>
      <c r="AI34" s="3">
        <v>1</v>
      </c>
      <c r="AJ34" s="3">
        <v>1</v>
      </c>
      <c r="AK34" s="3" t="s">
        <v>259</v>
      </c>
      <c r="AL34" s="3" t="str">
        <f>HYPERLINK(".\links\REFSEQ-INVERTEBRATE\gi_260175590-REFSEQ-INVERTEBRATE.txt","chitinase, putative")</f>
        <v>chitinase, putative</v>
      </c>
      <c r="AM34" s="3" t="str">
        <f>HYPERLINK("http://www.ncbi.nlm.nih.gov/sutils/blink.cgi?pid=241057080","1E-116")</f>
        <v>1E-116</v>
      </c>
      <c r="AN34" s="3" t="str">
        <f>HYPERLINK("http://www.ncbi.nlm.nih.gov/protein/241057080","gi|241057080")</f>
        <v>gi|241057080</v>
      </c>
      <c r="AO34" s="3">
        <v>419</v>
      </c>
      <c r="AP34" s="3">
        <v>377</v>
      </c>
      <c r="AQ34" s="3">
        <v>423</v>
      </c>
      <c r="AR34" s="3">
        <v>49</v>
      </c>
      <c r="AS34" s="3">
        <v>69</v>
      </c>
      <c r="AT34" s="3">
        <v>89</v>
      </c>
      <c r="AU34" s="3">
        <v>192</v>
      </c>
      <c r="AV34" s="3">
        <v>1</v>
      </c>
      <c r="AW34" s="3">
        <v>45</v>
      </c>
      <c r="AX34" s="3">
        <v>61</v>
      </c>
      <c r="AY34" s="3">
        <v>1</v>
      </c>
      <c r="AZ34" s="3" t="s">
        <v>40</v>
      </c>
      <c r="BA34" s="3" t="str">
        <f>HYPERLINK(".\links\MEROPS\gi_260175590-MEROPS.txt","- subfamily M28B non-peptidase homologues (Ixodes scapularis)")</f>
        <v>- subfamily M28B non-peptidase homologues (Ixodes scapularis)</v>
      </c>
      <c r="BB34" s="3" t="str">
        <f>HYPERLINK("http://www.ncbi.nlm.nih.gov/sutils/blink.cgi?pid=162211 - subfamily M28B non-peptidase homologues (Ixodes scapularis) [M28.UNB]#M28X#{peptidase unit","7E-018")</f>
        <v>7E-018</v>
      </c>
      <c r="BC34" s="3" t="s">
        <v>261</v>
      </c>
      <c r="BD34" s="3">
        <v>92.8</v>
      </c>
      <c r="BE34" s="3">
        <v>370</v>
      </c>
      <c r="BF34" s="3">
        <v>1176</v>
      </c>
      <c r="BG34" s="3">
        <v>23</v>
      </c>
      <c r="BH34" s="3">
        <v>42</v>
      </c>
      <c r="BI34" s="3">
        <v>31</v>
      </c>
      <c r="BJ34" s="3">
        <v>282</v>
      </c>
      <c r="BK34" s="3">
        <v>72</v>
      </c>
      <c r="BL34" s="3">
        <v>11</v>
      </c>
      <c r="BM34" s="3">
        <v>59</v>
      </c>
      <c r="BN34" s="3">
        <v>1</v>
      </c>
      <c r="BO34" s="3" t="s">
        <v>262</v>
      </c>
      <c r="BP34" s="3" t="s">
        <v>263</v>
      </c>
      <c r="BQ34" s="3">
        <f>HYPERLINK(".\links\GO\gi_260175590-GO.txt",6E-80)</f>
        <v>6.0000000000000001E-80</v>
      </c>
      <c r="BR34" s="3" t="str">
        <f>HYPERLINK("http://amigo.geneontology.org/cgi-bin/amigo/term_details?term=GO:0004568","GO:0004568")</f>
        <v>GO:0004568</v>
      </c>
      <c r="BS34" s="3" t="s">
        <v>264</v>
      </c>
      <c r="BT34" s="3" t="s">
        <v>265</v>
      </c>
      <c r="BU34" s="3" t="s">
        <v>266</v>
      </c>
      <c r="BV34" s="3" t="str">
        <f>HYPERLINK("http://www.genome.jp/dbget-bin/www_bfind_sub?mode=bfind&amp;max_hit=1000&amp;dbkey=kegg&amp;keywords=EC:3.2.1.14","EC:3.2.1.14")</f>
        <v>EC:3.2.1.14</v>
      </c>
      <c r="BX34" s="4">
        <v>6.0000000000000001E-80</v>
      </c>
      <c r="BY34" s="3" t="str">
        <f>HYPERLINK("http://amigo.geneontology.org/cgi-bin/amigo/term_details?term=GO:0005615","GO:0005615")</f>
        <v>GO:0005615</v>
      </c>
      <c r="BZ34" s="3" t="s">
        <v>195</v>
      </c>
      <c r="CA34" s="3" t="s">
        <v>196</v>
      </c>
      <c r="CB34" s="3" t="s">
        <v>197</v>
      </c>
      <c r="CC34" s="3" t="s">
        <v>36</v>
      </c>
      <c r="CE34" s="4">
        <v>6.0000000000000001E-80</v>
      </c>
      <c r="CF34" s="3" t="str">
        <f>HYPERLINK("http://amigo.geneontology.org/cgi-bin/amigo/term_details?term=GO:0005975","GO:0005975")</f>
        <v>GO:0005975</v>
      </c>
      <c r="CG34" s="3" t="s">
        <v>94</v>
      </c>
      <c r="CH34" s="3" t="s">
        <v>95</v>
      </c>
      <c r="CI34" s="3" t="s">
        <v>96</v>
      </c>
      <c r="CJ34" s="3" t="s">
        <v>36</v>
      </c>
      <c r="CL34" s="4">
        <v>6.0000000000000001E-80</v>
      </c>
      <c r="CM34" s="3" t="str">
        <f>HYPERLINK(".\links\CDD\gi_260175590-CDD.txt","GH18_chitolecti")</f>
        <v>GH18_chitolecti</v>
      </c>
      <c r="CN34" s="3" t="str">
        <f>HYPERLINK("http://www.ncbi.nlm.nih.gov/Structure/cdd/cddsrv.cgi?uid=cd02872&amp;version=v4.0","1E-079")</f>
        <v>1E-079</v>
      </c>
      <c r="CO34" s="3" t="s">
        <v>267</v>
      </c>
      <c r="CP34" s="3" t="str">
        <f>HYPERLINK(".\links\ACARI\gi_260175590-ACARI.txt","putative chitinase")</f>
        <v>putative chitinase</v>
      </c>
      <c r="CQ34" s="3" t="str">
        <f>HYPERLINK("http://www.ncbi.nlm.nih.gov/sutils/blink.cgi?pid=260175590","0.0")</f>
        <v>0.0</v>
      </c>
      <c r="CR34" s="3" t="str">
        <f>HYPERLINK("http://www.ncbi.nlm.nih.gov/protein/260175590","gi|260175590")</f>
        <v>gi|260175590</v>
      </c>
      <c r="CS34" s="3">
        <v>907</v>
      </c>
      <c r="CT34" s="3">
        <v>439</v>
      </c>
      <c r="CU34" s="3">
        <v>439</v>
      </c>
      <c r="CV34" s="3">
        <v>100</v>
      </c>
      <c r="CW34" s="3">
        <v>100</v>
      </c>
      <c r="CX34" s="3">
        <v>100</v>
      </c>
      <c r="CY34" s="3">
        <v>0</v>
      </c>
      <c r="CZ34" s="3">
        <v>0</v>
      </c>
      <c r="DA34" s="3">
        <v>1</v>
      </c>
      <c r="DB34" s="3">
        <v>1</v>
      </c>
      <c r="DC34" s="3">
        <v>1</v>
      </c>
      <c r="DD34" s="3" t="s">
        <v>259</v>
      </c>
    </row>
    <row r="35" spans="1:108" s="3" customFormat="1" x14ac:dyDescent="0.2">
      <c r="A35" s="3" t="s">
        <v>1354</v>
      </c>
      <c r="B35" s="3" t="str">
        <f>HYPERLINK(".\links\\gi_346466171-.txt","gi_346466171")</f>
        <v>gi_346466171</v>
      </c>
      <c r="C35" s="3" t="s">
        <v>335</v>
      </c>
      <c r="D35" s="3">
        <v>652</v>
      </c>
      <c r="E35" s="9" t="s">
        <v>173</v>
      </c>
      <c r="F35" s="3" t="s">
        <v>1449</v>
      </c>
      <c r="G35" s="3" t="s">
        <v>1465</v>
      </c>
      <c r="H35" s="3" t="str">
        <f>HYPERLINK(".\links\UNIPROT-ACARI\gi_346466171-UNIPROT-ACARI.txt","Transketolase (Fragment)")</f>
        <v>Transketolase (Fragment)</v>
      </c>
      <c r="I35" s="3" t="str">
        <f>HYPERLINK("http://www.ncbi.nlm.nih.gov/sutils/blink.cgi?pid=G3MHG2","0.0")</f>
        <v>0.0</v>
      </c>
      <c r="J35" s="3" t="s">
        <v>751</v>
      </c>
      <c r="K35" s="3">
        <v>1310</v>
      </c>
      <c r="L35" s="3">
        <v>652</v>
      </c>
      <c r="M35" s="3">
        <v>652</v>
      </c>
      <c r="N35" s="3">
        <v>100</v>
      </c>
      <c r="O35" s="3">
        <v>100</v>
      </c>
      <c r="P35" s="3">
        <v>100</v>
      </c>
      <c r="Q35" s="3">
        <v>0</v>
      </c>
      <c r="R35" s="3">
        <v>0</v>
      </c>
      <c r="S35" s="3">
        <v>1</v>
      </c>
      <c r="T35" s="3">
        <v>1</v>
      </c>
      <c r="U35" s="3">
        <v>1</v>
      </c>
      <c r="V35" s="3" t="s">
        <v>36</v>
      </c>
      <c r="W35" s="3" t="str">
        <f>HYPERLINK(".\links\NR-LIGHT\gi_346466171-NR-LIGHT.txt","transketolase")</f>
        <v>transketolase</v>
      </c>
      <c r="X35" s="3" t="str">
        <f>HYPERLINK("http://www.ncbi.nlm.nih.gov/sutils/blink.cgi?pid=157106042","0.0")</f>
        <v>0.0</v>
      </c>
      <c r="Y35" s="3" t="str">
        <f>HYPERLINK("http://www.ncbi.nlm.nih.gov/protein/157106042","gi|157106042")</f>
        <v>gi|157106042</v>
      </c>
      <c r="Z35" s="3">
        <v>894</v>
      </c>
      <c r="AA35" s="3">
        <v>627</v>
      </c>
      <c r="AB35" s="3">
        <v>627</v>
      </c>
      <c r="AC35" s="3">
        <v>68</v>
      </c>
      <c r="AD35" s="3">
        <v>81</v>
      </c>
      <c r="AE35" s="3">
        <v>100</v>
      </c>
      <c r="AF35" s="3">
        <v>197</v>
      </c>
      <c r="AG35" s="3">
        <v>0</v>
      </c>
      <c r="AH35" s="3">
        <v>1</v>
      </c>
      <c r="AI35" s="3">
        <v>26</v>
      </c>
      <c r="AJ35" s="3">
        <v>1</v>
      </c>
      <c r="AK35" s="3" t="s">
        <v>752</v>
      </c>
      <c r="AL35" s="3" t="str">
        <f>HYPERLINK(".\links\REFSEQ-INVERTEBRATE\gi_346466171-REFSEQ-INVERTEBRATE.txt","transketolase-like protein 1-like isoform 1")</f>
        <v>transketolase-like protein 1-like isoform 1</v>
      </c>
      <c r="AM35" s="3" t="str">
        <f>HYPERLINK("http://www.ncbi.nlm.nih.gov/sutils/blink.cgi?pid=391344723","0.0")</f>
        <v>0.0</v>
      </c>
      <c r="AN35" s="3" t="str">
        <f>HYPERLINK("http://www.ncbi.nlm.nih.gov/protein/391344723","gi|391344723")</f>
        <v>gi|391344723</v>
      </c>
      <c r="AO35" s="3">
        <v>939</v>
      </c>
      <c r="AP35" s="3">
        <v>622</v>
      </c>
      <c r="AQ35" s="3">
        <v>624</v>
      </c>
      <c r="AR35" s="3">
        <v>73</v>
      </c>
      <c r="AS35" s="3">
        <v>86</v>
      </c>
      <c r="AT35" s="3">
        <v>100</v>
      </c>
      <c r="AU35" s="3">
        <v>164</v>
      </c>
      <c r="AV35" s="3">
        <v>3</v>
      </c>
      <c r="AW35" s="3">
        <v>1</v>
      </c>
      <c r="AX35" s="3">
        <v>26</v>
      </c>
      <c r="AY35" s="3">
        <v>1</v>
      </c>
      <c r="AZ35" s="3" t="s">
        <v>392</v>
      </c>
      <c r="BA35" s="3" t="str">
        <f>HYPERLINK(".\links\MEROPS\gi_346466171-MEROPS.txt","- proteasome subunit alpha 2 (Vitis vinifera)")</f>
        <v>- proteasome subunit alpha 2 (Vitis vinifera)</v>
      </c>
      <c r="BB35" s="3" t="str">
        <f>HYPERLINK("http://www.ncbi.nlm.nih.gov/sutils/blink.cgi?pid=482778 - proteasome subunit alpha 2 (Vitis vinifera) [T01.972]#T01A#{peptidase unit","8E-016")</f>
        <v>8E-016</v>
      </c>
      <c r="BC35" s="3" t="s">
        <v>753</v>
      </c>
      <c r="BD35" s="3">
        <v>86.7</v>
      </c>
      <c r="BE35" s="3">
        <v>638</v>
      </c>
      <c r="BF35" s="3">
        <v>815</v>
      </c>
      <c r="BG35" s="3">
        <v>24</v>
      </c>
      <c r="BH35" s="3">
        <v>36</v>
      </c>
      <c r="BI35" s="3">
        <v>78</v>
      </c>
      <c r="BJ35" s="3">
        <v>481</v>
      </c>
      <c r="BK35" s="3">
        <v>149</v>
      </c>
      <c r="BL35" s="3">
        <v>187</v>
      </c>
      <c r="BM35" s="3">
        <v>39</v>
      </c>
      <c r="BN35" s="3">
        <v>1</v>
      </c>
      <c r="BO35" s="3" t="s">
        <v>754</v>
      </c>
      <c r="BP35" s="3" t="s">
        <v>755</v>
      </c>
      <c r="BQ35" s="3">
        <f>HYPERLINK(".\links\GO\gi_346466171-GO.txt",0)</f>
        <v>0</v>
      </c>
      <c r="BR35" s="3" t="str">
        <f>HYPERLINK("http://amigo.geneontology.org/cgi-bin/amigo/term_details?term=GO:0004802","GO:0004802")</f>
        <v>GO:0004802</v>
      </c>
      <c r="BS35" s="3" t="s">
        <v>756</v>
      </c>
      <c r="BT35" s="3" t="s">
        <v>757</v>
      </c>
      <c r="BU35" s="3" t="s">
        <v>758</v>
      </c>
      <c r="BV35" s="3" t="str">
        <f>HYPERLINK("http://www.genome.jp/dbget-bin/www_bfind_sub?mode=bfind&amp;max_hit=1000&amp;dbkey=kegg&amp;keywords=EC:2.2.1.1","EC:2.2.1.1")</f>
        <v>EC:2.2.1.1</v>
      </c>
      <c r="BX35" s="3">
        <v>0</v>
      </c>
      <c r="BY35" s="3" t="str">
        <f>HYPERLINK("http://amigo.geneontology.org/cgi-bin/amigo/term_details?term=GO:0005811","GO:0005811")</f>
        <v>GO:0005811</v>
      </c>
      <c r="BZ35" s="3" t="s">
        <v>759</v>
      </c>
      <c r="CA35" s="3" t="s">
        <v>760</v>
      </c>
      <c r="CB35" s="3" t="s">
        <v>761</v>
      </c>
      <c r="CC35" s="3" t="s">
        <v>36</v>
      </c>
      <c r="CE35" s="3">
        <v>0</v>
      </c>
      <c r="CF35" s="3" t="str">
        <f>HYPERLINK("http://amigo.geneontology.org/cgi-bin/amigo/term_details?term=GO:0031122","GO:0031122")</f>
        <v>GO:0031122</v>
      </c>
      <c r="CG35" s="3" t="s">
        <v>762</v>
      </c>
      <c r="CH35" s="3" t="s">
        <v>763</v>
      </c>
      <c r="CI35" s="3" t="s">
        <v>764</v>
      </c>
      <c r="CJ35" s="3" t="s">
        <v>36</v>
      </c>
      <c r="CL35" s="3">
        <v>0</v>
      </c>
      <c r="CM35" s="3" t="str">
        <f>HYPERLINK(".\links\CDD\gi_346466171-CDD.txt","transketolase")</f>
        <v>transketolase</v>
      </c>
      <c r="CN35" s="3" t="str">
        <f>HYPERLINK("http://www.ncbi.nlm.nih.gov/Structure/cdd/cddsrv.cgi?uid=PRK05899&amp;version=v4.0","3E-063")</f>
        <v>3E-063</v>
      </c>
      <c r="CO35" s="3" t="s">
        <v>765</v>
      </c>
      <c r="CP35" s="3" t="str">
        <f>HYPERLINK(".\links\ACARI\gi_346466171-ACARI.txt","hypothetical protein, partial")</f>
        <v>hypothetical protein, partial</v>
      </c>
      <c r="CQ35" s="3" t="str">
        <f>HYPERLINK("http://www.ncbi.nlm.nih.gov/sutils/blink.cgi?pid=346466171","0.0")</f>
        <v>0.0</v>
      </c>
      <c r="CR35" s="3" t="str">
        <f>HYPERLINK("http://www.ncbi.nlm.nih.gov/protein/346466171","gi|346466171")</f>
        <v>gi|346466171</v>
      </c>
      <c r="CS35" s="3">
        <v>1310</v>
      </c>
      <c r="CT35" s="3">
        <v>652</v>
      </c>
      <c r="CU35" s="3">
        <v>652</v>
      </c>
      <c r="CV35" s="3">
        <v>100</v>
      </c>
      <c r="CW35" s="3">
        <v>100</v>
      </c>
      <c r="CX35" s="3">
        <v>100</v>
      </c>
      <c r="CY35" s="3">
        <v>0</v>
      </c>
      <c r="CZ35" s="3">
        <v>0</v>
      </c>
      <c r="DA35" s="3">
        <v>1</v>
      </c>
      <c r="DB35" s="3">
        <v>1</v>
      </c>
      <c r="DC35" s="3">
        <v>1</v>
      </c>
      <c r="DD35" s="3" t="s">
        <v>173</v>
      </c>
    </row>
    <row r="36" spans="1:108" s="3" customFormat="1" x14ac:dyDescent="0.2">
      <c r="A36" s="3" t="s">
        <v>1419</v>
      </c>
      <c r="B36" s="3" t="str">
        <f>HYPERLINK(".\links\\gi_346469535-.txt","gi_346469535")</f>
        <v>gi_346469535</v>
      </c>
      <c r="C36" s="3" t="s">
        <v>35</v>
      </c>
      <c r="D36" s="3">
        <v>444</v>
      </c>
      <c r="E36" s="9" t="s">
        <v>173</v>
      </c>
      <c r="F36" s="3" t="s">
        <v>1241</v>
      </c>
      <c r="G36" s="3" t="s">
        <v>1465</v>
      </c>
      <c r="H36" s="3" t="str">
        <f>HYPERLINK(".\links\UNIPROT-ACARI\gi_346469535-UNIPROT-ACARI.txt","Putative uncharacterized protein")</f>
        <v>Putative uncharacterized protein</v>
      </c>
      <c r="I36" s="3" t="str">
        <f>HYPERLINK("http://www.ncbi.nlm.nih.gov/sutils/blink.cgi?pid=G3MM94","0.0")</f>
        <v>0.0</v>
      </c>
      <c r="J36" s="3" t="s">
        <v>1088</v>
      </c>
      <c r="K36" s="3">
        <v>883</v>
      </c>
      <c r="L36" s="3">
        <v>444</v>
      </c>
      <c r="M36" s="3">
        <v>444</v>
      </c>
      <c r="N36" s="3">
        <v>100</v>
      </c>
      <c r="O36" s="3">
        <v>100</v>
      </c>
      <c r="P36" s="3">
        <v>100</v>
      </c>
      <c r="Q36" s="3">
        <v>0</v>
      </c>
      <c r="R36" s="3">
        <v>0</v>
      </c>
      <c r="S36" s="3">
        <v>1</v>
      </c>
      <c r="T36" s="3">
        <v>1</v>
      </c>
      <c r="U36" s="3">
        <v>1</v>
      </c>
      <c r="V36" s="3" t="s">
        <v>36</v>
      </c>
      <c r="W36" s="3" t="str">
        <f>HYPERLINK(".\links\NR-LIGHT\gi_346469535-NR-LIGHT.txt","enolase")</f>
        <v>enolase</v>
      </c>
      <c r="X36" s="3" t="str">
        <f>HYPERLINK("http://www.ncbi.nlm.nih.gov/sutils/blink.cgi?pid=291277674","0.0")</f>
        <v>0.0</v>
      </c>
      <c r="Y36" s="3" t="str">
        <f>HYPERLINK("http://www.ncbi.nlm.nih.gov/protein/291277674","gi|291277674")</f>
        <v>gi|291277674</v>
      </c>
      <c r="Z36" s="3">
        <v>711</v>
      </c>
      <c r="AA36" s="3">
        <v>432</v>
      </c>
      <c r="AB36" s="3">
        <v>433</v>
      </c>
      <c r="AC36" s="3">
        <v>80</v>
      </c>
      <c r="AD36" s="3">
        <v>89</v>
      </c>
      <c r="AE36" s="3">
        <v>100</v>
      </c>
      <c r="AF36" s="3">
        <v>86</v>
      </c>
      <c r="AG36" s="3">
        <v>0</v>
      </c>
      <c r="AH36" s="3">
        <v>1</v>
      </c>
      <c r="AI36" s="3">
        <v>12</v>
      </c>
      <c r="AJ36" s="3">
        <v>1</v>
      </c>
      <c r="AK36" s="3" t="s">
        <v>39</v>
      </c>
      <c r="AL36" s="3" t="str">
        <f>HYPERLINK(".\links\REFSEQ-INVERTEBRATE\gi_346469535-REFSEQ-INVERTEBRATE.txt","enolase")</f>
        <v>enolase</v>
      </c>
      <c r="AM36" s="3" t="str">
        <f>HYPERLINK("http://www.ncbi.nlm.nih.gov/sutils/blink.cgi?pid=91090950","0.0")</f>
        <v>0.0</v>
      </c>
      <c r="AN36" s="3" t="str">
        <f>HYPERLINK("http://www.ncbi.nlm.nih.gov/protein/91090950","gi|91090950")</f>
        <v>gi|91090950</v>
      </c>
      <c r="AO36" s="3">
        <v>694</v>
      </c>
      <c r="AP36" s="3">
        <v>432</v>
      </c>
      <c r="AQ36" s="3">
        <v>433</v>
      </c>
      <c r="AR36" s="3">
        <v>77</v>
      </c>
      <c r="AS36" s="3">
        <v>89</v>
      </c>
      <c r="AT36" s="3">
        <v>100</v>
      </c>
      <c r="AU36" s="3">
        <v>98</v>
      </c>
      <c r="AV36" s="3">
        <v>0</v>
      </c>
      <c r="AW36" s="3">
        <v>1</v>
      </c>
      <c r="AX36" s="3">
        <v>12</v>
      </c>
      <c r="AY36" s="3">
        <v>1</v>
      </c>
      <c r="AZ36" s="3" t="s">
        <v>580</v>
      </c>
      <c r="BA36" s="3" t="str">
        <f>HYPERLINK(".\links\MEROPS\gi_346469535-MEROPS.txt","- family C19 unassigned peptidases (Ostreococcus tauri)")</f>
        <v>- family C19 unassigned peptidases (Ostreococcus tauri)</v>
      </c>
      <c r="BB36" s="3" t="str">
        <f>HYPERLINK("http://www.ncbi.nlm.nih.gov/sutils/blink.cgi?pid=239278 - family C19 unassigned peptidases (Ostreococcus tauri) [C19.UPW]#C19#{peptidase unit","1E-161")</f>
        <v>1E-161</v>
      </c>
      <c r="BC36" s="3" t="s">
        <v>1089</v>
      </c>
      <c r="BD36" s="3">
        <v>567</v>
      </c>
      <c r="BE36" s="3">
        <v>423</v>
      </c>
      <c r="BF36" s="3">
        <v>1228</v>
      </c>
      <c r="BG36" s="3">
        <v>67</v>
      </c>
      <c r="BH36" s="3">
        <v>81</v>
      </c>
      <c r="BI36" s="3">
        <v>34</v>
      </c>
      <c r="BJ36" s="3">
        <v>136</v>
      </c>
      <c r="BK36" s="3">
        <v>5</v>
      </c>
      <c r="BL36" s="3">
        <v>103</v>
      </c>
      <c r="BM36" s="3">
        <v>14</v>
      </c>
      <c r="BN36" s="3">
        <v>1</v>
      </c>
      <c r="BO36" s="3" t="s">
        <v>1090</v>
      </c>
      <c r="BP36" s="3" t="s">
        <v>1091</v>
      </c>
      <c r="BQ36" s="3">
        <f>HYPERLINK(".\links\GO\gi_346469535-GO.txt",0)</f>
        <v>0</v>
      </c>
      <c r="BR36" s="3" t="str">
        <f>HYPERLINK("http://amigo.geneontology.org/cgi-bin/amigo/term_details?term=GO:0000287","GO:0000287")</f>
        <v>GO:0000287</v>
      </c>
      <c r="BS36" s="3" t="s">
        <v>598</v>
      </c>
      <c r="BT36" s="3" t="s">
        <v>599</v>
      </c>
      <c r="BU36" s="3" t="s">
        <v>600</v>
      </c>
      <c r="BV36" s="3" t="s">
        <v>36</v>
      </c>
      <c r="BX36" s="3">
        <v>0</v>
      </c>
      <c r="BY36" s="3" t="str">
        <f>HYPERLINK("http://amigo.geneontology.org/cgi-bin/amigo/term_details?term=GO:0000015","GO:0000015")</f>
        <v>GO:0000015</v>
      </c>
      <c r="BZ36" s="3" t="s">
        <v>1092</v>
      </c>
      <c r="CA36" s="3" t="s">
        <v>1093</v>
      </c>
      <c r="CB36" s="3" t="s">
        <v>1094</v>
      </c>
      <c r="CC36" s="3" t="s">
        <v>36</v>
      </c>
      <c r="CE36" s="3">
        <v>0</v>
      </c>
      <c r="CF36" s="3" t="str">
        <f>HYPERLINK("http://amigo.geneontology.org/cgi-bin/amigo/term_details?term=GO:0006096","GO:0006096")</f>
        <v>GO:0006096</v>
      </c>
      <c r="CG36" s="3" t="s">
        <v>515</v>
      </c>
      <c r="CH36" s="3" t="s">
        <v>516</v>
      </c>
      <c r="CI36" s="3" t="s">
        <v>517</v>
      </c>
      <c r="CJ36" s="3" t="s">
        <v>36</v>
      </c>
      <c r="CL36" s="3">
        <v>0</v>
      </c>
      <c r="CM36" s="3" t="str">
        <f>HYPERLINK(".\links\CDD\gi_346469535-CDD.txt","PLN00191")</f>
        <v>PLN00191</v>
      </c>
      <c r="CN36" s="3" t="str">
        <f>HYPERLINK("http://www.ncbi.nlm.nih.gov/Structure/cdd/cddsrv.cgi?uid=PLN00191&amp;version=v4.0","0.0")</f>
        <v>0.0</v>
      </c>
      <c r="CO36" s="3" t="s">
        <v>1095</v>
      </c>
      <c r="CP36" s="3" t="str">
        <f>HYPERLINK(".\links\ACARI\gi_346469535-ACARI.txt","hypothetical protein")</f>
        <v>hypothetical protein</v>
      </c>
      <c r="CQ36" s="3" t="str">
        <f>HYPERLINK("http://www.ncbi.nlm.nih.gov/sutils/blink.cgi?pid=346469535","0.0")</f>
        <v>0.0</v>
      </c>
      <c r="CR36" s="3" t="str">
        <f>HYPERLINK("http://www.ncbi.nlm.nih.gov/protein/346469535","gi|346469535")</f>
        <v>gi|346469535</v>
      </c>
      <c r="CS36" s="3">
        <v>883</v>
      </c>
      <c r="CT36" s="3">
        <v>444</v>
      </c>
      <c r="CU36" s="3">
        <v>444</v>
      </c>
      <c r="CV36" s="3">
        <v>100</v>
      </c>
      <c r="CW36" s="3">
        <v>100</v>
      </c>
      <c r="CX36" s="3">
        <v>100</v>
      </c>
      <c r="CY36" s="3">
        <v>0</v>
      </c>
      <c r="CZ36" s="3">
        <v>0</v>
      </c>
      <c r="DA36" s="3">
        <v>1</v>
      </c>
      <c r="DB36" s="3">
        <v>1</v>
      </c>
      <c r="DC36" s="3">
        <v>1</v>
      </c>
      <c r="DD36" s="3" t="s">
        <v>173</v>
      </c>
    </row>
    <row r="37" spans="1:108" s="3" customFormat="1" x14ac:dyDescent="0.2">
      <c r="A37" s="3" t="s">
        <v>1317</v>
      </c>
      <c r="B37" s="3" t="str">
        <f>HYPERLINK(".\links\\gi_427795517-.txt","gi_427795517")</f>
        <v>gi_427795517</v>
      </c>
      <c r="C37" s="3" t="s">
        <v>84</v>
      </c>
      <c r="D37" s="3">
        <v>1061</v>
      </c>
      <c r="E37" s="9" t="s">
        <v>68</v>
      </c>
      <c r="F37" s="3" t="s">
        <v>1234</v>
      </c>
      <c r="G37" s="3" t="s">
        <v>1465</v>
      </c>
      <c r="H37" s="3" t="str">
        <f>HYPERLINK(".\links\UNIPROT-ACARI\gi_427795517-UNIPROT-ACARI.txt","Putative glycosyl hydrolase family 38 (Fragment)")</f>
        <v>Putative glycosyl hydrolase family 38 (Fragment)</v>
      </c>
      <c r="I37" s="3" t="str">
        <f>HYPERLINK("http://www.ncbi.nlm.nih.gov/sutils/blink.cgi?pid=L7MGV3","0.0")</f>
        <v>0.0</v>
      </c>
      <c r="J37" s="3" t="s">
        <v>85</v>
      </c>
      <c r="K37" s="3">
        <v>2184</v>
      </c>
      <c r="L37" s="3">
        <v>1061</v>
      </c>
      <c r="M37" s="3">
        <v>1061</v>
      </c>
      <c r="N37" s="3">
        <v>100</v>
      </c>
      <c r="O37" s="3">
        <v>100</v>
      </c>
      <c r="P37" s="3">
        <v>100</v>
      </c>
      <c r="Q37" s="3">
        <v>0</v>
      </c>
      <c r="R37" s="3">
        <v>0</v>
      </c>
      <c r="S37" s="3">
        <v>1</v>
      </c>
      <c r="T37" s="3">
        <v>1</v>
      </c>
      <c r="U37" s="3">
        <v>1</v>
      </c>
      <c r="V37" s="3" t="s">
        <v>36</v>
      </c>
      <c r="W37" s="3" t="str">
        <f>HYPERLINK(".\links\NR-LIGHT\gi_427795517-NR-LIGHT.txt","lysosomal alpha-mannosidase precursor")</f>
        <v>lysosomal alpha-mannosidase precursor</v>
      </c>
      <c r="X37" s="3" t="str">
        <f>HYPERLINK("http://www.ncbi.nlm.nih.gov/sutils/blink.cgi?pid=62122855","0.0")</f>
        <v>0.0</v>
      </c>
      <c r="Y37" s="3" t="str">
        <f>HYPERLINK("http://www.ncbi.nlm.nih.gov/protein/62122855","gi|62122855")</f>
        <v>gi|62122855</v>
      </c>
      <c r="Z37" s="3">
        <v>862</v>
      </c>
      <c r="AA37" s="3">
        <v>962</v>
      </c>
      <c r="AB37" s="3">
        <v>982</v>
      </c>
      <c r="AC37" s="3">
        <v>46</v>
      </c>
      <c r="AD37" s="3">
        <v>64</v>
      </c>
      <c r="AE37" s="3">
        <v>98</v>
      </c>
      <c r="AF37" s="3">
        <v>514</v>
      </c>
      <c r="AG37" s="3">
        <v>42</v>
      </c>
      <c r="AH37" s="3">
        <v>31</v>
      </c>
      <c r="AI37" s="3">
        <v>36</v>
      </c>
      <c r="AJ37" s="3">
        <v>1</v>
      </c>
      <c r="AK37" s="3" t="s">
        <v>86</v>
      </c>
      <c r="AL37" s="3" t="str">
        <f>HYPERLINK(".\links\REFSEQ-INVERTEBRATE\gi_427795517-REFSEQ-INVERTEBRATE.txt","AGAP008584-PA")</f>
        <v>AGAP008584-PA</v>
      </c>
      <c r="AM37" s="3" t="str">
        <f>HYPERLINK("http://www.ncbi.nlm.nih.gov/sutils/blink.cgi?pid=158293330","0.0")</f>
        <v>0.0</v>
      </c>
      <c r="AN37" s="3" t="str">
        <f>HYPERLINK("http://www.ncbi.nlm.nih.gov/protein/158293330","gi|158293330")</f>
        <v>gi|158293330</v>
      </c>
      <c r="AO37" s="3">
        <v>853</v>
      </c>
      <c r="AP37" s="3">
        <v>1038</v>
      </c>
      <c r="AQ37" s="3">
        <v>1138</v>
      </c>
      <c r="AR37" s="3">
        <v>46</v>
      </c>
      <c r="AS37" s="3">
        <v>61</v>
      </c>
      <c r="AT37" s="3">
        <v>91</v>
      </c>
      <c r="AU37" s="3">
        <v>560</v>
      </c>
      <c r="AV37" s="3">
        <v>53</v>
      </c>
      <c r="AW37" s="3">
        <v>121</v>
      </c>
      <c r="AX37" s="3">
        <v>34</v>
      </c>
      <c r="AY37" s="3">
        <v>1</v>
      </c>
      <c r="AZ37" s="3" t="s">
        <v>87</v>
      </c>
      <c r="BA37" s="3" t="str">
        <f>HYPERLINK(".\links\MEROPS\gi_427795517-MEROPS.txt","- collagenase ({Helicobacter}-type) (Helicobacter mustelae)")</f>
        <v>- collagenase ({Helicobacter}-type) (Helicobacter mustelae)</v>
      </c>
      <c r="BB37" s="3" t="str">
        <f>HYPERLINK("http://www.ncbi.nlm.nih.gov/sutils/blink.cgi?pid=200800 - collagenase ({Helicobacter}-type) (Helicobacter mustelae) [U32.002]#U32#{peptidase unit","3.6")</f>
        <v>3.6</v>
      </c>
      <c r="BC37" s="3" t="s">
        <v>88</v>
      </c>
      <c r="BD37" s="3">
        <v>35.4</v>
      </c>
      <c r="BE37" s="3">
        <v>93</v>
      </c>
      <c r="BF37" s="3">
        <v>441</v>
      </c>
      <c r="BG37" s="3">
        <v>20</v>
      </c>
      <c r="BH37" s="3">
        <v>43</v>
      </c>
      <c r="BI37" s="3">
        <v>21</v>
      </c>
      <c r="BJ37" s="3">
        <v>74</v>
      </c>
      <c r="BK37" s="3">
        <v>7</v>
      </c>
      <c r="BL37" s="3">
        <v>202</v>
      </c>
      <c r="BM37" s="3">
        <v>768</v>
      </c>
      <c r="BN37" s="3">
        <v>1</v>
      </c>
      <c r="BO37" s="3" t="s">
        <v>89</v>
      </c>
      <c r="BP37" s="3" t="s">
        <v>90</v>
      </c>
      <c r="BQ37" s="3">
        <f>HYPERLINK(".\links\GO\gi_427795517-GO.txt",0)</f>
        <v>0</v>
      </c>
      <c r="BR37" s="3" t="str">
        <f>HYPERLINK("http://amigo.geneontology.org/cgi-bin/amigo/term_details?term=GO:0003824","GO:0003824")</f>
        <v>GO:0003824</v>
      </c>
      <c r="BS37" s="3" t="s">
        <v>91</v>
      </c>
      <c r="BT37" s="3" t="s">
        <v>92</v>
      </c>
      <c r="BU37" s="3" t="s">
        <v>93</v>
      </c>
      <c r="BV37" s="3" t="s">
        <v>36</v>
      </c>
      <c r="BX37" s="3">
        <v>0</v>
      </c>
      <c r="BY37" s="3" t="str">
        <f>HYPERLINK("http://amigo.geneontology.org/cgi-bin/amigo/term_details?term=GO:0005575","GO:0005575")</f>
        <v>GO:0005575</v>
      </c>
      <c r="BZ37" s="3" t="s">
        <v>60</v>
      </c>
      <c r="CA37" s="3" t="s">
        <v>61</v>
      </c>
      <c r="CB37" s="3" t="s">
        <v>62</v>
      </c>
      <c r="CC37" s="3" t="s">
        <v>36</v>
      </c>
      <c r="CE37" s="3">
        <v>0</v>
      </c>
      <c r="CF37" s="3" t="str">
        <f>HYPERLINK("http://amigo.geneontology.org/cgi-bin/amigo/term_details?term=GO:0005975","GO:0005975")</f>
        <v>GO:0005975</v>
      </c>
      <c r="CG37" s="3" t="s">
        <v>94</v>
      </c>
      <c r="CH37" s="3" t="s">
        <v>95</v>
      </c>
      <c r="CI37" s="3" t="s">
        <v>96</v>
      </c>
      <c r="CJ37" s="3" t="s">
        <v>36</v>
      </c>
      <c r="CL37" s="3">
        <v>0</v>
      </c>
      <c r="CM37" s="3" t="str">
        <f>HYPERLINK(".\links\CDD\gi_427795517-CDD.txt","GH38N_AMII_LAM_")</f>
        <v>GH38N_AMII_LAM_</v>
      </c>
      <c r="CN37" s="3" t="str">
        <f>HYPERLINK("http://www.ncbi.nlm.nih.gov/Structure/cdd/cddsrv.cgi?uid=cd10810&amp;version=v4.0","2E-097")</f>
        <v>2E-097</v>
      </c>
      <c r="CO37" s="3" t="s">
        <v>97</v>
      </c>
      <c r="CP37" s="3" t="str">
        <f>HYPERLINK(".\links\ACARI\gi_427795517-ACARI.txt","Putative glycosyl hydrolase family 38, partial")</f>
        <v>Putative glycosyl hydrolase family 38, partial</v>
      </c>
      <c r="CQ37" s="3" t="str">
        <f>HYPERLINK("http://www.ncbi.nlm.nih.gov/sutils/blink.cgi?pid=427795517","0.0")</f>
        <v>0.0</v>
      </c>
      <c r="CR37" s="3" t="str">
        <f>HYPERLINK("http://www.ncbi.nlm.nih.gov/protein/427795517","gi|427795517")</f>
        <v>gi|427795517</v>
      </c>
      <c r="CS37" s="3">
        <v>2184</v>
      </c>
      <c r="CT37" s="3">
        <v>1061</v>
      </c>
      <c r="CU37" s="3">
        <v>1061</v>
      </c>
      <c r="CV37" s="3">
        <v>100</v>
      </c>
      <c r="CW37" s="3">
        <v>100</v>
      </c>
      <c r="CX37" s="3">
        <v>100</v>
      </c>
      <c r="CY37" s="3">
        <v>0</v>
      </c>
      <c r="CZ37" s="3">
        <v>0</v>
      </c>
      <c r="DA37" s="3">
        <v>1</v>
      </c>
      <c r="DB37" s="3">
        <v>1</v>
      </c>
      <c r="DC37" s="3">
        <v>1</v>
      </c>
      <c r="DD37" s="3" t="s">
        <v>68</v>
      </c>
    </row>
    <row r="38" spans="1:108" s="3" customFormat="1" x14ac:dyDescent="0.2">
      <c r="A38" s="3" t="s">
        <v>1348</v>
      </c>
      <c r="B38" s="3" t="str">
        <f>HYPERLINK(".\links\\gi_198443749-.txt","gi_198443749")</f>
        <v>gi_198443749</v>
      </c>
      <c r="C38" s="3" t="s">
        <v>35</v>
      </c>
      <c r="D38" s="3">
        <v>334</v>
      </c>
      <c r="E38" s="9" t="s">
        <v>401</v>
      </c>
      <c r="F38" s="3" t="s">
        <v>1264</v>
      </c>
      <c r="G38" s="3" t="s">
        <v>1466</v>
      </c>
      <c r="H38" s="3" t="str">
        <f>HYPERLINK(".\links\UNIPROT-ACARI\gi_198443749-UNIPROT-ACARI.txt","Glyceraldehyde-3-phosphate dehydrogenase")</f>
        <v>Glyceraldehyde-3-phosphate dehydrogenase</v>
      </c>
      <c r="I38" s="3" t="str">
        <f>HYPERLINK("http://www.ncbi.nlm.nih.gov/sutils/blink.cgi?pid=B5TMF7","0.0")</f>
        <v>0.0</v>
      </c>
      <c r="J38" s="3" t="s">
        <v>888</v>
      </c>
      <c r="K38" s="3">
        <v>670</v>
      </c>
      <c r="L38" s="3">
        <v>334</v>
      </c>
      <c r="M38" s="3">
        <v>334</v>
      </c>
      <c r="N38" s="3">
        <v>100</v>
      </c>
      <c r="O38" s="3">
        <v>100</v>
      </c>
      <c r="P38" s="3">
        <v>100</v>
      </c>
      <c r="Q38" s="3">
        <v>0</v>
      </c>
      <c r="R38" s="3">
        <v>0</v>
      </c>
      <c r="S38" s="3">
        <v>1</v>
      </c>
      <c r="T38" s="3">
        <v>1</v>
      </c>
      <c r="U38" s="3">
        <v>1</v>
      </c>
      <c r="V38" s="3" t="s">
        <v>36</v>
      </c>
      <c r="W38" s="3" t="str">
        <f>HYPERLINK(".\links\NR-LIGHT\gi_198443749-NR-LIGHT.txt","glyceraldehyde 3-phosphate dehydrogenase, putative")</f>
        <v>glyceraldehyde 3-phosphate dehydrogenase, putative</v>
      </c>
      <c r="X38" s="3" t="str">
        <f>HYPERLINK("http://www.ncbi.nlm.nih.gov/sutils/blink.cgi?pid=241999408","1E-170")</f>
        <v>1E-170</v>
      </c>
      <c r="Y38" s="3" t="str">
        <f>HYPERLINK("http://www.ncbi.nlm.nih.gov/protein/241999408","gi|241999408")</f>
        <v>gi|241999408</v>
      </c>
      <c r="Z38" s="3">
        <v>601</v>
      </c>
      <c r="AA38" s="3">
        <v>330</v>
      </c>
      <c r="AB38" s="3">
        <v>334</v>
      </c>
      <c r="AC38" s="3">
        <v>89</v>
      </c>
      <c r="AD38" s="3">
        <v>95</v>
      </c>
      <c r="AE38" s="3">
        <v>99</v>
      </c>
      <c r="AF38" s="3">
        <v>36</v>
      </c>
      <c r="AG38" s="3">
        <v>0</v>
      </c>
      <c r="AH38" s="3">
        <v>3</v>
      </c>
      <c r="AI38" s="3">
        <v>4</v>
      </c>
      <c r="AJ38" s="3">
        <v>1</v>
      </c>
      <c r="AK38" s="3" t="s">
        <v>40</v>
      </c>
      <c r="AL38" s="3" t="str">
        <f>HYPERLINK(".\links\REFSEQ-INVERTEBRATE\gi_198443749-REFSEQ-INVERTEBRATE.txt","glyceraldehyde 3-phosphate dehydrogenase, putative")</f>
        <v>glyceraldehyde 3-phosphate dehydrogenase, putative</v>
      </c>
      <c r="AM38" s="3" t="str">
        <f>HYPERLINK("http://www.ncbi.nlm.nih.gov/sutils/blink.cgi?pid=241999408","1E-171")</f>
        <v>1E-171</v>
      </c>
      <c r="AN38" s="3" t="str">
        <f>HYPERLINK("http://www.ncbi.nlm.nih.gov/protein/241999408","gi|241999408")</f>
        <v>gi|241999408</v>
      </c>
      <c r="AO38" s="3">
        <v>601</v>
      </c>
      <c r="AP38" s="3">
        <v>330</v>
      </c>
      <c r="AQ38" s="3">
        <v>334</v>
      </c>
      <c r="AR38" s="3">
        <v>89</v>
      </c>
      <c r="AS38" s="3">
        <v>95</v>
      </c>
      <c r="AT38" s="3">
        <v>99</v>
      </c>
      <c r="AU38" s="3">
        <v>36</v>
      </c>
      <c r="AV38" s="3">
        <v>0</v>
      </c>
      <c r="AW38" s="3">
        <v>3</v>
      </c>
      <c r="AX38" s="3">
        <v>4</v>
      </c>
      <c r="AY38" s="3">
        <v>1</v>
      </c>
      <c r="AZ38" s="3" t="s">
        <v>40</v>
      </c>
      <c r="BA38" s="3" t="str">
        <f>HYPERLINK(".\links\MEROPS\gi_198443749-MEROPS.txt","- subfamily S1A unassigned peptidases (Drosophila pseudoobscura)")</f>
        <v>- subfamily S1A unassigned peptidases (Drosophila pseudoobscura)</v>
      </c>
      <c r="BB38" s="3" t="str">
        <f>HYPERLINK("http://www.ncbi.nlm.nih.gov/sutils/blink.cgi?pid=166856 - subfamily S1A unassigned peptidases (Drosophila pseudoobscura) [S01.UPA]#S01A#{peptidase unit","0.13")</f>
        <v>0.13</v>
      </c>
      <c r="BC38" s="3" t="s">
        <v>889</v>
      </c>
      <c r="BD38" s="3">
        <v>38.1</v>
      </c>
      <c r="BE38" s="3">
        <v>71</v>
      </c>
      <c r="BF38" s="3">
        <v>334</v>
      </c>
      <c r="BG38" s="3">
        <v>36</v>
      </c>
      <c r="BH38" s="3">
        <v>47</v>
      </c>
      <c r="BI38" s="3">
        <v>21</v>
      </c>
      <c r="BJ38" s="3">
        <v>45</v>
      </c>
      <c r="BK38" s="3">
        <v>0</v>
      </c>
      <c r="BL38" s="3">
        <v>85</v>
      </c>
      <c r="BM38" s="3">
        <v>28</v>
      </c>
      <c r="BN38" s="3">
        <v>1</v>
      </c>
      <c r="BO38" s="3" t="s">
        <v>890</v>
      </c>
      <c r="BP38" s="3" t="s">
        <v>891</v>
      </c>
      <c r="BQ38" s="3">
        <f>HYPERLINK(".\links\GO\gi_198443749-GO.txt",0)</f>
        <v>0</v>
      </c>
      <c r="BR38" s="3" t="str">
        <f>HYPERLINK("http://amigo.geneontology.org/cgi-bin/amigo/term_details?term=GO:0004365","GO:0004365")</f>
        <v>GO:0004365</v>
      </c>
      <c r="BS38" s="3" t="s">
        <v>512</v>
      </c>
      <c r="BT38" s="3" t="s">
        <v>513</v>
      </c>
      <c r="BU38" s="3" t="s">
        <v>514</v>
      </c>
      <c r="BV38" s="3" t="str">
        <f>HYPERLINK("http://www.genome.jp/dbget-bin/www_bfind_sub?mode=bfind&amp;max_hit=1000&amp;dbkey=kegg&amp;keywords=EC:1.2.1.12","EC:1.2.1.12")</f>
        <v>EC:1.2.1.12</v>
      </c>
      <c r="BX38" s="4">
        <v>9.9999999999999995E-145</v>
      </c>
      <c r="BY38" s="3" t="str">
        <f>HYPERLINK("http://amigo.geneontology.org/cgi-bin/amigo/term_details?term=GO:0005737","GO:0005737")</f>
        <v>GO:0005737</v>
      </c>
      <c r="BZ38" s="3" t="s">
        <v>374</v>
      </c>
      <c r="CA38" s="3" t="s">
        <v>375</v>
      </c>
      <c r="CB38" s="3" t="s">
        <v>36</v>
      </c>
      <c r="CC38" s="3" t="s">
        <v>36</v>
      </c>
      <c r="CE38" s="4">
        <v>9.9999999999999995E-145</v>
      </c>
      <c r="CF38" s="3" t="str">
        <f>HYPERLINK("http://amigo.geneontology.org/cgi-bin/amigo/term_details?term=GO:0006096","GO:0006096")</f>
        <v>GO:0006096</v>
      </c>
      <c r="CG38" s="3" t="s">
        <v>515</v>
      </c>
      <c r="CH38" s="3" t="s">
        <v>516</v>
      </c>
      <c r="CI38" s="3" t="s">
        <v>517</v>
      </c>
      <c r="CJ38" s="3" t="s">
        <v>36</v>
      </c>
      <c r="CL38" s="4">
        <v>9.9999999999999995E-145</v>
      </c>
      <c r="CM38" s="3" t="str">
        <f>HYPERLINK(".\links\CDD\gi_198443749-CDD.txt","PLN02272")</f>
        <v>PLN02272</v>
      </c>
      <c r="CN38" s="3" t="str">
        <f>HYPERLINK("http://www.ncbi.nlm.nih.gov/Structure/cdd/cddsrv.cgi?uid=PLN02272&amp;version=v4.0","1E-134")</f>
        <v>1E-134</v>
      </c>
      <c r="CO38" s="3" t="s">
        <v>892</v>
      </c>
      <c r="CP38" s="3" t="str">
        <f>HYPERLINK(".\links\ACARI\gi_198443749-ACARI.txt","glyceraldehyde 3-phosphate dehydrogenase")</f>
        <v>glyceraldehyde 3-phosphate dehydrogenase</v>
      </c>
      <c r="CQ38" s="3" t="str">
        <f>HYPERLINK("http://www.ncbi.nlm.nih.gov/sutils/blink.cgi?pid=198443749","0.0")</f>
        <v>0.0</v>
      </c>
      <c r="CR38" s="3" t="str">
        <f>HYPERLINK("http://www.ncbi.nlm.nih.gov/protein/198443749","gi|198443749")</f>
        <v>gi|198443749</v>
      </c>
      <c r="CS38" s="3">
        <v>670</v>
      </c>
      <c r="CT38" s="3">
        <v>334</v>
      </c>
      <c r="CU38" s="3">
        <v>334</v>
      </c>
      <c r="CV38" s="3">
        <v>100</v>
      </c>
      <c r="CW38" s="3">
        <v>100</v>
      </c>
      <c r="CX38" s="3">
        <v>100</v>
      </c>
      <c r="CY38" s="3">
        <v>0</v>
      </c>
      <c r="CZ38" s="3">
        <v>0</v>
      </c>
      <c r="DA38" s="3">
        <v>1</v>
      </c>
      <c r="DB38" s="3">
        <v>1</v>
      </c>
      <c r="DC38" s="3">
        <v>1</v>
      </c>
      <c r="DD38" s="3" t="s">
        <v>401</v>
      </c>
    </row>
    <row r="39" spans="1:108" s="3" customFormat="1" x14ac:dyDescent="0.2">
      <c r="A39" s="3" t="s">
        <v>1325</v>
      </c>
      <c r="B39" s="3" t="str">
        <f>HYPERLINK(".\links\\gi_346466113-.txt","gi_346466113")</f>
        <v>gi_346466113</v>
      </c>
      <c r="C39" s="3" t="s">
        <v>739</v>
      </c>
      <c r="D39" s="3">
        <v>553</v>
      </c>
      <c r="E39" s="9" t="s">
        <v>173</v>
      </c>
      <c r="F39" s="3" t="s">
        <v>1223</v>
      </c>
      <c r="G39" s="3" t="s">
        <v>1466</v>
      </c>
      <c r="H39" s="3" t="str">
        <f>HYPERLINK(".\links\UNIPROT-ACARI\gi_346466113-UNIPROT-ACARI.txt","ATP synthase subunit beta (Fragment)")</f>
        <v>ATP synthase subunit beta (Fragment)</v>
      </c>
      <c r="I39" s="3" t="str">
        <f>HYPERLINK("http://www.ncbi.nlm.nih.gov/sutils/blink.cgi?pid=G3MHD3","0.0")</f>
        <v>0.0</v>
      </c>
      <c r="J39" s="3" t="s">
        <v>766</v>
      </c>
      <c r="K39" s="3">
        <v>1072</v>
      </c>
      <c r="L39" s="3">
        <v>553</v>
      </c>
      <c r="M39" s="3">
        <v>553</v>
      </c>
      <c r="N39" s="3">
        <v>100</v>
      </c>
      <c r="O39" s="3">
        <v>100</v>
      </c>
      <c r="P39" s="3">
        <v>100</v>
      </c>
      <c r="Q39" s="3">
        <v>0</v>
      </c>
      <c r="R39" s="3">
        <v>0</v>
      </c>
      <c r="S39" s="3">
        <v>1</v>
      </c>
      <c r="T39" s="3">
        <v>1</v>
      </c>
      <c r="U39" s="3">
        <v>1</v>
      </c>
      <c r="V39" s="3" t="s">
        <v>36</v>
      </c>
      <c r="W39" s="3" t="str">
        <f>HYPERLINK(".\links\NR-LIGHT\gi_346466113-NR-LIGHT.txt","F0F1-type ATP synthase, beta subunit, putative")</f>
        <v>F0F1-type ATP synthase, beta subunit, putative</v>
      </c>
      <c r="X39" s="3" t="str">
        <f>HYPERLINK("http://www.ncbi.nlm.nih.gov/sutils/blink.cgi?pid=241729762","0.0")</f>
        <v>0.0</v>
      </c>
      <c r="Y39" s="3" t="str">
        <f>HYPERLINK("http://www.ncbi.nlm.nih.gov/protein/241729762","gi|241729762")</f>
        <v>gi|241729762</v>
      </c>
      <c r="Z39" s="3">
        <v>965</v>
      </c>
      <c r="AA39" s="3">
        <v>532</v>
      </c>
      <c r="AB39" s="3">
        <v>563</v>
      </c>
      <c r="AC39" s="3">
        <v>92</v>
      </c>
      <c r="AD39" s="3">
        <v>95</v>
      </c>
      <c r="AE39" s="3">
        <v>94</v>
      </c>
      <c r="AF39" s="3">
        <v>38</v>
      </c>
      <c r="AG39" s="3">
        <v>0</v>
      </c>
      <c r="AH39" s="3">
        <v>32</v>
      </c>
      <c r="AI39" s="3">
        <v>22</v>
      </c>
      <c r="AJ39" s="3">
        <v>1</v>
      </c>
      <c r="AK39" s="3" t="s">
        <v>40</v>
      </c>
      <c r="AL39" s="3" t="str">
        <f>HYPERLINK(".\links\REFSEQ-INVERTEBRATE\gi_346466113-REFSEQ-INVERTEBRATE.txt","F0F1-type ATP synthase, beta subunit, putative")</f>
        <v>F0F1-type ATP synthase, beta subunit, putative</v>
      </c>
      <c r="AM39" s="3" t="str">
        <f>HYPERLINK("http://www.ncbi.nlm.nih.gov/sutils/blink.cgi?pid=241729762","0.0")</f>
        <v>0.0</v>
      </c>
      <c r="AN39" s="3" t="str">
        <f>HYPERLINK("http://www.ncbi.nlm.nih.gov/protein/241729762","gi|241729762")</f>
        <v>gi|241729762</v>
      </c>
      <c r="AO39" s="3">
        <v>965</v>
      </c>
      <c r="AP39" s="3">
        <v>532</v>
      </c>
      <c r="AQ39" s="3">
        <v>563</v>
      </c>
      <c r="AR39" s="3">
        <v>92</v>
      </c>
      <c r="AS39" s="3">
        <v>95</v>
      </c>
      <c r="AT39" s="3">
        <v>94</v>
      </c>
      <c r="AU39" s="3">
        <v>38</v>
      </c>
      <c r="AV39" s="3">
        <v>0</v>
      </c>
      <c r="AW39" s="3">
        <v>32</v>
      </c>
      <c r="AX39" s="3">
        <v>22</v>
      </c>
      <c r="AY39" s="3">
        <v>1</v>
      </c>
      <c r="AZ39" s="3" t="s">
        <v>40</v>
      </c>
      <c r="BA39" s="3" t="str">
        <f>HYPERLINK(".\links\MEROPS\gi_346466113-MEROPS.txt","- family N10 unassigned peptide lyases (Methanothermus fervidus)")</f>
        <v>- family N10 unassigned peptide lyases (Methanothermus fervidus)</v>
      </c>
      <c r="BB39" s="3" t="str">
        <f>HYPERLINK("http://www.ncbi.nlm.nih.gov/sutils/blink.cgi?pid=194046 - family N10 unassigned peptide lyases (Methanothermus fervidus) [N10.UPW]#N10#{peptidase unit","8E-019")</f>
        <v>8E-019</v>
      </c>
      <c r="BC39" s="3" t="s">
        <v>767</v>
      </c>
      <c r="BD39" s="3">
        <v>96.3</v>
      </c>
      <c r="BE39" s="3">
        <v>317</v>
      </c>
      <c r="BF39" s="3">
        <v>941</v>
      </c>
      <c r="BG39" s="3">
        <v>27</v>
      </c>
      <c r="BH39" s="3">
        <v>43</v>
      </c>
      <c r="BI39" s="3">
        <v>34</v>
      </c>
      <c r="BJ39" s="3">
        <v>231</v>
      </c>
      <c r="BK39" s="3">
        <v>36</v>
      </c>
      <c r="BL39" s="3">
        <v>556</v>
      </c>
      <c r="BM39" s="3">
        <v>198</v>
      </c>
      <c r="BN39" s="3">
        <v>1</v>
      </c>
      <c r="BO39" s="3" t="s">
        <v>768</v>
      </c>
      <c r="BP39" s="3" t="s">
        <v>769</v>
      </c>
      <c r="BQ39" s="3">
        <f>HYPERLINK(".\links\GO\gi_346466113-GO.txt",0)</f>
        <v>0</v>
      </c>
      <c r="BR39" s="3" t="str">
        <f>HYPERLINK("http://amigo.geneontology.org/cgi-bin/amigo/term_details?term=GO:0005524","GO:0005524")</f>
        <v>GO:0005524</v>
      </c>
      <c r="BS39" s="3" t="s">
        <v>523</v>
      </c>
      <c r="BT39" s="3" t="s">
        <v>524</v>
      </c>
      <c r="BU39" s="3" t="s">
        <v>36</v>
      </c>
      <c r="BV39" s="3" t="s">
        <v>36</v>
      </c>
      <c r="BX39" s="3">
        <v>0</v>
      </c>
      <c r="BY39" s="3" t="str">
        <f>HYPERLINK("http://amigo.geneontology.org/cgi-bin/amigo/term_details?term=GO:0005743","GO:0005743")</f>
        <v>GO:0005743</v>
      </c>
      <c r="BZ39" s="3" t="s">
        <v>770</v>
      </c>
      <c r="CA39" s="3" t="s">
        <v>771</v>
      </c>
      <c r="CB39" s="3" t="s">
        <v>772</v>
      </c>
      <c r="CC39" s="3" t="s">
        <v>36</v>
      </c>
      <c r="CE39" s="3">
        <v>0</v>
      </c>
      <c r="CF39" s="3" t="str">
        <f>HYPERLINK("http://amigo.geneontology.org/cgi-bin/amigo/term_details?term=GO:0001525","GO:0001525")</f>
        <v>GO:0001525</v>
      </c>
      <c r="CG39" s="3" t="s">
        <v>773</v>
      </c>
      <c r="CH39" s="3" t="s">
        <v>774</v>
      </c>
      <c r="CI39" s="3" t="s">
        <v>775</v>
      </c>
      <c r="CJ39" s="3" t="s">
        <v>36</v>
      </c>
      <c r="CL39" s="3">
        <v>0</v>
      </c>
      <c r="CM39" s="3" t="str">
        <f>HYPERLINK(".\links\CDD\gi_346466113-CDD.txt","atpD")</f>
        <v>atpD</v>
      </c>
      <c r="CN39" s="3" t="str">
        <f>HYPERLINK("http://www.ncbi.nlm.nih.gov/Structure/cdd/cddsrv.cgi?uid=TIGR01039&amp;version=v4.0","0.0")</f>
        <v>0.0</v>
      </c>
      <c r="CO39" s="3" t="s">
        <v>776</v>
      </c>
      <c r="CP39" s="3" t="str">
        <f>HYPERLINK(".\links\ACARI\gi_346466113-ACARI.txt","hypothetical protein, partial")</f>
        <v>hypothetical protein, partial</v>
      </c>
      <c r="CQ39" s="3" t="str">
        <f>HYPERLINK("http://www.ncbi.nlm.nih.gov/sutils/blink.cgi?pid=346466113","0.0")</f>
        <v>0.0</v>
      </c>
      <c r="CR39" s="3" t="str">
        <f>HYPERLINK("http://www.ncbi.nlm.nih.gov/protein/346466113","gi|346466113")</f>
        <v>gi|346466113</v>
      </c>
      <c r="CS39" s="3">
        <v>1072</v>
      </c>
      <c r="CT39" s="3">
        <v>553</v>
      </c>
      <c r="CU39" s="3">
        <v>553</v>
      </c>
      <c r="CV39" s="3">
        <v>100</v>
      </c>
      <c r="CW39" s="3">
        <v>100</v>
      </c>
      <c r="CX39" s="3">
        <v>100</v>
      </c>
      <c r="CY39" s="3">
        <v>0</v>
      </c>
      <c r="CZ39" s="3">
        <v>0</v>
      </c>
      <c r="DA39" s="3">
        <v>1</v>
      </c>
      <c r="DB39" s="3">
        <v>1</v>
      </c>
      <c r="DC39" s="3">
        <v>1</v>
      </c>
      <c r="DD39" s="3" t="s">
        <v>173</v>
      </c>
    </row>
    <row r="40" spans="1:108" s="3" customFormat="1" x14ac:dyDescent="0.2">
      <c r="A40" s="3" t="s">
        <v>1337</v>
      </c>
      <c r="B40" s="3" t="str">
        <f>HYPERLINK(".\links\\gi_346469469-.txt","gi_346469469")</f>
        <v>gi_346469469</v>
      </c>
      <c r="C40" s="3" t="s">
        <v>35</v>
      </c>
      <c r="D40" s="3">
        <v>530</v>
      </c>
      <c r="E40" s="9" t="s">
        <v>173</v>
      </c>
      <c r="F40" s="3" t="s">
        <v>1227</v>
      </c>
      <c r="G40" s="3" t="s">
        <v>1466</v>
      </c>
      <c r="H40" s="3" t="str">
        <f>HYPERLINK(".\links\UNIPROT-ACARI\gi_346469469-UNIPROT-ACARI.txt","Putative uncharacterized protein")</f>
        <v>Putative uncharacterized protein</v>
      </c>
      <c r="I40" s="3" t="str">
        <f>HYPERLINK("http://www.ncbi.nlm.nih.gov/sutils/blink.cgi?pid=G3MM61","0.0")</f>
        <v>0.0</v>
      </c>
      <c r="J40" s="3" t="s">
        <v>724</v>
      </c>
      <c r="K40" s="3">
        <v>1036</v>
      </c>
      <c r="L40" s="3">
        <v>530</v>
      </c>
      <c r="M40" s="3">
        <v>530</v>
      </c>
      <c r="N40" s="3">
        <v>100</v>
      </c>
      <c r="O40" s="3">
        <v>100</v>
      </c>
      <c r="P40" s="3">
        <v>100</v>
      </c>
      <c r="Q40" s="3">
        <v>0</v>
      </c>
      <c r="R40" s="3">
        <v>0</v>
      </c>
      <c r="S40" s="3">
        <v>1</v>
      </c>
      <c r="T40" s="3">
        <v>1</v>
      </c>
      <c r="U40" s="3">
        <v>1</v>
      </c>
      <c r="V40" s="3" t="s">
        <v>36</v>
      </c>
      <c r="W40" s="3" t="str">
        <f>HYPERLINK(".\links\NR-LIGHT\gi_346469469-NR-LIGHT.txt","D-3-phosphoglycerate dehydrogenase, putative")</f>
        <v>D-3-phosphoglycerate dehydrogenase, putative</v>
      </c>
      <c r="X40" s="3" t="str">
        <f>HYPERLINK("http://www.ncbi.nlm.nih.gov/sutils/blink.cgi?pid=240991833","0.0")</f>
        <v>0.0</v>
      </c>
      <c r="Y40" s="3" t="str">
        <f>HYPERLINK("http://www.ncbi.nlm.nih.gov/protein/240991833","gi|240991833")</f>
        <v>gi|240991833</v>
      </c>
      <c r="Z40" s="3">
        <v>780</v>
      </c>
      <c r="AA40" s="3">
        <v>478</v>
      </c>
      <c r="AB40" s="3">
        <v>473</v>
      </c>
      <c r="AC40" s="3">
        <v>83</v>
      </c>
      <c r="AD40" s="3">
        <v>89</v>
      </c>
      <c r="AE40" s="3">
        <v>101</v>
      </c>
      <c r="AF40" s="3">
        <v>81</v>
      </c>
      <c r="AG40" s="3">
        <v>5</v>
      </c>
      <c r="AH40" s="3">
        <v>1</v>
      </c>
      <c r="AI40" s="3">
        <v>1</v>
      </c>
      <c r="AJ40" s="3">
        <v>1</v>
      </c>
      <c r="AK40" s="3" t="s">
        <v>40</v>
      </c>
      <c r="AL40" s="3" t="str">
        <f>HYPERLINK(".\links\REFSEQ-INVERTEBRATE\gi_346469469-REFSEQ-INVERTEBRATE.txt","D-3-phosphoglycerate dehydrogenase, putative, partial")</f>
        <v>D-3-phosphoglycerate dehydrogenase, putative, partial</v>
      </c>
      <c r="AM40" s="3" t="str">
        <f>HYPERLINK("http://www.ncbi.nlm.nih.gov/sutils/blink.cgi?pid=240991833","0.0")</f>
        <v>0.0</v>
      </c>
      <c r="AN40" s="3" t="str">
        <f>HYPERLINK("http://www.ncbi.nlm.nih.gov/protein/240991833","gi|240991833")</f>
        <v>gi|240991833</v>
      </c>
      <c r="AO40" s="3">
        <v>780</v>
      </c>
      <c r="AP40" s="3">
        <v>478</v>
      </c>
      <c r="AQ40" s="3">
        <v>473</v>
      </c>
      <c r="AR40" s="3">
        <v>83</v>
      </c>
      <c r="AS40" s="3">
        <v>89</v>
      </c>
      <c r="AT40" s="3">
        <v>101</v>
      </c>
      <c r="AU40" s="3">
        <v>81</v>
      </c>
      <c r="AV40" s="3">
        <v>5</v>
      </c>
      <c r="AW40" s="3">
        <v>1</v>
      </c>
      <c r="AX40" s="3">
        <v>1</v>
      </c>
      <c r="AY40" s="3">
        <v>1</v>
      </c>
      <c r="AZ40" s="3" t="s">
        <v>40</v>
      </c>
      <c r="BA40" s="3" t="str">
        <f>HYPERLINK(".\links\MEROPS\gi_346469469-MEROPS.txt","- subfamily S41A non-peptidase homologues (Catenulispora acidiphila)")</f>
        <v>- subfamily S41A non-peptidase homologues (Catenulispora acidiphila)</v>
      </c>
      <c r="BB40" s="3" t="str">
        <f>HYPERLINK("http://www.ncbi.nlm.nih.gov/sutils/blink.cgi?pid=133095 - subfamily S41A non-peptidase homologues (Catenulispora acidiphila) [S41.UNA]#S41A#{peptidase unit","0.029")</f>
        <v>0.029</v>
      </c>
      <c r="BC40" s="3" t="s">
        <v>725</v>
      </c>
      <c r="BD40" s="3">
        <v>41.2</v>
      </c>
      <c r="BE40" s="3">
        <v>159</v>
      </c>
      <c r="BF40" s="3">
        <v>509</v>
      </c>
      <c r="BG40" s="3">
        <v>24</v>
      </c>
      <c r="BH40" s="3">
        <v>41</v>
      </c>
      <c r="BI40" s="3">
        <v>31</v>
      </c>
      <c r="BJ40" s="3">
        <v>120</v>
      </c>
      <c r="BK40" s="3">
        <v>35</v>
      </c>
      <c r="BL40" s="3">
        <v>147</v>
      </c>
      <c r="BM40" s="3">
        <v>328</v>
      </c>
      <c r="BN40" s="3">
        <v>1</v>
      </c>
      <c r="BO40" s="3" t="s">
        <v>726</v>
      </c>
      <c r="BP40" s="3" t="s">
        <v>624</v>
      </c>
      <c r="BQ40" s="3">
        <f>HYPERLINK(".\links\GO\gi_346469469-GO.txt",0)</f>
        <v>0</v>
      </c>
      <c r="BR40" s="3" t="str">
        <f>HYPERLINK("http://amigo.geneontology.org/cgi-bin/amigo/term_details?term=GO:0051287","GO:0051287")</f>
        <v>GO:0051287</v>
      </c>
      <c r="BS40" s="3" t="s">
        <v>625</v>
      </c>
      <c r="BT40" s="3" t="s">
        <v>626</v>
      </c>
      <c r="BU40" s="3" t="s">
        <v>627</v>
      </c>
      <c r="BV40" s="3" t="s">
        <v>36</v>
      </c>
      <c r="BX40" s="4">
        <v>1E-136</v>
      </c>
      <c r="BY40" s="3" t="str">
        <f>HYPERLINK("http://amigo.geneontology.org/cgi-bin/amigo/term_details?term=GO:0005575","GO:0005575")</f>
        <v>GO:0005575</v>
      </c>
      <c r="BZ40" s="3" t="s">
        <v>60</v>
      </c>
      <c r="CA40" s="3" t="s">
        <v>61</v>
      </c>
      <c r="CB40" s="3" t="s">
        <v>62</v>
      </c>
      <c r="CC40" s="3" t="s">
        <v>36</v>
      </c>
      <c r="CE40" s="4">
        <v>1E-136</v>
      </c>
      <c r="CF40" s="3" t="str">
        <f>HYPERLINK("http://amigo.geneontology.org/cgi-bin/amigo/term_details?term=GO:0055114","GO:0055114")</f>
        <v>GO:0055114</v>
      </c>
      <c r="CG40" s="3" t="s">
        <v>537</v>
      </c>
      <c r="CH40" s="3" t="s">
        <v>538</v>
      </c>
      <c r="CI40" s="3" t="s">
        <v>539</v>
      </c>
      <c r="CJ40" s="3" t="s">
        <v>36</v>
      </c>
      <c r="CL40" s="4">
        <v>1E-136</v>
      </c>
      <c r="CM40" s="3" t="str">
        <f>HYPERLINK(".\links\CDD\gi_346469469-CDD.txt","D-3-phosphoglycerate dehydrogenase")</f>
        <v>D-3-phosphoglycerate dehydrogenase</v>
      </c>
      <c r="CN40" s="3" t="str">
        <f>HYPERLINK("http://www.ncbi.nlm.nih.gov/Structure/cdd/cddsrv.cgi?uid=PRK13581&amp;version=v4.0","1E-108")</f>
        <v>1E-108</v>
      </c>
      <c r="CO40" s="3" t="s">
        <v>727</v>
      </c>
      <c r="CP40" s="3" t="str">
        <f>HYPERLINK(".\links\ACARI\gi_346469469-ACARI.txt","hypothetical protein")</f>
        <v>hypothetical protein</v>
      </c>
      <c r="CQ40" s="3" t="str">
        <f>HYPERLINK("http://www.ncbi.nlm.nih.gov/sutils/blink.cgi?pid=346469469","0.0")</f>
        <v>0.0</v>
      </c>
      <c r="CR40" s="3" t="str">
        <f>HYPERLINK("http://www.ncbi.nlm.nih.gov/protein/346469469","gi|346469469")</f>
        <v>gi|346469469</v>
      </c>
      <c r="CS40" s="3">
        <v>1036</v>
      </c>
      <c r="CT40" s="3">
        <v>530</v>
      </c>
      <c r="CU40" s="3">
        <v>530</v>
      </c>
      <c r="CV40" s="3">
        <v>100</v>
      </c>
      <c r="CW40" s="3">
        <v>100</v>
      </c>
      <c r="CX40" s="3">
        <v>100</v>
      </c>
      <c r="CY40" s="3">
        <v>0</v>
      </c>
      <c r="CZ40" s="3">
        <v>0</v>
      </c>
      <c r="DA40" s="3">
        <v>1</v>
      </c>
      <c r="DB40" s="3">
        <v>1</v>
      </c>
      <c r="DC40" s="3">
        <v>1</v>
      </c>
      <c r="DD40" s="3" t="s">
        <v>173</v>
      </c>
    </row>
    <row r="41" spans="1:108" s="3" customFormat="1" x14ac:dyDescent="0.2">
      <c r="A41" s="3" t="s">
        <v>1341</v>
      </c>
      <c r="B41" s="3" t="str">
        <f>HYPERLINK(".\links\\gi_346471257-.txt","gi_346471257")</f>
        <v>gi_346471257</v>
      </c>
      <c r="C41" s="3" t="s">
        <v>35</v>
      </c>
      <c r="D41" s="3">
        <v>411</v>
      </c>
      <c r="E41" s="9" t="s">
        <v>173</v>
      </c>
      <c r="F41" s="3" t="s">
        <v>1260</v>
      </c>
      <c r="G41" s="3" t="s">
        <v>1466</v>
      </c>
      <c r="H41" s="3" t="str">
        <f>HYPERLINK(".\links\UNIPROT-ACARI\gi_346471257-UNIPROT-ACARI.txt","Isocitrate dehydrogenase")</f>
        <v>Isocitrate dehydrogenase</v>
      </c>
      <c r="I41" s="3" t="str">
        <f>HYPERLINK("http://www.ncbi.nlm.nih.gov/sutils/blink.cgi?pid=G3MPQ5","0.0")</f>
        <v>0.0</v>
      </c>
      <c r="J41" s="3" t="s">
        <v>692</v>
      </c>
      <c r="K41" s="3">
        <v>841</v>
      </c>
      <c r="L41" s="3">
        <v>411</v>
      </c>
      <c r="M41" s="3">
        <v>411</v>
      </c>
      <c r="N41" s="3">
        <v>100</v>
      </c>
      <c r="O41" s="3">
        <v>100</v>
      </c>
      <c r="P41" s="3">
        <v>100</v>
      </c>
      <c r="Q41" s="3">
        <v>0</v>
      </c>
      <c r="R41" s="3">
        <v>0</v>
      </c>
      <c r="S41" s="3">
        <v>1</v>
      </c>
      <c r="T41" s="3">
        <v>1</v>
      </c>
      <c r="U41" s="3">
        <v>1</v>
      </c>
      <c r="V41" s="3" t="s">
        <v>594</v>
      </c>
      <c r="W41" s="3" t="str">
        <f>HYPERLINK(".\links\NR-LIGHT\gi_346471257-NR-LIGHT.txt","NADP-dependent isocitrate dehydrogenase, putative")</f>
        <v>NADP-dependent isocitrate dehydrogenase, putative</v>
      </c>
      <c r="X41" s="3" t="str">
        <f>HYPERLINK("http://www.ncbi.nlm.nih.gov/sutils/blink.cgi?pid=241998642","0.0")</f>
        <v>0.0</v>
      </c>
      <c r="Y41" s="3" t="str">
        <f>HYPERLINK("http://www.ncbi.nlm.nih.gov/protein/241998642","gi|241998642")</f>
        <v>gi|241998642</v>
      </c>
      <c r="Z41" s="3">
        <v>761</v>
      </c>
      <c r="AA41" s="3">
        <v>412</v>
      </c>
      <c r="AB41" s="3">
        <v>412</v>
      </c>
      <c r="AC41" s="3">
        <v>89</v>
      </c>
      <c r="AD41" s="3">
        <v>94</v>
      </c>
      <c r="AE41" s="3">
        <v>100</v>
      </c>
      <c r="AF41" s="3">
        <v>44</v>
      </c>
      <c r="AG41" s="3">
        <v>1</v>
      </c>
      <c r="AH41" s="3">
        <v>1</v>
      </c>
      <c r="AI41" s="3">
        <v>1</v>
      </c>
      <c r="AJ41" s="3">
        <v>1</v>
      </c>
      <c r="AK41" s="3" t="s">
        <v>40</v>
      </c>
      <c r="AL41" s="3" t="str">
        <f>HYPERLINK(".\links\REFSEQ-INVERTEBRATE\gi_346471257-REFSEQ-INVERTEBRATE.txt","NADP-dependent isocitrate dehydrogenase, putative")</f>
        <v>NADP-dependent isocitrate dehydrogenase, putative</v>
      </c>
      <c r="AM41" s="3" t="str">
        <f>HYPERLINK("http://www.ncbi.nlm.nih.gov/sutils/blink.cgi?pid=241998642","0.0")</f>
        <v>0.0</v>
      </c>
      <c r="AN41" s="3" t="str">
        <f>HYPERLINK("http://www.ncbi.nlm.nih.gov/protein/241998642","gi|241998642")</f>
        <v>gi|241998642</v>
      </c>
      <c r="AO41" s="3">
        <v>761</v>
      </c>
      <c r="AP41" s="3">
        <v>412</v>
      </c>
      <c r="AQ41" s="3">
        <v>412</v>
      </c>
      <c r="AR41" s="3">
        <v>89</v>
      </c>
      <c r="AS41" s="3">
        <v>94</v>
      </c>
      <c r="AT41" s="3">
        <v>100</v>
      </c>
      <c r="AU41" s="3">
        <v>44</v>
      </c>
      <c r="AV41" s="3">
        <v>1</v>
      </c>
      <c r="AW41" s="3">
        <v>1</v>
      </c>
      <c r="AX41" s="3">
        <v>1</v>
      </c>
      <c r="AY41" s="3">
        <v>1</v>
      </c>
      <c r="AZ41" s="3" t="s">
        <v>40</v>
      </c>
      <c r="BA41" s="3" t="str">
        <f>HYPERLINK(".\links\MEROPS\gi_346471257-MEROPS.txt","- family T5 unassigned peptidases (Pasteurella trehalosi)")</f>
        <v>- family T5 unassigned peptidases (Pasteurella trehalosi)</v>
      </c>
      <c r="BB41" s="3" t="str">
        <f>HYPERLINK("http://www.ncbi.nlm.nih.gov/sutils/blink.cgi?pid=499825 - family T5 unassigned peptidases (Pasteurella trehalosi) [T05.UPW]#T05#{peptidase unit","1.9")</f>
        <v>1.9</v>
      </c>
      <c r="BC41" s="3" t="s">
        <v>693</v>
      </c>
      <c r="BD41" s="3">
        <v>34.700000000000003</v>
      </c>
      <c r="BE41" s="3">
        <v>42</v>
      </c>
      <c r="BF41" s="3">
        <v>406</v>
      </c>
      <c r="BG41" s="3">
        <v>40</v>
      </c>
      <c r="BH41" s="3">
        <v>64</v>
      </c>
      <c r="BI41" s="3">
        <v>10</v>
      </c>
      <c r="BJ41" s="3">
        <v>25</v>
      </c>
      <c r="BK41" s="3">
        <v>3</v>
      </c>
      <c r="BL41" s="3">
        <v>225</v>
      </c>
      <c r="BM41" s="3">
        <v>324</v>
      </c>
      <c r="BN41" s="3">
        <v>1</v>
      </c>
      <c r="BO41" s="3" t="s">
        <v>694</v>
      </c>
      <c r="BP41" s="3" t="s">
        <v>597</v>
      </c>
      <c r="BQ41" s="3">
        <f>HYPERLINK(".\links\GO\gi_346471257-GO.txt",0)</f>
        <v>0</v>
      </c>
      <c r="BR41" s="3" t="str">
        <f>HYPERLINK("http://amigo.geneontology.org/cgi-bin/amigo/term_details?term=GO:0000287","GO:0000287")</f>
        <v>GO:0000287</v>
      </c>
      <c r="BS41" s="3" t="s">
        <v>598</v>
      </c>
      <c r="BT41" s="3" t="s">
        <v>599</v>
      </c>
      <c r="BU41" s="3" t="s">
        <v>600</v>
      </c>
      <c r="BV41" s="3" t="s">
        <v>36</v>
      </c>
      <c r="BX41" s="3">
        <v>0</v>
      </c>
      <c r="BY41" s="3" t="str">
        <f>HYPERLINK("http://amigo.geneontology.org/cgi-bin/amigo/term_details?term=GO:0005739","GO:0005739")</f>
        <v>GO:0005739</v>
      </c>
      <c r="BZ41" s="3" t="s">
        <v>570</v>
      </c>
      <c r="CA41" s="3" t="s">
        <v>571</v>
      </c>
      <c r="CB41" s="3" t="s">
        <v>572</v>
      </c>
      <c r="CC41" s="3" t="s">
        <v>36</v>
      </c>
      <c r="CE41" s="3">
        <v>0</v>
      </c>
      <c r="CF41" s="3" t="str">
        <f>HYPERLINK("http://amigo.geneontology.org/cgi-bin/amigo/term_details?term=GO:0006102","GO:0006102")</f>
        <v>GO:0006102</v>
      </c>
      <c r="CG41" s="3" t="s">
        <v>601</v>
      </c>
      <c r="CH41" s="3" t="s">
        <v>602</v>
      </c>
      <c r="CI41" s="3" t="s">
        <v>603</v>
      </c>
      <c r="CJ41" s="3" t="s">
        <v>36</v>
      </c>
      <c r="CL41" s="3">
        <v>0</v>
      </c>
      <c r="CM41" s="3" t="str">
        <f>HYPERLINK(".\links\CDD\gi_346471257-CDD.txt","PTZ00435")</f>
        <v>PTZ00435</v>
      </c>
      <c r="CN41" s="3" t="str">
        <f>HYPERLINK("http://www.ncbi.nlm.nih.gov/Structure/cdd/cddsrv.cgi?uid=PTZ00435&amp;version=v4.0","0.0")</f>
        <v>0.0</v>
      </c>
      <c r="CO41" s="3" t="s">
        <v>695</v>
      </c>
      <c r="CP41" s="3" t="str">
        <f>HYPERLINK(".\links\ACARI\gi_346471257-ACARI.txt","hypothetical protein")</f>
        <v>hypothetical protein</v>
      </c>
      <c r="CQ41" s="3" t="str">
        <f>HYPERLINK("http://www.ncbi.nlm.nih.gov/sutils/blink.cgi?pid=346471257","0.0")</f>
        <v>0.0</v>
      </c>
      <c r="CR41" s="3" t="str">
        <f>HYPERLINK("http://www.ncbi.nlm.nih.gov/protein/346471257","gi|346471257")</f>
        <v>gi|346471257</v>
      </c>
      <c r="CS41" s="3">
        <v>841</v>
      </c>
      <c r="CT41" s="3">
        <v>411</v>
      </c>
      <c r="CU41" s="3">
        <v>411</v>
      </c>
      <c r="CV41" s="3">
        <v>100</v>
      </c>
      <c r="CW41" s="3">
        <v>100</v>
      </c>
      <c r="CX41" s="3">
        <v>100</v>
      </c>
      <c r="CY41" s="3">
        <v>0</v>
      </c>
      <c r="CZ41" s="3">
        <v>0</v>
      </c>
      <c r="DA41" s="3">
        <v>1</v>
      </c>
      <c r="DB41" s="3">
        <v>1</v>
      </c>
      <c r="DC41" s="3">
        <v>1</v>
      </c>
      <c r="DD41" s="3" t="s">
        <v>173</v>
      </c>
    </row>
    <row r="42" spans="1:108" s="3" customFormat="1" x14ac:dyDescent="0.2">
      <c r="A42" s="3" t="s">
        <v>1343</v>
      </c>
      <c r="B42" s="3" t="str">
        <f>HYPERLINK(".\links\\gi_427789279-.txt","gi_427789279")</f>
        <v>gi_427789279</v>
      </c>
      <c r="C42" s="3" t="s">
        <v>35</v>
      </c>
      <c r="D42" s="3">
        <v>530</v>
      </c>
      <c r="E42" s="9" t="s">
        <v>68</v>
      </c>
      <c r="F42" s="3" t="s">
        <v>1227</v>
      </c>
      <c r="G42" s="3" t="s">
        <v>1466</v>
      </c>
      <c r="H42" s="3" t="str">
        <f>HYPERLINK(".\links\UNIPROT-ACARI\gi_427789279-UNIPROT-ACARI.txt","Putative glyoxylate/hydroxypyruvate reduct")</f>
        <v>Putative glyoxylate/hydroxypyruvate reduct</v>
      </c>
      <c r="I42" s="3" t="str">
        <f>HYPERLINK("http://www.ncbi.nlm.nih.gov/sutils/blink.cgi?pid=L7M743","0.0")</f>
        <v>0.0</v>
      </c>
      <c r="J42" s="3" t="s">
        <v>621</v>
      </c>
      <c r="K42" s="3">
        <v>1035</v>
      </c>
      <c r="L42" s="3">
        <v>530</v>
      </c>
      <c r="M42" s="3">
        <v>530</v>
      </c>
      <c r="N42" s="3">
        <v>100</v>
      </c>
      <c r="O42" s="3">
        <v>100</v>
      </c>
      <c r="P42" s="3">
        <v>100</v>
      </c>
      <c r="Q42" s="3">
        <v>0</v>
      </c>
      <c r="R42" s="3">
        <v>0</v>
      </c>
      <c r="S42" s="3">
        <v>1</v>
      </c>
      <c r="T42" s="3">
        <v>1</v>
      </c>
      <c r="U42" s="3">
        <v>1</v>
      </c>
      <c r="V42" s="3" t="s">
        <v>36</v>
      </c>
      <c r="W42" s="3" t="str">
        <f>HYPERLINK(".\links\NR-LIGHT\gi_427789279-NR-LIGHT.txt","D-3-phosphoglycerate dehydrogenase, putative")</f>
        <v>D-3-phosphoglycerate dehydrogenase, putative</v>
      </c>
      <c r="X42" s="3" t="str">
        <f>HYPERLINK("http://www.ncbi.nlm.nih.gov/sutils/blink.cgi?pid=240991833","0.0")</f>
        <v>0.0</v>
      </c>
      <c r="Y42" s="3" t="str">
        <f>HYPERLINK("http://www.ncbi.nlm.nih.gov/protein/240991833","gi|240991833")</f>
        <v>gi|240991833</v>
      </c>
      <c r="Z42" s="3">
        <v>782</v>
      </c>
      <c r="AA42" s="3">
        <v>479</v>
      </c>
      <c r="AB42" s="3">
        <v>473</v>
      </c>
      <c r="AC42" s="3">
        <v>83</v>
      </c>
      <c r="AD42" s="3">
        <v>90</v>
      </c>
      <c r="AE42" s="3">
        <v>101</v>
      </c>
      <c r="AF42" s="3">
        <v>79</v>
      </c>
      <c r="AG42" s="3">
        <v>7</v>
      </c>
      <c r="AH42" s="3">
        <v>1</v>
      </c>
      <c r="AI42" s="3">
        <v>1</v>
      </c>
      <c r="AJ42" s="3">
        <v>1</v>
      </c>
      <c r="AK42" s="3" t="s">
        <v>40</v>
      </c>
      <c r="AL42" s="3" t="str">
        <f>HYPERLINK(".\links\REFSEQ-INVERTEBRATE\gi_427789279-REFSEQ-INVERTEBRATE.txt","D-3-phosphoglycerate dehydrogenase, putative, partial")</f>
        <v>D-3-phosphoglycerate dehydrogenase, putative, partial</v>
      </c>
      <c r="AM42" s="3" t="str">
        <f>HYPERLINK("http://www.ncbi.nlm.nih.gov/sutils/blink.cgi?pid=240991833","0.0")</f>
        <v>0.0</v>
      </c>
      <c r="AN42" s="3" t="str">
        <f>HYPERLINK("http://www.ncbi.nlm.nih.gov/protein/240991833","gi|240991833")</f>
        <v>gi|240991833</v>
      </c>
      <c r="AO42" s="3">
        <v>782</v>
      </c>
      <c r="AP42" s="3">
        <v>479</v>
      </c>
      <c r="AQ42" s="3">
        <v>473</v>
      </c>
      <c r="AR42" s="3">
        <v>83</v>
      </c>
      <c r="AS42" s="3">
        <v>90</v>
      </c>
      <c r="AT42" s="3">
        <v>101</v>
      </c>
      <c r="AU42" s="3">
        <v>79</v>
      </c>
      <c r="AV42" s="3">
        <v>7</v>
      </c>
      <c r="AW42" s="3">
        <v>1</v>
      </c>
      <c r="AX42" s="3">
        <v>1</v>
      </c>
      <c r="AY42" s="3">
        <v>1</v>
      </c>
      <c r="AZ42" s="3" t="s">
        <v>40</v>
      </c>
      <c r="BA42" s="3" t="str">
        <f>HYPERLINK(".\links\MEROPS\gi_427789279-MEROPS.txt","- At1g59660 ({Arabidopsis thaliana}) (Toxoplasma gondii)")</f>
        <v>- At1g59660 ({Arabidopsis thaliana}) (Toxoplasma gondii)</v>
      </c>
      <c r="BB42" s="3" t="str">
        <f>HYPERLINK("http://www.ncbi.nlm.nih.gov/sutils/blink.cgi?pid=169462 - At1g59660 ({Arabidopsis thaliana}) (Toxoplasma gondii) [S59.A03]#S59#{peptidase unit","0.41")</f>
        <v>0.41</v>
      </c>
      <c r="BC42" s="3" t="s">
        <v>622</v>
      </c>
      <c r="BD42" s="3">
        <v>37.4</v>
      </c>
      <c r="BE42" s="3">
        <v>156</v>
      </c>
      <c r="BF42" s="3">
        <v>2894</v>
      </c>
      <c r="BG42" s="3">
        <v>27</v>
      </c>
      <c r="BH42" s="3">
        <v>35</v>
      </c>
      <c r="BI42" s="3">
        <v>5</v>
      </c>
      <c r="BJ42" s="3">
        <v>113</v>
      </c>
      <c r="BK42" s="3">
        <v>16</v>
      </c>
      <c r="BL42" s="3">
        <v>523</v>
      </c>
      <c r="BM42" s="3">
        <v>344</v>
      </c>
      <c r="BN42" s="3">
        <v>1</v>
      </c>
      <c r="BO42" s="3" t="s">
        <v>623</v>
      </c>
      <c r="BP42" s="3" t="s">
        <v>624</v>
      </c>
      <c r="BQ42" s="3">
        <f>HYPERLINK(".\links\GO\gi_427789279-GO.txt",0)</f>
        <v>0</v>
      </c>
      <c r="BR42" s="3" t="str">
        <f>HYPERLINK("http://amigo.geneontology.org/cgi-bin/amigo/term_details?term=GO:0051287","GO:0051287")</f>
        <v>GO:0051287</v>
      </c>
      <c r="BS42" s="3" t="s">
        <v>625</v>
      </c>
      <c r="BT42" s="3" t="s">
        <v>626</v>
      </c>
      <c r="BU42" s="3" t="s">
        <v>627</v>
      </c>
      <c r="BV42" s="3" t="s">
        <v>36</v>
      </c>
      <c r="BX42" s="4">
        <v>1E-135</v>
      </c>
      <c r="BY42" s="3" t="str">
        <f>HYPERLINK("http://amigo.geneontology.org/cgi-bin/amigo/term_details?term=GO:0005575","GO:0005575")</f>
        <v>GO:0005575</v>
      </c>
      <c r="BZ42" s="3" t="s">
        <v>60</v>
      </c>
      <c r="CA42" s="3" t="s">
        <v>61</v>
      </c>
      <c r="CB42" s="3" t="s">
        <v>62</v>
      </c>
      <c r="CC42" s="3" t="s">
        <v>36</v>
      </c>
      <c r="CE42" s="4">
        <v>1E-135</v>
      </c>
      <c r="CF42" s="3" t="str">
        <f>HYPERLINK("http://amigo.geneontology.org/cgi-bin/amigo/term_details?term=GO:0055114","GO:0055114")</f>
        <v>GO:0055114</v>
      </c>
      <c r="CG42" s="3" t="s">
        <v>537</v>
      </c>
      <c r="CH42" s="3" t="s">
        <v>538</v>
      </c>
      <c r="CI42" s="3" t="s">
        <v>539</v>
      </c>
      <c r="CJ42" s="3" t="s">
        <v>36</v>
      </c>
      <c r="CL42" s="4">
        <v>1E-135</v>
      </c>
      <c r="CM42" s="3" t="str">
        <f>HYPERLINK(".\links\CDD\gi_427789279-CDD.txt","D-3-phosphoglycerate dehydrogenase")</f>
        <v>D-3-phosphoglycerate dehydrogenase</v>
      </c>
      <c r="CN42" s="3" t="str">
        <f>HYPERLINK("http://www.ncbi.nlm.nih.gov/Structure/cdd/cddsrv.cgi?uid=PRK13581&amp;version=v4.0","1E-109")</f>
        <v>1E-109</v>
      </c>
      <c r="CO42" s="3" t="s">
        <v>628</v>
      </c>
      <c r="CP42" s="3" t="str">
        <f>HYPERLINK(".\links\ACARI\gi_427789279-ACARI.txt","Putative glyoxylate/hydroxypyruvate reduct")</f>
        <v>Putative glyoxylate/hydroxypyruvate reduct</v>
      </c>
      <c r="CQ42" s="3" t="str">
        <f>HYPERLINK("http://www.ncbi.nlm.nih.gov/sutils/blink.cgi?pid=427789279","0.0")</f>
        <v>0.0</v>
      </c>
      <c r="CR42" s="3" t="str">
        <f>HYPERLINK("http://www.ncbi.nlm.nih.gov/protein/427789279","gi|427789279")</f>
        <v>gi|427789279</v>
      </c>
      <c r="CS42" s="3">
        <v>1035</v>
      </c>
      <c r="CT42" s="3">
        <v>530</v>
      </c>
      <c r="CU42" s="3">
        <v>530</v>
      </c>
      <c r="CV42" s="3">
        <v>100</v>
      </c>
      <c r="CW42" s="3">
        <v>100</v>
      </c>
      <c r="CX42" s="3">
        <v>100</v>
      </c>
      <c r="CY42" s="3">
        <v>0</v>
      </c>
      <c r="CZ42" s="3">
        <v>0</v>
      </c>
      <c r="DA42" s="3">
        <v>1</v>
      </c>
      <c r="DB42" s="3">
        <v>1</v>
      </c>
      <c r="DC42" s="3">
        <v>1</v>
      </c>
      <c r="DD42" s="3" t="s">
        <v>68</v>
      </c>
    </row>
    <row r="43" spans="1:108" s="3" customFormat="1" x14ac:dyDescent="0.2">
      <c r="A43" s="3" t="s">
        <v>1327</v>
      </c>
      <c r="B43" s="3" t="str">
        <f>HYPERLINK(".\links\\gi_427789701-.txt","gi_427789701")</f>
        <v>gi_427789701</v>
      </c>
      <c r="C43" s="3" t="s">
        <v>35</v>
      </c>
      <c r="D43" s="3">
        <v>411</v>
      </c>
      <c r="E43" s="9" t="s">
        <v>68</v>
      </c>
      <c r="F43" s="3" t="s">
        <v>1260</v>
      </c>
      <c r="G43" s="3" t="s">
        <v>1466</v>
      </c>
      <c r="H43" s="3" t="str">
        <f>HYPERLINK(".\links\UNIPROT-ACARI\gi_427789701-UNIPROT-ACARI.txt","Isocitrate dehydrogenase")</f>
        <v>Isocitrate dehydrogenase</v>
      </c>
      <c r="I43" s="3" t="str">
        <f>HYPERLINK("http://www.ncbi.nlm.nih.gov/sutils/blink.cgi?pid=L7M8V5","0.0")</f>
        <v>0.0</v>
      </c>
      <c r="J43" s="3" t="s">
        <v>593</v>
      </c>
      <c r="K43" s="3">
        <v>839</v>
      </c>
      <c r="L43" s="3">
        <v>411</v>
      </c>
      <c r="M43" s="3">
        <v>411</v>
      </c>
      <c r="N43" s="3">
        <v>100</v>
      </c>
      <c r="O43" s="3">
        <v>100</v>
      </c>
      <c r="P43" s="3">
        <v>100</v>
      </c>
      <c r="Q43" s="3">
        <v>0</v>
      </c>
      <c r="R43" s="3">
        <v>0</v>
      </c>
      <c r="S43" s="3">
        <v>1</v>
      </c>
      <c r="T43" s="3">
        <v>1</v>
      </c>
      <c r="U43" s="3">
        <v>1</v>
      </c>
      <c r="V43" s="3" t="s">
        <v>594</v>
      </c>
      <c r="W43" s="3" t="str">
        <f>HYPERLINK(".\links\NR-LIGHT\gi_427789701-NR-LIGHT.txt","NADP-dependent isocitrate dehydrogenase, putative")</f>
        <v>NADP-dependent isocitrate dehydrogenase, putative</v>
      </c>
      <c r="X43" s="3" t="str">
        <f>HYPERLINK("http://www.ncbi.nlm.nih.gov/sutils/blink.cgi?pid=241998642","0.0")</f>
        <v>0.0</v>
      </c>
      <c r="Y43" s="3" t="str">
        <f>HYPERLINK("http://www.ncbi.nlm.nih.gov/protein/241998642","gi|241998642")</f>
        <v>gi|241998642</v>
      </c>
      <c r="Z43" s="3">
        <v>751</v>
      </c>
      <c r="AA43" s="3">
        <v>412</v>
      </c>
      <c r="AB43" s="3">
        <v>412</v>
      </c>
      <c r="AC43" s="3">
        <v>87</v>
      </c>
      <c r="AD43" s="3">
        <v>94</v>
      </c>
      <c r="AE43" s="3">
        <v>100</v>
      </c>
      <c r="AF43" s="3">
        <v>51</v>
      </c>
      <c r="AG43" s="3">
        <v>1</v>
      </c>
      <c r="AH43" s="3">
        <v>1</v>
      </c>
      <c r="AI43" s="3">
        <v>1</v>
      </c>
      <c r="AJ43" s="3">
        <v>1</v>
      </c>
      <c r="AK43" s="3" t="s">
        <v>40</v>
      </c>
      <c r="AL43" s="3" t="str">
        <f>HYPERLINK(".\links\REFSEQ-INVERTEBRATE\gi_427789701-REFSEQ-INVERTEBRATE.txt","NADP-dependent isocitrate dehydrogenase, putative")</f>
        <v>NADP-dependent isocitrate dehydrogenase, putative</v>
      </c>
      <c r="AM43" s="3" t="str">
        <f>HYPERLINK("http://www.ncbi.nlm.nih.gov/sutils/blink.cgi?pid=241998642","0.0")</f>
        <v>0.0</v>
      </c>
      <c r="AN43" s="3" t="str">
        <f>HYPERLINK("http://www.ncbi.nlm.nih.gov/protein/241998642","gi|241998642")</f>
        <v>gi|241998642</v>
      </c>
      <c r="AO43" s="3">
        <v>751</v>
      </c>
      <c r="AP43" s="3">
        <v>412</v>
      </c>
      <c r="AQ43" s="3">
        <v>412</v>
      </c>
      <c r="AR43" s="3">
        <v>87</v>
      </c>
      <c r="AS43" s="3">
        <v>94</v>
      </c>
      <c r="AT43" s="3">
        <v>100</v>
      </c>
      <c r="AU43" s="3">
        <v>51</v>
      </c>
      <c r="AV43" s="3">
        <v>1</v>
      </c>
      <c r="AW43" s="3">
        <v>1</v>
      </c>
      <c r="AX43" s="3">
        <v>1</v>
      </c>
      <c r="AY43" s="3">
        <v>1</v>
      </c>
      <c r="AZ43" s="3" t="s">
        <v>40</v>
      </c>
      <c r="BA43" s="3" t="str">
        <f>HYPERLINK(".\links\MEROPS\gi_427789701-MEROPS.txt","- oligopeptidase F (Streptococcus sp)")</f>
        <v>- oligopeptidase F (Streptococcus sp)</v>
      </c>
      <c r="BB43" s="3" t="str">
        <f>HYPERLINK("http://www.ncbi.nlm.nih.gov/sutils/blink.cgi?pid=291254 - oligopeptidase F (Streptococcus sp) [M03.007]#M03B#{peptidase unit","3.3")</f>
        <v>3.3</v>
      </c>
      <c r="BC43" s="3" t="s">
        <v>595</v>
      </c>
      <c r="BD43" s="3">
        <v>33.9</v>
      </c>
      <c r="BE43" s="3">
        <v>77</v>
      </c>
      <c r="BF43" s="3">
        <v>600</v>
      </c>
      <c r="BG43" s="3">
        <v>29</v>
      </c>
      <c r="BH43" s="3">
        <v>49</v>
      </c>
      <c r="BI43" s="3">
        <v>13</v>
      </c>
      <c r="BJ43" s="3">
        <v>54</v>
      </c>
      <c r="BK43" s="3">
        <v>7</v>
      </c>
      <c r="BL43" s="3">
        <v>245</v>
      </c>
      <c r="BM43" s="3">
        <v>168</v>
      </c>
      <c r="BN43" s="3">
        <v>1</v>
      </c>
      <c r="BO43" s="3" t="s">
        <v>596</v>
      </c>
      <c r="BP43" s="3" t="s">
        <v>597</v>
      </c>
      <c r="BQ43" s="3">
        <f>HYPERLINK(".\links\GO\gi_427789701-GO.txt",0)</f>
        <v>0</v>
      </c>
      <c r="BR43" s="3" t="str">
        <f>HYPERLINK("http://amigo.geneontology.org/cgi-bin/amigo/term_details?term=GO:0000287","GO:0000287")</f>
        <v>GO:0000287</v>
      </c>
      <c r="BS43" s="3" t="s">
        <v>598</v>
      </c>
      <c r="BT43" s="3" t="s">
        <v>599</v>
      </c>
      <c r="BU43" s="3" t="s">
        <v>600</v>
      </c>
      <c r="BV43" s="3" t="s">
        <v>36</v>
      </c>
      <c r="BX43" s="3">
        <v>0</v>
      </c>
      <c r="BY43" s="3" t="str">
        <f>HYPERLINK("http://amigo.geneontology.org/cgi-bin/amigo/term_details?term=GO:0005739","GO:0005739")</f>
        <v>GO:0005739</v>
      </c>
      <c r="BZ43" s="3" t="s">
        <v>570</v>
      </c>
      <c r="CA43" s="3" t="s">
        <v>571</v>
      </c>
      <c r="CB43" s="3" t="s">
        <v>572</v>
      </c>
      <c r="CC43" s="3" t="s">
        <v>36</v>
      </c>
      <c r="CE43" s="3">
        <v>0</v>
      </c>
      <c r="CF43" s="3" t="str">
        <f>HYPERLINK("http://amigo.geneontology.org/cgi-bin/amigo/term_details?term=GO:0006102","GO:0006102")</f>
        <v>GO:0006102</v>
      </c>
      <c r="CG43" s="3" t="s">
        <v>601</v>
      </c>
      <c r="CH43" s="3" t="s">
        <v>602</v>
      </c>
      <c r="CI43" s="3" t="s">
        <v>603</v>
      </c>
      <c r="CJ43" s="3" t="s">
        <v>36</v>
      </c>
      <c r="CL43" s="3">
        <v>0</v>
      </c>
      <c r="CM43" s="3" t="str">
        <f>HYPERLINK(".\links\CDD\gi_427789701-CDD.txt","PTZ00435")</f>
        <v>PTZ00435</v>
      </c>
      <c r="CN43" s="3" t="str">
        <f>HYPERLINK("http://www.ncbi.nlm.nih.gov/Structure/cdd/cddsrv.cgi?uid=PTZ00435&amp;version=v4.0","0.0")</f>
        <v>0.0</v>
      </c>
      <c r="CO43" s="3" t="s">
        <v>604</v>
      </c>
      <c r="CP43" s="3" t="str">
        <f>HYPERLINK(".\links\ACARI\gi_427789701-ACARI.txt","Putative nadp-dependent isocitrate dehydrogenase")</f>
        <v>Putative nadp-dependent isocitrate dehydrogenase</v>
      </c>
      <c r="CQ43" s="3" t="str">
        <f>HYPERLINK("http://www.ncbi.nlm.nih.gov/sutils/blink.cgi?pid=427789701","0.0")</f>
        <v>0.0</v>
      </c>
      <c r="CR43" s="3" t="str">
        <f>HYPERLINK("http://www.ncbi.nlm.nih.gov/protein/427789701","gi|427789701")</f>
        <v>gi|427789701</v>
      </c>
      <c r="CS43" s="3">
        <v>839</v>
      </c>
      <c r="CT43" s="3">
        <v>411</v>
      </c>
      <c r="CU43" s="3">
        <v>411</v>
      </c>
      <c r="CV43" s="3">
        <v>100</v>
      </c>
      <c r="CW43" s="3">
        <v>100</v>
      </c>
      <c r="CX43" s="3">
        <v>100</v>
      </c>
      <c r="CY43" s="3">
        <v>0</v>
      </c>
      <c r="CZ43" s="3">
        <v>0</v>
      </c>
      <c r="DA43" s="3">
        <v>1</v>
      </c>
      <c r="DB43" s="3">
        <v>1</v>
      </c>
      <c r="DC43" s="3">
        <v>1</v>
      </c>
      <c r="DD43" s="3" t="s">
        <v>68</v>
      </c>
    </row>
    <row r="44" spans="1:108" s="3" customFormat="1" x14ac:dyDescent="0.2">
      <c r="A44" s="3" t="s">
        <v>1323</v>
      </c>
      <c r="B44" s="3" t="str">
        <f>HYPERLINK(".\links\\gi_427793545-.txt","gi_427793545")</f>
        <v>gi_427793545</v>
      </c>
      <c r="C44" s="3" t="s">
        <v>98</v>
      </c>
      <c r="D44" s="3">
        <v>605</v>
      </c>
      <c r="E44" s="9" t="s">
        <v>68</v>
      </c>
      <c r="F44" s="3" t="s">
        <v>1259</v>
      </c>
      <c r="G44" s="3" t="s">
        <v>1466</v>
      </c>
      <c r="H44" s="3" t="str">
        <f>HYPERLINK(".\links\UNIPROT-ACARI\gi_427793545-UNIPROT-ACARI.txt","Putative aicar transformylase/imp cyclohydrolase/methylglyoxal synthase")</f>
        <v>Putative aicar transformylase/imp cyclohydrolase/methylglyoxal synthase</v>
      </c>
      <c r="I44" s="3" t="str">
        <f>HYPERLINK("http://www.ncbi.nlm.nih.gov/sutils/blink.cgi?pid=L7MGB9","0.0")</f>
        <v>0.0</v>
      </c>
      <c r="J44" s="3" t="s">
        <v>563</v>
      </c>
      <c r="K44" s="3">
        <v>1197</v>
      </c>
      <c r="L44" s="3">
        <v>605</v>
      </c>
      <c r="M44" s="3">
        <v>605</v>
      </c>
      <c r="N44" s="3">
        <v>100</v>
      </c>
      <c r="O44" s="3">
        <v>100</v>
      </c>
      <c r="P44" s="3">
        <v>100</v>
      </c>
      <c r="Q44" s="3">
        <v>0</v>
      </c>
      <c r="R44" s="3">
        <v>0</v>
      </c>
      <c r="S44" s="3">
        <v>1</v>
      </c>
      <c r="T44" s="3">
        <v>1</v>
      </c>
      <c r="U44" s="3">
        <v>1</v>
      </c>
      <c r="V44" s="3" t="s">
        <v>36</v>
      </c>
      <c r="W44" s="3" t="str">
        <f>HYPERLINK(".\links\NR-LIGHT\gi_427793545-NR-LIGHT.txt","aminoimidazole-4-carboxamide ribonucleotidetransformylase/IMP cyclohydrolase,")</f>
        <v>aminoimidazole-4-carboxamide ribonucleotidetransformylase/IMP cyclohydrolase,</v>
      </c>
      <c r="X44" s="3" t="str">
        <f>HYPERLINK("http://www.ncbi.nlm.nih.gov/sutils/blink.cgi?pid=241623033","0.0")</f>
        <v>0.0</v>
      </c>
      <c r="Y44" s="3" t="str">
        <f>HYPERLINK("http://www.ncbi.nlm.nih.gov/protein/241623033","gi|241623033")</f>
        <v>gi|241623033</v>
      </c>
      <c r="Z44" s="3">
        <v>989</v>
      </c>
      <c r="AA44" s="3">
        <v>586</v>
      </c>
      <c r="AB44" s="3">
        <v>584</v>
      </c>
      <c r="AC44" s="3">
        <v>86</v>
      </c>
      <c r="AD44" s="3">
        <v>90</v>
      </c>
      <c r="AE44" s="3">
        <v>100</v>
      </c>
      <c r="AF44" s="3">
        <v>81</v>
      </c>
      <c r="AG44" s="3">
        <v>7</v>
      </c>
      <c r="AH44" s="3">
        <v>6</v>
      </c>
      <c r="AI44" s="3">
        <v>20</v>
      </c>
      <c r="AJ44" s="3">
        <v>1</v>
      </c>
      <c r="AK44" s="3" t="s">
        <v>40</v>
      </c>
      <c r="AL44" s="3" t="str">
        <f>HYPERLINK(".\links\REFSEQ-INVERTEBRATE\gi_427793545-REFSEQ-INVERTEBRATE.txt","aminoimidazole-4-carboxamide ribonucleotidetransformylase/IMP cyclohydrolase,")</f>
        <v>aminoimidazole-4-carboxamide ribonucleotidetransformylase/IMP cyclohydrolase,</v>
      </c>
      <c r="AM44" s="3" t="str">
        <f>HYPERLINK("http://www.ncbi.nlm.nih.gov/sutils/blink.cgi?pid=241623033","0.0")</f>
        <v>0.0</v>
      </c>
      <c r="AN44" s="3" t="str">
        <f>HYPERLINK("http://www.ncbi.nlm.nih.gov/protein/241623033","gi|241623033")</f>
        <v>gi|241623033</v>
      </c>
      <c r="AO44" s="3">
        <v>989</v>
      </c>
      <c r="AP44" s="3">
        <v>586</v>
      </c>
      <c r="AQ44" s="3">
        <v>584</v>
      </c>
      <c r="AR44" s="3">
        <v>86</v>
      </c>
      <c r="AS44" s="3">
        <v>90</v>
      </c>
      <c r="AT44" s="3">
        <v>100</v>
      </c>
      <c r="AU44" s="3">
        <v>81</v>
      </c>
      <c r="AV44" s="3">
        <v>7</v>
      </c>
      <c r="AW44" s="3">
        <v>6</v>
      </c>
      <c r="AX44" s="3">
        <v>20</v>
      </c>
      <c r="AY44" s="3">
        <v>1</v>
      </c>
      <c r="AZ44" s="3" t="s">
        <v>40</v>
      </c>
      <c r="BA44" s="3" t="str">
        <f>HYPERLINK(".\links\MEROPS\gi_427793545-MEROPS.txt","- family M38 non-peptidase homologues (Coccidioides immitis)")</f>
        <v>- family M38 non-peptidase homologues (Coccidioides immitis)</v>
      </c>
      <c r="BB44" s="3" t="str">
        <f>HYPERLINK("http://www.ncbi.nlm.nih.gov/sutils/blink.cgi?pid=442902 - family M38 non-peptidase homologues (Coccidioides immitis) [M38.UNW]#M38#{peptidase unit","0.29")</f>
        <v>0.29</v>
      </c>
      <c r="BC44" s="3" t="s">
        <v>564</v>
      </c>
      <c r="BD44" s="3">
        <v>38.1</v>
      </c>
      <c r="BE44" s="3">
        <v>56</v>
      </c>
      <c r="BF44" s="3">
        <v>2284</v>
      </c>
      <c r="BG44" s="3">
        <v>39</v>
      </c>
      <c r="BH44" s="3">
        <v>55</v>
      </c>
      <c r="BI44" s="3">
        <v>2</v>
      </c>
      <c r="BJ44" s="3">
        <v>34</v>
      </c>
      <c r="BK44" s="3">
        <v>0</v>
      </c>
      <c r="BL44" s="3">
        <v>1427</v>
      </c>
      <c r="BM44" s="3">
        <v>19</v>
      </c>
      <c r="BN44" s="3">
        <v>1</v>
      </c>
      <c r="BO44" s="3" t="s">
        <v>565</v>
      </c>
      <c r="BP44" s="3" t="s">
        <v>566</v>
      </c>
      <c r="BQ44" s="3">
        <f>HYPERLINK(".\links\GO\gi_427793545-GO.txt",0)</f>
        <v>0</v>
      </c>
      <c r="BR44" s="3" t="str">
        <f>HYPERLINK("http://amigo.geneontology.org/cgi-bin/amigo/term_details?term=GO:0003937","GO:0003937")</f>
        <v>GO:0003937</v>
      </c>
      <c r="BS44" s="3" t="s">
        <v>567</v>
      </c>
      <c r="BT44" s="3" t="s">
        <v>568</v>
      </c>
      <c r="BU44" s="3" t="s">
        <v>569</v>
      </c>
      <c r="BV44" s="3" t="str">
        <f>HYPERLINK("http://www.genome.jp/dbget-bin/www_bfind_sub?mode=bfind&amp;max_hit=1000&amp;dbkey=kegg&amp;keywords=EC:3.5.4.10","EC:3.5.4.10")</f>
        <v>EC:3.5.4.10</v>
      </c>
      <c r="BX44" s="3">
        <v>0</v>
      </c>
      <c r="BY44" s="3" t="str">
        <f>HYPERLINK("http://amigo.geneontology.org/cgi-bin/amigo/term_details?term=GO:0005739","GO:0005739")</f>
        <v>GO:0005739</v>
      </c>
      <c r="BZ44" s="3" t="s">
        <v>570</v>
      </c>
      <c r="CA44" s="3" t="s">
        <v>571</v>
      </c>
      <c r="CB44" s="3" t="s">
        <v>572</v>
      </c>
      <c r="CC44" s="3" t="s">
        <v>36</v>
      </c>
      <c r="CE44" s="3">
        <v>0</v>
      </c>
      <c r="CF44" s="3" t="str">
        <f>HYPERLINK("http://amigo.geneontology.org/cgi-bin/amigo/term_details?term=GO:0006164","GO:0006164")</f>
        <v>GO:0006164</v>
      </c>
      <c r="CG44" s="3" t="s">
        <v>573</v>
      </c>
      <c r="CH44" s="3" t="s">
        <v>574</v>
      </c>
      <c r="CI44" s="3" t="s">
        <v>575</v>
      </c>
      <c r="CJ44" s="3" t="s">
        <v>36</v>
      </c>
      <c r="CL44" s="3">
        <v>0</v>
      </c>
      <c r="CM44" s="3" t="str">
        <f>HYPERLINK(".\links\CDD\gi_427793545-CDD.txt","5-aminoimidazole-4-carboxamide ribonucleotide transformylase")</f>
        <v>5-aminoimidazole-4-carboxamide ribonucleotide transformylase</v>
      </c>
      <c r="CN44" s="3" t="str">
        <f>HYPERLINK("http://www.ncbi.nlm.nih.gov/Structure/cdd/cddsrv.cgi?uid=PRK07106&amp;version=v4.0","1E-134")</f>
        <v>1E-134</v>
      </c>
      <c r="CO44" s="3" t="s">
        <v>576</v>
      </c>
      <c r="CP44" s="3" t="str">
        <f>HYPERLINK(".\links\ACARI\gi_427793545-ACARI.txt","Putative aicar transformylase/imp cyclohydrolase/methylglyoxal synthase, partial")</f>
        <v>Putative aicar transformylase/imp cyclohydrolase/methylglyoxal synthase, partial</v>
      </c>
      <c r="CQ44" s="3" t="str">
        <f>HYPERLINK("http://www.ncbi.nlm.nih.gov/sutils/blink.cgi?pid=427793545","0.0")</f>
        <v>0.0</v>
      </c>
      <c r="CR44" s="3" t="str">
        <f>HYPERLINK("http://www.ncbi.nlm.nih.gov/protein/427793545","gi|427793545")</f>
        <v>gi|427793545</v>
      </c>
      <c r="CS44" s="3">
        <v>1197</v>
      </c>
      <c r="CT44" s="3">
        <v>605</v>
      </c>
      <c r="CU44" s="3">
        <v>605</v>
      </c>
      <c r="CV44" s="3">
        <v>100</v>
      </c>
      <c r="CW44" s="3">
        <v>100</v>
      </c>
      <c r="CX44" s="3">
        <v>100</v>
      </c>
      <c r="CY44" s="3">
        <v>0</v>
      </c>
      <c r="CZ44" s="3">
        <v>0</v>
      </c>
      <c r="DA44" s="3">
        <v>1</v>
      </c>
      <c r="DB44" s="3">
        <v>1</v>
      </c>
      <c r="DC44" s="3">
        <v>1</v>
      </c>
      <c r="DD44" s="3" t="s">
        <v>68</v>
      </c>
    </row>
    <row r="45" spans="1:108" s="3" customFormat="1" x14ac:dyDescent="0.2">
      <c r="A45" s="3" t="s">
        <v>1362</v>
      </c>
      <c r="B45" s="3" t="str">
        <f>HYPERLINK(".\links\\gi_442749105-.txt","gi_442749105")</f>
        <v>gi_442749105</v>
      </c>
      <c r="C45" s="3" t="s">
        <v>35</v>
      </c>
      <c r="D45" s="3">
        <v>310</v>
      </c>
      <c r="E45" s="9" t="s">
        <v>37</v>
      </c>
      <c r="F45" s="3" t="s">
        <v>529</v>
      </c>
      <c r="G45" s="3" t="s">
        <v>1466</v>
      </c>
      <c r="H45" s="3" t="str">
        <f>HYPERLINK(".\links\UNIPROT-ACARI\gi_442749105-UNIPROT-ACARI.txt","Putative methylenetetrahydrofolate dehydrogenase/methylenetetrahydrofolate")</f>
        <v>Putative methylenetetrahydrofolate dehydrogenase/methylenetetrahydrofolate</v>
      </c>
      <c r="I45" s="3" t="str">
        <f>HYPERLINK("http://www.ncbi.nlm.nih.gov/sutils/blink.cgi?pid=L7LTU7","1E-148")</f>
        <v>1E-148</v>
      </c>
      <c r="J45" s="3" t="s">
        <v>530</v>
      </c>
      <c r="K45" s="3">
        <v>521</v>
      </c>
      <c r="L45" s="3">
        <v>328</v>
      </c>
      <c r="M45" s="3">
        <v>330</v>
      </c>
      <c r="N45" s="3">
        <v>82</v>
      </c>
      <c r="O45" s="3">
        <v>87</v>
      </c>
      <c r="P45" s="3">
        <v>99</v>
      </c>
      <c r="Q45" s="3">
        <v>59</v>
      </c>
      <c r="R45" s="3">
        <v>25</v>
      </c>
      <c r="S45" s="3">
        <v>1</v>
      </c>
      <c r="T45" s="3">
        <v>1</v>
      </c>
      <c r="U45" s="3">
        <v>1</v>
      </c>
      <c r="V45" s="3" t="s">
        <v>36</v>
      </c>
      <c r="W45" s="3" t="str">
        <f>HYPERLINK(".\links\NR-LIGHT\gi_442749105-NR-LIGHT.txt","c-1-tetrahydrofolate synthase, cytoplasmic-like isoform X2")</f>
        <v>c-1-tetrahydrofolate synthase, cytoplasmic-like isoform X2</v>
      </c>
      <c r="X45" s="3" t="str">
        <f>HYPERLINK("http://www.ncbi.nlm.nih.gov/sutils/blink.cgi?pid=498979789","1E-104")</f>
        <v>1E-104</v>
      </c>
      <c r="Y45" s="3" t="str">
        <f>HYPERLINK("http://www.ncbi.nlm.nih.gov/protein/498979789","gi|498979789")</f>
        <v>gi|498979789</v>
      </c>
      <c r="Z45" s="3">
        <v>380</v>
      </c>
      <c r="AA45" s="3">
        <v>294</v>
      </c>
      <c r="AB45" s="3">
        <v>966</v>
      </c>
      <c r="AC45" s="3">
        <v>64</v>
      </c>
      <c r="AD45" s="3">
        <v>79</v>
      </c>
      <c r="AE45" s="3">
        <v>30</v>
      </c>
      <c r="AF45" s="3">
        <v>105</v>
      </c>
      <c r="AG45" s="3">
        <v>1</v>
      </c>
      <c r="AH45" s="3">
        <v>30</v>
      </c>
      <c r="AI45" s="3">
        <v>2</v>
      </c>
      <c r="AJ45" s="3">
        <v>1</v>
      </c>
      <c r="AK45" s="3" t="s">
        <v>362</v>
      </c>
      <c r="AL45" s="3" t="str">
        <f>HYPERLINK(".\links\REFSEQ-INVERTEBRATE\gi_442749105-REFSEQ-INVERTEBRATE.txt","c-1-tetrahydrofolate synthase, cytoplasmic-like")</f>
        <v>c-1-tetrahydrofolate synthase, cytoplasmic-like</v>
      </c>
      <c r="AM45" s="3" t="str">
        <f>HYPERLINK("http://www.ncbi.nlm.nih.gov/sutils/blink.cgi?pid=391346026","1E-110")</f>
        <v>1E-110</v>
      </c>
      <c r="AN45" s="3" t="str">
        <f>HYPERLINK("http://www.ncbi.nlm.nih.gov/protein/391346026","gi|391346026")</f>
        <v>gi|391346026</v>
      </c>
      <c r="AO45" s="3">
        <v>397</v>
      </c>
      <c r="AP45" s="3">
        <v>296</v>
      </c>
      <c r="AQ45" s="3">
        <v>301</v>
      </c>
      <c r="AR45" s="3">
        <v>66</v>
      </c>
      <c r="AS45" s="3">
        <v>81</v>
      </c>
      <c r="AT45" s="3">
        <v>98</v>
      </c>
      <c r="AU45" s="3">
        <v>98</v>
      </c>
      <c r="AV45" s="3">
        <v>0</v>
      </c>
      <c r="AW45" s="3">
        <v>3</v>
      </c>
      <c r="AX45" s="3">
        <v>8</v>
      </c>
      <c r="AY45" s="3">
        <v>1</v>
      </c>
      <c r="AZ45" s="3" t="s">
        <v>392</v>
      </c>
      <c r="BA45" s="3" t="str">
        <f>HYPERLINK(".\links\MEROPS\gi_442749105-MEROPS.txt","- subfamily A1A unassigned peptidases (Pseudozyma antarctica)")</f>
        <v>- subfamily A1A unassigned peptidases (Pseudozyma antarctica)</v>
      </c>
      <c r="BB45" s="3" t="str">
        <f>HYPERLINK("http://www.ncbi.nlm.nih.gov/sutils/blink.cgi?pid=425280 - subfamily A1A unassigned peptidases (Pseudozyma antarctica) [A01.UPA]#A01A#{peptidase unit","0.99")</f>
        <v>0.99</v>
      </c>
      <c r="BC45" s="3" t="s">
        <v>531</v>
      </c>
      <c r="BD45" s="3">
        <v>35</v>
      </c>
      <c r="BE45" s="3">
        <v>48</v>
      </c>
      <c r="BF45" s="3">
        <v>606</v>
      </c>
      <c r="BG45" s="3">
        <v>37</v>
      </c>
      <c r="BH45" s="3">
        <v>54</v>
      </c>
      <c r="BI45" s="3">
        <v>8</v>
      </c>
      <c r="BJ45" s="3">
        <v>30</v>
      </c>
      <c r="BK45" s="3">
        <v>1</v>
      </c>
      <c r="BL45" s="3">
        <v>468</v>
      </c>
      <c r="BM45" s="3">
        <v>105</v>
      </c>
      <c r="BN45" s="3">
        <v>1</v>
      </c>
      <c r="BO45" s="3" t="s">
        <v>532</v>
      </c>
      <c r="BP45" s="3" t="s">
        <v>533</v>
      </c>
      <c r="BQ45" s="3">
        <f>HYPERLINK(".\links\GO\gi_442749105-GO.txt",0)</f>
        <v>0</v>
      </c>
      <c r="BR45" s="3" t="str">
        <f>HYPERLINK("http://amigo.geneontology.org/cgi-bin/amigo/term_details?term=GO:0004488","GO:0004488")</f>
        <v>GO:0004488</v>
      </c>
      <c r="BS45" s="3" t="s">
        <v>534</v>
      </c>
      <c r="BT45" s="3" t="s">
        <v>535</v>
      </c>
      <c r="BU45" s="3" t="s">
        <v>536</v>
      </c>
      <c r="BV45" s="3" t="str">
        <f>HYPERLINK("http://www.genome.jp/dbget-bin/www_bfind_sub?mode=bfind&amp;max_hit=1000&amp;dbkey=kegg&amp;keywords=EC:1.5.1.5","EC:1.5.1.5")</f>
        <v>EC:1.5.1.5</v>
      </c>
      <c r="BW45" s="3" t="str">
        <f>HYPERLINK("http://www.genome.jp/dbget-bin/www_bget?rn:R01220","KEGG:R01220")</f>
        <v>KEGG:R01220</v>
      </c>
      <c r="BX45" s="4">
        <v>1E-100</v>
      </c>
      <c r="BY45" s="3" t="str">
        <f>HYPERLINK("http://amigo.geneontology.org/cgi-bin/amigo/term_details?term=GO:0005737","GO:0005737")</f>
        <v>GO:0005737</v>
      </c>
      <c r="BZ45" s="3" t="s">
        <v>374</v>
      </c>
      <c r="CA45" s="3" t="s">
        <v>375</v>
      </c>
      <c r="CB45" s="3" t="s">
        <v>36</v>
      </c>
      <c r="CC45" s="3" t="s">
        <v>36</v>
      </c>
      <c r="CE45" s="4">
        <v>1E-100</v>
      </c>
      <c r="CF45" s="3" t="str">
        <f>HYPERLINK("http://amigo.geneontology.org/cgi-bin/amigo/term_details?term=GO:0055114","GO:0055114")</f>
        <v>GO:0055114</v>
      </c>
      <c r="CG45" s="3" t="s">
        <v>537</v>
      </c>
      <c r="CH45" s="3" t="s">
        <v>538</v>
      </c>
      <c r="CI45" s="3" t="s">
        <v>539</v>
      </c>
      <c r="CJ45" s="3" t="s">
        <v>36</v>
      </c>
      <c r="CL45" s="4">
        <v>1E-100</v>
      </c>
      <c r="CM45" s="3" t="str">
        <f>HYPERLINK(".\links\CDD\gi_442749105-CDD.txt","PLN02516")</f>
        <v>PLN02516</v>
      </c>
      <c r="CN45" s="3" t="str">
        <f>HYPERLINK("http://www.ncbi.nlm.nih.gov/Structure/cdd/cddsrv.cgi?uid=PLN02516&amp;version=v4.0","3E-081")</f>
        <v>3E-081</v>
      </c>
      <c r="CO45" s="3" t="s">
        <v>540</v>
      </c>
      <c r="CP45" s="3" t="str">
        <f>HYPERLINK(".\links\ACARI\gi_442749105-ACARI.txt","Putative c1-tetrahydrofolate synthase")</f>
        <v>Putative c1-tetrahydrofolate synthase</v>
      </c>
      <c r="CQ45" s="3" t="str">
        <f>HYPERLINK("http://www.ncbi.nlm.nih.gov/sutils/blink.cgi?pid=442749105","1E-175")</f>
        <v>1E-175</v>
      </c>
      <c r="CR45" s="3" t="str">
        <f>HYPERLINK("http://www.ncbi.nlm.nih.gov/protein/442749105","gi|442749105")</f>
        <v>gi|442749105</v>
      </c>
      <c r="CS45" s="3">
        <v>612</v>
      </c>
      <c r="CT45" s="3">
        <v>310</v>
      </c>
      <c r="CU45" s="3">
        <v>310</v>
      </c>
      <c r="CV45" s="3">
        <v>100</v>
      </c>
      <c r="CW45" s="3">
        <v>100</v>
      </c>
      <c r="CX45" s="3">
        <v>100</v>
      </c>
      <c r="CY45" s="3">
        <v>0</v>
      </c>
      <c r="CZ45" s="3">
        <v>0</v>
      </c>
      <c r="DA45" s="3">
        <v>1</v>
      </c>
      <c r="DB45" s="3">
        <v>1</v>
      </c>
      <c r="DC45" s="3">
        <v>1</v>
      </c>
      <c r="DD45" s="3" t="s">
        <v>37</v>
      </c>
    </row>
    <row r="46" spans="1:108" s="3" customFormat="1" x14ac:dyDescent="0.2">
      <c r="A46" s="3" t="s">
        <v>1367</v>
      </c>
      <c r="B46" s="3" t="str">
        <f>HYPERLINK(".\links\\gi_442753619-.txt","gi_442753619")</f>
        <v>gi_442753619</v>
      </c>
      <c r="C46" s="3" t="s">
        <v>35</v>
      </c>
      <c r="D46" s="3">
        <v>404</v>
      </c>
      <c r="E46" s="9" t="s">
        <v>37</v>
      </c>
      <c r="F46" s="3" t="s">
        <v>1265</v>
      </c>
      <c r="G46" s="3" t="s">
        <v>1466</v>
      </c>
      <c r="H46" s="3" t="str">
        <f>HYPERLINK(".\links\UNIPROT-ACARI\gi_442753619-UNIPROT-ACARI.txt","Glyceraldehyde-3-phosphate dehydrogenase")</f>
        <v>Glyceraldehyde-3-phosphate dehydrogenase</v>
      </c>
      <c r="I46" s="3" t="str">
        <f>HYPERLINK("http://www.ncbi.nlm.nih.gov/sutils/blink.cgi?pid=V5IFP2","0.0")</f>
        <v>0.0</v>
      </c>
      <c r="J46" s="3" t="s">
        <v>508</v>
      </c>
      <c r="K46" s="3">
        <v>654</v>
      </c>
      <c r="L46" s="3">
        <v>343</v>
      </c>
      <c r="M46" s="3">
        <v>358</v>
      </c>
      <c r="N46" s="3">
        <v>96</v>
      </c>
      <c r="O46" s="3">
        <v>96</v>
      </c>
      <c r="P46" s="3">
        <v>96</v>
      </c>
      <c r="Q46" s="3">
        <v>13</v>
      </c>
      <c r="R46" s="3">
        <v>0</v>
      </c>
      <c r="S46" s="3">
        <v>1</v>
      </c>
      <c r="T46" s="3">
        <v>1</v>
      </c>
      <c r="U46" s="3">
        <v>1</v>
      </c>
      <c r="V46" s="3" t="s">
        <v>36</v>
      </c>
      <c r="W46" s="3" t="str">
        <f>HYPERLINK(".\links\NR-LIGHT\gi_442753619-NR-LIGHT.txt","glyceraldehyde 3-phosphate dehydrogenase, putative")</f>
        <v>glyceraldehyde 3-phosphate dehydrogenase, putative</v>
      </c>
      <c r="X46" s="3" t="str">
        <f>HYPERLINK("http://www.ncbi.nlm.nih.gov/sutils/blink.cgi?pid=241999408","0.0")</f>
        <v>0.0</v>
      </c>
      <c r="Y46" s="3" t="str">
        <f>HYPERLINK("http://www.ncbi.nlm.nih.gov/protein/241999408","gi|241999408")</f>
        <v>gi|241999408</v>
      </c>
      <c r="Z46" s="3">
        <v>652</v>
      </c>
      <c r="AA46" s="3">
        <v>326</v>
      </c>
      <c r="AB46" s="3">
        <v>334</v>
      </c>
      <c r="AC46" s="3">
        <v>100</v>
      </c>
      <c r="AD46" s="3">
        <v>100</v>
      </c>
      <c r="AE46" s="3">
        <v>98</v>
      </c>
      <c r="AF46" s="3">
        <v>0</v>
      </c>
      <c r="AG46" s="3">
        <v>0</v>
      </c>
      <c r="AH46" s="3">
        <v>1</v>
      </c>
      <c r="AI46" s="3">
        <v>1</v>
      </c>
      <c r="AJ46" s="3">
        <v>1</v>
      </c>
      <c r="AK46" s="3" t="s">
        <v>40</v>
      </c>
      <c r="AL46" s="3" t="str">
        <f>HYPERLINK(".\links\REFSEQ-INVERTEBRATE\gi_442753619-REFSEQ-INVERTEBRATE.txt","glyceraldehyde 3-phosphate dehydrogenase, putative")</f>
        <v>glyceraldehyde 3-phosphate dehydrogenase, putative</v>
      </c>
      <c r="AM46" s="3" t="str">
        <f>HYPERLINK("http://www.ncbi.nlm.nih.gov/sutils/blink.cgi?pid=241999408","0.0")</f>
        <v>0.0</v>
      </c>
      <c r="AN46" s="3" t="str">
        <f>HYPERLINK("http://www.ncbi.nlm.nih.gov/protein/241999408","gi|241999408")</f>
        <v>gi|241999408</v>
      </c>
      <c r="AO46" s="3">
        <v>652</v>
      </c>
      <c r="AP46" s="3">
        <v>326</v>
      </c>
      <c r="AQ46" s="3">
        <v>334</v>
      </c>
      <c r="AR46" s="3">
        <v>100</v>
      </c>
      <c r="AS46" s="3">
        <v>100</v>
      </c>
      <c r="AT46" s="3">
        <v>98</v>
      </c>
      <c r="AU46" s="3">
        <v>0</v>
      </c>
      <c r="AV46" s="3">
        <v>0</v>
      </c>
      <c r="AW46" s="3">
        <v>1</v>
      </c>
      <c r="AX46" s="3">
        <v>1</v>
      </c>
      <c r="AY46" s="3">
        <v>1</v>
      </c>
      <c r="AZ46" s="3" t="s">
        <v>40</v>
      </c>
      <c r="BA46" s="3" t="str">
        <f>HYPERLINK(".\links\MEROPS\gi_442753619-MEROPS.txt","- family M20 unassigned peptidases (Ferroplasma acidarmanus)")</f>
        <v>- family M20 unassigned peptidases (Ferroplasma acidarmanus)</v>
      </c>
      <c r="BB46" s="3" t="str">
        <f>HYPERLINK("http://www.ncbi.nlm.nih.gov/sutils/blink.cgi?pid=502448 - family M20 unassigned peptidases (Ferroplasma acidarmanus) [M20.UPW]#M20X#{peptidase unit","0.85")</f>
        <v>0.85</v>
      </c>
      <c r="BC46" s="3" t="s">
        <v>509</v>
      </c>
      <c r="BD46" s="3">
        <v>35.799999999999997</v>
      </c>
      <c r="BE46" s="3">
        <v>182</v>
      </c>
      <c r="BF46" s="3">
        <v>399</v>
      </c>
      <c r="BG46" s="3">
        <v>25</v>
      </c>
      <c r="BH46" s="3">
        <v>42</v>
      </c>
      <c r="BI46" s="3">
        <v>46</v>
      </c>
      <c r="BJ46" s="3">
        <v>136</v>
      </c>
      <c r="BK46" s="3">
        <v>23</v>
      </c>
      <c r="BL46" s="3">
        <v>187</v>
      </c>
      <c r="BM46" s="3">
        <v>156</v>
      </c>
      <c r="BN46" s="3">
        <v>1</v>
      </c>
      <c r="BO46" s="3" t="s">
        <v>510</v>
      </c>
      <c r="BP46" s="3" t="s">
        <v>511</v>
      </c>
      <c r="BQ46" s="3">
        <f>HYPERLINK(".\links\GO\gi_442753619-GO.txt",0)</f>
        <v>0</v>
      </c>
      <c r="BR46" s="3" t="str">
        <f>HYPERLINK("http://amigo.geneontology.org/cgi-bin/amigo/term_details?term=GO:0004365","GO:0004365")</f>
        <v>GO:0004365</v>
      </c>
      <c r="BS46" s="3" t="s">
        <v>512</v>
      </c>
      <c r="BT46" s="3" t="s">
        <v>513</v>
      </c>
      <c r="BU46" s="3" t="s">
        <v>514</v>
      </c>
      <c r="BV46" s="3" t="str">
        <f>HYPERLINK("http://www.genome.jp/dbget-bin/www_bfind_sub?mode=bfind&amp;max_hit=1000&amp;dbkey=kegg&amp;keywords=EC:1.2.1.12","EC:1.2.1.12")</f>
        <v>EC:1.2.1.12</v>
      </c>
      <c r="BX46" s="4">
        <v>1E-146</v>
      </c>
      <c r="BY46" s="3" t="str">
        <f>HYPERLINK("http://amigo.geneontology.org/cgi-bin/amigo/term_details?term=GO:0005737","GO:0005737")</f>
        <v>GO:0005737</v>
      </c>
      <c r="BZ46" s="3" t="s">
        <v>374</v>
      </c>
      <c r="CA46" s="3" t="s">
        <v>375</v>
      </c>
      <c r="CB46" s="3" t="s">
        <v>36</v>
      </c>
      <c r="CC46" s="3" t="s">
        <v>36</v>
      </c>
      <c r="CE46" s="4">
        <v>1E-146</v>
      </c>
      <c r="CF46" s="3" t="str">
        <f>HYPERLINK("http://amigo.geneontology.org/cgi-bin/amigo/term_details?term=GO:0006096","GO:0006096")</f>
        <v>GO:0006096</v>
      </c>
      <c r="CG46" s="3" t="s">
        <v>515</v>
      </c>
      <c r="CH46" s="3" t="s">
        <v>516</v>
      </c>
      <c r="CI46" s="3" t="s">
        <v>517</v>
      </c>
      <c r="CJ46" s="3" t="s">
        <v>36</v>
      </c>
      <c r="CL46" s="4">
        <v>1E-146</v>
      </c>
      <c r="CM46" s="3" t="str">
        <f>HYPERLINK(".\links\CDD\gi_442753619-CDD.txt","PLN02272")</f>
        <v>PLN02272</v>
      </c>
      <c r="CN46" s="3" t="str">
        <f>HYPERLINK("http://www.ncbi.nlm.nih.gov/Structure/cdd/cddsrv.cgi?uid=PLN02272&amp;version=v4.0","1E-136")</f>
        <v>1E-136</v>
      </c>
      <c r="CO46" s="3" t="s">
        <v>518</v>
      </c>
      <c r="CP46" s="3" t="str">
        <f>HYPERLINK(".\links\ACARI\gi_442753619-ACARI.txt","Putative glyceraldehyde 3-phosphate dehydrogenase")</f>
        <v>Putative glyceraldehyde 3-phosphate dehydrogenase</v>
      </c>
      <c r="CQ46" s="3" t="str">
        <f>HYPERLINK("http://www.ncbi.nlm.nih.gov/sutils/blink.cgi?pid=442753619","0.0")</f>
        <v>0.0</v>
      </c>
      <c r="CR46" s="3" t="str">
        <f>HYPERLINK("http://www.ncbi.nlm.nih.gov/protein/442753619","gi|442753619")</f>
        <v>gi|442753619</v>
      </c>
      <c r="CS46" s="3">
        <v>801</v>
      </c>
      <c r="CT46" s="3">
        <v>404</v>
      </c>
      <c r="CU46" s="3">
        <v>404</v>
      </c>
      <c r="CV46" s="3">
        <v>100</v>
      </c>
      <c r="CW46" s="3">
        <v>100</v>
      </c>
      <c r="CX46" s="3">
        <v>100</v>
      </c>
      <c r="CY46" s="3">
        <v>0</v>
      </c>
      <c r="CZ46" s="3">
        <v>0</v>
      </c>
      <c r="DA46" s="3">
        <v>1</v>
      </c>
      <c r="DB46" s="3">
        <v>1</v>
      </c>
      <c r="DC46" s="3">
        <v>1</v>
      </c>
      <c r="DD46" s="3" t="s">
        <v>37</v>
      </c>
    </row>
    <row r="47" spans="1:108" s="3" customFormat="1" x14ac:dyDescent="0.2">
      <c r="A47" s="3" t="s">
        <v>1376</v>
      </c>
      <c r="B47" s="3" t="str">
        <f>HYPERLINK(".\links\\gi_556063869-.txt","gi_556063869")</f>
        <v>gi_556063869</v>
      </c>
      <c r="C47" s="3" t="s">
        <v>35</v>
      </c>
      <c r="D47" s="3">
        <v>134</v>
      </c>
      <c r="E47" s="9" t="s">
        <v>37</v>
      </c>
      <c r="F47" s="3" t="s">
        <v>1275</v>
      </c>
      <c r="G47" s="3" t="s">
        <v>1466</v>
      </c>
      <c r="H47" s="3" t="str">
        <f>HYPERLINK(".\links\UNIPROT-ACARI\gi_556063869-UNIPROT-ACARI.txt","Cytochrome B5, putative")</f>
        <v>Cytochrome B5, putative</v>
      </c>
      <c r="I47" s="3" t="str">
        <f>HYPERLINK("http://www.ncbi.nlm.nih.gov/sutils/blink.cgi?pid=B7QCB3","1E-074")</f>
        <v>1E-074</v>
      </c>
      <c r="J47" s="3" t="s">
        <v>475</v>
      </c>
      <c r="K47" s="3">
        <v>275</v>
      </c>
      <c r="L47" s="3">
        <v>134</v>
      </c>
      <c r="M47" s="3">
        <v>134</v>
      </c>
      <c r="N47" s="3">
        <v>100</v>
      </c>
      <c r="O47" s="3">
        <v>100</v>
      </c>
      <c r="P47" s="3">
        <v>100</v>
      </c>
      <c r="Q47" s="3">
        <v>0</v>
      </c>
      <c r="R47" s="3">
        <v>0</v>
      </c>
      <c r="S47" s="3">
        <v>1</v>
      </c>
      <c r="T47" s="3">
        <v>1</v>
      </c>
      <c r="U47" s="3">
        <v>1</v>
      </c>
      <c r="V47" s="3" t="s">
        <v>36</v>
      </c>
      <c r="W47" s="3" t="str">
        <f>HYPERLINK(".\links\NR-LIGHT\gi_556063869-NR-LIGHT.txt","cytochrome B5, putative")</f>
        <v>cytochrome B5, putative</v>
      </c>
      <c r="X47" s="3" t="str">
        <f>HYPERLINK("http://www.ncbi.nlm.nih.gov/sutils/blink.cgi?pid=241701683","4E-073")</f>
        <v>4E-073</v>
      </c>
      <c r="Y47" s="3" t="str">
        <f>HYPERLINK("http://www.ncbi.nlm.nih.gov/protein/241701683","gi|241701683")</f>
        <v>gi|241701683</v>
      </c>
      <c r="Z47" s="3">
        <v>275</v>
      </c>
      <c r="AA47" s="3">
        <v>134</v>
      </c>
      <c r="AB47" s="3">
        <v>134</v>
      </c>
      <c r="AC47" s="3">
        <v>100</v>
      </c>
      <c r="AD47" s="3">
        <v>100</v>
      </c>
      <c r="AE47" s="3">
        <v>100</v>
      </c>
      <c r="AF47" s="3">
        <v>0</v>
      </c>
      <c r="AG47" s="3">
        <v>0</v>
      </c>
      <c r="AH47" s="3">
        <v>1</v>
      </c>
      <c r="AI47" s="3">
        <v>1</v>
      </c>
      <c r="AJ47" s="3">
        <v>1</v>
      </c>
      <c r="AK47" s="3" t="s">
        <v>40</v>
      </c>
      <c r="AL47" s="3" t="str">
        <f>HYPERLINK(".\links\REFSEQ-INVERTEBRATE\gi_556063869-REFSEQ-INVERTEBRATE.txt","cytochrome B5, putative")</f>
        <v>cytochrome B5, putative</v>
      </c>
      <c r="AM47" s="3" t="str">
        <f>HYPERLINK("http://www.ncbi.nlm.nih.gov/sutils/blink.cgi?pid=241701683","1E-073")</f>
        <v>1E-073</v>
      </c>
      <c r="AN47" s="3" t="str">
        <f>HYPERLINK("http://www.ncbi.nlm.nih.gov/protein/241701683","gi|241701683")</f>
        <v>gi|241701683</v>
      </c>
      <c r="AO47" s="3">
        <v>275</v>
      </c>
      <c r="AP47" s="3">
        <v>134</v>
      </c>
      <c r="AQ47" s="3">
        <v>134</v>
      </c>
      <c r="AR47" s="3">
        <v>100</v>
      </c>
      <c r="AS47" s="3">
        <v>100</v>
      </c>
      <c r="AT47" s="3">
        <v>100</v>
      </c>
      <c r="AU47" s="3">
        <v>0</v>
      </c>
      <c r="AV47" s="3">
        <v>0</v>
      </c>
      <c r="AW47" s="3">
        <v>1</v>
      </c>
      <c r="AX47" s="3">
        <v>1</v>
      </c>
      <c r="AY47" s="3">
        <v>1</v>
      </c>
      <c r="AZ47" s="3" t="s">
        <v>40</v>
      </c>
      <c r="BA47" s="3" t="str">
        <f>HYPERLINK(".\links\MEROPS\gi_556063869-MEROPS.txt","- Lon-A peptidase (Psychrobacter sp. PRwf-1)")</f>
        <v>- Lon-A peptidase (Psychrobacter sp. PRwf-1)</v>
      </c>
      <c r="BB47" s="3" t="str">
        <f>HYPERLINK("http://www.ncbi.nlm.nih.gov/sutils/blink.cgi?pid=084956 - Lon-A peptidase (Psychrobacter sp. PRwf-1) [S16.001]#S16#{peptidase unit","0.48")</f>
        <v>0.48</v>
      </c>
      <c r="BC47" s="3" t="s">
        <v>476</v>
      </c>
      <c r="BD47" s="3">
        <v>33.5</v>
      </c>
      <c r="BE47" s="3">
        <v>122</v>
      </c>
      <c r="BF47" s="3">
        <v>859</v>
      </c>
      <c r="BG47" s="3">
        <v>27</v>
      </c>
      <c r="BH47" s="3">
        <v>42</v>
      </c>
      <c r="BI47" s="3">
        <v>14</v>
      </c>
      <c r="BJ47" s="3">
        <v>89</v>
      </c>
      <c r="BK47" s="3">
        <v>8</v>
      </c>
      <c r="BL47" s="3">
        <v>245</v>
      </c>
      <c r="BM47" s="3">
        <v>13</v>
      </c>
      <c r="BN47" s="3">
        <v>1</v>
      </c>
      <c r="BO47" s="3" t="s">
        <v>477</v>
      </c>
      <c r="BP47" s="3" t="s">
        <v>478</v>
      </c>
      <c r="BQ47" s="3">
        <f>HYPERLINK(".\links\GO\gi_556063869-GO.txt",3E-36)</f>
        <v>3.0000000000000002E-36</v>
      </c>
      <c r="BR47" s="3" t="str">
        <f>HYPERLINK("http://amigo.geneontology.org/cgi-bin/amigo/term_details?term=GO:0009055","GO:0009055")</f>
        <v>GO:0009055</v>
      </c>
      <c r="BS47" s="3" t="s">
        <v>479</v>
      </c>
      <c r="BT47" s="3" t="s">
        <v>480</v>
      </c>
      <c r="BU47" s="3" t="s">
        <v>481</v>
      </c>
      <c r="BV47" s="3" t="s">
        <v>36</v>
      </c>
      <c r="BX47" s="4">
        <v>3.0000000000000002E-36</v>
      </c>
      <c r="BY47" s="3" t="str">
        <f>HYPERLINK("http://amigo.geneontology.org/cgi-bin/amigo/term_details?term=GO:0043231","GO:0043231")</f>
        <v>GO:0043231</v>
      </c>
      <c r="BZ47" s="3" t="s">
        <v>482</v>
      </c>
      <c r="CA47" s="3" t="s">
        <v>483</v>
      </c>
      <c r="CB47" s="3" t="s">
        <v>484</v>
      </c>
      <c r="CC47" s="3" t="s">
        <v>36</v>
      </c>
      <c r="CE47" s="4">
        <v>3.0000000000000002E-36</v>
      </c>
      <c r="CF47" s="3" t="str">
        <f>HYPERLINK("http://amigo.geneontology.org/cgi-bin/amigo/term_details?term=GO:0002168","GO:0002168")</f>
        <v>GO:0002168</v>
      </c>
      <c r="CG47" s="3" t="s">
        <v>485</v>
      </c>
      <c r="CH47" s="3" t="s">
        <v>486</v>
      </c>
      <c r="CI47" s="3" t="s">
        <v>36</v>
      </c>
      <c r="CJ47" s="3" t="s">
        <v>36</v>
      </c>
      <c r="CL47" s="4">
        <v>3.0000000000000002E-36</v>
      </c>
      <c r="CM47" s="3" t="str">
        <f>HYPERLINK(".\links\CDD\gi_556063869-CDD.txt","Cyt-b5")</f>
        <v>Cyt-b5</v>
      </c>
      <c r="CN47" s="3" t="str">
        <f>HYPERLINK("http://www.ncbi.nlm.nih.gov/Structure/cdd/cddsrv.cgi?uid=pfam00173&amp;version=v4.0","2E-021")</f>
        <v>2E-021</v>
      </c>
      <c r="CO47" s="3" t="s">
        <v>487</v>
      </c>
      <c r="CP47" s="3" t="str">
        <f>HYPERLINK(".\links\ACARI\gi_556063869-ACARI.txt","cytochrome B5, putative")</f>
        <v>cytochrome B5, putative</v>
      </c>
      <c r="CQ47" s="3" t="str">
        <f>HYPERLINK("http://www.ncbi.nlm.nih.gov/sutils/blink.cgi?pid=241701683","1E-074")</f>
        <v>1E-074</v>
      </c>
      <c r="CR47" s="3" t="str">
        <f>HYPERLINK("http://www.ncbi.nlm.nih.gov/protein/241701683","gi|241701683")</f>
        <v>gi|241701683</v>
      </c>
      <c r="CS47" s="3">
        <v>275</v>
      </c>
      <c r="CT47" s="3">
        <v>134</v>
      </c>
      <c r="CU47" s="3">
        <v>134</v>
      </c>
      <c r="CV47" s="3">
        <v>100</v>
      </c>
      <c r="CW47" s="3">
        <v>100</v>
      </c>
      <c r="CX47" s="3">
        <v>100</v>
      </c>
      <c r="CY47" s="3">
        <v>0</v>
      </c>
      <c r="CZ47" s="3">
        <v>0</v>
      </c>
      <c r="DA47" s="3">
        <v>1</v>
      </c>
      <c r="DB47" s="3">
        <v>1</v>
      </c>
      <c r="DC47" s="3">
        <v>1</v>
      </c>
      <c r="DD47" s="3" t="s">
        <v>40</v>
      </c>
    </row>
    <row r="48" spans="1:108" s="3" customFormat="1" x14ac:dyDescent="0.2">
      <c r="A48" s="3" t="s">
        <v>1421</v>
      </c>
      <c r="B48" s="3" t="str">
        <f>HYPERLINK(".\links\\Rm-10851-.txt","Rm-10851")</f>
        <v>Rm-10851</v>
      </c>
      <c r="C48" s="3" t="s">
        <v>35</v>
      </c>
      <c r="D48" s="3">
        <v>555</v>
      </c>
      <c r="E48" s="9" t="s">
        <v>203</v>
      </c>
      <c r="F48" s="3" t="s">
        <v>1224</v>
      </c>
      <c r="G48" s="3" t="s">
        <v>1466</v>
      </c>
      <c r="H48" s="3" t="str">
        <f>HYPERLINK(".\links\UNIPROT-ACARI\Rm-10851-UNIPROT-ACARI.txt","ATP synthase subunit alpha")</f>
        <v>ATP synthase subunit alpha</v>
      </c>
      <c r="I48" s="3" t="str">
        <f>HYPERLINK("http://www.ncbi.nlm.nih.gov/sutils/blink.cgi?pid=G3MT42","0.0")</f>
        <v>0.0</v>
      </c>
      <c r="J48" s="3" t="s">
        <v>1188</v>
      </c>
      <c r="K48" s="3">
        <v>1042</v>
      </c>
      <c r="L48" s="3">
        <v>555</v>
      </c>
      <c r="M48" s="3">
        <v>555</v>
      </c>
      <c r="N48" s="3">
        <v>96</v>
      </c>
      <c r="O48" s="3">
        <v>98</v>
      </c>
      <c r="P48" s="3">
        <v>100</v>
      </c>
      <c r="Q48" s="3">
        <v>19</v>
      </c>
      <c r="R48" s="3">
        <v>0</v>
      </c>
      <c r="S48" s="3">
        <v>1</v>
      </c>
      <c r="T48" s="3">
        <v>1</v>
      </c>
      <c r="U48" s="3">
        <v>1</v>
      </c>
      <c r="V48" s="3" t="s">
        <v>36</v>
      </c>
      <c r="W48" s="3" t="str">
        <f>HYPERLINK(".\links\NR-LIGHT\Rm-10851-NR-LIGHT.txt","F0F1-type ATP synthase, alpha subunit, putative")</f>
        <v>F0F1-type ATP synthase, alpha subunit, putative</v>
      </c>
      <c r="X48" s="3" t="str">
        <f>HYPERLINK("http://www.ncbi.nlm.nih.gov/sutils/blink.cgi?pid=241705635","0.0")</f>
        <v>0.0</v>
      </c>
      <c r="Y48" s="3" t="str">
        <f>HYPERLINK("http://www.ncbi.nlm.nih.gov/protein/241705635","gi|241705635")</f>
        <v>gi|241705635</v>
      </c>
      <c r="Z48" s="3">
        <v>988</v>
      </c>
      <c r="AA48" s="3">
        <v>554</v>
      </c>
      <c r="AB48" s="3">
        <v>555</v>
      </c>
      <c r="AC48" s="3">
        <v>91</v>
      </c>
      <c r="AD48" s="3">
        <v>94</v>
      </c>
      <c r="AE48" s="3">
        <v>100</v>
      </c>
      <c r="AF48" s="3">
        <v>46</v>
      </c>
      <c r="AG48" s="3">
        <v>0</v>
      </c>
      <c r="AH48" s="3">
        <v>1</v>
      </c>
      <c r="AI48" s="3">
        <v>1</v>
      </c>
      <c r="AJ48" s="3">
        <v>1</v>
      </c>
      <c r="AK48" s="3" t="s">
        <v>40</v>
      </c>
      <c r="AL48" s="3" t="str">
        <f>HYPERLINK(".\links\REFSEQ-INVERTEBRATE\Rm-10851-REFSEQ-INVERTEBRATE.txt","F0F1-type ATP synthase, alpha subunit, putative")</f>
        <v>F0F1-type ATP synthase, alpha subunit, putative</v>
      </c>
      <c r="AM48" s="3" t="str">
        <f>HYPERLINK("http://www.ncbi.nlm.nih.gov/sutils/blink.cgi?pid=241705635","0.0")</f>
        <v>0.0</v>
      </c>
      <c r="AN48" s="3" t="str">
        <f>HYPERLINK("http://www.ncbi.nlm.nih.gov/protein/241705635","gi|241705635")</f>
        <v>gi|241705635</v>
      </c>
      <c r="AO48" s="3">
        <v>988</v>
      </c>
      <c r="AP48" s="3">
        <v>554</v>
      </c>
      <c r="AQ48" s="3">
        <v>555</v>
      </c>
      <c r="AR48" s="3">
        <v>91</v>
      </c>
      <c r="AS48" s="3">
        <v>94</v>
      </c>
      <c r="AT48" s="3">
        <v>100</v>
      </c>
      <c r="AU48" s="3">
        <v>46</v>
      </c>
      <c r="AV48" s="3">
        <v>0</v>
      </c>
      <c r="AW48" s="3">
        <v>1</v>
      </c>
      <c r="AX48" s="3">
        <v>1</v>
      </c>
      <c r="AY48" s="3">
        <v>1</v>
      </c>
      <c r="AZ48" s="3" t="s">
        <v>40</v>
      </c>
      <c r="BA48" s="3" t="str">
        <f>HYPERLINK(".\links\MEROPS\Rm-10851-MEROPS.txt","- polycystic kidney disease 1-like 3 (Nomascus leucogenys)")</f>
        <v>- polycystic kidney disease 1-like 3 (Nomascus leucogenys)</v>
      </c>
      <c r="BB48" s="3" t="str">
        <f>HYPERLINK("http://www.ncbi.nlm.nih.gov/sutils/blink.cgi?pid=257012 - polycystic kidney disease 1-like 3 (Nomascus leucogenys) [T06.004]#T06#{peptidase unit","1E-151")</f>
        <v>1E-151</v>
      </c>
      <c r="BC48" s="3" t="s">
        <v>1189</v>
      </c>
      <c r="BD48" s="3">
        <v>537</v>
      </c>
      <c r="BE48" s="3">
        <v>476</v>
      </c>
      <c r="BF48" s="3">
        <v>1982</v>
      </c>
      <c r="BG48" s="3">
        <v>64</v>
      </c>
      <c r="BH48" s="3">
        <v>71</v>
      </c>
      <c r="BI48" s="3">
        <v>24</v>
      </c>
      <c r="BJ48" s="3">
        <v>170</v>
      </c>
      <c r="BK48" s="3">
        <v>76</v>
      </c>
      <c r="BL48" s="3">
        <v>28</v>
      </c>
      <c r="BM48" s="3">
        <v>31</v>
      </c>
      <c r="BN48" s="3">
        <v>1</v>
      </c>
      <c r="BO48" s="3" t="s">
        <v>1190</v>
      </c>
      <c r="BP48" s="3" t="s">
        <v>1191</v>
      </c>
      <c r="BQ48" s="3">
        <f>HYPERLINK(".\links\GO\Rm-10851-GO.txt",0)</f>
        <v>0</v>
      </c>
      <c r="BR48" s="3" t="str">
        <f>HYPERLINK("http://amigo.geneontology.org/cgi-bin/amigo/term_details?term=GO:0005524","GO:0005524")</f>
        <v>GO:0005524</v>
      </c>
      <c r="BS48" s="3" t="s">
        <v>523</v>
      </c>
      <c r="BT48" s="3" t="s">
        <v>524</v>
      </c>
      <c r="BU48" s="3" t="s">
        <v>36</v>
      </c>
      <c r="BV48" s="3" t="s">
        <v>36</v>
      </c>
      <c r="BX48" s="3">
        <v>0</v>
      </c>
      <c r="BY48" s="3" t="str">
        <f>HYPERLINK("http://amigo.geneontology.org/cgi-bin/amigo/term_details?term=GO:0045261","GO:0045261")</f>
        <v>GO:0045261</v>
      </c>
      <c r="BZ48" s="3" t="s">
        <v>1192</v>
      </c>
      <c r="CA48" s="3" t="s">
        <v>1193</v>
      </c>
      <c r="CB48" s="3" t="s">
        <v>1194</v>
      </c>
      <c r="CC48" s="3" t="s">
        <v>36</v>
      </c>
      <c r="CE48" s="3">
        <v>0</v>
      </c>
      <c r="CF48" s="3" t="str">
        <f>HYPERLINK("http://amigo.geneontology.org/cgi-bin/amigo/term_details?term=GO:0015986","GO:0015986")</f>
        <v>GO:0015986</v>
      </c>
      <c r="CG48" s="3" t="s">
        <v>1195</v>
      </c>
      <c r="CH48" s="3" t="s">
        <v>1196</v>
      </c>
      <c r="CI48" s="3" t="s">
        <v>1197</v>
      </c>
      <c r="CJ48" s="3" t="s">
        <v>36</v>
      </c>
      <c r="CL48" s="3">
        <v>0</v>
      </c>
      <c r="CM48" s="3" t="str">
        <f>HYPERLINK(".\links\CDD\Rm-10851-CDD.txt","AtpA")</f>
        <v>AtpA</v>
      </c>
      <c r="CN48" s="3" t="str">
        <f>HYPERLINK("http://www.ncbi.nlm.nih.gov/Structure/cdd/cddsrv.cgi?uid=COG0056&amp;version=v4.0","0.0")</f>
        <v>0.0</v>
      </c>
      <c r="CO48" s="3" t="s">
        <v>1198</v>
      </c>
      <c r="CP48" s="3" t="str">
        <f>HYPERLINK(".\links\ACARI\Rm-10851-ACARI.txt","hypothetical protein")</f>
        <v>hypothetical protein</v>
      </c>
      <c r="CQ48" s="3" t="str">
        <f>HYPERLINK("http://www.ncbi.nlm.nih.gov/sutils/blink.cgi?pid=346473631","0.0")</f>
        <v>0.0</v>
      </c>
      <c r="CR48" s="3" t="str">
        <f>HYPERLINK("http://www.ncbi.nlm.nih.gov/protein/346473631","gi|346473631")</f>
        <v>gi|346473631</v>
      </c>
      <c r="CS48" s="3">
        <v>1042</v>
      </c>
      <c r="CT48" s="3">
        <v>555</v>
      </c>
      <c r="CU48" s="3">
        <v>555</v>
      </c>
      <c r="CV48" s="3">
        <v>96</v>
      </c>
      <c r="CW48" s="3">
        <v>98</v>
      </c>
      <c r="CX48" s="3">
        <v>100</v>
      </c>
      <c r="CY48" s="3">
        <v>19</v>
      </c>
      <c r="CZ48" s="3">
        <v>0</v>
      </c>
      <c r="DA48" s="3">
        <v>1</v>
      </c>
      <c r="DB48" s="3">
        <v>1</v>
      </c>
      <c r="DC48" s="3">
        <v>1</v>
      </c>
      <c r="DD48" s="3" t="s">
        <v>173</v>
      </c>
    </row>
    <row r="49" spans="1:108" s="3" customFormat="1" x14ac:dyDescent="0.2">
      <c r="A49" s="3" t="s">
        <v>1349</v>
      </c>
      <c r="B49" s="3" t="str">
        <f>HYPERLINK(".\links\\Rm-26196-.txt","Rm-26196")</f>
        <v>Rm-26196</v>
      </c>
      <c r="C49" s="3" t="s">
        <v>35</v>
      </c>
      <c r="D49" s="3">
        <v>340</v>
      </c>
      <c r="E49" s="9" t="s">
        <v>203</v>
      </c>
      <c r="F49" s="3" t="s">
        <v>930</v>
      </c>
      <c r="G49" s="3" t="s">
        <v>1466</v>
      </c>
      <c r="H49" s="3" t="str">
        <f>HYPERLINK(".\links\UNIPROT-ACARI\Rm-26196-UNIPROT-ACARI.txt","Malate dehydrogenase")</f>
        <v>Malate dehydrogenase</v>
      </c>
      <c r="I49" s="3" t="str">
        <f>HYPERLINK("http://www.ncbi.nlm.nih.gov/sutils/blink.cgi?pid=L7M8Y4","0.0")</f>
        <v>0.0</v>
      </c>
      <c r="J49" s="3" t="s">
        <v>931</v>
      </c>
      <c r="K49" s="3">
        <v>654</v>
      </c>
      <c r="L49" s="3">
        <v>340</v>
      </c>
      <c r="M49" s="3">
        <v>340</v>
      </c>
      <c r="N49" s="3">
        <v>99</v>
      </c>
      <c r="O49" s="3">
        <v>99</v>
      </c>
      <c r="P49" s="3">
        <v>100</v>
      </c>
      <c r="Q49" s="3">
        <v>2</v>
      </c>
      <c r="R49" s="3">
        <v>0</v>
      </c>
      <c r="S49" s="3">
        <v>1</v>
      </c>
      <c r="T49" s="3">
        <v>1</v>
      </c>
      <c r="U49" s="3">
        <v>1</v>
      </c>
      <c r="V49" s="3" t="s">
        <v>36</v>
      </c>
      <c r="W49" s="3" t="str">
        <f>HYPERLINK(".\links\NR-LIGHT\Rm-26196-NR-LIGHT.txt","malate dehydrogenase, putative")</f>
        <v>malate dehydrogenase, putative</v>
      </c>
      <c r="X49" s="3" t="str">
        <f>HYPERLINK("http://www.ncbi.nlm.nih.gov/sutils/blink.cgi?pid=241243545","1E-173")</f>
        <v>1E-173</v>
      </c>
      <c r="Y49" s="3" t="str">
        <f>HYPERLINK("http://www.ncbi.nlm.nih.gov/protein/241243545","gi|241243545")</f>
        <v>gi|241243545</v>
      </c>
      <c r="Z49" s="3">
        <v>610</v>
      </c>
      <c r="AA49" s="3">
        <v>340</v>
      </c>
      <c r="AB49" s="3">
        <v>340</v>
      </c>
      <c r="AC49" s="3">
        <v>90</v>
      </c>
      <c r="AD49" s="3">
        <v>96</v>
      </c>
      <c r="AE49" s="3">
        <v>100</v>
      </c>
      <c r="AF49" s="3">
        <v>32</v>
      </c>
      <c r="AG49" s="3">
        <v>0</v>
      </c>
      <c r="AH49" s="3">
        <v>1</v>
      </c>
      <c r="AI49" s="3">
        <v>1</v>
      </c>
      <c r="AJ49" s="3">
        <v>1</v>
      </c>
      <c r="AK49" s="3" t="s">
        <v>40</v>
      </c>
      <c r="AL49" s="3" t="str">
        <f>HYPERLINK(".\links\REFSEQ-INVERTEBRATE\Rm-26196-REFSEQ-INVERTEBRATE.txt","malate dehydrogenase, putative")</f>
        <v>malate dehydrogenase, putative</v>
      </c>
      <c r="AM49" s="3" t="str">
        <f>HYPERLINK("http://www.ncbi.nlm.nih.gov/sutils/blink.cgi?pid=241243545","1E-174")</f>
        <v>1E-174</v>
      </c>
      <c r="AN49" s="3" t="str">
        <f>HYPERLINK("http://www.ncbi.nlm.nih.gov/protein/241243545","gi|241243545")</f>
        <v>gi|241243545</v>
      </c>
      <c r="AO49" s="3">
        <v>610</v>
      </c>
      <c r="AP49" s="3">
        <v>340</v>
      </c>
      <c r="AQ49" s="3">
        <v>340</v>
      </c>
      <c r="AR49" s="3">
        <v>90</v>
      </c>
      <c r="AS49" s="3">
        <v>96</v>
      </c>
      <c r="AT49" s="3">
        <v>100</v>
      </c>
      <c r="AU49" s="3">
        <v>32</v>
      </c>
      <c r="AV49" s="3">
        <v>0</v>
      </c>
      <c r="AW49" s="3">
        <v>1</v>
      </c>
      <c r="AX49" s="3">
        <v>1</v>
      </c>
      <c r="AY49" s="3">
        <v>1</v>
      </c>
      <c r="AZ49" s="3" t="s">
        <v>40</v>
      </c>
      <c r="BA49" s="3" t="str">
        <f>HYPERLINK(".\links\MEROPS\Rm-26196-MEROPS.txt","- subfamily M16B non-peptidase homologues (Serpula lacrymans)")</f>
        <v>- subfamily M16B non-peptidase homologues (Serpula lacrymans)</v>
      </c>
      <c r="BB49" s="3" t="str">
        <f>HYPERLINK("http://www.ncbi.nlm.nih.gov/sutils/blink.cgi?pid=392509 - subfamily M16B non-peptidase homologues (Serpula lacrymans) [M16.UNB]#M16B#{peptidase unit","0.035")</f>
        <v>0.035</v>
      </c>
      <c r="BC49" s="3" t="s">
        <v>932</v>
      </c>
      <c r="BD49" s="3">
        <v>40</v>
      </c>
      <c r="BE49" s="3">
        <v>117</v>
      </c>
      <c r="BF49" s="3">
        <v>424</v>
      </c>
      <c r="BG49" s="3">
        <v>32</v>
      </c>
      <c r="BH49" s="3">
        <v>44</v>
      </c>
      <c r="BI49" s="3">
        <v>28</v>
      </c>
      <c r="BJ49" s="3">
        <v>79</v>
      </c>
      <c r="BK49" s="3">
        <v>5</v>
      </c>
      <c r="BL49" s="3">
        <v>275</v>
      </c>
      <c r="BM49" s="3">
        <v>185</v>
      </c>
      <c r="BN49" s="3">
        <v>1</v>
      </c>
      <c r="BO49" s="3" t="s">
        <v>933</v>
      </c>
      <c r="BP49" s="3" t="s">
        <v>934</v>
      </c>
      <c r="BQ49" s="3">
        <f>HYPERLINK(".\links\GO\Rm-26196-GO.txt",0)</f>
        <v>0</v>
      </c>
      <c r="BR49" s="3" t="str">
        <f>HYPERLINK("http://amigo.geneontology.org/cgi-bin/amigo/term_details?term=GO:0030060","GO:0030060")</f>
        <v>GO:0030060</v>
      </c>
      <c r="BS49" s="3" t="s">
        <v>935</v>
      </c>
      <c r="BT49" s="3" t="s">
        <v>936</v>
      </c>
      <c r="BU49" s="3" t="s">
        <v>937</v>
      </c>
      <c r="BV49" s="3" t="str">
        <f>HYPERLINK("http://www.genome.jp/dbget-bin/www_bfind_sub?mode=bfind&amp;max_hit=1000&amp;dbkey=kegg&amp;keywords=EC:1.1.1.37","EC:1.1.1.37")</f>
        <v>EC:1.1.1.37</v>
      </c>
      <c r="BX49" s="4">
        <v>1.0000000000000001E-138</v>
      </c>
      <c r="BY49" s="3" t="str">
        <f>HYPERLINK("http://amigo.geneontology.org/cgi-bin/amigo/term_details?term=GO:0005634","GO:0005634")</f>
        <v>GO:0005634</v>
      </c>
      <c r="BZ49" s="3" t="s">
        <v>359</v>
      </c>
      <c r="CA49" s="3" t="s">
        <v>360</v>
      </c>
      <c r="CB49" s="3" t="s">
        <v>361</v>
      </c>
      <c r="CC49" s="3" t="s">
        <v>36</v>
      </c>
      <c r="CE49" s="4">
        <v>1.0000000000000001E-138</v>
      </c>
      <c r="CF49" s="3" t="str">
        <f>HYPERLINK("http://amigo.geneontology.org/cgi-bin/amigo/term_details?term=GO:0005975","GO:0005975")</f>
        <v>GO:0005975</v>
      </c>
      <c r="CG49" s="3" t="s">
        <v>94</v>
      </c>
      <c r="CH49" s="3" t="s">
        <v>95</v>
      </c>
      <c r="CI49" s="3" t="s">
        <v>96</v>
      </c>
      <c r="CJ49" s="3" t="s">
        <v>36</v>
      </c>
      <c r="CL49" s="4">
        <v>1.0000000000000001E-138</v>
      </c>
      <c r="CM49" s="3" t="str">
        <f>HYPERLINK(".\links\CDD\Rm-26196-CDD.txt","MDH_glyoxysomal")</f>
        <v>MDH_glyoxysomal</v>
      </c>
      <c r="CN49" s="3" t="str">
        <f>HYPERLINK("http://www.ncbi.nlm.nih.gov/Structure/cdd/cddsrv.cgi?uid=cd01337&amp;version=v4.0","1E-123")</f>
        <v>1E-123</v>
      </c>
      <c r="CO49" s="3" t="s">
        <v>938</v>
      </c>
      <c r="CP49" s="3" t="str">
        <f>HYPERLINK(".\links\ACARI\Rm-26196-ACARI.txt","Putative nad-dependent malate dehydrogenase")</f>
        <v>Putative nad-dependent malate dehydrogenase</v>
      </c>
      <c r="CQ49" s="3" t="str">
        <f>HYPERLINK("http://www.ncbi.nlm.nih.gov/sutils/blink.cgi?pid=427788293","0.0")</f>
        <v>0.0</v>
      </c>
      <c r="CR49" s="3" t="str">
        <f>HYPERLINK("http://www.ncbi.nlm.nih.gov/protein/427788293","gi|427788293")</f>
        <v>gi|427788293</v>
      </c>
      <c r="CS49" s="3">
        <v>654</v>
      </c>
      <c r="CT49" s="3">
        <v>340</v>
      </c>
      <c r="CU49" s="3">
        <v>340</v>
      </c>
      <c r="CV49" s="3">
        <v>99</v>
      </c>
      <c r="CW49" s="3">
        <v>99</v>
      </c>
      <c r="CX49" s="3">
        <v>100</v>
      </c>
      <c r="CY49" s="3">
        <v>2</v>
      </c>
      <c r="CZ49" s="3">
        <v>0</v>
      </c>
      <c r="DA49" s="3">
        <v>1</v>
      </c>
      <c r="DB49" s="3">
        <v>1</v>
      </c>
      <c r="DC49" s="3">
        <v>1</v>
      </c>
      <c r="DD49" s="3" t="s">
        <v>68</v>
      </c>
    </row>
    <row r="50" spans="1:108" s="3" customFormat="1" x14ac:dyDescent="0.2">
      <c r="A50" s="3" t="s">
        <v>1294</v>
      </c>
      <c r="B50" s="3" t="str">
        <f>HYPERLINK(".\links\\gi_427778295-.txt","gi_427778295")</f>
        <v>gi_427778295</v>
      </c>
      <c r="C50" s="3" t="s">
        <v>35</v>
      </c>
      <c r="D50" s="3">
        <v>465</v>
      </c>
      <c r="E50" s="9" t="s">
        <v>68</v>
      </c>
      <c r="F50" s="3" t="s">
        <v>1225</v>
      </c>
      <c r="G50" s="3" t="s">
        <v>1467</v>
      </c>
      <c r="H50" s="3" t="str">
        <f>HYPERLINK(".\links\UNIPROT-ACARI\gi_427778295-UNIPROT-ACARI.txt","Putative phospholipase a2")</f>
        <v>Putative phospholipase a2</v>
      </c>
      <c r="I50" s="3" t="str">
        <f>HYPERLINK("http://www.ncbi.nlm.nih.gov/sutils/blink.cgi?pid=L7LUU3","0.0")</f>
        <v>0.0</v>
      </c>
      <c r="J50" s="3" t="s">
        <v>163</v>
      </c>
      <c r="K50" s="3">
        <v>953</v>
      </c>
      <c r="L50" s="3">
        <v>465</v>
      </c>
      <c r="M50" s="3">
        <v>465</v>
      </c>
      <c r="N50" s="3">
        <v>100</v>
      </c>
      <c r="O50" s="3">
        <v>100</v>
      </c>
      <c r="P50" s="3">
        <v>100</v>
      </c>
      <c r="Q50" s="3">
        <v>0</v>
      </c>
      <c r="R50" s="3">
        <v>0</v>
      </c>
      <c r="S50" s="3">
        <v>1</v>
      </c>
      <c r="T50" s="3">
        <v>1</v>
      </c>
      <c r="U50" s="3">
        <v>1</v>
      </c>
      <c r="V50" s="3" t="s">
        <v>36</v>
      </c>
      <c r="W50" s="3" t="str">
        <f>HYPERLINK(".\links\NR-LIGHT\gi_427778295-NR-LIGHT.txt","phospholipase A2 precursor, putative")</f>
        <v>phospholipase A2 precursor, putative</v>
      </c>
      <c r="X50" s="3" t="str">
        <f>HYPERLINK("http://www.ncbi.nlm.nih.gov/sutils/blink.cgi?pid=241779329","1E-116")</f>
        <v>1E-116</v>
      </c>
      <c r="Y50" s="3" t="str">
        <f>HYPERLINK("http://www.ncbi.nlm.nih.gov/protein/241779329","gi|241779329")</f>
        <v>gi|241779329</v>
      </c>
      <c r="Z50" s="3">
        <v>422</v>
      </c>
      <c r="AA50" s="3">
        <v>447</v>
      </c>
      <c r="AB50" s="3">
        <v>416</v>
      </c>
      <c r="AC50" s="3">
        <v>51</v>
      </c>
      <c r="AD50" s="3">
        <v>62</v>
      </c>
      <c r="AE50" s="3">
        <v>107</v>
      </c>
      <c r="AF50" s="3">
        <v>218</v>
      </c>
      <c r="AG50" s="3">
        <v>67</v>
      </c>
      <c r="AH50" s="3">
        <v>1</v>
      </c>
      <c r="AI50" s="3">
        <v>1</v>
      </c>
      <c r="AJ50" s="3">
        <v>1</v>
      </c>
      <c r="AK50" s="3" t="s">
        <v>40</v>
      </c>
      <c r="AL50" s="3" t="str">
        <f>HYPERLINK(".\links\REFSEQ-INVERTEBRATE\gi_427778295-REFSEQ-INVERTEBRATE.txt","phospholipase A2 precursor, putative")</f>
        <v>phospholipase A2 precursor, putative</v>
      </c>
      <c r="AM50" s="3" t="str">
        <f>HYPERLINK("http://www.ncbi.nlm.nih.gov/sutils/blink.cgi?pid=241779329","1E-117")</f>
        <v>1E-117</v>
      </c>
      <c r="AN50" s="3" t="str">
        <f>HYPERLINK("http://www.ncbi.nlm.nih.gov/protein/241779329","gi|241779329")</f>
        <v>gi|241779329</v>
      </c>
      <c r="AO50" s="3">
        <v>422</v>
      </c>
      <c r="AP50" s="3">
        <v>447</v>
      </c>
      <c r="AQ50" s="3">
        <v>416</v>
      </c>
      <c r="AR50" s="3">
        <v>51</v>
      </c>
      <c r="AS50" s="3">
        <v>62</v>
      </c>
      <c r="AT50" s="3">
        <v>107</v>
      </c>
      <c r="AU50" s="3">
        <v>218</v>
      </c>
      <c r="AV50" s="3">
        <v>67</v>
      </c>
      <c r="AW50" s="3">
        <v>1</v>
      </c>
      <c r="AX50" s="3">
        <v>1</v>
      </c>
      <c r="AY50" s="3">
        <v>1</v>
      </c>
      <c r="AZ50" s="3" t="s">
        <v>40</v>
      </c>
      <c r="BA50" s="3" t="str">
        <f>HYPERLINK(".\links\MEROPS\gi_427778295-MEROPS.txt","- subfamily S1A non-peptidase homologues (Nasonia vitripennis)")</f>
        <v>- subfamily S1A non-peptidase homologues (Nasonia vitripennis)</v>
      </c>
      <c r="BB50" s="3" t="str">
        <f>HYPERLINK("http://www.ncbi.nlm.nih.gov/sutils/blink.cgi?pid=171569 - subfamily S1A non-peptidase homologues (Nasonia vitripennis) [S01.UNA]#S01A#{peptidase unit","0.001")</f>
        <v>0.001</v>
      </c>
      <c r="BC50" s="3" t="s">
        <v>164</v>
      </c>
      <c r="BD50" s="3">
        <v>45.4</v>
      </c>
      <c r="BE50" s="3">
        <v>118</v>
      </c>
      <c r="BF50" s="3">
        <v>2318</v>
      </c>
      <c r="BG50" s="3">
        <v>30</v>
      </c>
      <c r="BH50" s="3">
        <v>46</v>
      </c>
      <c r="BI50" s="3">
        <v>5</v>
      </c>
      <c r="BJ50" s="3">
        <v>82</v>
      </c>
      <c r="BK50" s="3">
        <v>5</v>
      </c>
      <c r="BL50" s="3">
        <v>545</v>
      </c>
      <c r="BM50" s="3">
        <v>342</v>
      </c>
      <c r="BN50" s="3">
        <v>1</v>
      </c>
      <c r="BO50" s="3" t="s">
        <v>116</v>
      </c>
      <c r="BP50" s="3" t="s">
        <v>165</v>
      </c>
      <c r="BQ50" s="3">
        <f>HYPERLINK(".\links\GO\gi_427778295-GO.txt",9E-25)</f>
        <v>9.0000000000000002E-25</v>
      </c>
      <c r="BR50" s="3" t="str">
        <f>HYPERLINK("http://amigo.geneontology.org/cgi-bin/amigo/term_details?term=GO:0005509","GO:0005509")</f>
        <v>GO:0005509</v>
      </c>
      <c r="BS50" s="3" t="s">
        <v>166</v>
      </c>
      <c r="BT50" s="3" t="s">
        <v>167</v>
      </c>
      <c r="BU50" s="3" t="s">
        <v>168</v>
      </c>
      <c r="BV50" s="3" t="s">
        <v>36</v>
      </c>
      <c r="BX50" s="4">
        <v>9.0000000000000002E-25</v>
      </c>
      <c r="BY50" s="3" t="str">
        <f>HYPERLINK("http://amigo.geneontology.org/cgi-bin/amigo/term_details?term=GO:0005576","GO:0005576")</f>
        <v>GO:0005576</v>
      </c>
      <c r="BZ50" s="3" t="s">
        <v>47</v>
      </c>
      <c r="CA50" s="3" t="s">
        <v>48</v>
      </c>
      <c r="CB50" s="3" t="s">
        <v>49</v>
      </c>
      <c r="CC50" s="3" t="s">
        <v>36</v>
      </c>
      <c r="CE50" s="4">
        <v>9.0000000000000002E-25</v>
      </c>
      <c r="CF50" s="3" t="str">
        <f>HYPERLINK("http://amigo.geneontology.org/cgi-bin/amigo/term_details?term=GO:0016042","GO:0016042")</f>
        <v>GO:0016042</v>
      </c>
      <c r="CG50" s="3" t="s">
        <v>169</v>
      </c>
      <c r="CH50" s="3" t="s">
        <v>170</v>
      </c>
      <c r="CI50" s="3" t="s">
        <v>171</v>
      </c>
      <c r="CJ50" s="3" t="s">
        <v>36</v>
      </c>
      <c r="CL50" s="4">
        <v>9.0000000000000002E-25</v>
      </c>
      <c r="CM50" s="3" t="str">
        <f>HYPERLINK(".\links\CDD\gi_427778295-CDD.txt","PLA2_bee_venom_")</f>
        <v>PLA2_bee_venom_</v>
      </c>
      <c r="CN50" s="3" t="str">
        <f>HYPERLINK("http://www.ncbi.nlm.nih.gov/Structure/cdd/cddsrv.cgi?uid=cd04704&amp;version=v4.0","4E-028")</f>
        <v>4E-028</v>
      </c>
      <c r="CO50" s="3" t="s">
        <v>172</v>
      </c>
      <c r="CP50" s="3" t="str">
        <f>HYPERLINK(".\links\ACARI\gi_427778295-ACARI.txt","Putative phospholipase a2 precursor")</f>
        <v>Putative phospholipase a2 precursor</v>
      </c>
      <c r="CQ50" s="3" t="str">
        <f>HYPERLINK("http://www.ncbi.nlm.nih.gov/sutils/blink.cgi?pid=427778295","0.0")</f>
        <v>0.0</v>
      </c>
      <c r="CR50" s="3" t="str">
        <f>HYPERLINK("http://www.ncbi.nlm.nih.gov/protein/427778295","gi|427778295")</f>
        <v>gi|427778295</v>
      </c>
      <c r="CS50" s="3">
        <v>953</v>
      </c>
      <c r="CT50" s="3">
        <v>465</v>
      </c>
      <c r="CU50" s="3">
        <v>465</v>
      </c>
      <c r="CV50" s="3">
        <v>100</v>
      </c>
      <c r="CW50" s="3">
        <v>100</v>
      </c>
      <c r="CX50" s="3">
        <v>100</v>
      </c>
      <c r="CY50" s="3">
        <v>0</v>
      </c>
      <c r="CZ50" s="3">
        <v>0</v>
      </c>
      <c r="DA50" s="3">
        <v>1</v>
      </c>
      <c r="DB50" s="3">
        <v>1</v>
      </c>
      <c r="DC50" s="3">
        <v>1</v>
      </c>
      <c r="DD50" s="3" t="s">
        <v>68</v>
      </c>
    </row>
    <row r="51" spans="1:108" s="3" customFormat="1" x14ac:dyDescent="0.2">
      <c r="A51" s="3" t="str">
        <f>HYPERLINK(".\links\\Rm-18758-.txt","Rm-18758")</f>
        <v>Rm-18758</v>
      </c>
      <c r="B51" s="3" t="str">
        <f>HYPERLINK(".\links\\Rm-18758-.txt","Rm-18758")</f>
        <v>Rm-18758</v>
      </c>
      <c r="C51" s="3" t="s">
        <v>35</v>
      </c>
      <c r="D51" s="3">
        <v>256</v>
      </c>
      <c r="E51" s="9" t="s">
        <v>203</v>
      </c>
      <c r="F51" s="3" t="s">
        <v>1446</v>
      </c>
      <c r="G51" s="3" t="s">
        <v>1467</v>
      </c>
      <c r="H51" s="3" t="str">
        <f>HYPERLINK(".\links\UNIPROT-ACARI\Rm-18758-UNIPROT-ACARI.txt","Putative 15-hydroxyprostaglandin dehydrogenase")</f>
        <v>Putative 15-hydroxyprostaglandin dehydrogenase</v>
      </c>
      <c r="I51" s="3">
        <v>9.9999999999999998E-121</v>
      </c>
      <c r="J51" s="3" t="s">
        <v>1438</v>
      </c>
      <c r="K51" s="3">
        <v>429</v>
      </c>
      <c r="L51" s="3">
        <v>239</v>
      </c>
      <c r="M51" s="3">
        <v>254</v>
      </c>
      <c r="N51" s="3">
        <v>84</v>
      </c>
      <c r="O51" s="3">
        <v>92</v>
      </c>
      <c r="P51" s="3">
        <v>94</v>
      </c>
      <c r="Q51" s="3">
        <v>36</v>
      </c>
      <c r="R51" s="3">
        <v>0</v>
      </c>
      <c r="S51" s="3">
        <v>1</v>
      </c>
      <c r="T51" s="3">
        <v>1</v>
      </c>
      <c r="U51" s="3">
        <v>1</v>
      </c>
      <c r="V51" s="3" t="s">
        <v>36</v>
      </c>
      <c r="W51" s="3" t="str">
        <f>HYPERLINK(".\links\NR-LIGHT\Rm-18758-NR-LIGHT.txt","15-hydroxyprostaglandin dehydrogenase, putative")</f>
        <v>15-hydroxyprostaglandin dehydrogenase, putative</v>
      </c>
      <c r="X51" s="3" t="str">
        <f>HYPERLINK("http://www.ncbi.nlm.nih.gov/sutils/blink.cgi?pid=241653266","6E-056")</f>
        <v>6E-056</v>
      </c>
      <c r="Y51" s="3" t="str">
        <f>HYPERLINK("http://www.ncbi.nlm.nih.gov/protein/241653266","gi|241653266")</f>
        <v>gi|241653266</v>
      </c>
      <c r="Z51" s="3">
        <v>219</v>
      </c>
      <c r="AA51" s="3">
        <v>166</v>
      </c>
      <c r="AB51" s="3">
        <v>182</v>
      </c>
      <c r="AC51" s="3">
        <v>63</v>
      </c>
      <c r="AD51" s="3">
        <v>77</v>
      </c>
      <c r="AE51" s="3">
        <v>91</v>
      </c>
      <c r="AF51" s="3">
        <v>61</v>
      </c>
      <c r="AG51" s="3">
        <v>1</v>
      </c>
      <c r="AH51" s="3">
        <v>3</v>
      </c>
      <c r="AI51" s="3">
        <v>74</v>
      </c>
      <c r="AJ51" s="3">
        <v>1</v>
      </c>
      <c r="AK51" s="3" t="s">
        <v>40</v>
      </c>
      <c r="AL51" s="3" t="str">
        <f>HYPERLINK(".\links\REFSEQ-INVERTEBRATE\Rm-18758-REFSEQ-INVERTEBRATE.txt","15-hydroxyprostaglandin dehydrogenase, putative, partial")</f>
        <v>15-hydroxyprostaglandin dehydrogenase, putative, partial</v>
      </c>
      <c r="AM51" s="3" t="str">
        <f>HYPERLINK("http://www.ncbi.nlm.nih.gov/sutils/blink.cgi?pid=241653266","2E-056")</f>
        <v>2E-056</v>
      </c>
      <c r="AN51" s="3" t="str">
        <f>HYPERLINK("http://www.ncbi.nlm.nih.gov/protein/241653266","gi|241653266")</f>
        <v>gi|241653266</v>
      </c>
      <c r="AO51" s="3">
        <v>219</v>
      </c>
      <c r="AP51" s="3">
        <v>166</v>
      </c>
      <c r="AQ51" s="3">
        <v>182</v>
      </c>
      <c r="AR51" s="3">
        <v>63</v>
      </c>
      <c r="AS51" s="3">
        <v>77</v>
      </c>
      <c r="AT51" s="3">
        <v>91</v>
      </c>
      <c r="AU51" s="3">
        <v>61</v>
      </c>
      <c r="AV51" s="3">
        <v>1</v>
      </c>
      <c r="AW51" s="3">
        <v>3</v>
      </c>
      <c r="AX51" s="3">
        <v>74</v>
      </c>
      <c r="AY51" s="3">
        <v>1</v>
      </c>
      <c r="AZ51" s="3" t="s">
        <v>40</v>
      </c>
      <c r="BA51" s="3" t="str">
        <f>HYPERLINK(".\links\MEROPS\Rm-18758-MEROPS.txt","- family S33 non-peptidase homologues (Streptomyces lividans)")</f>
        <v>- family S33 non-peptidase homologues (Streptomyces lividans)</v>
      </c>
      <c r="BB51" s="3">
        <v>4.0000000000000003E-18</v>
      </c>
      <c r="BC51" s="3" t="s">
        <v>1439</v>
      </c>
      <c r="BD51" s="3">
        <v>92</v>
      </c>
      <c r="BE51" s="3">
        <v>235</v>
      </c>
      <c r="BF51" s="3">
        <v>585</v>
      </c>
      <c r="BG51" s="3">
        <v>31</v>
      </c>
      <c r="BH51" s="3">
        <v>45</v>
      </c>
      <c r="BI51" s="3">
        <v>40</v>
      </c>
      <c r="BJ51" s="3">
        <v>162</v>
      </c>
      <c r="BK51" s="3">
        <v>19</v>
      </c>
      <c r="BL51" s="3">
        <v>317</v>
      </c>
      <c r="BM51" s="3">
        <v>6</v>
      </c>
      <c r="BN51" s="3">
        <v>1</v>
      </c>
      <c r="BO51" s="3" t="s">
        <v>36</v>
      </c>
      <c r="BP51" s="3" t="s">
        <v>1440</v>
      </c>
      <c r="BQ51" s="3">
        <f>HYPERLINK(".\links\GO\Rm-18758-GO.txt",4E-40)</f>
        <v>3.9999999999999997E-40</v>
      </c>
      <c r="BR51" s="3" t="str">
        <f>HYPERLINK("http://amigo.geneontology.org/cgi-bin/amigo/term_details?term=GO:0016404","GO:0016404")</f>
        <v>GO:0016404</v>
      </c>
      <c r="BS51" s="3" t="s">
        <v>1441</v>
      </c>
      <c r="BT51" s="3" t="s">
        <v>1442</v>
      </c>
      <c r="BU51" s="3" t="s">
        <v>1443</v>
      </c>
      <c r="BV51" s="3" t="str">
        <f>HYPERLINK("http://www.genome.jp/dbget-bin/www_bfind_sub?mode=bfind&amp;max_hit=1000&amp;dbkey=kegg&amp;keywords=EC:1.1.1.141","EC:1.1.1.141")</f>
        <v>EC:1.1.1.141</v>
      </c>
      <c r="BX51" s="3">
        <v>3.9999999999999997E-40</v>
      </c>
      <c r="BY51" s="3" t="str">
        <f>HYPERLINK("http://amigo.geneontology.org/cgi-bin/amigo/term_details?term=GO:0005829","GO:0005829")</f>
        <v>GO:0005829</v>
      </c>
      <c r="BZ51" s="3" t="s">
        <v>643</v>
      </c>
      <c r="CA51" s="3" t="s">
        <v>644</v>
      </c>
      <c r="CB51" s="3" t="s">
        <v>36</v>
      </c>
      <c r="CC51" s="3" t="s">
        <v>36</v>
      </c>
      <c r="CE51" s="3">
        <v>3.9999999999999997E-40</v>
      </c>
      <c r="CF51" s="3" t="str">
        <f>HYPERLINK("http://amigo.geneontology.org/cgi-bin/amigo/term_details?term=GO:0055114","GO:0055114")</f>
        <v>GO:0055114</v>
      </c>
      <c r="CG51" s="3" t="s">
        <v>537</v>
      </c>
      <c r="CH51" s="3" t="s">
        <v>538</v>
      </c>
      <c r="CI51" s="3" t="s">
        <v>539</v>
      </c>
      <c r="CJ51" s="3" t="s">
        <v>36</v>
      </c>
      <c r="CL51" s="3">
        <v>3.9999999999999997E-40</v>
      </c>
      <c r="CM51" s="3" t="str">
        <f>HYPERLINK(".\links\CDD\Rm-18758-CDD.txt","ADH_SDR_c_like")</f>
        <v>ADH_SDR_c_like</v>
      </c>
      <c r="CN51" s="3" t="str">
        <f>HYPERLINK("http://www.ncbi.nlm.nih.gov/Structure/cdd/cddsrv.cgi?uid=cd05323&amp;version=v4.0","2E-033")</f>
        <v>2E-033</v>
      </c>
      <c r="CO51" s="3" t="s">
        <v>1444</v>
      </c>
      <c r="CP51" s="3" t="str">
        <f>HYPERLINK(".\links\ACARI\Rm-18758-ACARI.txt","putative 15-hydroxyprostaglandin dehydrogenase")</f>
        <v>putative 15-hydroxyprostaglandin dehydrogenase</v>
      </c>
      <c r="CQ51" s="3" t="str">
        <f>HYPERLINK("http://www.ncbi.nlm.nih.gov/sutils/blink.cgi?pid=604821775","1E-120")</f>
        <v>1E-120</v>
      </c>
      <c r="CR51" s="3" t="str">
        <f>HYPERLINK("http://www.ncbi.nlm.nih.gov/protein/604821775","gi|604821775")</f>
        <v>gi|604821775</v>
      </c>
      <c r="CS51" s="3">
        <v>429</v>
      </c>
      <c r="CT51" s="3">
        <v>239</v>
      </c>
      <c r="CU51" s="3">
        <v>254</v>
      </c>
      <c r="CV51" s="3">
        <v>84</v>
      </c>
      <c r="CW51" s="3">
        <v>92</v>
      </c>
      <c r="CX51" s="3">
        <v>94</v>
      </c>
      <c r="CY51" s="3">
        <v>36</v>
      </c>
      <c r="CZ51" s="3">
        <v>0</v>
      </c>
      <c r="DA51" s="3">
        <v>1</v>
      </c>
      <c r="DB51" s="3">
        <v>1</v>
      </c>
      <c r="DC51" s="3">
        <v>1</v>
      </c>
      <c r="DD51" s="3" t="s">
        <v>203</v>
      </c>
    </row>
    <row r="52" spans="1:108" s="3" customFormat="1" x14ac:dyDescent="0.2">
      <c r="A52" s="3" t="s">
        <v>1370</v>
      </c>
      <c r="B52" s="3" t="str">
        <f>HYPERLINK(".\links\\Rm-73635-.txt","Rm-73635")</f>
        <v>Rm-73635</v>
      </c>
      <c r="C52" s="3" t="s">
        <v>35</v>
      </c>
      <c r="D52" s="3">
        <v>158</v>
      </c>
      <c r="E52" s="9" t="s">
        <v>203</v>
      </c>
      <c r="F52" s="3" t="s">
        <v>1226</v>
      </c>
      <c r="G52" s="3" t="s">
        <v>1467</v>
      </c>
      <c r="H52" s="3" t="str">
        <f>HYPERLINK(".\links\UNIPROT-ACARI\Rm-73635-UNIPROT-ACARI.txt","Putative farnesoic acid o-methyltransferase (Fragment)")</f>
        <v>Putative farnesoic acid o-methyltransferase (Fragment)</v>
      </c>
      <c r="I52" s="3" t="str">
        <f>HYPERLINK("http://www.ncbi.nlm.nih.gov/sutils/blink.cgi?pid=V5H1G1","2E-073")</f>
        <v>2E-073</v>
      </c>
      <c r="J52" s="3" t="s">
        <v>993</v>
      </c>
      <c r="K52" s="3">
        <v>271</v>
      </c>
      <c r="L52" s="3">
        <v>153</v>
      </c>
      <c r="M52" s="3">
        <v>153</v>
      </c>
      <c r="N52" s="3">
        <v>77</v>
      </c>
      <c r="O52" s="3">
        <v>86</v>
      </c>
      <c r="P52" s="3">
        <v>100</v>
      </c>
      <c r="Q52" s="3">
        <v>34</v>
      </c>
      <c r="R52" s="3">
        <v>0</v>
      </c>
      <c r="S52" s="3">
        <v>1</v>
      </c>
      <c r="T52" s="3">
        <v>6</v>
      </c>
      <c r="U52" s="3">
        <v>1</v>
      </c>
      <c r="V52" s="3" t="s">
        <v>36</v>
      </c>
      <c r="W52" s="3" t="str">
        <f>HYPERLINK(".\links\NR-LIGHT\Rm-73635-NR-LIGHT.txt","C3 and PZP-like alpha-2-macroglobulin domain-containing protein 8-like")</f>
        <v>C3 and PZP-like alpha-2-macroglobulin domain-containing protein 8-like</v>
      </c>
      <c r="X52" s="3" t="str">
        <f>HYPERLINK("http://www.ncbi.nlm.nih.gov/sutils/blink.cgi?pid=557758230","4E-037")</f>
        <v>4E-037</v>
      </c>
      <c r="Y52" s="3" t="str">
        <f>HYPERLINK("http://www.ncbi.nlm.nih.gov/protein/557758230","gi|557758230")</f>
        <v>gi|557758230</v>
      </c>
      <c r="Z52" s="3">
        <v>155</v>
      </c>
      <c r="AA52" s="3">
        <v>140</v>
      </c>
      <c r="AB52" s="3">
        <v>299</v>
      </c>
      <c r="AC52" s="3">
        <v>52</v>
      </c>
      <c r="AD52" s="3">
        <v>65</v>
      </c>
      <c r="AE52" s="3">
        <v>47</v>
      </c>
      <c r="AF52" s="3">
        <v>67</v>
      </c>
      <c r="AG52" s="3">
        <v>2</v>
      </c>
      <c r="AH52" s="3">
        <v>162</v>
      </c>
      <c r="AI52" s="3">
        <v>15</v>
      </c>
      <c r="AJ52" s="3">
        <v>1</v>
      </c>
      <c r="AK52" s="3" t="s">
        <v>462</v>
      </c>
      <c r="AL52" s="3" t="str">
        <f>HYPERLINK(".\links\REFSEQ-INVERTEBRATE\Rm-73635-REFSEQ-INVERTEBRATE.txt","uncharacterized protein LOC100905186")</f>
        <v>uncharacterized protein LOC100905186</v>
      </c>
      <c r="AM52" s="3" t="str">
        <f>HYPERLINK("http://www.ncbi.nlm.nih.gov/sutils/blink.cgi?pid=391336366","1E-046")</f>
        <v>1E-046</v>
      </c>
      <c r="AN52" s="3" t="str">
        <f>HYPERLINK("http://www.ncbi.nlm.nih.gov/protein/391336366","gi|391336366")</f>
        <v>gi|391336366</v>
      </c>
      <c r="AO52" s="3">
        <v>186</v>
      </c>
      <c r="AP52" s="3">
        <v>150</v>
      </c>
      <c r="AQ52" s="3">
        <v>159</v>
      </c>
      <c r="AR52" s="3">
        <v>60</v>
      </c>
      <c r="AS52" s="3">
        <v>74</v>
      </c>
      <c r="AT52" s="3">
        <v>94</v>
      </c>
      <c r="AU52" s="3">
        <v>60</v>
      </c>
      <c r="AV52" s="3">
        <v>2</v>
      </c>
      <c r="AW52" s="3">
        <v>6</v>
      </c>
      <c r="AX52" s="3">
        <v>9</v>
      </c>
      <c r="AY52" s="3">
        <v>1</v>
      </c>
      <c r="AZ52" s="3" t="s">
        <v>392</v>
      </c>
      <c r="BA52" s="3" t="str">
        <f>HYPERLINK(".\links\MEROPS\Rm-73635-MEROPS.txt","- family I63 unassigned peptidase inhibitors (Ochotona princeps)")</f>
        <v>- family I63 unassigned peptidase inhibitors (Ochotona princeps)</v>
      </c>
      <c r="BB52" s="3" t="str">
        <f>HYPERLINK("http://www.ncbi.nlm.nih.gov/sutils/blink.cgi?pid=183419 - family I63 unassigned peptidase inhibitors (Ochotona princeps) [I63.UPW]#I63#{inhibitor unit","0.43")</f>
        <v>0.43</v>
      </c>
      <c r="BC52" s="3" t="s">
        <v>994</v>
      </c>
      <c r="BD52" s="3">
        <v>34.299999999999997</v>
      </c>
      <c r="BE52" s="3">
        <v>35</v>
      </c>
      <c r="BF52" s="3">
        <v>2839</v>
      </c>
      <c r="BG52" s="3">
        <v>45</v>
      </c>
      <c r="BH52" s="3">
        <v>57</v>
      </c>
      <c r="BI52" s="3">
        <v>1</v>
      </c>
      <c r="BJ52" s="3">
        <v>19</v>
      </c>
      <c r="BK52" s="3">
        <v>0</v>
      </c>
      <c r="BL52" s="3">
        <v>341</v>
      </c>
      <c r="BM52" s="3">
        <v>74</v>
      </c>
      <c r="BN52" s="3">
        <v>1</v>
      </c>
      <c r="BO52" s="3" t="s">
        <v>73</v>
      </c>
      <c r="BP52" s="3" t="s">
        <v>995</v>
      </c>
      <c r="BQ52" s="3">
        <f>HYPERLINK(".\links\GO\Rm-73635-GO.txt",2E-36)</f>
        <v>1.9999999999999999E-36</v>
      </c>
      <c r="BR52" s="3" t="str">
        <f>HYPERLINK("http://amigo.geneontology.org/cgi-bin/amigo/term_details?term=GO:0008270","GO:0008270")</f>
        <v>GO:0008270</v>
      </c>
      <c r="BS52" s="3" t="s">
        <v>454</v>
      </c>
      <c r="BT52" s="3" t="s">
        <v>455</v>
      </c>
      <c r="BU52" s="3" t="s">
        <v>456</v>
      </c>
      <c r="BV52" s="3" t="s">
        <v>36</v>
      </c>
      <c r="BX52" s="3">
        <v>1E-13</v>
      </c>
      <c r="BY52" s="3" t="str">
        <f>HYPERLINK("http://amigo.geneontology.org/cgi-bin/amigo/term_details?term=GO:0005575","GO:0005575")</f>
        <v>GO:0005575</v>
      </c>
      <c r="BZ52" s="3" t="s">
        <v>60</v>
      </c>
      <c r="CA52" s="3" t="s">
        <v>61</v>
      </c>
      <c r="CB52" s="3" t="s">
        <v>62</v>
      </c>
      <c r="CC52" s="3" t="s">
        <v>36</v>
      </c>
      <c r="CE52" s="3">
        <v>1E-13</v>
      </c>
      <c r="CF52" s="3" t="str">
        <f>HYPERLINK("http://amigo.geneontology.org/cgi-bin/amigo/term_details?term=GO:0035556","GO:0035556")</f>
        <v>GO:0035556</v>
      </c>
      <c r="CG52" s="3" t="s">
        <v>996</v>
      </c>
      <c r="CH52" s="3" t="s">
        <v>997</v>
      </c>
      <c r="CI52" s="3" t="s">
        <v>998</v>
      </c>
      <c r="CJ52" s="3" t="s">
        <v>36</v>
      </c>
      <c r="CL52" s="3">
        <v>1E-13</v>
      </c>
      <c r="CM52" s="3" t="str">
        <f>HYPERLINK(".\links\CDD\Rm-73635-CDD.txt","DUF3421")</f>
        <v>DUF3421</v>
      </c>
      <c r="CN52" s="3" t="str">
        <f>HYPERLINK("http://www.ncbi.nlm.nih.gov/Structure/cdd/cddsrv.cgi?uid=pfam11901&amp;version=v4.0","3E-028")</f>
        <v>3E-028</v>
      </c>
      <c r="CO52" s="3" t="s">
        <v>999</v>
      </c>
      <c r="CP52" s="3" t="str">
        <f>HYPERLINK(".\links\ACARI\Rm-73635-ACARI.txt","putative farnesoic acid o-methyltransferase, partial")</f>
        <v>putative farnesoic acid o-methyltransferase, partial</v>
      </c>
      <c r="CQ52" s="3" t="str">
        <f>HYPERLINK("http://www.ncbi.nlm.nih.gov/sutils/blink.cgi?pid=556067618","3E-073")</f>
        <v>3E-073</v>
      </c>
      <c r="CR52" s="3" t="str">
        <f>HYPERLINK("http://www.ncbi.nlm.nih.gov/protein/556067618","gi|556067618")</f>
        <v>gi|556067618</v>
      </c>
      <c r="CS52" s="3">
        <v>271</v>
      </c>
      <c r="CT52" s="3">
        <v>153</v>
      </c>
      <c r="CU52" s="3">
        <v>153</v>
      </c>
      <c r="CV52" s="3">
        <v>77</v>
      </c>
      <c r="CW52" s="3">
        <v>86</v>
      </c>
      <c r="CX52" s="3">
        <v>100</v>
      </c>
      <c r="CY52" s="3">
        <v>34</v>
      </c>
      <c r="CZ52" s="3">
        <v>0</v>
      </c>
      <c r="DA52" s="3">
        <v>1</v>
      </c>
      <c r="DB52" s="3">
        <v>6</v>
      </c>
      <c r="DC52" s="3">
        <v>1</v>
      </c>
      <c r="DD52" s="3" t="s">
        <v>37</v>
      </c>
    </row>
    <row r="53" spans="1:108" s="3" customFormat="1" x14ac:dyDescent="0.2">
      <c r="A53" s="3" t="s">
        <v>1388</v>
      </c>
      <c r="B53" s="3" t="str">
        <f>HYPERLINK(".\links\\gi_427788171-.txt","gi_427788171")</f>
        <v>gi_427788171</v>
      </c>
      <c r="C53" s="3" t="s">
        <v>35</v>
      </c>
      <c r="D53" s="3">
        <v>321</v>
      </c>
      <c r="E53" s="9" t="s">
        <v>68</v>
      </c>
      <c r="F53" s="3" t="s">
        <v>1228</v>
      </c>
      <c r="G53" s="3" t="s">
        <v>1469</v>
      </c>
      <c r="H53" s="3" t="str">
        <f>HYPERLINK(".\links\UNIPROT-ACARI\gi_427788171-UNIPROT-ACARI.txt","Putative bisphosphate 3'-nucleotidase bpnt1/inositol polyphosphate 1-phosphatase")</f>
        <v>Putative bisphosphate 3'-nucleotidase bpnt1/inositol polyphosphate 1-phosphatase</v>
      </c>
      <c r="I53" s="3" t="str">
        <f>HYPERLINK("http://www.ncbi.nlm.nih.gov/sutils/blink.cgi?pid=L7M6Q1","0.0")</f>
        <v>0.0</v>
      </c>
      <c r="J53" s="3" t="s">
        <v>639</v>
      </c>
      <c r="K53" s="3">
        <v>656</v>
      </c>
      <c r="L53" s="3">
        <v>321</v>
      </c>
      <c r="M53" s="3">
        <v>321</v>
      </c>
      <c r="N53" s="3">
        <v>100</v>
      </c>
      <c r="O53" s="3">
        <v>100</v>
      </c>
      <c r="P53" s="3">
        <v>100</v>
      </c>
      <c r="Q53" s="3">
        <v>0</v>
      </c>
      <c r="R53" s="3">
        <v>0</v>
      </c>
      <c r="S53" s="3">
        <v>1</v>
      </c>
      <c r="T53" s="3">
        <v>1</v>
      </c>
      <c r="U53" s="3">
        <v>1</v>
      </c>
      <c r="V53" s="3" t="s">
        <v>36</v>
      </c>
      <c r="W53" s="3" t="str">
        <f>HYPERLINK(".\links\NR-LIGHT\gi_427788171-NR-LIGHT.txt","nucleotidase 4F8")</f>
        <v>nucleotidase 4F8</v>
      </c>
      <c r="X53" s="3" t="str">
        <f>HYPERLINK("http://www.ncbi.nlm.nih.gov/sutils/blink.cgi?pid=55846015","1E-172")</f>
        <v>1E-172</v>
      </c>
      <c r="Y53" s="3" t="str">
        <f>HYPERLINK("http://www.ncbi.nlm.nih.gov/protein/55846015","gi|55846015")</f>
        <v>gi|55846015</v>
      </c>
      <c r="Z53" s="3">
        <v>605</v>
      </c>
      <c r="AA53" s="3">
        <v>316</v>
      </c>
      <c r="AB53" s="3">
        <v>316</v>
      </c>
      <c r="AC53" s="3">
        <v>92</v>
      </c>
      <c r="AD53" s="3">
        <v>96</v>
      </c>
      <c r="AE53" s="3">
        <v>100</v>
      </c>
      <c r="AF53" s="3">
        <v>24</v>
      </c>
      <c r="AG53" s="3">
        <v>0</v>
      </c>
      <c r="AH53" s="3">
        <v>1</v>
      </c>
      <c r="AI53" s="3">
        <v>1</v>
      </c>
      <c r="AJ53" s="3">
        <v>1</v>
      </c>
      <c r="AK53" s="3" t="s">
        <v>40</v>
      </c>
      <c r="AL53" s="3" t="str">
        <f>HYPERLINK(".\links\REFSEQ-INVERTEBRATE\gi_427788171-REFSEQ-INVERTEBRATE.txt","3'(2'),5'-bisphosphate nucleotidase 1-like")</f>
        <v>3'(2'),5'-bisphosphate nucleotidase 1-like</v>
      </c>
      <c r="AM53" s="3" t="str">
        <f>HYPERLINK("http://www.ncbi.nlm.nih.gov/sutils/blink.cgi?pid=391339855","1E-108")</f>
        <v>1E-108</v>
      </c>
      <c r="AN53" s="3" t="str">
        <f>HYPERLINK("http://www.ncbi.nlm.nih.gov/protein/391339855","gi|391339855")</f>
        <v>gi|391339855</v>
      </c>
      <c r="AO53" s="3">
        <v>392</v>
      </c>
      <c r="AP53" s="3">
        <v>303</v>
      </c>
      <c r="AQ53" s="3">
        <v>311</v>
      </c>
      <c r="AR53" s="3">
        <v>63</v>
      </c>
      <c r="AS53" s="3">
        <v>77</v>
      </c>
      <c r="AT53" s="3">
        <v>97</v>
      </c>
      <c r="AU53" s="3">
        <v>111</v>
      </c>
      <c r="AV53" s="3">
        <v>3</v>
      </c>
      <c r="AW53" s="3">
        <v>6</v>
      </c>
      <c r="AX53" s="3">
        <v>15</v>
      </c>
      <c r="AY53" s="3">
        <v>1</v>
      </c>
      <c r="AZ53" s="3" t="s">
        <v>392</v>
      </c>
      <c r="BA53" s="3" t="str">
        <f>HYPERLINK(".\links\MEROPS\gi_427788171-MEROPS.txt","- Mername-AA063 peptidase (Talaromyces marneffei)")</f>
        <v>- Mername-AA063 peptidase (Talaromyces marneffei)</v>
      </c>
      <c r="BB53" s="3" t="str">
        <f>HYPERLINK("http://www.ncbi.nlm.nih.gov/sutils/blink.cgi?pid=137877 - Mername-AA063 peptidase (Talaromyces marneffei) [M28.006]#M28E#{peptidase unit","0.055")</f>
        <v>0.055</v>
      </c>
      <c r="BC53" s="3" t="s">
        <v>640</v>
      </c>
      <c r="BD53" s="3">
        <v>39.299999999999997</v>
      </c>
      <c r="BE53" s="3">
        <v>186</v>
      </c>
      <c r="BF53" s="3">
        <v>771</v>
      </c>
      <c r="BG53" s="3">
        <v>22</v>
      </c>
      <c r="BH53" s="3">
        <v>45</v>
      </c>
      <c r="BI53" s="3">
        <v>24</v>
      </c>
      <c r="BJ53" s="3">
        <v>144</v>
      </c>
      <c r="BK53" s="3">
        <v>28</v>
      </c>
      <c r="BL53" s="3">
        <v>429</v>
      </c>
      <c r="BM53" s="3">
        <v>24</v>
      </c>
      <c r="BN53" s="3">
        <v>1</v>
      </c>
      <c r="BO53" s="3" t="s">
        <v>641</v>
      </c>
      <c r="BP53" s="3" t="s">
        <v>642</v>
      </c>
      <c r="BQ53" s="3">
        <f>HYPERLINK(".\links\GO\gi_427788171-GO.txt",9E-97)</f>
        <v>9.0000000000000002E-97</v>
      </c>
      <c r="BR53" s="3" t="str">
        <f>HYPERLINK("http://amigo.geneontology.org/cgi-bin/amigo/term_details?term=GO:0000287","GO:0000287")</f>
        <v>GO:0000287</v>
      </c>
      <c r="BS53" s="3" t="s">
        <v>598</v>
      </c>
      <c r="BT53" s="3" t="s">
        <v>599</v>
      </c>
      <c r="BU53" s="3" t="s">
        <v>600</v>
      </c>
      <c r="BV53" s="3" t="s">
        <v>36</v>
      </c>
      <c r="BX53" s="4">
        <v>2E-95</v>
      </c>
      <c r="BY53" s="3" t="str">
        <f>HYPERLINK("http://amigo.geneontology.org/cgi-bin/amigo/term_details?term=GO:0005829","GO:0005829")</f>
        <v>GO:0005829</v>
      </c>
      <c r="BZ53" s="3" t="s">
        <v>643</v>
      </c>
      <c r="CA53" s="3" t="s">
        <v>644</v>
      </c>
      <c r="CB53" s="3" t="s">
        <v>36</v>
      </c>
      <c r="CC53" s="3" t="s">
        <v>36</v>
      </c>
      <c r="CE53" s="4">
        <v>2E-95</v>
      </c>
      <c r="CF53" s="3" t="str">
        <f>HYPERLINK("http://amigo.geneontology.org/cgi-bin/amigo/term_details?term=GO:0006139","GO:0006139")</f>
        <v>GO:0006139</v>
      </c>
      <c r="CG53" s="3" t="s">
        <v>645</v>
      </c>
      <c r="CH53" s="3" t="s">
        <v>646</v>
      </c>
      <c r="CI53" s="3" t="s">
        <v>647</v>
      </c>
      <c r="CJ53" s="3" t="s">
        <v>36</v>
      </c>
      <c r="CL53" s="4">
        <v>2E-95</v>
      </c>
      <c r="CM53" s="3" t="str">
        <f>HYPERLINK(".\links\CDD\gi_427788171-CDD.txt","IPPase")</f>
        <v>IPPase</v>
      </c>
      <c r="CN53" s="3" t="str">
        <f>HYPERLINK("http://www.ncbi.nlm.nih.gov/Structure/cdd/cddsrv.cgi?uid=cd01640&amp;version=v4.0","2E-065")</f>
        <v>2E-065</v>
      </c>
      <c r="CO53" s="3" t="s">
        <v>648</v>
      </c>
      <c r="CP53" s="3" t="str">
        <f>HYPERLINK(".\links\ACARI\gi_427788171-ACARI.txt","Putative bisphosphate 3'-nucleotidase bpnt1/inositol polyphosphate 1-phosphatase")</f>
        <v>Putative bisphosphate 3'-nucleotidase bpnt1/inositol polyphosphate 1-phosphatase</v>
      </c>
      <c r="CQ53" s="3" t="str">
        <f>HYPERLINK("http://www.ncbi.nlm.nih.gov/sutils/blink.cgi?pid=427788171","0.0")</f>
        <v>0.0</v>
      </c>
      <c r="CR53" s="3" t="str">
        <f>HYPERLINK("http://www.ncbi.nlm.nih.gov/protein/427788171","gi|427788171")</f>
        <v>gi|427788171</v>
      </c>
      <c r="CS53" s="3">
        <v>656</v>
      </c>
      <c r="CT53" s="3">
        <v>321</v>
      </c>
      <c r="CU53" s="3">
        <v>321</v>
      </c>
      <c r="CV53" s="3">
        <v>100</v>
      </c>
      <c r="CW53" s="3">
        <v>100</v>
      </c>
      <c r="CX53" s="3">
        <v>100</v>
      </c>
      <c r="CY53" s="3">
        <v>0</v>
      </c>
      <c r="CZ53" s="3">
        <v>0</v>
      </c>
      <c r="DA53" s="3">
        <v>1</v>
      </c>
      <c r="DB53" s="3">
        <v>1</v>
      </c>
      <c r="DC53" s="3">
        <v>1</v>
      </c>
      <c r="DD53" s="3" t="s">
        <v>68</v>
      </c>
    </row>
    <row r="54" spans="1:108" s="3" customFormat="1" x14ac:dyDescent="0.2">
      <c r="A54" s="3" t="s">
        <v>1382</v>
      </c>
      <c r="B54" s="3" t="str">
        <f>HYPERLINK(".\links\\gi_427789577-.txt","gi_427789577")</f>
        <v>gi_427789577</v>
      </c>
      <c r="C54" s="3" t="s">
        <v>35</v>
      </c>
      <c r="D54" s="3">
        <v>443</v>
      </c>
      <c r="E54" s="9" t="s">
        <v>68</v>
      </c>
      <c r="F54" s="3" t="s">
        <v>1210</v>
      </c>
      <c r="G54" s="3" t="s">
        <v>1469</v>
      </c>
      <c r="H54" s="3" t="str">
        <f>HYPERLINK(".\links\UNIPROT-ACARI\gi_427789577-UNIPROT-ACARI.txt","Putative rab geranylgeranyltransferase component a rab escort protein")</f>
        <v>Putative rab geranylgeranyltransferase component a rab escort protein</v>
      </c>
      <c r="I54" s="3" t="str">
        <f>HYPERLINK("http://www.ncbi.nlm.nih.gov/sutils/blink.cgi?pid=L7M880","0.0")</f>
        <v>0.0</v>
      </c>
      <c r="J54" s="3" t="s">
        <v>605</v>
      </c>
      <c r="K54" s="3">
        <v>899</v>
      </c>
      <c r="L54" s="3">
        <v>443</v>
      </c>
      <c r="M54" s="3">
        <v>443</v>
      </c>
      <c r="N54" s="3">
        <v>100</v>
      </c>
      <c r="O54" s="3">
        <v>100</v>
      </c>
      <c r="P54" s="3">
        <v>100</v>
      </c>
      <c r="Q54" s="3">
        <v>0</v>
      </c>
      <c r="R54" s="3">
        <v>0</v>
      </c>
      <c r="S54" s="3">
        <v>1</v>
      </c>
      <c r="T54" s="3">
        <v>1</v>
      </c>
      <c r="U54" s="3">
        <v>1</v>
      </c>
      <c r="V54" s="3" t="s">
        <v>36</v>
      </c>
      <c r="W54" s="3" t="str">
        <f>HYPERLINK(".\links\NR-LIGHT\gi_427789577-NR-LIGHT.txt","GDI-1 GDP dissociation inhibitor, putative")</f>
        <v>GDI-1 GDP dissociation inhibitor, putative</v>
      </c>
      <c r="X54" s="3" t="str">
        <f>HYPERLINK("http://www.ncbi.nlm.nih.gov/sutils/blink.cgi?pid=241273677","0.0")</f>
        <v>0.0</v>
      </c>
      <c r="Y54" s="3" t="str">
        <f>HYPERLINK("http://www.ncbi.nlm.nih.gov/protein/241273677","gi|241273677")</f>
        <v>gi|241273677</v>
      </c>
      <c r="Z54" s="3">
        <v>800</v>
      </c>
      <c r="AA54" s="3">
        <v>445</v>
      </c>
      <c r="AB54" s="3">
        <v>446</v>
      </c>
      <c r="AC54" s="3">
        <v>86</v>
      </c>
      <c r="AD54" s="3">
        <v>94</v>
      </c>
      <c r="AE54" s="3">
        <v>100</v>
      </c>
      <c r="AF54" s="3">
        <v>58</v>
      </c>
      <c r="AG54" s="3">
        <v>2</v>
      </c>
      <c r="AH54" s="3">
        <v>2</v>
      </c>
      <c r="AI54" s="3">
        <v>1</v>
      </c>
      <c r="AJ54" s="3">
        <v>1</v>
      </c>
      <c r="AK54" s="3" t="s">
        <v>40</v>
      </c>
      <c r="AL54" s="3" t="str">
        <f>HYPERLINK(".\links\REFSEQ-INVERTEBRATE\gi_427789577-REFSEQ-INVERTEBRATE.txt","GDI-1 GDP dissociation inhibitor, putative, partial")</f>
        <v>GDI-1 GDP dissociation inhibitor, putative, partial</v>
      </c>
      <c r="AM54" s="3" t="str">
        <f>HYPERLINK("http://www.ncbi.nlm.nih.gov/sutils/blink.cgi?pid=241273677","0.0")</f>
        <v>0.0</v>
      </c>
      <c r="AN54" s="3" t="str">
        <f>HYPERLINK("http://www.ncbi.nlm.nih.gov/protein/241273677","gi|241273677")</f>
        <v>gi|241273677</v>
      </c>
      <c r="AO54" s="3">
        <v>800</v>
      </c>
      <c r="AP54" s="3">
        <v>445</v>
      </c>
      <c r="AQ54" s="3">
        <v>446</v>
      </c>
      <c r="AR54" s="3">
        <v>86</v>
      </c>
      <c r="AS54" s="3">
        <v>94</v>
      </c>
      <c r="AT54" s="3">
        <v>100</v>
      </c>
      <c r="AU54" s="3">
        <v>58</v>
      </c>
      <c r="AV54" s="3">
        <v>2</v>
      </c>
      <c r="AW54" s="3">
        <v>2</v>
      </c>
      <c r="AX54" s="3">
        <v>1</v>
      </c>
      <c r="AY54" s="3">
        <v>1</v>
      </c>
      <c r="AZ54" s="3" t="s">
        <v>40</v>
      </c>
      <c r="BA54" s="3" t="str">
        <f>HYPERLINK(".\links\MEROPS\gi_427789577-MEROPS.txt","- family S33 unassigned peptidases (Magnaporthe grisea)")</f>
        <v>- family S33 unassigned peptidases (Magnaporthe grisea)</v>
      </c>
      <c r="BB54" s="3" t="str">
        <f>HYPERLINK("http://www.ncbi.nlm.nih.gov/sutils/blink.cgi?pid=033100 - family S33 unassigned peptidases (Magnaporthe grisea) [S33.UPW]#S33#{peptidase unit","8E-014")</f>
        <v>8E-014</v>
      </c>
      <c r="BC54" s="3" t="s">
        <v>606</v>
      </c>
      <c r="BD54" s="3">
        <v>79.3</v>
      </c>
      <c r="BE54" s="3">
        <v>295</v>
      </c>
      <c r="BF54" s="3">
        <v>979</v>
      </c>
      <c r="BG54" s="3">
        <v>25</v>
      </c>
      <c r="BH54" s="3">
        <v>41</v>
      </c>
      <c r="BI54" s="3">
        <v>30</v>
      </c>
      <c r="BJ54" s="3">
        <v>219</v>
      </c>
      <c r="BK54" s="3">
        <v>44</v>
      </c>
      <c r="BL54" s="3">
        <v>458</v>
      </c>
      <c r="BM54" s="3">
        <v>5</v>
      </c>
      <c r="BN54" s="3">
        <v>1</v>
      </c>
      <c r="BO54" s="3" t="s">
        <v>607</v>
      </c>
      <c r="BP54" s="3" t="s">
        <v>608</v>
      </c>
      <c r="BQ54" s="3">
        <f>HYPERLINK(".\links\GO\gi_427789577-GO.txt",0)</f>
        <v>0</v>
      </c>
      <c r="BR54" s="3" t="str">
        <f>HYPERLINK("http://amigo.geneontology.org/cgi-bin/amigo/term_details?term=GO:0005092","GO:0005092")</f>
        <v>GO:0005092</v>
      </c>
      <c r="BS54" s="3" t="s">
        <v>609</v>
      </c>
      <c r="BT54" s="3" t="s">
        <v>610</v>
      </c>
      <c r="BU54" s="3" t="s">
        <v>611</v>
      </c>
      <c r="BV54" s="3" t="s">
        <v>36</v>
      </c>
      <c r="BX54" s="3">
        <v>0</v>
      </c>
      <c r="BY54" s="3" t="str">
        <f>HYPERLINK("http://amigo.geneontology.org/cgi-bin/amigo/term_details?term=GO:0008021","GO:0008021")</f>
        <v>GO:0008021</v>
      </c>
      <c r="BZ54" s="3" t="s">
        <v>612</v>
      </c>
      <c r="CA54" s="3" t="s">
        <v>613</v>
      </c>
      <c r="CB54" s="3" t="s">
        <v>614</v>
      </c>
      <c r="CC54" s="3" t="s">
        <v>36</v>
      </c>
      <c r="CE54" s="3">
        <v>0</v>
      </c>
      <c r="CF54" s="3" t="str">
        <f>HYPERLINK("http://amigo.geneontology.org/cgi-bin/amigo/term_details?term=GO:0007269","GO:0007269")</f>
        <v>GO:0007269</v>
      </c>
      <c r="CG54" s="3" t="s">
        <v>615</v>
      </c>
      <c r="CH54" s="3" t="s">
        <v>616</v>
      </c>
      <c r="CI54" s="3" t="s">
        <v>617</v>
      </c>
      <c r="CJ54" s="3" t="s">
        <v>36</v>
      </c>
      <c r="CL54" s="3">
        <v>0</v>
      </c>
      <c r="CM54" s="3" t="str">
        <f>HYPERLINK(".\links\CDD\gi_427789577-CDD.txt","GDI")</f>
        <v>GDI</v>
      </c>
      <c r="CN54" s="3" t="str">
        <f>HYPERLINK("http://www.ncbi.nlm.nih.gov/Structure/cdd/cddsrv.cgi?uid=pfam00996&amp;version=v4.0","1E-175")</f>
        <v>1E-175</v>
      </c>
      <c r="CO54" s="3" t="s">
        <v>618</v>
      </c>
      <c r="CP54" s="3" t="str">
        <f>HYPERLINK(".\links\ACARI\gi_427789577-ACARI.txt","Putative rab geranylgeranyltransferase component a rab escort protein")</f>
        <v>Putative rab geranylgeranyltransferase component a rab escort protein</v>
      </c>
      <c r="CQ54" s="3" t="str">
        <f>HYPERLINK("http://www.ncbi.nlm.nih.gov/sutils/blink.cgi?pid=427789577","0.0")</f>
        <v>0.0</v>
      </c>
      <c r="CR54" s="3" t="str">
        <f>HYPERLINK("http://www.ncbi.nlm.nih.gov/protein/427789577","gi|427789577")</f>
        <v>gi|427789577</v>
      </c>
      <c r="CS54" s="3">
        <v>899</v>
      </c>
      <c r="CT54" s="3">
        <v>443</v>
      </c>
      <c r="CU54" s="3">
        <v>443</v>
      </c>
      <c r="CV54" s="3">
        <v>100</v>
      </c>
      <c r="CW54" s="3">
        <v>100</v>
      </c>
      <c r="CX54" s="3">
        <v>100</v>
      </c>
      <c r="CY54" s="3">
        <v>0</v>
      </c>
      <c r="CZ54" s="3">
        <v>0</v>
      </c>
      <c r="DA54" s="3">
        <v>1</v>
      </c>
      <c r="DB54" s="3">
        <v>1</v>
      </c>
      <c r="DC54" s="3">
        <v>1</v>
      </c>
      <c r="DD54" s="3" t="s">
        <v>68</v>
      </c>
    </row>
    <row r="55" spans="1:108" s="3" customFormat="1" x14ac:dyDescent="0.2">
      <c r="A55" s="3" t="s">
        <v>1333</v>
      </c>
      <c r="B55" s="3" t="str">
        <f>HYPERLINK(".\links\\Rm-32496-.txt","Rm-32496")</f>
        <v>Rm-32496</v>
      </c>
      <c r="C55" s="3" t="s">
        <v>918</v>
      </c>
      <c r="D55" s="3">
        <v>576</v>
      </c>
      <c r="E55" s="9" t="s">
        <v>203</v>
      </c>
      <c r="F55" s="3" t="s">
        <v>1229</v>
      </c>
      <c r="G55" s="3" t="s">
        <v>1469</v>
      </c>
      <c r="H55" s="3" t="str">
        <f>HYPERLINK(".\links\UNIPROT-ACARI\Rm-32496-UNIPROT-ACARI.txt","Inosine-5'-monophosphate dehydrogenase")</f>
        <v>Inosine-5'-monophosphate dehydrogenase</v>
      </c>
      <c r="I55" s="3" t="str">
        <f>HYPERLINK("http://www.ncbi.nlm.nih.gov/sutils/blink.cgi?pid=L7LXL4","0.0")</f>
        <v>0.0</v>
      </c>
      <c r="J55" s="3" t="s">
        <v>942</v>
      </c>
      <c r="K55" s="3">
        <v>995</v>
      </c>
      <c r="L55" s="3">
        <v>511</v>
      </c>
      <c r="M55" s="3">
        <v>511</v>
      </c>
      <c r="N55" s="3">
        <v>98</v>
      </c>
      <c r="O55" s="3">
        <v>99</v>
      </c>
      <c r="P55" s="3">
        <v>100</v>
      </c>
      <c r="Q55" s="3">
        <v>7</v>
      </c>
      <c r="R55" s="3">
        <v>0</v>
      </c>
      <c r="S55" s="3">
        <v>1</v>
      </c>
      <c r="T55" s="3">
        <v>66</v>
      </c>
      <c r="U55" s="3">
        <v>1</v>
      </c>
      <c r="V55" s="3" t="s">
        <v>36</v>
      </c>
      <c r="W55" s="3" t="str">
        <f>HYPERLINK(".\links\NR-LIGHT\Rm-32496-NR-LIGHT.txt","inosine-5'-monophosphate dehydrogenase 1")</f>
        <v>inosine-5'-monophosphate dehydrogenase 1</v>
      </c>
      <c r="X55" s="3" t="str">
        <f>HYPERLINK("http://www.ncbi.nlm.nih.gov/sutils/blink.cgi?pid=118150800","0.0")</f>
        <v>0.0</v>
      </c>
      <c r="Y55" s="3" t="str">
        <f>HYPERLINK("http://www.ncbi.nlm.nih.gov/protein/118150800","gi|118150800")</f>
        <v>gi|118150800</v>
      </c>
      <c r="Z55" s="3">
        <v>764</v>
      </c>
      <c r="AA55" s="3">
        <v>558</v>
      </c>
      <c r="AB55" s="3">
        <v>571</v>
      </c>
      <c r="AC55" s="3">
        <v>69</v>
      </c>
      <c r="AD55" s="3">
        <v>82</v>
      </c>
      <c r="AE55" s="3">
        <v>98</v>
      </c>
      <c r="AF55" s="3">
        <v>170</v>
      </c>
      <c r="AG55" s="3">
        <v>4</v>
      </c>
      <c r="AH55" s="3">
        <v>17</v>
      </c>
      <c r="AI55" s="3">
        <v>20</v>
      </c>
      <c r="AJ55" s="3">
        <v>1</v>
      </c>
      <c r="AK55" s="3" t="s">
        <v>943</v>
      </c>
      <c r="AL55" s="3" t="str">
        <f>HYPERLINK(".\links\REFSEQ-INVERTEBRATE\Rm-32496-REFSEQ-INVERTEBRATE.txt","inosine-5'-monophosphate dehydrogenase 2-like")</f>
        <v>inosine-5'-monophosphate dehydrogenase 2-like</v>
      </c>
      <c r="AM55" s="3" t="str">
        <f>HYPERLINK("http://www.ncbi.nlm.nih.gov/sutils/blink.cgi?pid=391337446","0.0")</f>
        <v>0.0</v>
      </c>
      <c r="AN55" s="3" t="str">
        <f>HYPERLINK("http://www.ncbi.nlm.nih.gov/protein/391337446","gi|391337446")</f>
        <v>gi|391337446</v>
      </c>
      <c r="AO55" s="3">
        <v>777</v>
      </c>
      <c r="AP55" s="3">
        <v>503</v>
      </c>
      <c r="AQ55" s="3">
        <v>511</v>
      </c>
      <c r="AR55" s="3">
        <v>75</v>
      </c>
      <c r="AS55" s="3">
        <v>87</v>
      </c>
      <c r="AT55" s="3">
        <v>98</v>
      </c>
      <c r="AU55" s="3">
        <v>122</v>
      </c>
      <c r="AV55" s="3">
        <v>2</v>
      </c>
      <c r="AW55" s="3">
        <v>11</v>
      </c>
      <c r="AX55" s="3">
        <v>74</v>
      </c>
      <c r="AY55" s="3">
        <v>1</v>
      </c>
      <c r="AZ55" s="3" t="s">
        <v>392</v>
      </c>
      <c r="BA55" s="3" t="str">
        <f>HYPERLINK(".\links\MEROPS\Rm-32496-MEROPS.txt","- MjS2P-type peptidase (Methanobacterium sp. AL-21)")</f>
        <v>- MjS2P-type peptidase (Methanobacterium sp. AL-21)</v>
      </c>
      <c r="BB55" s="3" t="str">
        <f>HYPERLINK("http://www.ncbi.nlm.nih.gov/sutils/blink.cgi?pid=240625 - MjS2P-type peptidase (Methanobacterium sp. AL-21) [M50.006]#M50B#{peptidase unit","8E-009")</f>
        <v>8E-009</v>
      </c>
      <c r="BC55" s="3" t="s">
        <v>944</v>
      </c>
      <c r="BD55" s="3">
        <v>63.2</v>
      </c>
      <c r="BE55" s="3">
        <v>125</v>
      </c>
      <c r="BF55" s="3">
        <v>355</v>
      </c>
      <c r="BG55" s="3">
        <v>31</v>
      </c>
      <c r="BH55" s="3">
        <v>55</v>
      </c>
      <c r="BI55" s="3">
        <v>35</v>
      </c>
      <c r="BJ55" s="3">
        <v>86</v>
      </c>
      <c r="BK55" s="3">
        <v>10</v>
      </c>
      <c r="BL55" s="3">
        <v>225</v>
      </c>
      <c r="BM55" s="3">
        <v>162</v>
      </c>
      <c r="BN55" s="3">
        <v>1</v>
      </c>
      <c r="BO55" s="3" t="s">
        <v>945</v>
      </c>
      <c r="BP55" s="3" t="s">
        <v>946</v>
      </c>
      <c r="BQ55" s="3">
        <f>HYPERLINK(".\links\GO\Rm-32496-GO.txt",0)</f>
        <v>0</v>
      </c>
      <c r="BR55" s="3" t="str">
        <f>HYPERLINK("http://amigo.geneontology.org/cgi-bin/amigo/term_details?term=GO:0003677","GO:0003677")</f>
        <v>GO:0003677</v>
      </c>
      <c r="BS55" s="3" t="s">
        <v>366</v>
      </c>
      <c r="BT55" s="3" t="s">
        <v>367</v>
      </c>
      <c r="BU55" s="3" t="s">
        <v>368</v>
      </c>
      <c r="BV55" s="3" t="s">
        <v>36</v>
      </c>
      <c r="BX55" s="3">
        <v>0</v>
      </c>
      <c r="BY55" s="3" t="str">
        <f>HYPERLINK("http://amigo.geneontology.org/cgi-bin/amigo/term_details?term=GO:0005634","GO:0005634")</f>
        <v>GO:0005634</v>
      </c>
      <c r="BZ55" s="3" t="s">
        <v>359</v>
      </c>
      <c r="CA55" s="3" t="s">
        <v>360</v>
      </c>
      <c r="CB55" s="3" t="s">
        <v>361</v>
      </c>
      <c r="CC55" s="3" t="s">
        <v>36</v>
      </c>
      <c r="CE55" s="3">
        <v>0</v>
      </c>
      <c r="CF55" s="3" t="str">
        <f>HYPERLINK("http://amigo.geneontology.org/cgi-bin/amigo/term_details?term=GO:0006177","GO:0006177")</f>
        <v>GO:0006177</v>
      </c>
      <c r="CG55" s="3" t="s">
        <v>559</v>
      </c>
      <c r="CH55" s="3" t="s">
        <v>560</v>
      </c>
      <c r="CI55" s="3" t="s">
        <v>561</v>
      </c>
      <c r="CJ55" s="3" t="s">
        <v>36</v>
      </c>
      <c r="CL55" s="3">
        <v>0</v>
      </c>
      <c r="CM55" s="3" t="str">
        <f>HYPERLINK(".\links\CDD\Rm-32496-CDD.txt","PTZ00314")</f>
        <v>PTZ00314</v>
      </c>
      <c r="CN55" s="3" t="str">
        <f>HYPERLINK("http://www.ncbi.nlm.nih.gov/Structure/cdd/cddsrv.cgi?uid=PTZ00314&amp;version=v4.0","1E-169")</f>
        <v>1E-169</v>
      </c>
      <c r="CO55" s="3" t="s">
        <v>947</v>
      </c>
      <c r="CP55" s="3" t="str">
        <f>HYPERLINK(".\links\ACARI\Rm-32496-ACARI.txt","Putative imp dehydrogenase/gmp reductase")</f>
        <v>Putative imp dehydrogenase/gmp reductase</v>
      </c>
      <c r="CQ55" s="3" t="str">
        <f>HYPERLINK("http://www.ncbi.nlm.nih.gov/sutils/blink.cgi?pid=427782739","0.0")</f>
        <v>0.0</v>
      </c>
      <c r="CR55" s="3" t="str">
        <f>HYPERLINK("http://www.ncbi.nlm.nih.gov/protein/427782739","gi|427782739")</f>
        <v>gi|427782739</v>
      </c>
      <c r="CS55" s="3">
        <v>995</v>
      </c>
      <c r="CT55" s="3">
        <v>511</v>
      </c>
      <c r="CU55" s="3">
        <v>511</v>
      </c>
      <c r="CV55" s="3">
        <v>98</v>
      </c>
      <c r="CW55" s="3">
        <v>99</v>
      </c>
      <c r="CX55" s="3">
        <v>100</v>
      </c>
      <c r="CY55" s="3">
        <v>7</v>
      </c>
      <c r="CZ55" s="3">
        <v>0</v>
      </c>
      <c r="DA55" s="3">
        <v>1</v>
      </c>
      <c r="DB55" s="3">
        <v>66</v>
      </c>
      <c r="DC55" s="3">
        <v>1</v>
      </c>
      <c r="DD55" s="3" t="s">
        <v>68</v>
      </c>
    </row>
    <row r="56" spans="1:108" s="3" customFormat="1" x14ac:dyDescent="0.2">
      <c r="A56" s="3" t="s">
        <v>1350</v>
      </c>
      <c r="B56" s="3" t="str">
        <f>HYPERLINK(".\links\\Rm-32846-.txt","Rm-32846")</f>
        <v>Rm-32846</v>
      </c>
      <c r="C56" s="3" t="s">
        <v>548</v>
      </c>
      <c r="D56" s="3">
        <v>317</v>
      </c>
      <c r="E56" s="9" t="s">
        <v>203</v>
      </c>
      <c r="F56" s="3" t="s">
        <v>948</v>
      </c>
      <c r="G56" s="3" t="s">
        <v>1469</v>
      </c>
      <c r="H56" s="3" t="str">
        <f>HYPERLINK(".\links\UNIPROT-ACARI\Rm-32846-UNIPROT-ACARI.txt","Purine nucleoside phosphorylase")</f>
        <v>Purine nucleoside phosphorylase</v>
      </c>
      <c r="I56" s="3" t="str">
        <f>HYPERLINK("http://www.ncbi.nlm.nih.gov/sutils/blink.cgi?pid=A0A023GHV8","1E-163")</f>
        <v>1E-163</v>
      </c>
      <c r="J56" s="3" t="s">
        <v>949</v>
      </c>
      <c r="K56" s="3">
        <v>570</v>
      </c>
      <c r="L56" s="3">
        <v>296</v>
      </c>
      <c r="M56" s="3">
        <v>296</v>
      </c>
      <c r="N56" s="3">
        <v>93</v>
      </c>
      <c r="O56" s="3">
        <v>96</v>
      </c>
      <c r="P56" s="3">
        <v>100</v>
      </c>
      <c r="Q56" s="3">
        <v>20</v>
      </c>
      <c r="R56" s="3">
        <v>0</v>
      </c>
      <c r="S56" s="3">
        <v>1</v>
      </c>
      <c r="T56" s="3">
        <v>22</v>
      </c>
      <c r="U56" s="3">
        <v>1</v>
      </c>
      <c r="V56" s="3" t="s">
        <v>36</v>
      </c>
      <c r="W56" s="3" t="str">
        <f>HYPERLINK(".\links\NR-LIGHT\Rm-32846-NR-LIGHT.txt","purine nucleoside phosphorylase-like isoform X2")</f>
        <v>purine nucleoside phosphorylase-like isoform X2</v>
      </c>
      <c r="X56" s="3" t="str">
        <f>HYPERLINK("http://www.ncbi.nlm.nih.gov/sutils/blink.cgi?pid=512927984","1E-101")</f>
        <v>1E-101</v>
      </c>
      <c r="Y56" s="3" t="str">
        <f>HYPERLINK("http://www.ncbi.nlm.nih.gov/protein/512927984","gi|512927984")</f>
        <v>gi|512927984</v>
      </c>
      <c r="Z56" s="3">
        <v>371</v>
      </c>
      <c r="AA56" s="3">
        <v>293</v>
      </c>
      <c r="AB56" s="3">
        <v>321</v>
      </c>
      <c r="AC56" s="3">
        <v>59</v>
      </c>
      <c r="AD56" s="3">
        <v>76</v>
      </c>
      <c r="AE56" s="3">
        <v>91</v>
      </c>
      <c r="AF56" s="3">
        <v>118</v>
      </c>
      <c r="AG56" s="3">
        <v>1</v>
      </c>
      <c r="AH56" s="3">
        <v>21</v>
      </c>
      <c r="AI56" s="3">
        <v>22</v>
      </c>
      <c r="AJ56" s="3">
        <v>1</v>
      </c>
      <c r="AK56" s="3" t="s">
        <v>950</v>
      </c>
      <c r="AL56" s="3" t="str">
        <f>HYPERLINK(".\links\REFSEQ-INVERTEBRATE\Rm-32846-REFSEQ-INVERTEBRATE.txt","purine nucleoside phosphorylase-like")</f>
        <v>purine nucleoside phosphorylase-like</v>
      </c>
      <c r="AM56" s="3" t="str">
        <f>HYPERLINK("http://www.ncbi.nlm.nih.gov/sutils/blink.cgi?pid=391337835","1E-111")</f>
        <v>1E-111</v>
      </c>
      <c r="AN56" s="3" t="str">
        <f>HYPERLINK("http://www.ncbi.nlm.nih.gov/protein/391337835","gi|391337835")</f>
        <v>gi|391337835</v>
      </c>
      <c r="AO56" s="3">
        <v>404</v>
      </c>
      <c r="AP56" s="3">
        <v>280</v>
      </c>
      <c r="AQ56" s="3">
        <v>285</v>
      </c>
      <c r="AR56" s="3">
        <v>67</v>
      </c>
      <c r="AS56" s="3">
        <v>81</v>
      </c>
      <c r="AT56" s="3">
        <v>98</v>
      </c>
      <c r="AU56" s="3">
        <v>90</v>
      </c>
      <c r="AV56" s="3">
        <v>1</v>
      </c>
      <c r="AW56" s="3">
        <v>7</v>
      </c>
      <c r="AX56" s="3">
        <v>37</v>
      </c>
      <c r="AY56" s="3">
        <v>1</v>
      </c>
      <c r="AZ56" s="3" t="s">
        <v>392</v>
      </c>
      <c r="BA56" s="3" t="str">
        <f>HYPERLINK(".\links\MEROPS\Rm-32846-MEROPS.txt","- subfamily S9C unassigned peptidases (Francisella philomiragia)")</f>
        <v>- subfamily S9C unassigned peptidases (Francisella philomiragia)</v>
      </c>
      <c r="BB56" s="3" t="str">
        <f>HYPERLINK("http://www.ncbi.nlm.nih.gov/sutils/blink.cgi?pid=115766 - subfamily S9C unassigned peptidases (Francisella philomiragia) [S09.UPC]#S09C#{peptidase unit","0.006")</f>
        <v>0.006</v>
      </c>
      <c r="BC56" s="3" t="s">
        <v>951</v>
      </c>
      <c r="BD56" s="3">
        <v>42.4</v>
      </c>
      <c r="BE56" s="3">
        <v>91</v>
      </c>
      <c r="BF56" s="3">
        <v>610</v>
      </c>
      <c r="BG56" s="3">
        <v>26</v>
      </c>
      <c r="BH56" s="3">
        <v>46</v>
      </c>
      <c r="BI56" s="3">
        <v>15</v>
      </c>
      <c r="BJ56" s="3">
        <v>67</v>
      </c>
      <c r="BK56" s="3">
        <v>3</v>
      </c>
      <c r="BL56" s="3">
        <v>155</v>
      </c>
      <c r="BM56" s="3">
        <v>225</v>
      </c>
      <c r="BN56" s="3">
        <v>1</v>
      </c>
      <c r="BO56" s="3" t="s">
        <v>952</v>
      </c>
      <c r="BP56" s="3" t="s">
        <v>953</v>
      </c>
      <c r="BQ56" s="3">
        <f>HYPERLINK(".\links\GO\Rm-32846-GO.txt",2E-99)</f>
        <v>2E-99</v>
      </c>
      <c r="BR56" s="3" t="str">
        <f>HYPERLINK("http://amigo.geneontology.org/cgi-bin/amigo/term_details?term=GO:0016757","GO:0016757")</f>
        <v>GO:0016757</v>
      </c>
      <c r="BS56" s="3" t="s">
        <v>954</v>
      </c>
      <c r="BT56" s="3" t="s">
        <v>955</v>
      </c>
      <c r="BU56" s="3" t="s">
        <v>956</v>
      </c>
      <c r="BV56" s="3" t="str">
        <f>HYPERLINK("http://www.genome.jp/dbget-bin/www_bfind_sub?mode=bfind&amp;max_hit=1000&amp;dbkey=kegg&amp;keywords=EC:2.4","EC:2.4")</f>
        <v>EC:2.4</v>
      </c>
      <c r="BX56" s="4">
        <v>9.999999999999999E-94</v>
      </c>
      <c r="BY56" s="3" t="str">
        <f>HYPERLINK("http://amigo.geneontology.org/cgi-bin/amigo/term_details?term=GO:0005575","GO:0005575")</f>
        <v>GO:0005575</v>
      </c>
      <c r="BZ56" s="3" t="s">
        <v>60</v>
      </c>
      <c r="CA56" s="3" t="s">
        <v>61</v>
      </c>
      <c r="CB56" s="3" t="s">
        <v>62</v>
      </c>
      <c r="CC56" s="3" t="s">
        <v>36</v>
      </c>
      <c r="CE56" s="4">
        <v>9.999999999999999E-94</v>
      </c>
      <c r="CF56" s="3" t="str">
        <f>HYPERLINK("http://amigo.geneontology.org/cgi-bin/amigo/term_details?term=GO:0006139","GO:0006139")</f>
        <v>GO:0006139</v>
      </c>
      <c r="CG56" s="3" t="s">
        <v>645</v>
      </c>
      <c r="CH56" s="3" t="s">
        <v>646</v>
      </c>
      <c r="CI56" s="3" t="s">
        <v>647</v>
      </c>
      <c r="CJ56" s="3" t="s">
        <v>36</v>
      </c>
      <c r="CL56" s="4">
        <v>9.999999999999999E-94</v>
      </c>
      <c r="CM56" s="3" t="str">
        <f>HYPERLINK(".\links\CDD\Rm-32846-CDD.txt","PNPH")</f>
        <v>PNPH</v>
      </c>
      <c r="CN56" s="3" t="str">
        <f>HYPERLINK("http://www.ncbi.nlm.nih.gov/Structure/cdd/cddsrv.cgi?uid=TIGR01700&amp;version=v4.0","1E-077")</f>
        <v>1E-077</v>
      </c>
      <c r="CO56" s="3" t="s">
        <v>957</v>
      </c>
      <c r="CP56" s="3" t="str">
        <f>HYPERLINK(".\links\ACARI\Rm-32846-ACARI.txt","putative purine nucleoside phosphorylase")</f>
        <v>putative purine nucleoside phosphorylase</v>
      </c>
      <c r="CQ56" s="3" t="str">
        <f>HYPERLINK("http://www.ncbi.nlm.nih.gov/sutils/blink.cgi?pid=604822328","1E-163")</f>
        <v>1E-163</v>
      </c>
      <c r="CR56" s="3" t="str">
        <f>HYPERLINK("http://www.ncbi.nlm.nih.gov/protein/604822328","gi|604822328")</f>
        <v>gi|604822328</v>
      </c>
      <c r="CS56" s="3">
        <v>570</v>
      </c>
      <c r="CT56" s="3">
        <v>296</v>
      </c>
      <c r="CU56" s="3">
        <v>296</v>
      </c>
      <c r="CV56" s="3">
        <v>93</v>
      </c>
      <c r="CW56" s="3">
        <v>96</v>
      </c>
      <c r="CX56" s="3">
        <v>100</v>
      </c>
      <c r="CY56" s="3">
        <v>20</v>
      </c>
      <c r="CZ56" s="3">
        <v>0</v>
      </c>
      <c r="DA56" s="3">
        <v>1</v>
      </c>
      <c r="DB56" s="3">
        <v>22</v>
      </c>
      <c r="DC56" s="3">
        <v>1</v>
      </c>
      <c r="DD56" s="3" t="s">
        <v>346</v>
      </c>
    </row>
    <row r="57" spans="1:108" s="3" customFormat="1" x14ac:dyDescent="0.2">
      <c r="A57" s="3" t="s">
        <v>1378</v>
      </c>
      <c r="B57" s="3" t="str">
        <f>HYPERLINK(".\links\\Rm-6587-.txt","Rm-6587")</f>
        <v>Rm-6587</v>
      </c>
      <c r="C57" s="3" t="s">
        <v>35</v>
      </c>
      <c r="D57" s="3">
        <v>428</v>
      </c>
      <c r="E57" s="9" t="s">
        <v>203</v>
      </c>
      <c r="F57" s="3" t="s">
        <v>1457</v>
      </c>
      <c r="G57" s="3" t="s">
        <v>1469</v>
      </c>
      <c r="H57" s="3" t="str">
        <f>HYPERLINK(".\links\UNIPROT-ACARI\Rm-6587-UNIPROT-ACARI.txt","Putative phosphoribosylamidoimidazole-succinocarboxamide synthase")</f>
        <v>Putative phosphoribosylamidoimidazole-succinocarboxamide synthase</v>
      </c>
      <c r="I57" s="3" t="str">
        <f>HYPERLINK("http://www.ncbi.nlm.nih.gov/sutils/blink.cgi?pid=L7M7J9","0.0")</f>
        <v>0.0</v>
      </c>
      <c r="J57" s="3" t="s">
        <v>973</v>
      </c>
      <c r="K57" s="3">
        <v>840</v>
      </c>
      <c r="L57" s="3">
        <v>428</v>
      </c>
      <c r="M57" s="3">
        <v>423</v>
      </c>
      <c r="N57" s="3">
        <v>98</v>
      </c>
      <c r="O57" s="3">
        <v>98</v>
      </c>
      <c r="P57" s="3">
        <v>101</v>
      </c>
      <c r="Q57" s="3">
        <v>6</v>
      </c>
      <c r="R57" s="3">
        <v>5</v>
      </c>
      <c r="S57" s="3">
        <v>1</v>
      </c>
      <c r="T57" s="3">
        <v>1</v>
      </c>
      <c r="U57" s="3">
        <v>1</v>
      </c>
      <c r="V57" s="3" t="s">
        <v>36</v>
      </c>
      <c r="W57" s="3" t="str">
        <f>HYPERLINK(".\links\NR-LIGHT\Rm-6587-NR-LIGHT.txt","phosphoribosylamidoimidazole-succinocarboxamide synthase, putative")</f>
        <v>phosphoribosylamidoimidazole-succinocarboxamide synthase, putative</v>
      </c>
      <c r="X57" s="3" t="str">
        <f>HYPERLINK("http://www.ncbi.nlm.nih.gov/sutils/blink.cgi?pid=241044066","0.0")</f>
        <v>0.0</v>
      </c>
      <c r="Y57" s="3" t="str">
        <f>HYPERLINK("http://www.ncbi.nlm.nih.gov/protein/241044066","gi|241044066")</f>
        <v>gi|241044066</v>
      </c>
      <c r="Z57" s="3">
        <v>648</v>
      </c>
      <c r="AA57" s="3">
        <v>359</v>
      </c>
      <c r="AB57" s="3">
        <v>354</v>
      </c>
      <c r="AC57" s="3">
        <v>87</v>
      </c>
      <c r="AD57" s="3">
        <v>94</v>
      </c>
      <c r="AE57" s="3">
        <v>101</v>
      </c>
      <c r="AF57" s="3">
        <v>46</v>
      </c>
      <c r="AG57" s="3">
        <v>6</v>
      </c>
      <c r="AH57" s="3">
        <v>1</v>
      </c>
      <c r="AI57" s="3">
        <v>71</v>
      </c>
      <c r="AJ57" s="3">
        <v>1</v>
      </c>
      <c r="AK57" s="3" t="s">
        <v>40</v>
      </c>
      <c r="AL57" s="3" t="str">
        <f>HYPERLINK(".\links\REFSEQ-INVERTEBRATE\Rm-6587-REFSEQ-INVERTEBRATE.txt","phosphoribosylamidoimidazole-succinocarboxamide synthase, putative, partial")</f>
        <v>phosphoribosylamidoimidazole-succinocarboxamide synthase, putative, partial</v>
      </c>
      <c r="AM57" s="3" t="str">
        <f>HYPERLINK("http://www.ncbi.nlm.nih.gov/sutils/blink.cgi?pid=241044066","0.0")</f>
        <v>0.0</v>
      </c>
      <c r="AN57" s="3" t="str">
        <f>HYPERLINK("http://www.ncbi.nlm.nih.gov/protein/241044066","gi|241044066")</f>
        <v>gi|241044066</v>
      </c>
      <c r="AO57" s="3">
        <v>648</v>
      </c>
      <c r="AP57" s="3">
        <v>359</v>
      </c>
      <c r="AQ57" s="3">
        <v>354</v>
      </c>
      <c r="AR57" s="3">
        <v>87</v>
      </c>
      <c r="AS57" s="3">
        <v>94</v>
      </c>
      <c r="AT57" s="3">
        <v>101</v>
      </c>
      <c r="AU57" s="3">
        <v>46</v>
      </c>
      <c r="AV57" s="3">
        <v>6</v>
      </c>
      <c r="AW57" s="3">
        <v>1</v>
      </c>
      <c r="AX57" s="3">
        <v>71</v>
      </c>
      <c r="AY57" s="3">
        <v>1</v>
      </c>
      <c r="AZ57" s="3" t="s">
        <v>40</v>
      </c>
      <c r="BA57" s="3" t="str">
        <f>HYPERLINK(".\links\MEROPS\Rm-6587-MEROPS.txt","- nardilysin (Oryza sativa)")</f>
        <v>- nardilysin (Oryza sativa)</v>
      </c>
      <c r="BB57" s="3" t="str">
        <f>HYPERLINK("http://www.ncbi.nlm.nih.gov/sutils/blink.cgi?pid=081297 - nardilysin (Oryza sativa) [M16.005]#M16A#{peptidase unit","0.41")</f>
        <v>0.41</v>
      </c>
      <c r="BC57" s="3" t="s">
        <v>974</v>
      </c>
      <c r="BD57" s="3">
        <v>37</v>
      </c>
      <c r="BE57" s="3">
        <v>97</v>
      </c>
      <c r="BF57" s="3">
        <v>1040</v>
      </c>
      <c r="BG57" s="3">
        <v>30</v>
      </c>
      <c r="BH57" s="3">
        <v>48</v>
      </c>
      <c r="BI57" s="3">
        <v>9</v>
      </c>
      <c r="BJ57" s="3">
        <v>67</v>
      </c>
      <c r="BK57" s="3">
        <v>7</v>
      </c>
      <c r="BL57" s="3">
        <v>920</v>
      </c>
      <c r="BM57" s="3">
        <v>193</v>
      </c>
      <c r="BN57" s="3">
        <v>1</v>
      </c>
      <c r="BO57" s="3" t="s">
        <v>975</v>
      </c>
      <c r="BP57" s="3" t="s">
        <v>976</v>
      </c>
      <c r="BQ57" s="3">
        <f>HYPERLINK(".\links\GO\Rm-6587-GO.txt",0)</f>
        <v>0</v>
      </c>
      <c r="BR57" s="3" t="str">
        <f>HYPERLINK("http://amigo.geneontology.org/cgi-bin/amigo/term_details?term=GO:0004638","GO:0004638")</f>
        <v>GO:0004638</v>
      </c>
      <c r="BS57" s="3" t="s">
        <v>977</v>
      </c>
      <c r="BT57" s="3" t="s">
        <v>978</v>
      </c>
      <c r="BU57" s="3" t="s">
        <v>979</v>
      </c>
      <c r="BV57" s="3" t="str">
        <f>HYPERLINK("http://www.genome.jp/dbget-bin/www_bfind_sub?mode=bfind&amp;max_hit=1000&amp;dbkey=kegg&amp;keywords=EC:4.1.1.21","EC:4.1.1.21")</f>
        <v>EC:4.1.1.21</v>
      </c>
      <c r="BW57" s="3" t="str">
        <f>HYPERLINK("http://www.genome.jp/dbget-bin/www_bget?rn:R04209","KEGG:R04209")</f>
        <v>KEGG:R04209</v>
      </c>
      <c r="BX57" s="4">
        <v>9.9999999999999999E-161</v>
      </c>
      <c r="BY57" s="3" t="str">
        <f>HYPERLINK("http://amigo.geneontology.org/cgi-bin/amigo/term_details?term=GO:0005829","GO:0005829")</f>
        <v>GO:0005829</v>
      </c>
      <c r="BZ57" s="3" t="s">
        <v>643</v>
      </c>
      <c r="CA57" s="3" t="s">
        <v>644</v>
      </c>
      <c r="CB57" s="3" t="s">
        <v>36</v>
      </c>
      <c r="CC57" s="3" t="s">
        <v>36</v>
      </c>
      <c r="CE57" s="4">
        <v>9.9999999999999999E-161</v>
      </c>
      <c r="CF57" s="3" t="str">
        <f>HYPERLINK("http://amigo.geneontology.org/cgi-bin/amigo/term_details?term=GO:0006144","GO:0006144")</f>
        <v>GO:0006144</v>
      </c>
      <c r="CG57" s="3" t="s">
        <v>980</v>
      </c>
      <c r="CH57" s="3" t="s">
        <v>981</v>
      </c>
      <c r="CI57" s="3" t="s">
        <v>982</v>
      </c>
      <c r="CJ57" s="3" t="s">
        <v>36</v>
      </c>
      <c r="CL57" s="4">
        <v>9.9999999999999999E-161</v>
      </c>
      <c r="CM57" s="3" t="str">
        <f>HYPERLINK(".\links\CDD\Rm-6587-CDD.txt","SAICAR_synt_Ade")</f>
        <v>SAICAR_synt_Ade</v>
      </c>
      <c r="CN57" s="3" t="str">
        <f>HYPERLINK("http://www.ncbi.nlm.nih.gov/Structure/cdd/cddsrv.cgi?uid=cd01416&amp;version=v4.0","1E-106")</f>
        <v>1E-106</v>
      </c>
      <c r="CO57" s="3" t="s">
        <v>983</v>
      </c>
      <c r="CP57" s="3" t="str">
        <f>HYPERLINK(".\links\ACARI\Rm-6587-ACARI.txt","Putative phosphoribosylamidoimidazole-succinocarboxamide synthase")</f>
        <v>Putative phosphoribosylamidoimidazole-succinocarboxamide synthase</v>
      </c>
      <c r="CQ57" s="3" t="str">
        <f>HYPERLINK("http://www.ncbi.nlm.nih.gov/sutils/blink.cgi?pid=427789649","0.0")</f>
        <v>0.0</v>
      </c>
      <c r="CR57" s="3" t="str">
        <f>HYPERLINK("http://www.ncbi.nlm.nih.gov/protein/427789649","gi|427789649")</f>
        <v>gi|427789649</v>
      </c>
      <c r="CS57" s="3">
        <v>840</v>
      </c>
      <c r="CT57" s="3">
        <v>428</v>
      </c>
      <c r="CU57" s="3">
        <v>423</v>
      </c>
      <c r="CV57" s="3">
        <v>98</v>
      </c>
      <c r="CW57" s="3">
        <v>98</v>
      </c>
      <c r="CX57" s="3">
        <v>101</v>
      </c>
      <c r="CY57" s="3">
        <v>6</v>
      </c>
      <c r="CZ57" s="3">
        <v>5</v>
      </c>
      <c r="DA57" s="3">
        <v>1</v>
      </c>
      <c r="DB57" s="3">
        <v>1</v>
      </c>
      <c r="DC57" s="3">
        <v>1</v>
      </c>
      <c r="DD57" s="3" t="s">
        <v>68</v>
      </c>
    </row>
    <row r="58" spans="1:108" s="3" customFormat="1" x14ac:dyDescent="0.2">
      <c r="A58" s="3" t="s">
        <v>1409</v>
      </c>
      <c r="B58" s="3" t="str">
        <f>HYPERLINK(".\links\\gi_346469987-.txt","gi_346469987")</f>
        <v>gi_346469987</v>
      </c>
      <c r="C58" s="3" t="s">
        <v>35</v>
      </c>
      <c r="D58" s="3">
        <v>138</v>
      </c>
      <c r="E58" s="9" t="s">
        <v>173</v>
      </c>
      <c r="F58" s="3" t="s">
        <v>1276</v>
      </c>
      <c r="G58" s="3" t="s">
        <v>1470</v>
      </c>
      <c r="H58" s="3" t="str">
        <f>HYPERLINK(".\links\UNIPROT-ACARI\gi_346469987-UNIPROT-ACARI.txt","Histone H4")</f>
        <v>Histone H4</v>
      </c>
      <c r="I58" s="3" t="str">
        <f>HYPERLINK("http://www.ncbi.nlm.nih.gov/sutils/blink.cgi?pid=G3MMX0","2E-075")</f>
        <v>2E-075</v>
      </c>
      <c r="J58" s="3" t="s">
        <v>1081</v>
      </c>
      <c r="K58" s="3">
        <v>278</v>
      </c>
      <c r="L58" s="3">
        <v>138</v>
      </c>
      <c r="M58" s="3">
        <v>138</v>
      </c>
      <c r="N58" s="3">
        <v>100</v>
      </c>
      <c r="O58" s="3">
        <v>100</v>
      </c>
      <c r="P58" s="3">
        <v>100</v>
      </c>
      <c r="Q58" s="3">
        <v>0</v>
      </c>
      <c r="R58" s="3">
        <v>0</v>
      </c>
      <c r="S58" s="3">
        <v>1</v>
      </c>
      <c r="T58" s="3">
        <v>1</v>
      </c>
      <c r="U58" s="3">
        <v>1</v>
      </c>
      <c r="V58" s="3" t="s">
        <v>36</v>
      </c>
      <c r="W58" s="3" t="str">
        <f>HYPERLINK(".\links\NR-LIGHT\gi_346469987-NR-LIGHT.txt","uncharacterized protein LOC100397108")</f>
        <v>uncharacterized protein LOC100397108</v>
      </c>
      <c r="X58" s="3" t="str">
        <f>HYPERLINK("http://www.ncbi.nlm.nih.gov/sutils/blink.cgi?pid=390461177","2E-053")</f>
        <v>2E-053</v>
      </c>
      <c r="Y58" s="3" t="str">
        <f>HYPERLINK("http://www.ncbi.nlm.nih.gov/protein/390461177","gi|390461177")</f>
        <v>gi|390461177</v>
      </c>
      <c r="Z58" s="3">
        <v>210</v>
      </c>
      <c r="AA58" s="3">
        <v>137</v>
      </c>
      <c r="AB58" s="3">
        <v>498</v>
      </c>
      <c r="AC58" s="3">
        <v>81</v>
      </c>
      <c r="AD58" s="3">
        <v>83</v>
      </c>
      <c r="AE58" s="3">
        <v>28</v>
      </c>
      <c r="AF58" s="3">
        <v>26</v>
      </c>
      <c r="AG58" s="3">
        <v>10</v>
      </c>
      <c r="AH58" s="3">
        <v>370</v>
      </c>
      <c r="AI58" s="3">
        <v>4</v>
      </c>
      <c r="AJ58" s="3">
        <v>1</v>
      </c>
      <c r="AK58" s="3" t="s">
        <v>1082</v>
      </c>
      <c r="AL58" s="3" t="str">
        <f>HYPERLINK(".\links\REFSEQ-INVERTEBRATE\gi_346469987-REFSEQ-INVERTEBRATE.txt","LOW QUALITY PROTEIN: histone H2A-like")</f>
        <v>LOW QUALITY PROTEIN: histone H2A-like</v>
      </c>
      <c r="AM58" s="3" t="str">
        <f>HYPERLINK("http://www.ncbi.nlm.nih.gov/sutils/blink.cgi?pid=383853277","5E-054")</f>
        <v>5E-054</v>
      </c>
      <c r="AN58" s="3" t="str">
        <f>HYPERLINK("http://www.ncbi.nlm.nih.gov/protein/383853277","gi|383853277")</f>
        <v>gi|383853277</v>
      </c>
      <c r="AO58" s="3">
        <v>210</v>
      </c>
      <c r="AP58" s="3">
        <v>106</v>
      </c>
      <c r="AQ58" s="3">
        <v>238</v>
      </c>
      <c r="AR58" s="3">
        <v>99</v>
      </c>
      <c r="AS58" s="3">
        <v>100</v>
      </c>
      <c r="AT58" s="3">
        <v>45</v>
      </c>
      <c r="AU58" s="3">
        <v>1</v>
      </c>
      <c r="AV58" s="3">
        <v>0</v>
      </c>
      <c r="AW58" s="3">
        <v>133</v>
      </c>
      <c r="AX58" s="3">
        <v>33</v>
      </c>
      <c r="AY58" s="3">
        <v>1</v>
      </c>
      <c r="AZ58" s="3" t="s">
        <v>1083</v>
      </c>
      <c r="BA58" s="3" t="str">
        <f>HYPERLINK(".\links\MEROPS\gi_346469987-MEROPS.txt","- family C26 unassigned peptidases (Prevotella melaninogenica)")</f>
        <v>- family C26 unassigned peptidases (Prevotella melaninogenica)</v>
      </c>
      <c r="BB58" s="3" t="str">
        <f>HYPERLINK("http://www.ncbi.nlm.nih.gov/sutils/blink.cgi?pid=221299 - family C26 unassigned peptidases (Prevotella melaninogenica) [C26.UPW]#C26#{peptidase unit","0.21")</f>
        <v>0.21</v>
      </c>
      <c r="BC58" s="3" t="s">
        <v>1084</v>
      </c>
      <c r="BD58" s="3">
        <v>34.700000000000003</v>
      </c>
      <c r="BE58" s="3">
        <v>57</v>
      </c>
      <c r="BF58" s="3">
        <v>620</v>
      </c>
      <c r="BG58" s="3">
        <v>38</v>
      </c>
      <c r="BH58" s="3">
        <v>57</v>
      </c>
      <c r="BI58" s="3">
        <v>9</v>
      </c>
      <c r="BJ58" s="3">
        <v>35</v>
      </c>
      <c r="BK58" s="3">
        <v>5</v>
      </c>
      <c r="BL58" s="3">
        <v>502</v>
      </c>
      <c r="BM58" s="3">
        <v>56</v>
      </c>
      <c r="BN58" s="3">
        <v>1</v>
      </c>
      <c r="BO58" s="3" t="s">
        <v>1085</v>
      </c>
      <c r="BP58" s="3" t="s">
        <v>1086</v>
      </c>
      <c r="BQ58" s="3">
        <f>HYPERLINK(".\links\GO\gi_346469987-GO.txt",5E-53)</f>
        <v>5E-53</v>
      </c>
      <c r="BR58" s="3" t="str">
        <f>HYPERLINK("http://amigo.geneontology.org/cgi-bin/amigo/term_details?term=GO:0003677","GO:0003677")</f>
        <v>GO:0003677</v>
      </c>
      <c r="BS58" s="3" t="s">
        <v>366</v>
      </c>
      <c r="BT58" s="3" t="s">
        <v>367</v>
      </c>
      <c r="BU58" s="3" t="s">
        <v>368</v>
      </c>
      <c r="BV58" s="3" t="s">
        <v>36</v>
      </c>
      <c r="BX58" s="4">
        <v>5E-53</v>
      </c>
      <c r="BY58" s="3" t="str">
        <f>HYPERLINK("http://amigo.geneontology.org/cgi-bin/amigo/term_details?term=GO:0000786","GO:0000786")</f>
        <v>GO:0000786</v>
      </c>
      <c r="BZ58" s="3" t="s">
        <v>1075</v>
      </c>
      <c r="CA58" s="3" t="s">
        <v>1076</v>
      </c>
      <c r="CB58" s="3" t="s">
        <v>36</v>
      </c>
      <c r="CC58" s="3" t="s">
        <v>36</v>
      </c>
      <c r="CE58" s="4">
        <v>5E-53</v>
      </c>
      <c r="CF58" s="3" t="str">
        <f>HYPERLINK("http://amigo.geneontology.org/cgi-bin/amigo/term_details?term=GO:0006334","GO:0006334")</f>
        <v>GO:0006334</v>
      </c>
      <c r="CG58" s="3" t="s">
        <v>1077</v>
      </c>
      <c r="CH58" s="3" t="s">
        <v>1078</v>
      </c>
      <c r="CI58" s="3" t="s">
        <v>1079</v>
      </c>
      <c r="CJ58" s="3" t="s">
        <v>36</v>
      </c>
      <c r="CL58" s="4">
        <v>5E-53</v>
      </c>
      <c r="CM58" s="3" t="str">
        <f>HYPERLINK(".\links\CDD\gi_346469987-CDD.txt","PLN00035")</f>
        <v>PLN00035</v>
      </c>
      <c r="CN58" s="3" t="str">
        <f>HYPERLINK("http://www.ncbi.nlm.nih.gov/Structure/cdd/cddsrv.cgi?uid=PLN00035&amp;version=v4.0","1E-053")</f>
        <v>1E-053</v>
      </c>
      <c r="CO58" s="3" t="s">
        <v>1087</v>
      </c>
      <c r="CP58" s="3" t="str">
        <f>HYPERLINK(".\links\ACARI\gi_346469987-ACARI.txt","hypothetical protein")</f>
        <v>hypothetical protein</v>
      </c>
      <c r="CQ58" s="3" t="str">
        <f>HYPERLINK("http://www.ncbi.nlm.nih.gov/sutils/blink.cgi?pid=346469987","2E-075")</f>
        <v>2E-075</v>
      </c>
      <c r="CR58" s="3" t="str">
        <f>HYPERLINK("http://www.ncbi.nlm.nih.gov/protein/346469987","gi|346469987")</f>
        <v>gi|346469987</v>
      </c>
      <c r="CS58" s="3">
        <v>278</v>
      </c>
      <c r="CT58" s="3">
        <v>138</v>
      </c>
      <c r="CU58" s="3">
        <v>138</v>
      </c>
      <c r="CV58" s="3">
        <v>100</v>
      </c>
      <c r="CW58" s="3">
        <v>100</v>
      </c>
      <c r="CX58" s="3">
        <v>100</v>
      </c>
      <c r="CY58" s="3">
        <v>0</v>
      </c>
      <c r="CZ58" s="3">
        <v>0</v>
      </c>
      <c r="DA58" s="3">
        <v>1</v>
      </c>
      <c r="DB58" s="3">
        <v>1</v>
      </c>
      <c r="DC58" s="3">
        <v>1</v>
      </c>
      <c r="DD58" s="3" t="s">
        <v>173</v>
      </c>
    </row>
    <row r="59" spans="1:108" s="3" customFormat="1" x14ac:dyDescent="0.2">
      <c r="A59" s="3" t="s">
        <v>1417</v>
      </c>
      <c r="B59" s="3" t="str">
        <f>HYPERLINK(".\links\\gi_346470069-.txt","gi_346470069")</f>
        <v>gi_346470069</v>
      </c>
      <c r="C59" s="3" t="s">
        <v>35</v>
      </c>
      <c r="D59" s="3">
        <v>124</v>
      </c>
      <c r="E59" s="9" t="s">
        <v>173</v>
      </c>
      <c r="F59" s="3" t="s">
        <v>1277</v>
      </c>
      <c r="G59" s="3" t="s">
        <v>1470</v>
      </c>
      <c r="H59" s="3" t="str">
        <f>HYPERLINK(".\links\UNIPROT-ACARI\gi_346470069-UNIPROT-ACARI.txt","Histone H2A")</f>
        <v>Histone H2A</v>
      </c>
      <c r="I59" s="3" t="str">
        <f>HYPERLINK("http://www.ncbi.nlm.nih.gov/sutils/blink.cgi?pid=G3MN11","2E-064")</f>
        <v>2E-064</v>
      </c>
      <c r="J59" s="3" t="s">
        <v>1072</v>
      </c>
      <c r="K59" s="3">
        <v>241</v>
      </c>
      <c r="L59" s="3">
        <v>124</v>
      </c>
      <c r="M59" s="3">
        <v>124</v>
      </c>
      <c r="N59" s="3">
        <v>100</v>
      </c>
      <c r="O59" s="3">
        <v>100</v>
      </c>
      <c r="P59" s="3">
        <v>100</v>
      </c>
      <c r="Q59" s="3">
        <v>0</v>
      </c>
      <c r="R59" s="3">
        <v>0</v>
      </c>
      <c r="S59" s="3">
        <v>1</v>
      </c>
      <c r="T59" s="3">
        <v>1</v>
      </c>
      <c r="U59" s="3">
        <v>1</v>
      </c>
      <c r="V59" s="3" t="s">
        <v>36</v>
      </c>
      <c r="W59" s="3" t="str">
        <f>HYPERLINK(".\links\NR-LIGHT\gi_346470069-NR-LIGHT.txt","histone 2A")</f>
        <v>histone 2A</v>
      </c>
      <c r="X59" s="3" t="str">
        <f>HYPERLINK("http://www.ncbi.nlm.nih.gov/sutils/blink.cgi?pid=241568985","5E-062")</f>
        <v>5E-062</v>
      </c>
      <c r="Y59" s="3" t="str">
        <f>HYPERLINK("http://www.ncbi.nlm.nih.gov/protein/241568985","gi|241568985")</f>
        <v>gi|241568985</v>
      </c>
      <c r="Z59" s="3">
        <v>238</v>
      </c>
      <c r="AA59" s="3">
        <v>124</v>
      </c>
      <c r="AB59" s="3">
        <v>124</v>
      </c>
      <c r="AC59" s="3">
        <v>98</v>
      </c>
      <c r="AD59" s="3">
        <v>99</v>
      </c>
      <c r="AE59" s="3">
        <v>100</v>
      </c>
      <c r="AF59" s="3">
        <v>2</v>
      </c>
      <c r="AG59" s="3">
        <v>0</v>
      </c>
      <c r="AH59" s="3">
        <v>1</v>
      </c>
      <c r="AI59" s="3">
        <v>1</v>
      </c>
      <c r="AJ59" s="3">
        <v>1</v>
      </c>
      <c r="AK59" s="3" t="s">
        <v>40</v>
      </c>
      <c r="AL59" s="3" t="str">
        <f>HYPERLINK(".\links\REFSEQ-INVERTEBRATE\gi_346470069-REFSEQ-INVERTEBRATE.txt","histone 2A")</f>
        <v>histone 2A</v>
      </c>
      <c r="AM59" s="3" t="str">
        <f>HYPERLINK("http://www.ncbi.nlm.nih.gov/sutils/blink.cgi?pid=241568985","2E-062")</f>
        <v>2E-062</v>
      </c>
      <c r="AN59" s="3" t="str">
        <f>HYPERLINK("http://www.ncbi.nlm.nih.gov/protein/241568985","gi|241568985")</f>
        <v>gi|241568985</v>
      </c>
      <c r="AO59" s="3">
        <v>238</v>
      </c>
      <c r="AP59" s="3">
        <v>124</v>
      </c>
      <c r="AQ59" s="3">
        <v>124</v>
      </c>
      <c r="AR59" s="3">
        <v>98</v>
      </c>
      <c r="AS59" s="3">
        <v>99</v>
      </c>
      <c r="AT59" s="3">
        <v>100</v>
      </c>
      <c r="AU59" s="3">
        <v>2</v>
      </c>
      <c r="AV59" s="3">
        <v>0</v>
      </c>
      <c r="AW59" s="3">
        <v>1</v>
      </c>
      <c r="AX59" s="3">
        <v>1</v>
      </c>
      <c r="AY59" s="3">
        <v>1</v>
      </c>
      <c r="AZ59" s="3" t="s">
        <v>40</v>
      </c>
      <c r="BA59" s="3" t="str">
        <f>HYPERLINK(".\links\MEROPS\gi_346470069-MEROPS.txt","- hyperthermophile prolidase (Thermodesulfovibrio yellowstonii)")</f>
        <v>- hyperthermophile prolidase (Thermodesulfovibrio yellowstonii)</v>
      </c>
      <c r="BB59" s="3" t="str">
        <f>HYPERLINK("http://www.ncbi.nlm.nih.gov/sutils/blink.cgi?pid=108483 - hyperthermophile prolidase (Thermodesulfovibrio yellowstonii) [M24.008]#M24B#{peptidase unit","0.28")</f>
        <v>0.28</v>
      </c>
      <c r="BC59" s="3" t="s">
        <v>1073</v>
      </c>
      <c r="BD59" s="3">
        <v>34.299999999999997</v>
      </c>
      <c r="BE59" s="3">
        <v>44</v>
      </c>
      <c r="BF59" s="3">
        <v>354</v>
      </c>
      <c r="BG59" s="3">
        <v>34</v>
      </c>
      <c r="BH59" s="3">
        <v>54</v>
      </c>
      <c r="BI59" s="3">
        <v>12</v>
      </c>
      <c r="BJ59" s="3">
        <v>29</v>
      </c>
      <c r="BK59" s="3">
        <v>4</v>
      </c>
      <c r="BL59" s="3">
        <v>109</v>
      </c>
      <c r="BM59" s="3">
        <v>71</v>
      </c>
      <c r="BN59" s="3">
        <v>1</v>
      </c>
      <c r="BO59" s="3" t="s">
        <v>313</v>
      </c>
      <c r="BP59" s="3" t="s">
        <v>1074</v>
      </c>
      <c r="BQ59" s="3">
        <f>HYPERLINK(".\links\GO\gi_346470069-GO.txt",8E-62)</f>
        <v>8.0000000000000003E-62</v>
      </c>
      <c r="BR59" s="3" t="str">
        <f>HYPERLINK("http://amigo.geneontology.org/cgi-bin/amigo/term_details?term=GO:0003677","GO:0003677")</f>
        <v>GO:0003677</v>
      </c>
      <c r="BS59" s="3" t="s">
        <v>366</v>
      </c>
      <c r="BT59" s="3" t="s">
        <v>367</v>
      </c>
      <c r="BU59" s="3" t="s">
        <v>368</v>
      </c>
      <c r="BV59" s="3" t="s">
        <v>36</v>
      </c>
      <c r="BX59" s="4">
        <v>1E-61</v>
      </c>
      <c r="BY59" s="3" t="str">
        <f>HYPERLINK("http://amigo.geneontology.org/cgi-bin/amigo/term_details?term=GO:0000786","GO:0000786")</f>
        <v>GO:0000786</v>
      </c>
      <c r="BZ59" s="3" t="s">
        <v>1075</v>
      </c>
      <c r="CA59" s="3" t="s">
        <v>1076</v>
      </c>
      <c r="CB59" s="3" t="s">
        <v>36</v>
      </c>
      <c r="CC59" s="3" t="s">
        <v>36</v>
      </c>
      <c r="CE59" s="4">
        <v>1E-61</v>
      </c>
      <c r="CF59" s="3" t="str">
        <f>HYPERLINK("http://amigo.geneontology.org/cgi-bin/amigo/term_details?term=GO:0006334","GO:0006334")</f>
        <v>GO:0006334</v>
      </c>
      <c r="CG59" s="3" t="s">
        <v>1077</v>
      </c>
      <c r="CH59" s="3" t="s">
        <v>1078</v>
      </c>
      <c r="CI59" s="3" t="s">
        <v>1079</v>
      </c>
      <c r="CJ59" s="3" t="s">
        <v>36</v>
      </c>
      <c r="CL59" s="4">
        <v>1E-61</v>
      </c>
      <c r="CM59" s="3" t="str">
        <f>HYPERLINK(".\links\CDD\gi_346470069-CDD.txt","H2A")</f>
        <v>H2A</v>
      </c>
      <c r="CN59" s="3" t="str">
        <f>HYPERLINK("http://www.ncbi.nlm.nih.gov/Structure/cdd/cddsrv.cgi?uid=cd00074&amp;version=v4.0","7E-050")</f>
        <v>7E-050</v>
      </c>
      <c r="CO59" s="3" t="s">
        <v>1080</v>
      </c>
      <c r="CP59" s="3" t="str">
        <f>HYPERLINK(".\links\ACARI\gi_346470069-ACARI.txt","hypothetical protein")</f>
        <v>hypothetical protein</v>
      </c>
      <c r="CQ59" s="3" t="str">
        <f>HYPERLINK("http://www.ncbi.nlm.nih.gov/sutils/blink.cgi?pid=346470069","3E-064")</f>
        <v>3E-064</v>
      </c>
      <c r="CR59" s="3" t="str">
        <f>HYPERLINK("http://www.ncbi.nlm.nih.gov/protein/346470069","gi|346470069")</f>
        <v>gi|346470069</v>
      </c>
      <c r="CS59" s="3">
        <v>241</v>
      </c>
      <c r="CT59" s="3">
        <v>124</v>
      </c>
      <c r="CU59" s="3">
        <v>124</v>
      </c>
      <c r="CV59" s="3">
        <v>100</v>
      </c>
      <c r="CW59" s="3">
        <v>100</v>
      </c>
      <c r="CX59" s="3">
        <v>100</v>
      </c>
      <c r="CY59" s="3">
        <v>0</v>
      </c>
      <c r="CZ59" s="3">
        <v>0</v>
      </c>
      <c r="DA59" s="3">
        <v>1</v>
      </c>
      <c r="DB59" s="3">
        <v>1</v>
      </c>
      <c r="DC59" s="3">
        <v>1</v>
      </c>
      <c r="DD59" s="3" t="s">
        <v>173</v>
      </c>
    </row>
    <row r="60" spans="1:108" s="3" customFormat="1" x14ac:dyDescent="0.2">
      <c r="A60" s="3" t="s">
        <v>1381</v>
      </c>
      <c r="B60" s="3" t="str">
        <f>HYPERLINK(".\links\\gi_346471319-.txt","gi_346471319")</f>
        <v>gi_346471319</v>
      </c>
      <c r="C60" s="3" t="s">
        <v>35</v>
      </c>
      <c r="D60" s="3">
        <v>564</v>
      </c>
      <c r="E60" s="9" t="s">
        <v>173</v>
      </c>
      <c r="F60" s="3" t="s">
        <v>1240</v>
      </c>
      <c r="G60" s="3" t="s">
        <v>1471</v>
      </c>
      <c r="H60" s="3" t="str">
        <f>HYPERLINK(".\links\UNIPROT-ACARI\gi_346471319-UNIPROT-ACARI.txt","Annexin")</f>
        <v>Annexin</v>
      </c>
      <c r="I60" s="3" t="str">
        <f>HYPERLINK("http://www.ncbi.nlm.nih.gov/sutils/blink.cgi?pid=G3MPT6","0.0")</f>
        <v>0.0</v>
      </c>
      <c r="J60" s="3" t="s">
        <v>681</v>
      </c>
      <c r="K60" s="3">
        <v>1149</v>
      </c>
      <c r="L60" s="3">
        <v>564</v>
      </c>
      <c r="M60" s="3">
        <v>564</v>
      </c>
      <c r="N60" s="3">
        <v>100</v>
      </c>
      <c r="O60" s="3">
        <v>100</v>
      </c>
      <c r="P60" s="3">
        <v>100</v>
      </c>
      <c r="Q60" s="3">
        <v>0</v>
      </c>
      <c r="R60" s="3">
        <v>0</v>
      </c>
      <c r="S60" s="3">
        <v>1</v>
      </c>
      <c r="T60" s="3">
        <v>1</v>
      </c>
      <c r="U60" s="3">
        <v>1</v>
      </c>
      <c r="V60" s="3" t="s">
        <v>36</v>
      </c>
      <c r="W60" s="3" t="str">
        <f>HYPERLINK(".\links\NR-LIGHT\gi_346471319-NR-LIGHT.txt","annexin A7-like isoform X2")</f>
        <v>annexin A7-like isoform X2</v>
      </c>
      <c r="X60" s="3" t="str">
        <f>HYPERLINK("http://www.ncbi.nlm.nih.gov/sutils/blink.cgi?pid=524889484","1E-120")</f>
        <v>1E-120</v>
      </c>
      <c r="Y60" s="3" t="str">
        <f>HYPERLINK("http://www.ncbi.nlm.nih.gov/protein/524889484","gi|524889484")</f>
        <v>gi|524889484</v>
      </c>
      <c r="Z60" s="3">
        <v>434</v>
      </c>
      <c r="AA60" s="3">
        <v>583</v>
      </c>
      <c r="AB60" s="3">
        <v>559</v>
      </c>
      <c r="AC60" s="3">
        <v>46</v>
      </c>
      <c r="AD60" s="3">
        <v>56</v>
      </c>
      <c r="AE60" s="3">
        <v>104</v>
      </c>
      <c r="AF60" s="3">
        <v>310</v>
      </c>
      <c r="AG60" s="3">
        <v>45</v>
      </c>
      <c r="AH60" s="3">
        <v>1</v>
      </c>
      <c r="AI60" s="3">
        <v>1</v>
      </c>
      <c r="AJ60" s="3">
        <v>1</v>
      </c>
      <c r="AK60" s="3" t="s">
        <v>682</v>
      </c>
      <c r="AL60" s="3" t="str">
        <f>HYPERLINK(".\links\REFSEQ-INVERTEBRATE\gi_346471319-REFSEQ-INVERTEBRATE.txt","annexin A7-like isoform X2")</f>
        <v>annexin A7-like isoform X2</v>
      </c>
      <c r="AM60" s="3" t="str">
        <f>HYPERLINK("http://www.ncbi.nlm.nih.gov/sutils/blink.cgi?pid=524889484","1E-120")</f>
        <v>1E-120</v>
      </c>
      <c r="AN60" s="3" t="str">
        <f>HYPERLINK("http://www.ncbi.nlm.nih.gov/protein/524889484","gi|524889484")</f>
        <v>gi|524889484</v>
      </c>
      <c r="AO60" s="3">
        <v>434</v>
      </c>
      <c r="AP60" s="3">
        <v>583</v>
      </c>
      <c r="AQ60" s="3">
        <v>559</v>
      </c>
      <c r="AR60" s="3">
        <v>46</v>
      </c>
      <c r="AS60" s="3">
        <v>56</v>
      </c>
      <c r="AT60" s="3">
        <v>104</v>
      </c>
      <c r="AU60" s="3">
        <v>310</v>
      </c>
      <c r="AV60" s="3">
        <v>45</v>
      </c>
      <c r="AW60" s="3">
        <v>1</v>
      </c>
      <c r="AX60" s="3">
        <v>1</v>
      </c>
      <c r="AY60" s="3">
        <v>1</v>
      </c>
      <c r="AZ60" s="3" t="s">
        <v>682</v>
      </c>
      <c r="BA60" s="3" t="str">
        <f>HYPERLINK(".\links\MEROPS\gi_346471319-MEROPS.txt","- proteasome subunit alpha 6 (Otolemur garnettii)")</f>
        <v>- proteasome subunit alpha 6 (Otolemur garnettii)</v>
      </c>
      <c r="BB60" s="3" t="str">
        <f>HYPERLINK("http://www.ncbi.nlm.nih.gov/sutils/blink.cgi?pid=256271 - proteasome subunit alpha 6 (Otolemur garnettii) [T01.971]#T01A#{peptidase unit","4E-054")</f>
        <v>4E-054</v>
      </c>
      <c r="BC60" s="3" t="s">
        <v>683</v>
      </c>
      <c r="BD60" s="3">
        <v>213</v>
      </c>
      <c r="BE60" s="3">
        <v>329</v>
      </c>
      <c r="BF60" s="3">
        <v>1415</v>
      </c>
      <c r="BG60" s="3">
        <v>41</v>
      </c>
      <c r="BH60" s="3">
        <v>57</v>
      </c>
      <c r="BI60" s="3">
        <v>23</v>
      </c>
      <c r="BJ60" s="3">
        <v>191</v>
      </c>
      <c r="BK60" s="3">
        <v>31</v>
      </c>
      <c r="BL60" s="3">
        <v>266</v>
      </c>
      <c r="BM60" s="3">
        <v>239</v>
      </c>
      <c r="BN60" s="3">
        <v>1</v>
      </c>
      <c r="BO60" s="3" t="s">
        <v>684</v>
      </c>
      <c r="BP60" s="3" t="s">
        <v>685</v>
      </c>
      <c r="BQ60" s="3">
        <f>HYPERLINK(".\links\GO\gi_346471319-GO.txt",0)</f>
        <v>0</v>
      </c>
      <c r="BR60" s="3" t="str">
        <f>HYPERLINK("http://amigo.geneontology.org/cgi-bin/amigo/term_details?term=GO:0005509","GO:0005509")</f>
        <v>GO:0005509</v>
      </c>
      <c r="BS60" s="3" t="s">
        <v>166</v>
      </c>
      <c r="BT60" s="3" t="s">
        <v>167</v>
      </c>
      <c r="BU60" s="3" t="s">
        <v>168</v>
      </c>
      <c r="BV60" s="3" t="s">
        <v>36</v>
      </c>
      <c r="BX60" s="4">
        <v>1E-107</v>
      </c>
      <c r="BY60" s="3" t="str">
        <f>HYPERLINK("http://amigo.geneontology.org/cgi-bin/amigo/term_details?term=GO:0005635","GO:0005635")</f>
        <v>GO:0005635</v>
      </c>
      <c r="BZ60" s="3" t="s">
        <v>686</v>
      </c>
      <c r="CA60" s="3" t="s">
        <v>687</v>
      </c>
      <c r="CB60" s="3" t="s">
        <v>36</v>
      </c>
      <c r="CC60" s="3" t="s">
        <v>36</v>
      </c>
      <c r="CE60" s="4">
        <v>1E-107</v>
      </c>
      <c r="CF60" s="3" t="str">
        <f>HYPERLINK("http://amigo.geneontology.org/cgi-bin/amigo/term_details?term=GO:0006874","GO:0006874")</f>
        <v>GO:0006874</v>
      </c>
      <c r="CG60" s="3" t="s">
        <v>688</v>
      </c>
      <c r="CH60" s="3" t="s">
        <v>689</v>
      </c>
      <c r="CI60" s="3" t="s">
        <v>690</v>
      </c>
      <c r="CJ60" s="3" t="s">
        <v>36</v>
      </c>
      <c r="CL60" s="4">
        <v>1E-107</v>
      </c>
      <c r="CM60" s="3" t="str">
        <f>HYPERLINK(".\links\CDD\gi_346471319-CDD.txt","Annexin")</f>
        <v>Annexin</v>
      </c>
      <c r="CN60" s="3" t="str">
        <f>HYPERLINK("http://www.ncbi.nlm.nih.gov/Structure/cdd/cddsrv.cgi?uid=pfam00191&amp;version=v4.0","5E-016")</f>
        <v>5E-016</v>
      </c>
      <c r="CO60" s="3" t="s">
        <v>691</v>
      </c>
      <c r="CP60" s="3" t="str">
        <f>HYPERLINK(".\links\ACARI\gi_346471319-ACARI.txt","hypothetical protein")</f>
        <v>hypothetical protein</v>
      </c>
      <c r="CQ60" s="3" t="str">
        <f>HYPERLINK("http://www.ncbi.nlm.nih.gov/sutils/blink.cgi?pid=346471319","0.0")</f>
        <v>0.0</v>
      </c>
      <c r="CR60" s="3" t="str">
        <f>HYPERLINK("http://www.ncbi.nlm.nih.gov/protein/346471319","gi|346471319")</f>
        <v>gi|346471319</v>
      </c>
      <c r="CS60" s="3">
        <v>1149</v>
      </c>
      <c r="CT60" s="3">
        <v>564</v>
      </c>
      <c r="CU60" s="3">
        <v>564</v>
      </c>
      <c r="CV60" s="3">
        <v>100</v>
      </c>
      <c r="CW60" s="3">
        <v>100</v>
      </c>
      <c r="CX60" s="3">
        <v>100</v>
      </c>
      <c r="CY60" s="3">
        <v>0</v>
      </c>
      <c r="CZ60" s="3">
        <v>0</v>
      </c>
      <c r="DA60" s="3">
        <v>1</v>
      </c>
      <c r="DB60" s="3">
        <v>1</v>
      </c>
      <c r="DC60" s="3">
        <v>1</v>
      </c>
      <c r="DD60" s="3" t="s">
        <v>173</v>
      </c>
    </row>
    <row r="61" spans="1:108" s="3" customFormat="1" x14ac:dyDescent="0.2">
      <c r="A61" s="1" t="s">
        <v>1364</v>
      </c>
      <c r="B61" s="1" t="str">
        <f>HYPERLINK(".\links\\gi_148717319-.txt","gi_148717319")</f>
        <v>gi_148717319</v>
      </c>
      <c r="C61" s="1" t="s">
        <v>35</v>
      </c>
      <c r="D61" s="1">
        <v>488</v>
      </c>
      <c r="E61" s="8" t="s">
        <v>53</v>
      </c>
      <c r="F61" s="1" t="s">
        <v>1278</v>
      </c>
      <c r="G61" s="1" t="s">
        <v>1472</v>
      </c>
      <c r="H61" s="1" t="str">
        <f>HYPERLINK(".\links\UNIPROT-ACARI\gi_148717319-UNIPROT-ACARI.txt","Protein disulfide-isomerase")</f>
        <v>Protein disulfide-isomerase</v>
      </c>
      <c r="I61" s="1" t="str">
        <f>HYPERLINK("http://www.ncbi.nlm.nih.gov/sutils/blink.cgi?pid=A5LHW1","0.0")</f>
        <v>0.0</v>
      </c>
      <c r="J61" s="1" t="s">
        <v>896</v>
      </c>
      <c r="K61" s="1">
        <v>1001</v>
      </c>
      <c r="L61" s="1">
        <v>488</v>
      </c>
      <c r="M61" s="1">
        <v>488</v>
      </c>
      <c r="N61" s="1">
        <v>100</v>
      </c>
      <c r="O61" s="1">
        <v>100</v>
      </c>
      <c r="P61" s="1">
        <v>100</v>
      </c>
      <c r="Q61" s="1">
        <v>0</v>
      </c>
      <c r="R61" s="1">
        <v>0</v>
      </c>
      <c r="S61" s="1">
        <v>1</v>
      </c>
      <c r="T61" s="1">
        <v>1</v>
      </c>
      <c r="U61" s="1">
        <v>1</v>
      </c>
      <c r="V61" s="1" t="s">
        <v>36</v>
      </c>
      <c r="W61" s="1" t="str">
        <f>HYPERLINK(".\links\NR-LIGHT\gi_148717319-NR-LIGHT.txt","protein disulfide isomerase-3")</f>
        <v>protein disulfide isomerase-3</v>
      </c>
      <c r="X61" s="1" t="str">
        <f>HYPERLINK("http://www.ncbi.nlm.nih.gov/sutils/blink.cgi?pid=148717319","0.0")</f>
        <v>0.0</v>
      </c>
      <c r="Y61" s="1" t="str">
        <f>HYPERLINK("http://www.ncbi.nlm.nih.gov/protein/148717319","gi|148717319")</f>
        <v>gi|148717319</v>
      </c>
      <c r="Z61" s="1">
        <v>1001</v>
      </c>
      <c r="AA61" s="1">
        <v>488</v>
      </c>
      <c r="AB61" s="1">
        <v>488</v>
      </c>
      <c r="AC61" s="1">
        <v>100</v>
      </c>
      <c r="AD61" s="1">
        <v>100</v>
      </c>
      <c r="AE61" s="1">
        <v>100</v>
      </c>
      <c r="AF61" s="1">
        <v>0</v>
      </c>
      <c r="AG61" s="1">
        <v>0</v>
      </c>
      <c r="AH61" s="1">
        <v>1</v>
      </c>
      <c r="AI61" s="1">
        <v>1</v>
      </c>
      <c r="AJ61" s="1">
        <v>1</v>
      </c>
      <c r="AK61" s="1" t="s">
        <v>53</v>
      </c>
      <c r="AL61" s="1" t="str">
        <f>HYPERLINK(".\links\REFSEQ-INVERTEBRATE\gi_148717319-REFSEQ-INVERTEBRATE.txt","protein disulfide isomerase, putative")</f>
        <v>protein disulfide isomerase, putative</v>
      </c>
      <c r="AM61" s="1" t="str">
        <f>HYPERLINK("http://www.ncbi.nlm.nih.gov/sutils/blink.cgi?pid=241029459","0.0")</f>
        <v>0.0</v>
      </c>
      <c r="AN61" s="1" t="str">
        <f>HYPERLINK("http://www.ncbi.nlm.nih.gov/protein/241029459","gi|241029459")</f>
        <v>gi|241029459</v>
      </c>
      <c r="AO61" s="1">
        <v>809</v>
      </c>
      <c r="AP61" s="1">
        <v>488</v>
      </c>
      <c r="AQ61" s="1">
        <v>486</v>
      </c>
      <c r="AR61" s="1">
        <v>77</v>
      </c>
      <c r="AS61" s="1">
        <v>90</v>
      </c>
      <c r="AT61" s="1">
        <v>100</v>
      </c>
      <c r="AU61" s="1">
        <v>109</v>
      </c>
      <c r="AV61" s="1">
        <v>2</v>
      </c>
      <c r="AW61" s="1">
        <v>1</v>
      </c>
      <c r="AX61" s="1">
        <v>1</v>
      </c>
      <c r="AY61" s="1">
        <v>1</v>
      </c>
      <c r="AZ61" s="1" t="s">
        <v>40</v>
      </c>
      <c r="BA61" s="1" t="str">
        <f>HYPERLINK(".\links\MEROPS\gi_148717319-MEROPS.txt","- subfamily C1A unassigned peptidases (Medicago truncatula)")</f>
        <v>- subfamily C1A unassigned peptidases (Medicago truncatula)</v>
      </c>
      <c r="BB61" s="1" t="str">
        <f>HYPERLINK("http://www.ncbi.nlm.nih.gov/sutils/blink.cgi?pid=428386 - subfamily C1A unassigned peptidases (Medicago truncatula) [C01.UPA]#C01A#{peptidase unit","3E-015")</f>
        <v>3E-015</v>
      </c>
      <c r="BC61" s="1" t="s">
        <v>897</v>
      </c>
      <c r="BD61" s="1">
        <v>84</v>
      </c>
      <c r="BE61" s="1">
        <v>240</v>
      </c>
      <c r="BF61" s="1">
        <v>536</v>
      </c>
      <c r="BG61" s="1">
        <v>26</v>
      </c>
      <c r="BH61" s="1">
        <v>43</v>
      </c>
      <c r="BI61" s="1">
        <v>45</v>
      </c>
      <c r="BJ61" s="1">
        <v>177</v>
      </c>
      <c r="BK61" s="1">
        <v>49</v>
      </c>
      <c r="BL61" s="1">
        <v>286</v>
      </c>
      <c r="BM61" s="1">
        <v>277</v>
      </c>
      <c r="BN61" s="1">
        <v>1</v>
      </c>
      <c r="BO61" s="1" t="s">
        <v>898</v>
      </c>
      <c r="BP61" s="1" t="s">
        <v>899</v>
      </c>
      <c r="BQ61" s="1">
        <f>HYPERLINK(".\links\GO\gi_148717319-GO.txt",0)</f>
        <v>0</v>
      </c>
      <c r="BR61" s="1" t="str">
        <f>HYPERLINK("http://amigo.geneontology.org/cgi-bin/amigo/term_details?term=GO:0003756","GO:0003756")</f>
        <v>GO:0003756</v>
      </c>
      <c r="BS61" s="1" t="s">
        <v>900</v>
      </c>
      <c r="BT61" s="1" t="s">
        <v>901</v>
      </c>
      <c r="BU61" s="1" t="s">
        <v>902</v>
      </c>
      <c r="BV61" s="1" t="str">
        <f>HYPERLINK("http://www.genome.jp/dbget-bin/www_bfind_sub?mode=bfind&amp;max_hit=1000&amp;dbkey=kegg&amp;keywords=EC:5.3.4.1","EC:5.3.4.1")</f>
        <v>EC:5.3.4.1</v>
      </c>
      <c r="BW61" s="1"/>
      <c r="BX61" s="2">
        <v>9.9999999999999992E-164</v>
      </c>
      <c r="BY61" s="1" t="str">
        <f>HYPERLINK("http://amigo.geneontology.org/cgi-bin/amigo/term_details?term=GO:0005783","GO:0005783")</f>
        <v>GO:0005783</v>
      </c>
      <c r="BZ61" s="1" t="s">
        <v>363</v>
      </c>
      <c r="CA61" s="1" t="s">
        <v>364</v>
      </c>
      <c r="CB61" s="1" t="s">
        <v>365</v>
      </c>
      <c r="CC61" s="1" t="s">
        <v>36</v>
      </c>
      <c r="CD61" s="1"/>
      <c r="CE61" s="2">
        <v>9.9999999999999992E-164</v>
      </c>
      <c r="CF61" s="1" t="str">
        <f>HYPERLINK("http://amigo.geneontology.org/cgi-bin/amigo/term_details?term=GO:0006457","GO:0006457")</f>
        <v>GO:0006457</v>
      </c>
      <c r="CG61" s="1" t="s">
        <v>525</v>
      </c>
      <c r="CH61" s="1" t="s">
        <v>526</v>
      </c>
      <c r="CI61" s="1" t="s">
        <v>527</v>
      </c>
      <c r="CJ61" s="1" t="s">
        <v>36</v>
      </c>
      <c r="CK61" s="1"/>
      <c r="CL61" s="2">
        <v>9.9999999999999992E-164</v>
      </c>
      <c r="CM61" s="1" t="str">
        <f>HYPERLINK(".\links\CDD\gi_148717319-CDD.txt","ER_PDI_fam")</f>
        <v>ER_PDI_fam</v>
      </c>
      <c r="CN61" s="1" t="str">
        <f>HYPERLINK("http://www.ncbi.nlm.nih.gov/Structure/cdd/cddsrv.cgi?uid=TIGR01130&amp;version=v4.0","1E-116")</f>
        <v>1E-116</v>
      </c>
      <c r="CO61" s="1" t="s">
        <v>903</v>
      </c>
      <c r="CP61" s="1" t="str">
        <f>HYPERLINK(".\links\ACARI\gi_148717319-ACARI.txt","protein disulfide isomerase-3")</f>
        <v>protein disulfide isomerase-3</v>
      </c>
      <c r="CQ61" s="1" t="str">
        <f>HYPERLINK("http://www.ncbi.nlm.nih.gov/sutils/blink.cgi?pid=148717319","0.0")</f>
        <v>0.0</v>
      </c>
      <c r="CR61" s="1" t="str">
        <f>HYPERLINK("http://www.ncbi.nlm.nih.gov/protein/148717319","gi|148717319")</f>
        <v>gi|148717319</v>
      </c>
      <c r="CS61" s="1">
        <v>1001</v>
      </c>
      <c r="CT61" s="1">
        <v>488</v>
      </c>
      <c r="CU61" s="1">
        <v>488</v>
      </c>
      <c r="CV61" s="1">
        <v>100</v>
      </c>
      <c r="CW61" s="1">
        <v>100</v>
      </c>
      <c r="CX61" s="1">
        <v>100</v>
      </c>
      <c r="CY61" s="1">
        <v>0</v>
      </c>
      <c r="CZ61" s="1">
        <v>0</v>
      </c>
      <c r="DA61" s="1">
        <v>1</v>
      </c>
      <c r="DB61" s="1">
        <v>1</v>
      </c>
      <c r="DC61" s="1">
        <v>1</v>
      </c>
      <c r="DD61" s="1" t="s">
        <v>53</v>
      </c>
    </row>
    <row r="62" spans="1:108" s="3" customFormat="1" x14ac:dyDescent="0.2">
      <c r="A62" s="3" t="s">
        <v>1365</v>
      </c>
      <c r="B62" s="3" t="str">
        <f>HYPERLINK(".\links\\gi_215504612-.txt","gi_215504612")</f>
        <v>gi_215504612</v>
      </c>
      <c r="C62" s="3" t="s">
        <v>35</v>
      </c>
      <c r="D62" s="3">
        <v>258</v>
      </c>
      <c r="E62" s="9" t="s">
        <v>40</v>
      </c>
      <c r="F62" s="3" t="s">
        <v>1279</v>
      </c>
      <c r="G62" s="1" t="s">
        <v>1472</v>
      </c>
      <c r="H62" s="3" t="str">
        <f>HYPERLINK(".\links\UNIPROT-ACARI\gi_215504612-UNIPROT-ACARI.txt","Multifunctional chaperone, putative")</f>
        <v>Multifunctional chaperone, putative</v>
      </c>
      <c r="I62" s="3" t="str">
        <f>HYPERLINK("http://www.ncbi.nlm.nih.gov/sutils/blink.cgi?pid=B7Q5I4","1E-143")</f>
        <v>1E-143</v>
      </c>
      <c r="J62" s="3" t="s">
        <v>852</v>
      </c>
      <c r="K62" s="3">
        <v>506</v>
      </c>
      <c r="L62" s="3">
        <v>258</v>
      </c>
      <c r="M62" s="3">
        <v>258</v>
      </c>
      <c r="N62" s="3">
        <v>100</v>
      </c>
      <c r="O62" s="3">
        <v>100</v>
      </c>
      <c r="P62" s="3">
        <v>100</v>
      </c>
      <c r="Q62" s="3">
        <v>0</v>
      </c>
      <c r="R62" s="3">
        <v>0</v>
      </c>
      <c r="S62" s="3">
        <v>1</v>
      </c>
      <c r="T62" s="3">
        <v>1</v>
      </c>
      <c r="U62" s="3">
        <v>1</v>
      </c>
      <c r="V62" s="3" t="s">
        <v>36</v>
      </c>
      <c r="W62" s="3" t="str">
        <f>HYPERLINK(".\links\NR-LIGHT\gi_215504612-NR-LIGHT.txt","multifunctional chaperone, putative")</f>
        <v>multifunctional chaperone, putative</v>
      </c>
      <c r="X62" s="3" t="str">
        <f>HYPERLINK("http://www.ncbi.nlm.nih.gov/sutils/blink.cgi?pid=241690490","1E-142")</f>
        <v>1E-142</v>
      </c>
      <c r="Y62" s="3" t="str">
        <f>HYPERLINK("http://www.ncbi.nlm.nih.gov/protein/241690490","gi|241690490")</f>
        <v>gi|241690490</v>
      </c>
      <c r="Z62" s="3">
        <v>506</v>
      </c>
      <c r="AA62" s="3">
        <v>258</v>
      </c>
      <c r="AB62" s="3">
        <v>258</v>
      </c>
      <c r="AC62" s="3">
        <v>100</v>
      </c>
      <c r="AD62" s="3">
        <v>100</v>
      </c>
      <c r="AE62" s="3">
        <v>100</v>
      </c>
      <c r="AF62" s="3">
        <v>0</v>
      </c>
      <c r="AG62" s="3">
        <v>0</v>
      </c>
      <c r="AH62" s="3">
        <v>1</v>
      </c>
      <c r="AI62" s="3">
        <v>1</v>
      </c>
      <c r="AJ62" s="3">
        <v>1</v>
      </c>
      <c r="AK62" s="3" t="s">
        <v>40</v>
      </c>
      <c r="AL62" s="3" t="str">
        <f>HYPERLINK(".\links\REFSEQ-INVERTEBRATE\gi_215504612-REFSEQ-INVERTEBRATE.txt","multifunctional chaperone, putative")</f>
        <v>multifunctional chaperone, putative</v>
      </c>
      <c r="AM62" s="3" t="str">
        <f>HYPERLINK("http://www.ncbi.nlm.nih.gov/sutils/blink.cgi?pid=241690490","1E-142")</f>
        <v>1E-142</v>
      </c>
      <c r="AN62" s="3" t="str">
        <f>HYPERLINK("http://www.ncbi.nlm.nih.gov/protein/241690490","gi|241690490")</f>
        <v>gi|241690490</v>
      </c>
      <c r="AO62" s="3">
        <v>506</v>
      </c>
      <c r="AP62" s="3">
        <v>258</v>
      </c>
      <c r="AQ62" s="3">
        <v>258</v>
      </c>
      <c r="AR62" s="3">
        <v>100</v>
      </c>
      <c r="AS62" s="3">
        <v>100</v>
      </c>
      <c r="AT62" s="3">
        <v>100</v>
      </c>
      <c r="AU62" s="3">
        <v>0</v>
      </c>
      <c r="AV62" s="3">
        <v>0</v>
      </c>
      <c r="AW62" s="3">
        <v>1</v>
      </c>
      <c r="AX62" s="3">
        <v>1</v>
      </c>
      <c r="AY62" s="3">
        <v>1</v>
      </c>
      <c r="AZ62" s="3" t="s">
        <v>40</v>
      </c>
      <c r="BA62" s="3" t="str">
        <f>HYPERLINK(".\links\MEROPS\gi_215504612-MEROPS.txt","- ADAM17 peptidase (Otolemur garnettii)")</f>
        <v>- ADAM17 peptidase (Otolemur garnettii)</v>
      </c>
      <c r="BB62" s="3" t="str">
        <f>HYPERLINK("http://www.ncbi.nlm.nih.gov/sutils/blink.cgi?pid=256238 - ADAM17 peptidase (Otolemur garnettii) [M12.217]#M12B#{peptidase unit","3E-041")</f>
        <v>3E-041</v>
      </c>
      <c r="BC62" s="3" t="s">
        <v>853</v>
      </c>
      <c r="BD62" s="3">
        <v>169</v>
      </c>
      <c r="BE62" s="3">
        <v>143</v>
      </c>
      <c r="BF62" s="3">
        <v>482</v>
      </c>
      <c r="BG62" s="3">
        <v>60</v>
      </c>
      <c r="BH62" s="3">
        <v>76</v>
      </c>
      <c r="BI62" s="3">
        <v>30</v>
      </c>
      <c r="BJ62" s="3">
        <v>57</v>
      </c>
      <c r="BK62" s="3">
        <v>2</v>
      </c>
      <c r="BL62" s="3">
        <v>2</v>
      </c>
      <c r="BM62" s="3">
        <v>3</v>
      </c>
      <c r="BN62" s="3">
        <v>1</v>
      </c>
      <c r="BO62" s="3" t="s">
        <v>854</v>
      </c>
      <c r="BP62" s="3" t="s">
        <v>855</v>
      </c>
      <c r="BQ62" s="3">
        <f>HYPERLINK(".\links\GO\gi_215504612-GO.txt",0)</f>
        <v>0</v>
      </c>
      <c r="BR62" s="3" t="str">
        <f>HYPERLINK("http://amigo.geneontology.org/cgi-bin/amigo/term_details?term=GO:0008426","GO:0008426")</f>
        <v>GO:0008426</v>
      </c>
      <c r="BS62" s="3" t="s">
        <v>856</v>
      </c>
      <c r="BT62" s="3" t="s">
        <v>857</v>
      </c>
      <c r="BU62" s="3" t="s">
        <v>858</v>
      </c>
      <c r="BV62" s="3" t="s">
        <v>36</v>
      </c>
      <c r="BX62" s="4">
        <v>1E-125</v>
      </c>
      <c r="BY62" s="3" t="str">
        <f>HYPERLINK("http://amigo.geneontology.org/cgi-bin/amigo/term_details?term=GO:0005737","GO:0005737")</f>
        <v>GO:0005737</v>
      </c>
      <c r="BZ62" s="3" t="s">
        <v>374</v>
      </c>
      <c r="CA62" s="3" t="s">
        <v>375</v>
      </c>
      <c r="CB62" s="3" t="s">
        <v>36</v>
      </c>
      <c r="CC62" s="3" t="s">
        <v>36</v>
      </c>
      <c r="CE62" s="4">
        <v>1E-125</v>
      </c>
      <c r="CF62" s="3" t="str">
        <f>HYPERLINK("http://amigo.geneontology.org/cgi-bin/amigo/term_details?term=GO:0007265","GO:0007265")</f>
        <v>GO:0007265</v>
      </c>
      <c r="CG62" s="3" t="s">
        <v>859</v>
      </c>
      <c r="CH62" s="3" t="s">
        <v>860</v>
      </c>
      <c r="CI62" s="3" t="s">
        <v>861</v>
      </c>
      <c r="CJ62" s="3" t="s">
        <v>36</v>
      </c>
      <c r="CL62" s="4">
        <v>1E-125</v>
      </c>
      <c r="CM62" s="3" t="str">
        <f>HYPERLINK(".\links\CDD\gi_215504612-CDD.txt","14-3-3_epsilon")</f>
        <v>14-3-3_epsilon</v>
      </c>
      <c r="CN62" s="3" t="str">
        <f>HYPERLINK("http://www.ncbi.nlm.nih.gov/Structure/cdd/cddsrv.cgi?uid=cd10020&amp;version=v4.0","1E-119")</f>
        <v>1E-119</v>
      </c>
      <c r="CO62" s="3" t="s">
        <v>862</v>
      </c>
      <c r="CP62" s="3" t="str">
        <f>HYPERLINK(".\links\ACARI\gi_215504612-ACARI.txt","multifunctional chaperone, putative")</f>
        <v>multifunctional chaperone, putative</v>
      </c>
      <c r="CQ62" s="3" t="str">
        <f>HYPERLINK("http://www.ncbi.nlm.nih.gov/sutils/blink.cgi?pid=241690490","1E-143")</f>
        <v>1E-143</v>
      </c>
      <c r="CR62" s="3" t="str">
        <f>HYPERLINK("http://www.ncbi.nlm.nih.gov/protein/241690490","gi|241690490")</f>
        <v>gi|241690490</v>
      </c>
      <c r="CS62" s="3">
        <v>506</v>
      </c>
      <c r="CT62" s="3">
        <v>258</v>
      </c>
      <c r="CU62" s="3">
        <v>258</v>
      </c>
      <c r="CV62" s="3">
        <v>100</v>
      </c>
      <c r="CW62" s="3">
        <v>100</v>
      </c>
      <c r="CX62" s="3">
        <v>100</v>
      </c>
      <c r="CY62" s="3">
        <v>0</v>
      </c>
      <c r="CZ62" s="3">
        <v>0</v>
      </c>
      <c r="DA62" s="3">
        <v>1</v>
      </c>
      <c r="DB62" s="3">
        <v>1</v>
      </c>
      <c r="DC62" s="3">
        <v>1</v>
      </c>
      <c r="DD62" s="3" t="s">
        <v>40</v>
      </c>
    </row>
    <row r="63" spans="1:108" s="3" customFormat="1" x14ac:dyDescent="0.2">
      <c r="A63" s="3" t="s">
        <v>1410</v>
      </c>
      <c r="B63" s="3" t="str">
        <f>HYPERLINK(".\links\\gi_346464501-.txt","gi_346464501")</f>
        <v>gi_346464501</v>
      </c>
      <c r="C63" s="3" t="s">
        <v>35</v>
      </c>
      <c r="D63" s="3">
        <v>659</v>
      </c>
      <c r="E63" s="9" t="s">
        <v>173</v>
      </c>
      <c r="F63" s="3" t="s">
        <v>1233</v>
      </c>
      <c r="G63" s="1" t="s">
        <v>1472</v>
      </c>
      <c r="H63" s="3" t="str">
        <f>HYPERLINK(".\links\UNIPROT-ACARI\gi_346464501-UNIPROT-ACARI.txt","Putative uncharacterized protein")</f>
        <v>Putative uncharacterized protein</v>
      </c>
      <c r="I63" s="3" t="str">
        <f>HYPERLINK("http://www.ncbi.nlm.nih.gov/sutils/blink.cgi?pid=G3MF27","0.0")</f>
        <v>0.0</v>
      </c>
      <c r="J63" s="3" t="s">
        <v>1118</v>
      </c>
      <c r="K63" s="3">
        <v>1292</v>
      </c>
      <c r="L63" s="3">
        <v>659</v>
      </c>
      <c r="M63" s="3">
        <v>659</v>
      </c>
      <c r="N63" s="3">
        <v>100</v>
      </c>
      <c r="O63" s="3">
        <v>100</v>
      </c>
      <c r="P63" s="3">
        <v>100</v>
      </c>
      <c r="Q63" s="3">
        <v>0</v>
      </c>
      <c r="R63" s="3">
        <v>0</v>
      </c>
      <c r="S63" s="3">
        <v>1</v>
      </c>
      <c r="T63" s="3">
        <v>1</v>
      </c>
      <c r="U63" s="3">
        <v>1</v>
      </c>
      <c r="V63" s="3" t="s">
        <v>36</v>
      </c>
      <c r="W63" s="3" t="str">
        <f>HYPERLINK(".\links\NR-LIGHT\gi_346464501-NR-LIGHT.txt","heat shock 70 kDa protein 5")</f>
        <v>heat shock 70 kDa protein 5</v>
      </c>
      <c r="X63" s="3" t="str">
        <f>HYPERLINK("http://www.ncbi.nlm.nih.gov/sutils/blink.cgi?pid=169809132","0.0")</f>
        <v>0.0</v>
      </c>
      <c r="Y63" s="3" t="str">
        <f>HYPERLINK("http://www.ncbi.nlm.nih.gov/protein/169809132","gi|169809132")</f>
        <v>gi|169809132</v>
      </c>
      <c r="Z63" s="3">
        <v>1263</v>
      </c>
      <c r="AA63" s="3">
        <v>660</v>
      </c>
      <c r="AB63" s="3">
        <v>660</v>
      </c>
      <c r="AC63" s="3">
        <v>97</v>
      </c>
      <c r="AD63" s="3">
        <v>98</v>
      </c>
      <c r="AE63" s="3">
        <v>100</v>
      </c>
      <c r="AF63" s="3">
        <v>15</v>
      </c>
      <c r="AG63" s="3">
        <v>1</v>
      </c>
      <c r="AH63" s="3">
        <v>1</v>
      </c>
      <c r="AI63" s="3">
        <v>1</v>
      </c>
      <c r="AJ63" s="3">
        <v>1</v>
      </c>
      <c r="AK63" s="3" t="s">
        <v>53</v>
      </c>
      <c r="AL63" s="3" t="str">
        <f>HYPERLINK(".\links\REFSEQ-INVERTEBRATE\gi_346464501-REFSEQ-INVERTEBRATE.txt","heat shock protein, putative")</f>
        <v>heat shock protein, putative</v>
      </c>
      <c r="AM63" s="3" t="str">
        <f>HYPERLINK("http://www.ncbi.nlm.nih.gov/sutils/blink.cgi?pid=241998026","0.0")</f>
        <v>0.0</v>
      </c>
      <c r="AN63" s="3" t="str">
        <f>HYPERLINK("http://www.ncbi.nlm.nih.gov/protein/241998026","gi|241998026")</f>
        <v>gi|241998026</v>
      </c>
      <c r="AO63" s="3">
        <v>1190</v>
      </c>
      <c r="AP63" s="3">
        <v>660</v>
      </c>
      <c r="AQ63" s="3">
        <v>658</v>
      </c>
      <c r="AR63" s="3">
        <v>91</v>
      </c>
      <c r="AS63" s="3">
        <v>96</v>
      </c>
      <c r="AT63" s="3">
        <v>100</v>
      </c>
      <c r="AU63" s="3">
        <v>56</v>
      </c>
      <c r="AV63" s="3">
        <v>3</v>
      </c>
      <c r="AW63" s="3">
        <v>1</v>
      </c>
      <c r="AX63" s="3">
        <v>1</v>
      </c>
      <c r="AY63" s="3">
        <v>1</v>
      </c>
      <c r="AZ63" s="3" t="s">
        <v>40</v>
      </c>
      <c r="BA63" s="3" t="str">
        <f>HYPERLINK(".\links\MEROPS\gi_346464501-MEROPS.txt","- subfamily C14B unassigned peptidases (Amycolatopsis mediterranei)")</f>
        <v>- subfamily C14B unassigned peptidases (Amycolatopsis mediterranei)</v>
      </c>
      <c r="BB63" s="3" t="str">
        <f>HYPERLINK("http://www.ncbi.nlm.nih.gov/sutils/blink.cgi?pid=220621 - subfamily C14B unassigned peptidases (Amycolatopsis mediterranei) [C14.UPB]#C14B#{peptidase unit","3E-035")</f>
        <v>3E-035</v>
      </c>
      <c r="BC63" s="3" t="s">
        <v>920</v>
      </c>
      <c r="BD63" s="3">
        <v>151</v>
      </c>
      <c r="BE63" s="3">
        <v>533</v>
      </c>
      <c r="BF63" s="3">
        <v>769</v>
      </c>
      <c r="BG63" s="3">
        <v>27</v>
      </c>
      <c r="BH63" s="3">
        <v>43</v>
      </c>
      <c r="BI63" s="3">
        <v>69</v>
      </c>
      <c r="BJ63" s="3">
        <v>389</v>
      </c>
      <c r="BK63" s="3">
        <v>76</v>
      </c>
      <c r="BL63" s="3">
        <v>280</v>
      </c>
      <c r="BM63" s="3">
        <v>36</v>
      </c>
      <c r="BN63" s="3">
        <v>1</v>
      </c>
      <c r="BO63" s="3" t="s">
        <v>921</v>
      </c>
      <c r="BP63" s="3" t="s">
        <v>1119</v>
      </c>
      <c r="BQ63" s="3">
        <f>HYPERLINK(".\links\GO\gi_346464501-GO.txt",0)</f>
        <v>0</v>
      </c>
      <c r="BR63" s="3" t="str">
        <f>HYPERLINK("http://amigo.geneontology.org/cgi-bin/amigo/term_details?term=GO:0005515","GO:0005515")</f>
        <v>GO:0005515</v>
      </c>
      <c r="BS63" s="3" t="s">
        <v>466</v>
      </c>
      <c r="BT63" s="3" t="s">
        <v>467</v>
      </c>
      <c r="BU63" s="3" t="s">
        <v>468</v>
      </c>
      <c r="BV63" s="3" t="s">
        <v>36</v>
      </c>
      <c r="BX63" s="3">
        <v>0</v>
      </c>
      <c r="BY63" s="3" t="str">
        <f>HYPERLINK("http://amigo.geneontology.org/cgi-bin/amigo/term_details?term=GO:0005788","GO:0005788")</f>
        <v>GO:0005788</v>
      </c>
      <c r="BZ63" s="3" t="s">
        <v>1120</v>
      </c>
      <c r="CA63" s="3" t="s">
        <v>1121</v>
      </c>
      <c r="CB63" s="3" t="s">
        <v>1122</v>
      </c>
      <c r="CC63" s="3" t="s">
        <v>36</v>
      </c>
      <c r="CE63" s="3">
        <v>0</v>
      </c>
      <c r="CF63" s="3" t="str">
        <f>HYPERLINK("http://amigo.geneontology.org/cgi-bin/amigo/term_details?term=GO:0006983","GO:0006983")</f>
        <v>GO:0006983</v>
      </c>
      <c r="CG63" s="3" t="s">
        <v>1123</v>
      </c>
      <c r="CH63" s="3" t="s">
        <v>1124</v>
      </c>
      <c r="CI63" s="3" t="s">
        <v>1125</v>
      </c>
      <c r="CJ63" s="3" t="s">
        <v>36</v>
      </c>
      <c r="CL63" s="3">
        <v>0</v>
      </c>
      <c r="CM63" s="3" t="str">
        <f>HYPERLINK(".\links\CDD\gi_346464501-CDD.txt","PTZ00009")</f>
        <v>PTZ00009</v>
      </c>
      <c r="CN63" s="3" t="str">
        <f>HYPERLINK("http://www.ncbi.nlm.nih.gov/Structure/cdd/cddsrv.cgi?uid=PTZ00009&amp;version=v4.0","0.0")</f>
        <v>0.0</v>
      </c>
      <c r="CO63" s="3" t="s">
        <v>1126</v>
      </c>
      <c r="CP63" s="3" t="str">
        <f>HYPERLINK(".\links\ACARI\gi_346464501-ACARI.txt","hypothetical protein")</f>
        <v>hypothetical protein</v>
      </c>
      <c r="CQ63" s="3" t="str">
        <f>HYPERLINK("http://www.ncbi.nlm.nih.gov/sutils/blink.cgi?pid=346464501","0.0")</f>
        <v>0.0</v>
      </c>
      <c r="CR63" s="3" t="str">
        <f>HYPERLINK("http://www.ncbi.nlm.nih.gov/protein/346464501","gi|346464501")</f>
        <v>gi|346464501</v>
      </c>
      <c r="CS63" s="3">
        <v>1292</v>
      </c>
      <c r="CT63" s="3">
        <v>659</v>
      </c>
      <c r="CU63" s="3">
        <v>659</v>
      </c>
      <c r="CV63" s="3">
        <v>100</v>
      </c>
      <c r="CW63" s="3">
        <v>100</v>
      </c>
      <c r="CX63" s="3">
        <v>100</v>
      </c>
      <c r="CY63" s="3">
        <v>0</v>
      </c>
      <c r="CZ63" s="3">
        <v>0</v>
      </c>
      <c r="DA63" s="3">
        <v>1</v>
      </c>
      <c r="DB63" s="3">
        <v>1</v>
      </c>
      <c r="DC63" s="3">
        <v>1</v>
      </c>
      <c r="DD63" s="3" t="s">
        <v>173</v>
      </c>
    </row>
    <row r="64" spans="1:108" s="3" customFormat="1" x14ac:dyDescent="0.2">
      <c r="A64" s="3" t="s">
        <v>1407</v>
      </c>
      <c r="B64" s="3" t="str">
        <f>HYPERLINK(".\links\\gi_346465893-.txt","gi_346465893")</f>
        <v>gi_346465893</v>
      </c>
      <c r="C64" s="3" t="s">
        <v>1105</v>
      </c>
      <c r="D64" s="3">
        <v>691</v>
      </c>
      <c r="E64" s="9" t="s">
        <v>173</v>
      </c>
      <c r="F64" s="3" t="s">
        <v>1232</v>
      </c>
      <c r="G64" s="1" t="s">
        <v>1472</v>
      </c>
      <c r="H64" s="3" t="str">
        <f>HYPERLINK(".\links\UNIPROT-ACARI\gi_346465893-UNIPROT-ACARI.txt","Putative uncharacterized protein (Fragment)")</f>
        <v>Putative uncharacterized protein (Fragment)</v>
      </c>
      <c r="I64" s="3" t="str">
        <f>HYPERLINK("http://www.ncbi.nlm.nih.gov/sutils/blink.cgi?pid=G3MH23","0.0")</f>
        <v>0.0</v>
      </c>
      <c r="J64" s="3" t="s">
        <v>1106</v>
      </c>
      <c r="K64" s="3">
        <v>1357</v>
      </c>
      <c r="L64" s="3">
        <v>691</v>
      </c>
      <c r="M64" s="3">
        <v>691</v>
      </c>
      <c r="N64" s="3">
        <v>100</v>
      </c>
      <c r="O64" s="3">
        <v>100</v>
      </c>
      <c r="P64" s="3">
        <v>100</v>
      </c>
      <c r="Q64" s="3">
        <v>0</v>
      </c>
      <c r="R64" s="3">
        <v>0</v>
      </c>
      <c r="S64" s="3">
        <v>1</v>
      </c>
      <c r="T64" s="3">
        <v>1</v>
      </c>
      <c r="U64" s="3">
        <v>1</v>
      </c>
      <c r="V64" s="3" t="s">
        <v>36</v>
      </c>
      <c r="W64" s="3" t="str">
        <f>HYPERLINK(".\links\NR-LIGHT\gi_346465893-NR-LIGHT.txt","heat shock protein, putative")</f>
        <v>heat shock protein, putative</v>
      </c>
      <c r="X64" s="3" t="str">
        <f>HYPERLINK("http://www.ncbi.nlm.nih.gov/sutils/blink.cgi?pid=241153675","0.0")</f>
        <v>0.0</v>
      </c>
      <c r="Y64" s="3" t="str">
        <f>HYPERLINK("http://www.ncbi.nlm.nih.gov/protein/241153675","gi|241153675")</f>
        <v>gi|241153675</v>
      </c>
      <c r="Z64" s="3">
        <v>1230</v>
      </c>
      <c r="AA64" s="3">
        <v>648</v>
      </c>
      <c r="AB64" s="3">
        <v>648</v>
      </c>
      <c r="AC64" s="3">
        <v>95</v>
      </c>
      <c r="AD64" s="3">
        <v>98</v>
      </c>
      <c r="AE64" s="3">
        <v>100</v>
      </c>
      <c r="AF64" s="3">
        <v>27</v>
      </c>
      <c r="AG64" s="3">
        <v>2</v>
      </c>
      <c r="AH64" s="3">
        <v>1</v>
      </c>
      <c r="AI64" s="3">
        <v>46</v>
      </c>
      <c r="AJ64" s="3">
        <v>1</v>
      </c>
      <c r="AK64" s="3" t="s">
        <v>40</v>
      </c>
      <c r="AL64" s="3" t="str">
        <f>HYPERLINK(".\links\REFSEQ-INVERTEBRATE\gi_346465893-REFSEQ-INVERTEBRATE.txt","heat shock protein, putative")</f>
        <v>heat shock protein, putative</v>
      </c>
      <c r="AM64" s="3" t="str">
        <f>HYPERLINK("http://www.ncbi.nlm.nih.gov/sutils/blink.cgi?pid=241153675","0.0")</f>
        <v>0.0</v>
      </c>
      <c r="AN64" s="3" t="str">
        <f>HYPERLINK("http://www.ncbi.nlm.nih.gov/protein/241153675","gi|241153675")</f>
        <v>gi|241153675</v>
      </c>
      <c r="AO64" s="3">
        <v>1230</v>
      </c>
      <c r="AP64" s="3">
        <v>648</v>
      </c>
      <c r="AQ64" s="3">
        <v>648</v>
      </c>
      <c r="AR64" s="3">
        <v>95</v>
      </c>
      <c r="AS64" s="3">
        <v>98</v>
      </c>
      <c r="AT64" s="3">
        <v>100</v>
      </c>
      <c r="AU64" s="3">
        <v>27</v>
      </c>
      <c r="AV64" s="3">
        <v>2</v>
      </c>
      <c r="AW64" s="3">
        <v>1</v>
      </c>
      <c r="AX64" s="3">
        <v>46</v>
      </c>
      <c r="AY64" s="3">
        <v>1</v>
      </c>
      <c r="AZ64" s="3" t="s">
        <v>40</v>
      </c>
      <c r="BA64" s="3" t="str">
        <f>HYPERLINK(".\links\MEROPS\gi_346465893-MEROPS.txt","- subfamily C14B unassigned peptidases (Amycolatopsis mediterranei)")</f>
        <v>- subfamily C14B unassigned peptidases (Amycolatopsis mediterranei)</v>
      </c>
      <c r="BB64" s="3" t="str">
        <f>HYPERLINK("http://www.ncbi.nlm.nih.gov/sutils/blink.cgi?pid=220621 - subfamily C14B unassigned peptidases (Amycolatopsis mediterranei) [C14.UPB]#C14B#{peptidase unit","1E-037")</f>
        <v>1E-037</v>
      </c>
      <c r="BC64" s="3" t="s">
        <v>920</v>
      </c>
      <c r="BD64" s="3">
        <v>159</v>
      </c>
      <c r="BE64" s="3">
        <v>522</v>
      </c>
      <c r="BF64" s="3">
        <v>769</v>
      </c>
      <c r="BG64" s="3">
        <v>27</v>
      </c>
      <c r="BH64" s="3">
        <v>44</v>
      </c>
      <c r="BI64" s="3">
        <v>68</v>
      </c>
      <c r="BJ64" s="3">
        <v>378</v>
      </c>
      <c r="BK64" s="3">
        <v>69</v>
      </c>
      <c r="BL64" s="3">
        <v>273</v>
      </c>
      <c r="BM64" s="3">
        <v>44</v>
      </c>
      <c r="BN64" s="3">
        <v>1</v>
      </c>
      <c r="BO64" s="3" t="s">
        <v>921</v>
      </c>
      <c r="BP64" s="3" t="s">
        <v>1107</v>
      </c>
      <c r="BQ64" s="3">
        <f>HYPERLINK(".\links\GO\gi_346465893-GO.txt",0)</f>
        <v>0</v>
      </c>
      <c r="BR64" s="3" t="str">
        <f>HYPERLINK("http://amigo.geneontology.org/cgi-bin/amigo/term_details?term=GO:0005524","GO:0005524")</f>
        <v>GO:0005524</v>
      </c>
      <c r="BS64" s="3" t="s">
        <v>523</v>
      </c>
      <c r="BT64" s="3" t="s">
        <v>524</v>
      </c>
      <c r="BU64" s="3" t="s">
        <v>36</v>
      </c>
      <c r="BV64" s="3" t="s">
        <v>36</v>
      </c>
      <c r="BX64" s="3">
        <v>0</v>
      </c>
      <c r="BY64" s="3" t="str">
        <f>HYPERLINK("http://amigo.geneontology.org/cgi-bin/amigo/term_details?term=GO:0000974","GO:0000974")</f>
        <v>GO:0000974</v>
      </c>
      <c r="BZ64" s="3" t="s">
        <v>923</v>
      </c>
      <c r="CA64" s="3" t="s">
        <v>924</v>
      </c>
      <c r="CB64" s="3" t="s">
        <v>925</v>
      </c>
      <c r="CC64" s="3" t="s">
        <v>36</v>
      </c>
      <c r="CE64" s="3">
        <v>0</v>
      </c>
      <c r="CF64" s="3" t="str">
        <f>HYPERLINK("http://amigo.geneontology.org/cgi-bin/amigo/term_details?term=GO:0006200","GO:0006200")</f>
        <v>GO:0006200</v>
      </c>
      <c r="CG64" s="3" t="s">
        <v>926</v>
      </c>
      <c r="CH64" s="3" t="s">
        <v>927</v>
      </c>
      <c r="CI64" s="3" t="s">
        <v>928</v>
      </c>
      <c r="CJ64" s="3" t="s">
        <v>36</v>
      </c>
      <c r="CL64" s="3">
        <v>0</v>
      </c>
      <c r="CM64" s="3" t="str">
        <f>HYPERLINK(".\links\CDD\gi_346465893-CDD.txt","PTZ00009")</f>
        <v>PTZ00009</v>
      </c>
      <c r="CN64" s="3" t="str">
        <f>HYPERLINK("http://www.ncbi.nlm.nih.gov/Structure/cdd/cddsrv.cgi?uid=PTZ00009&amp;version=v4.0","0.0")</f>
        <v>0.0</v>
      </c>
      <c r="CO64" s="3" t="s">
        <v>1108</v>
      </c>
      <c r="CP64" s="3" t="str">
        <f>HYPERLINK(".\links\ACARI\gi_346465893-ACARI.txt","hypothetical protein, partial")</f>
        <v>hypothetical protein, partial</v>
      </c>
      <c r="CQ64" s="3" t="str">
        <f>HYPERLINK("http://www.ncbi.nlm.nih.gov/sutils/blink.cgi?pid=346465893","0.0")</f>
        <v>0.0</v>
      </c>
      <c r="CR64" s="3" t="str">
        <f>HYPERLINK("http://www.ncbi.nlm.nih.gov/protein/346465893","gi|346465893")</f>
        <v>gi|346465893</v>
      </c>
      <c r="CS64" s="3">
        <v>1357</v>
      </c>
      <c r="CT64" s="3">
        <v>691</v>
      </c>
      <c r="CU64" s="3">
        <v>691</v>
      </c>
      <c r="CV64" s="3">
        <v>100</v>
      </c>
      <c r="CW64" s="3">
        <v>100</v>
      </c>
      <c r="CX64" s="3">
        <v>100</v>
      </c>
      <c r="CY64" s="3">
        <v>0</v>
      </c>
      <c r="CZ64" s="3">
        <v>0</v>
      </c>
      <c r="DA64" s="3">
        <v>1</v>
      </c>
      <c r="DB64" s="3">
        <v>1</v>
      </c>
      <c r="DC64" s="3">
        <v>1</v>
      </c>
      <c r="DD64" s="3" t="s">
        <v>173</v>
      </c>
    </row>
    <row r="65" spans="1:108" s="3" customFormat="1" x14ac:dyDescent="0.2">
      <c r="A65" s="3" t="s">
        <v>1422</v>
      </c>
      <c r="B65" s="3" t="str">
        <f>HYPERLINK(".\links\\gi_346468407-.txt","gi_346468407")</f>
        <v>gi_346468407</v>
      </c>
      <c r="C65" s="3" t="s">
        <v>35</v>
      </c>
      <c r="D65" s="3">
        <v>436</v>
      </c>
      <c r="E65" s="9" t="s">
        <v>173</v>
      </c>
      <c r="F65" s="3" t="s">
        <v>1096</v>
      </c>
      <c r="G65" s="1" t="s">
        <v>1472</v>
      </c>
      <c r="H65" s="3" t="str">
        <f>HYPERLINK(".\links\UNIPROT-ACARI\gi_346468407-UNIPROT-ACARI.txt","Putative thioredoxin/protein disulfide isomerase")</f>
        <v>Putative thioredoxin/protein disulfide isomerase</v>
      </c>
      <c r="I65" s="3" t="str">
        <f>HYPERLINK("http://www.ncbi.nlm.nih.gov/sutils/blink.cgi?pid=A0A023GNB5","0.0")</f>
        <v>0.0</v>
      </c>
      <c r="J65" s="3" t="s">
        <v>1097</v>
      </c>
      <c r="K65" s="3">
        <v>890</v>
      </c>
      <c r="L65" s="3">
        <v>436</v>
      </c>
      <c r="M65" s="3">
        <v>436</v>
      </c>
      <c r="N65" s="3">
        <v>100</v>
      </c>
      <c r="O65" s="3">
        <v>100</v>
      </c>
      <c r="P65" s="3">
        <v>100</v>
      </c>
      <c r="Q65" s="3">
        <v>0</v>
      </c>
      <c r="R65" s="3">
        <v>0</v>
      </c>
      <c r="S65" s="3">
        <v>1</v>
      </c>
      <c r="T65" s="3">
        <v>1</v>
      </c>
      <c r="U65" s="3">
        <v>1</v>
      </c>
      <c r="V65" s="3" t="s">
        <v>36</v>
      </c>
      <c r="W65" s="3" t="str">
        <f>HYPERLINK(".\links\NR-LIGHT\gi_346468407-NR-LIGHT.txt","protein disulfide isomerase-1")</f>
        <v>protein disulfide isomerase-1</v>
      </c>
      <c r="X65" s="3" t="str">
        <f>HYPERLINK("http://www.ncbi.nlm.nih.gov/sutils/blink.cgi?pid=148717317","0.0")</f>
        <v>0.0</v>
      </c>
      <c r="Y65" s="3" t="str">
        <f>HYPERLINK("http://www.ncbi.nlm.nih.gov/protein/148717317","gi|148717317")</f>
        <v>gi|148717317</v>
      </c>
      <c r="Z65" s="3">
        <v>818</v>
      </c>
      <c r="AA65" s="3">
        <v>436</v>
      </c>
      <c r="AB65" s="3">
        <v>435</v>
      </c>
      <c r="AC65" s="3">
        <v>90</v>
      </c>
      <c r="AD65" s="3">
        <v>95</v>
      </c>
      <c r="AE65" s="3">
        <v>100</v>
      </c>
      <c r="AF65" s="3">
        <v>42</v>
      </c>
      <c r="AG65" s="3">
        <v>1</v>
      </c>
      <c r="AH65" s="3">
        <v>1</v>
      </c>
      <c r="AI65" s="3">
        <v>1</v>
      </c>
      <c r="AJ65" s="3">
        <v>1</v>
      </c>
      <c r="AK65" s="3" t="s">
        <v>53</v>
      </c>
      <c r="AL65" s="3" t="str">
        <f>HYPERLINK(".\links\REFSEQ-INVERTEBRATE\gi_346468407-REFSEQ-INVERTEBRATE.txt","protein disulfide isomerase 1, putative")</f>
        <v>protein disulfide isomerase 1, putative</v>
      </c>
      <c r="AM65" s="3" t="str">
        <f>HYPERLINK("http://www.ncbi.nlm.nih.gov/sutils/blink.cgi?pid=241161702","0.0")</f>
        <v>0.0</v>
      </c>
      <c r="AN65" s="3" t="str">
        <f>HYPERLINK("http://www.ncbi.nlm.nih.gov/protein/241161702","gi|241161702")</f>
        <v>gi|241161702</v>
      </c>
      <c r="AO65" s="3">
        <v>741</v>
      </c>
      <c r="AP65" s="3">
        <v>436</v>
      </c>
      <c r="AQ65" s="3">
        <v>435</v>
      </c>
      <c r="AR65" s="3">
        <v>80</v>
      </c>
      <c r="AS65" s="3">
        <v>90</v>
      </c>
      <c r="AT65" s="3">
        <v>100</v>
      </c>
      <c r="AU65" s="3">
        <v>86</v>
      </c>
      <c r="AV65" s="3">
        <v>1</v>
      </c>
      <c r="AW65" s="3">
        <v>1</v>
      </c>
      <c r="AX65" s="3">
        <v>1</v>
      </c>
      <c r="AY65" s="3">
        <v>1</v>
      </c>
      <c r="AZ65" s="3" t="s">
        <v>40</v>
      </c>
      <c r="BA65" s="3" t="str">
        <f>HYPERLINK(".\links\MEROPS\gi_346468407-MEROPS.txt","- sortase A ({Staphylococcus}-type) ()")</f>
        <v>- sortase A ({Staphylococcus}-type) ()</v>
      </c>
      <c r="BB65" s="3" t="str">
        <f>HYPERLINK("http://www.ncbi.nlm.nih.gov/sutils/blink.cgi?pid=329489 - sortase A ({Staphylococcus}-type) () [C60.001]#C60A#{peptidase unit","8E-005")</f>
        <v>8E-005</v>
      </c>
      <c r="BC65" s="3" t="s">
        <v>1098</v>
      </c>
      <c r="BD65" s="3">
        <v>49.3</v>
      </c>
      <c r="BE65" s="3">
        <v>59</v>
      </c>
      <c r="BF65" s="3">
        <v>326</v>
      </c>
      <c r="BG65" s="3">
        <v>35</v>
      </c>
      <c r="BH65" s="3">
        <v>59</v>
      </c>
      <c r="BI65" s="3">
        <v>18</v>
      </c>
      <c r="BJ65" s="3">
        <v>38</v>
      </c>
      <c r="BK65" s="3">
        <v>0</v>
      </c>
      <c r="BL65" s="3">
        <v>27</v>
      </c>
      <c r="BM65" s="3">
        <v>177</v>
      </c>
      <c r="BN65" s="3">
        <v>1</v>
      </c>
      <c r="BO65" s="3" t="s">
        <v>1099</v>
      </c>
      <c r="BP65" s="3" t="s">
        <v>1100</v>
      </c>
      <c r="BQ65" s="3">
        <f>HYPERLINK(".\links\GO\gi_346468407-GO.txt",0)</f>
        <v>0</v>
      </c>
      <c r="BR65" s="3" t="str">
        <f>HYPERLINK("http://amigo.geneontology.org/cgi-bin/amigo/term_details?term=GO:0003756","GO:0003756")</f>
        <v>GO:0003756</v>
      </c>
      <c r="BS65" s="3" t="s">
        <v>900</v>
      </c>
      <c r="BT65" s="3" t="s">
        <v>901</v>
      </c>
      <c r="BU65" s="3" t="s">
        <v>902</v>
      </c>
      <c r="BV65" s="3" t="str">
        <f>HYPERLINK("http://www.genome.jp/dbget-bin/www_bfind_sub?mode=bfind&amp;max_hit=1000&amp;dbkey=kegg&amp;keywords=EC:5.3.4.1","EC:5.3.4.1")</f>
        <v>EC:5.3.4.1</v>
      </c>
      <c r="BX65" s="4">
        <v>9.9999999999999999E-161</v>
      </c>
      <c r="BY65" s="3" t="str">
        <f>HYPERLINK("http://amigo.geneontology.org/cgi-bin/amigo/term_details?term=GO:0005811","GO:0005811")</f>
        <v>GO:0005811</v>
      </c>
      <c r="BZ65" s="3" t="s">
        <v>759</v>
      </c>
      <c r="CA65" s="3" t="s">
        <v>760</v>
      </c>
      <c r="CB65" s="3" t="s">
        <v>761</v>
      </c>
      <c r="CC65" s="3" t="s">
        <v>36</v>
      </c>
      <c r="CE65" s="4">
        <v>9.9999999999999999E-161</v>
      </c>
      <c r="CF65" s="3" t="str">
        <f>HYPERLINK("http://amigo.geneontology.org/cgi-bin/amigo/term_details?term=GO:0045454","GO:0045454")</f>
        <v>GO:0045454</v>
      </c>
      <c r="CG65" s="3" t="s">
        <v>1101</v>
      </c>
      <c r="CH65" s="3" t="s">
        <v>1102</v>
      </c>
      <c r="CI65" s="3" t="s">
        <v>1103</v>
      </c>
      <c r="CJ65" s="3" t="s">
        <v>36</v>
      </c>
      <c r="CL65" s="4">
        <v>9.9999999999999999E-161</v>
      </c>
      <c r="CM65" s="3" t="str">
        <f>HYPERLINK(".\links\CDD\gi_346468407-CDD.txt","P5_C")</f>
        <v>P5_C</v>
      </c>
      <c r="CN65" s="3" t="str">
        <f>HYPERLINK("http://www.ncbi.nlm.nih.gov/Structure/cdd/cddsrv.cgi?uid=cd02983&amp;version=v4.0","4E-044")</f>
        <v>4E-044</v>
      </c>
      <c r="CO65" s="3" t="s">
        <v>1104</v>
      </c>
      <c r="CP65" s="3" t="str">
        <f>HYPERLINK(".\links\ACARI\gi_346468407-ACARI.txt","hypothetical protein")</f>
        <v>hypothetical protein</v>
      </c>
      <c r="CQ65" s="3" t="str">
        <f>HYPERLINK("http://www.ncbi.nlm.nih.gov/sutils/blink.cgi?pid=346468407","0.0")</f>
        <v>0.0</v>
      </c>
      <c r="CR65" s="3" t="str">
        <f>HYPERLINK("http://www.ncbi.nlm.nih.gov/protein/346468407","gi|346468407")</f>
        <v>gi|346468407</v>
      </c>
      <c r="CS65" s="3">
        <v>890</v>
      </c>
      <c r="CT65" s="3">
        <v>436</v>
      </c>
      <c r="CU65" s="3">
        <v>436</v>
      </c>
      <c r="CV65" s="3">
        <v>100</v>
      </c>
      <c r="CW65" s="3">
        <v>100</v>
      </c>
      <c r="CX65" s="3">
        <v>100</v>
      </c>
      <c r="CY65" s="3">
        <v>0</v>
      </c>
      <c r="CZ65" s="3">
        <v>0</v>
      </c>
      <c r="DA65" s="3">
        <v>1</v>
      </c>
      <c r="DB65" s="3">
        <v>1</v>
      </c>
      <c r="DC65" s="3">
        <v>1</v>
      </c>
      <c r="DD65" s="3" t="s">
        <v>173</v>
      </c>
    </row>
    <row r="66" spans="1:108" s="3" customFormat="1" x14ac:dyDescent="0.2">
      <c r="A66" s="3" t="s">
        <v>1359</v>
      </c>
      <c r="B66" s="3" t="str">
        <f>HYPERLINK(".\links\\gi_427789169-.txt","gi_427789169")</f>
        <v>gi_427789169</v>
      </c>
      <c r="C66" s="3" t="s">
        <v>35</v>
      </c>
      <c r="D66" s="3">
        <v>572</v>
      </c>
      <c r="E66" s="9" t="s">
        <v>68</v>
      </c>
      <c r="F66" s="3" t="s">
        <v>1232</v>
      </c>
      <c r="G66" s="1" t="s">
        <v>1472</v>
      </c>
      <c r="H66" s="3" t="str">
        <f>HYPERLINK(".\links\UNIPROT-ACARI\gi_427789169-UNIPROT-ACARI.txt","Putative 60 kDa heat shock protein")</f>
        <v>Putative 60 kDa heat shock protein</v>
      </c>
      <c r="I66" s="3" t="str">
        <f>HYPERLINK("http://www.ncbi.nlm.nih.gov/sutils/blink.cgi?pid=L7M6W4","0.0")</f>
        <v>0.0</v>
      </c>
      <c r="J66" s="3" t="s">
        <v>629</v>
      </c>
      <c r="K66" s="3">
        <v>1093</v>
      </c>
      <c r="L66" s="3">
        <v>572</v>
      </c>
      <c r="M66" s="3">
        <v>572</v>
      </c>
      <c r="N66" s="3">
        <v>100</v>
      </c>
      <c r="O66" s="3">
        <v>100</v>
      </c>
      <c r="P66" s="3">
        <v>100</v>
      </c>
      <c r="Q66" s="3">
        <v>0</v>
      </c>
      <c r="R66" s="3">
        <v>0</v>
      </c>
      <c r="S66" s="3">
        <v>1</v>
      </c>
      <c r="T66" s="3">
        <v>1</v>
      </c>
      <c r="U66" s="3">
        <v>1</v>
      </c>
      <c r="V66" s="3" t="s">
        <v>36</v>
      </c>
      <c r="W66" s="3" t="str">
        <f>HYPERLINK(".\links\NR-LIGHT\gi_427789169-NR-LIGHT.txt","chaperonin subunit, putative")</f>
        <v>chaperonin subunit, putative</v>
      </c>
      <c r="X66" s="3" t="str">
        <f>HYPERLINK("http://www.ncbi.nlm.nih.gov/sutils/blink.cgi?pid=241998158","0.0")</f>
        <v>0.0</v>
      </c>
      <c r="Y66" s="3" t="str">
        <f>HYPERLINK("http://www.ncbi.nlm.nih.gov/protein/241998158","gi|241998158")</f>
        <v>gi|241998158</v>
      </c>
      <c r="Z66" s="3">
        <v>984</v>
      </c>
      <c r="AA66" s="3">
        <v>573</v>
      </c>
      <c r="AB66" s="3">
        <v>572</v>
      </c>
      <c r="AC66" s="3">
        <v>89</v>
      </c>
      <c r="AD66" s="3">
        <v>94</v>
      </c>
      <c r="AE66" s="3">
        <v>100</v>
      </c>
      <c r="AF66" s="3">
        <v>61</v>
      </c>
      <c r="AG66" s="3">
        <v>2</v>
      </c>
      <c r="AH66" s="3">
        <v>1</v>
      </c>
      <c r="AI66" s="3">
        <v>1</v>
      </c>
      <c r="AJ66" s="3">
        <v>1</v>
      </c>
      <c r="AK66" s="3" t="s">
        <v>40</v>
      </c>
      <c r="AL66" s="3" t="str">
        <f>HYPERLINK(".\links\REFSEQ-INVERTEBRATE\gi_427789169-REFSEQ-INVERTEBRATE.txt","chaperonin subunit, putative")</f>
        <v>chaperonin subunit, putative</v>
      </c>
      <c r="AM66" s="3" t="str">
        <f>HYPERLINK("http://www.ncbi.nlm.nih.gov/sutils/blink.cgi?pid=241998158","0.0")</f>
        <v>0.0</v>
      </c>
      <c r="AN66" s="3" t="str">
        <f>HYPERLINK("http://www.ncbi.nlm.nih.gov/protein/241998158","gi|241998158")</f>
        <v>gi|241998158</v>
      </c>
      <c r="AO66" s="3">
        <v>984</v>
      </c>
      <c r="AP66" s="3">
        <v>573</v>
      </c>
      <c r="AQ66" s="3">
        <v>572</v>
      </c>
      <c r="AR66" s="3">
        <v>89</v>
      </c>
      <c r="AS66" s="3">
        <v>94</v>
      </c>
      <c r="AT66" s="3">
        <v>100</v>
      </c>
      <c r="AU66" s="3">
        <v>61</v>
      </c>
      <c r="AV66" s="3">
        <v>2</v>
      </c>
      <c r="AW66" s="3">
        <v>1</v>
      </c>
      <c r="AX66" s="3">
        <v>1</v>
      </c>
      <c r="AY66" s="3">
        <v>1</v>
      </c>
      <c r="AZ66" s="3" t="s">
        <v>40</v>
      </c>
      <c r="BA66" s="3" t="str">
        <f>HYPERLINK(".\links\MEROPS\gi_427789169-MEROPS.txt","- subfamily S1A non-peptidase homologues (Chlorella variabilis)")</f>
        <v>- subfamily S1A non-peptidase homologues (Chlorella variabilis)</v>
      </c>
      <c r="BB66" s="3" t="str">
        <f>HYPERLINK("http://www.ncbi.nlm.nih.gov/sutils/blink.cgi?pid=487216 - subfamily S1A non-peptidase homologues (Chlorella variabilis) [S01.UNA]#S01A#{peptidase unit","3E-015")</f>
        <v>3E-015</v>
      </c>
      <c r="BC66" s="3" t="s">
        <v>630</v>
      </c>
      <c r="BD66" s="3">
        <v>84.3</v>
      </c>
      <c r="BE66" s="3">
        <v>572</v>
      </c>
      <c r="BF66" s="3">
        <v>1010</v>
      </c>
      <c r="BG66" s="3">
        <v>22</v>
      </c>
      <c r="BH66" s="3">
        <v>40</v>
      </c>
      <c r="BI66" s="3">
        <v>57</v>
      </c>
      <c r="BJ66" s="3">
        <v>442</v>
      </c>
      <c r="BK66" s="3">
        <v>101</v>
      </c>
      <c r="BL66" s="3">
        <v>21</v>
      </c>
      <c r="BM66" s="3">
        <v>30</v>
      </c>
      <c r="BN66" s="3">
        <v>1</v>
      </c>
      <c r="BO66" s="3" t="s">
        <v>116</v>
      </c>
      <c r="BP66" s="3" t="s">
        <v>631</v>
      </c>
      <c r="BQ66" s="3">
        <f>HYPERLINK(".\links\GO\gi_427789169-GO.txt",0)</f>
        <v>0</v>
      </c>
      <c r="BR66" s="3" t="str">
        <f>HYPERLINK("http://amigo.geneontology.org/cgi-bin/amigo/term_details?term=GO:0051082","GO:0051082")</f>
        <v>GO:0051082</v>
      </c>
      <c r="BS66" s="3" t="s">
        <v>632</v>
      </c>
      <c r="BT66" s="3" t="s">
        <v>633</v>
      </c>
      <c r="BU66" s="3" t="s">
        <v>634</v>
      </c>
      <c r="BV66" s="3" t="s">
        <v>36</v>
      </c>
      <c r="BX66" s="3">
        <v>0</v>
      </c>
      <c r="BY66" s="3" t="str">
        <f>HYPERLINK("http://amigo.geneontology.org/cgi-bin/amigo/term_details?term=GO:0005739","GO:0005739")</f>
        <v>GO:0005739</v>
      </c>
      <c r="BZ66" s="3" t="s">
        <v>570</v>
      </c>
      <c r="CA66" s="3" t="s">
        <v>571</v>
      </c>
      <c r="CB66" s="3" t="s">
        <v>572</v>
      </c>
      <c r="CC66" s="3" t="s">
        <v>36</v>
      </c>
      <c r="CE66" s="3">
        <v>0</v>
      </c>
      <c r="CF66" s="3" t="str">
        <f>HYPERLINK("http://amigo.geneontology.org/cgi-bin/amigo/term_details?term=GO:0009408","GO:0009408")</f>
        <v>GO:0009408</v>
      </c>
      <c r="CG66" s="3" t="s">
        <v>635</v>
      </c>
      <c r="CH66" s="3" t="s">
        <v>636</v>
      </c>
      <c r="CI66" s="3" t="s">
        <v>637</v>
      </c>
      <c r="CJ66" s="3" t="s">
        <v>36</v>
      </c>
      <c r="CL66" s="3">
        <v>0</v>
      </c>
      <c r="CM66" s="3" t="str">
        <f>HYPERLINK(".\links\CDD\gi_427789169-CDD.txt","GroEL")</f>
        <v>GroEL</v>
      </c>
      <c r="CN66" s="3" t="str">
        <f>HYPERLINK("http://www.ncbi.nlm.nih.gov/Structure/cdd/cddsrv.cgi?uid=cd03344&amp;version=v4.0","0.0")</f>
        <v>0.0</v>
      </c>
      <c r="CO66" s="3" t="s">
        <v>638</v>
      </c>
      <c r="CP66" s="3" t="str">
        <f>HYPERLINK(".\links\ACARI\gi_427789169-ACARI.txt","Putative 60 kda heat shock protein")</f>
        <v>Putative 60 kda heat shock protein</v>
      </c>
      <c r="CQ66" s="3" t="str">
        <f>HYPERLINK("http://www.ncbi.nlm.nih.gov/sutils/blink.cgi?pid=427789169","0.0")</f>
        <v>0.0</v>
      </c>
      <c r="CR66" s="3" t="str">
        <f>HYPERLINK("http://www.ncbi.nlm.nih.gov/protein/427789169","gi|427789169")</f>
        <v>gi|427789169</v>
      </c>
      <c r="CS66" s="3">
        <v>1093</v>
      </c>
      <c r="CT66" s="3">
        <v>572</v>
      </c>
      <c r="CU66" s="3">
        <v>572</v>
      </c>
      <c r="CV66" s="3">
        <v>100</v>
      </c>
      <c r="CW66" s="3">
        <v>100</v>
      </c>
      <c r="CX66" s="3">
        <v>100</v>
      </c>
      <c r="CY66" s="3">
        <v>0</v>
      </c>
      <c r="CZ66" s="3">
        <v>0</v>
      </c>
      <c r="DA66" s="3">
        <v>1</v>
      </c>
      <c r="DB66" s="3">
        <v>1</v>
      </c>
      <c r="DC66" s="3">
        <v>1</v>
      </c>
      <c r="DD66" s="3" t="s">
        <v>68</v>
      </c>
    </row>
    <row r="67" spans="1:108" s="3" customFormat="1" x14ac:dyDescent="0.2">
      <c r="A67" s="3" t="s">
        <v>1420</v>
      </c>
      <c r="B67" s="3" t="str">
        <f>HYPERLINK(".\links\\gi_427794259-.txt","gi_427794259")</f>
        <v>gi_427794259</v>
      </c>
      <c r="C67" s="3" t="s">
        <v>1042</v>
      </c>
      <c r="D67" s="3">
        <v>763</v>
      </c>
      <c r="E67" s="9" t="s">
        <v>68</v>
      </c>
      <c r="F67" s="3" t="s">
        <v>1232</v>
      </c>
      <c r="G67" s="1" t="s">
        <v>1472</v>
      </c>
      <c r="H67" s="3" t="str">
        <f>HYPERLINK(".\links\UNIPROT-ACARI\gi_427794259-UNIPROT-ACARI.txt","Putative heat shock protein (Fragment)")</f>
        <v>Putative heat shock protein (Fragment)</v>
      </c>
      <c r="I67" s="3" t="str">
        <f>HYPERLINK("http://www.ncbi.nlm.nih.gov/sutils/blink.cgi?pid=L7MEG0","0.0")</f>
        <v>0.0</v>
      </c>
      <c r="J67" s="3" t="s">
        <v>1043</v>
      </c>
      <c r="K67" s="3">
        <v>1513</v>
      </c>
      <c r="L67" s="3">
        <v>763</v>
      </c>
      <c r="M67" s="3">
        <v>763</v>
      </c>
      <c r="N67" s="3">
        <v>100</v>
      </c>
      <c r="O67" s="3">
        <v>100</v>
      </c>
      <c r="P67" s="3">
        <v>100</v>
      </c>
      <c r="Q67" s="3">
        <v>0</v>
      </c>
      <c r="R67" s="3">
        <v>0</v>
      </c>
      <c r="S67" s="3">
        <v>1</v>
      </c>
      <c r="T67" s="3">
        <v>1</v>
      </c>
      <c r="U67" s="3">
        <v>1</v>
      </c>
      <c r="V67" s="3" t="s">
        <v>36</v>
      </c>
      <c r="W67" s="3" t="str">
        <f>HYPERLINK(".\links\NR-LIGHT\gi_427794259-NR-LIGHT.txt","Hsp90 protein, putative")</f>
        <v>Hsp90 protein, putative</v>
      </c>
      <c r="X67" s="3" t="str">
        <f>HYPERLINK("http://www.ncbi.nlm.nih.gov/sutils/blink.cgi?pid=241830514","0.0")</f>
        <v>0.0</v>
      </c>
      <c r="Y67" s="3" t="str">
        <f>HYPERLINK("http://www.ncbi.nlm.nih.gov/protein/241830514","gi|241830514")</f>
        <v>gi|241830514</v>
      </c>
      <c r="Z67" s="3">
        <v>1363</v>
      </c>
      <c r="AA67" s="3">
        <v>734</v>
      </c>
      <c r="AB67" s="3">
        <v>731</v>
      </c>
      <c r="AC67" s="3">
        <v>93</v>
      </c>
      <c r="AD67" s="3">
        <v>97</v>
      </c>
      <c r="AE67" s="3">
        <v>100</v>
      </c>
      <c r="AF67" s="3">
        <v>46</v>
      </c>
      <c r="AG67" s="3">
        <v>8</v>
      </c>
      <c r="AH67" s="3">
        <v>1</v>
      </c>
      <c r="AI67" s="3">
        <v>35</v>
      </c>
      <c r="AJ67" s="3">
        <v>1</v>
      </c>
      <c r="AK67" s="3" t="s">
        <v>40</v>
      </c>
      <c r="AL67" s="3" t="str">
        <f>HYPERLINK(".\links\REFSEQ-INVERTEBRATE\gi_427794259-REFSEQ-INVERTEBRATE.txt","Hsp90 protein, putative")</f>
        <v>Hsp90 protein, putative</v>
      </c>
      <c r="AM67" s="3" t="str">
        <f>HYPERLINK("http://www.ncbi.nlm.nih.gov/sutils/blink.cgi?pid=241830514","0.0")</f>
        <v>0.0</v>
      </c>
      <c r="AN67" s="3" t="str">
        <f>HYPERLINK("http://www.ncbi.nlm.nih.gov/protein/241830514","gi|241830514")</f>
        <v>gi|241830514</v>
      </c>
      <c r="AO67" s="3">
        <v>1363</v>
      </c>
      <c r="AP67" s="3">
        <v>734</v>
      </c>
      <c r="AQ67" s="3">
        <v>731</v>
      </c>
      <c r="AR67" s="3">
        <v>93</v>
      </c>
      <c r="AS67" s="3">
        <v>97</v>
      </c>
      <c r="AT67" s="3">
        <v>100</v>
      </c>
      <c r="AU67" s="3">
        <v>46</v>
      </c>
      <c r="AV67" s="3">
        <v>8</v>
      </c>
      <c r="AW67" s="3">
        <v>1</v>
      </c>
      <c r="AX67" s="3">
        <v>35</v>
      </c>
      <c r="AY67" s="3">
        <v>1</v>
      </c>
      <c r="AZ67" s="3" t="s">
        <v>40</v>
      </c>
      <c r="BA67" s="3" t="str">
        <f>HYPERLINK(".\links\MEROPS\gi_427794259-MEROPS.txt","- ADAM34 ({Mus musculus})-type protein (Nomascus leucogenys)")</f>
        <v>- ADAM34 ({Mus musculus})-type protein (Nomascus leucogenys)</v>
      </c>
      <c r="BB67" s="3" t="str">
        <f>HYPERLINK("http://www.ncbi.nlm.nih.gov/sutils/blink.cgi?pid=256873 - ADAM34 ({Mus musculus})-type protein (Nomascus leucogenys) [M12.994]#M12B#{peptidase unit","1E-113")</f>
        <v>1E-113</v>
      </c>
      <c r="BC67" s="3" t="s">
        <v>520</v>
      </c>
      <c r="BD67" s="3">
        <v>409</v>
      </c>
      <c r="BE67" s="3">
        <v>323</v>
      </c>
      <c r="BF67" s="3">
        <v>1164</v>
      </c>
      <c r="BG67" s="3">
        <v>66</v>
      </c>
      <c r="BH67" s="3">
        <v>78</v>
      </c>
      <c r="BI67" s="3">
        <v>28</v>
      </c>
      <c r="BJ67" s="3">
        <v>107</v>
      </c>
      <c r="BK67" s="3">
        <v>16</v>
      </c>
      <c r="BL67" s="3">
        <v>174</v>
      </c>
      <c r="BM67" s="3">
        <v>71</v>
      </c>
      <c r="BN67" s="3">
        <v>1</v>
      </c>
      <c r="BO67" s="3" t="s">
        <v>521</v>
      </c>
      <c r="BP67" s="3" t="s">
        <v>1044</v>
      </c>
      <c r="BQ67" s="3">
        <f>HYPERLINK(".\links\GO\gi_427794259-GO.txt",0)</f>
        <v>0</v>
      </c>
      <c r="BR67" s="3" t="str">
        <f>HYPERLINK("http://amigo.geneontology.org/cgi-bin/amigo/term_details?term=GO:0000166","GO:0000166")</f>
        <v>GO:0000166</v>
      </c>
      <c r="BS67" s="3" t="s">
        <v>1045</v>
      </c>
      <c r="BT67" s="3" t="s">
        <v>1046</v>
      </c>
      <c r="BU67" s="3" t="s">
        <v>36</v>
      </c>
      <c r="BV67" s="3" t="s">
        <v>36</v>
      </c>
      <c r="BX67" s="3">
        <v>0</v>
      </c>
      <c r="BY67" s="3" t="str">
        <f>HYPERLINK("http://amigo.geneontology.org/cgi-bin/amigo/term_details?term=GO:0005576","GO:0005576")</f>
        <v>GO:0005576</v>
      </c>
      <c r="BZ67" s="3" t="s">
        <v>47</v>
      </c>
      <c r="CA67" s="3" t="s">
        <v>48</v>
      </c>
      <c r="CB67" s="3" t="s">
        <v>49</v>
      </c>
      <c r="CC67" s="3" t="s">
        <v>36</v>
      </c>
      <c r="CE67" s="3">
        <v>0</v>
      </c>
      <c r="CF67" s="3" t="str">
        <f>HYPERLINK("http://amigo.geneontology.org/cgi-bin/amigo/term_details?term=GO:0000086","GO:0000086")</f>
        <v>GO:0000086</v>
      </c>
      <c r="CG67" s="3" t="s">
        <v>1047</v>
      </c>
      <c r="CH67" s="3" t="s">
        <v>1048</v>
      </c>
      <c r="CI67" s="3" t="s">
        <v>1049</v>
      </c>
      <c r="CJ67" s="3" t="s">
        <v>36</v>
      </c>
      <c r="CL67" s="3">
        <v>0</v>
      </c>
      <c r="CM67" s="3" t="str">
        <f>HYPERLINK(".\links\CDD\gi_427794259-CDD.txt","PTZ00272")</f>
        <v>PTZ00272</v>
      </c>
      <c r="CN67" s="3" t="str">
        <f>HYPERLINK("http://www.ncbi.nlm.nih.gov/Structure/cdd/cddsrv.cgi?uid=PTZ00272&amp;version=v4.0","0.0")</f>
        <v>0.0</v>
      </c>
      <c r="CO67" s="3" t="s">
        <v>1050</v>
      </c>
      <c r="CP67" s="3" t="str">
        <f>HYPERLINK(".\links\ACARI\gi_427794259-ACARI.txt","Putative heat shock protein, partial")</f>
        <v>Putative heat shock protein, partial</v>
      </c>
      <c r="CQ67" s="3" t="str">
        <f>HYPERLINK("http://www.ncbi.nlm.nih.gov/sutils/blink.cgi?pid=427794259","0.0")</f>
        <v>0.0</v>
      </c>
      <c r="CR67" s="3" t="str">
        <f>HYPERLINK("http://www.ncbi.nlm.nih.gov/protein/427794259","gi|427794259")</f>
        <v>gi|427794259</v>
      </c>
      <c r="CS67" s="3">
        <v>1513</v>
      </c>
      <c r="CT67" s="3">
        <v>763</v>
      </c>
      <c r="CU67" s="3">
        <v>763</v>
      </c>
      <c r="CV67" s="3">
        <v>100</v>
      </c>
      <c r="CW67" s="3">
        <v>100</v>
      </c>
      <c r="CX67" s="3">
        <v>100</v>
      </c>
      <c r="CY67" s="3">
        <v>0</v>
      </c>
      <c r="CZ67" s="3">
        <v>0</v>
      </c>
      <c r="DA67" s="3">
        <v>1</v>
      </c>
      <c r="DB67" s="3">
        <v>1</v>
      </c>
      <c r="DC67" s="3">
        <v>1</v>
      </c>
      <c r="DD67" s="3" t="s">
        <v>68</v>
      </c>
    </row>
    <row r="68" spans="1:108" s="3" customFormat="1" x14ac:dyDescent="0.2">
      <c r="A68" s="3" t="s">
        <v>1366</v>
      </c>
      <c r="B68" s="3" t="str">
        <f>HYPERLINK(".\links\\gi_442750725-.txt","gi_442750725")</f>
        <v>gi_442750725</v>
      </c>
      <c r="C68" s="3" t="s">
        <v>35</v>
      </c>
      <c r="D68" s="3">
        <v>731</v>
      </c>
      <c r="E68" s="9" t="s">
        <v>37</v>
      </c>
      <c r="F68" s="3" t="s">
        <v>1231</v>
      </c>
      <c r="G68" s="1" t="s">
        <v>1472</v>
      </c>
      <c r="H68" s="3" t="str">
        <f>HYPERLINK(".\links\UNIPROT-ACARI\gi_442750725-UNIPROT-ACARI.txt","Hsp90 protein, putative")</f>
        <v>Hsp90 protein, putative</v>
      </c>
      <c r="I68" s="3" t="str">
        <f>HYPERLINK("http://www.ncbi.nlm.nih.gov/sutils/blink.cgi?pid=B7QI01","0.0")</f>
        <v>0.0</v>
      </c>
      <c r="J68" s="3" t="s">
        <v>519</v>
      </c>
      <c r="K68" s="3">
        <v>1442</v>
      </c>
      <c r="L68" s="3">
        <v>731</v>
      </c>
      <c r="M68" s="3">
        <v>731</v>
      </c>
      <c r="N68" s="3">
        <v>99</v>
      </c>
      <c r="O68" s="3">
        <v>99</v>
      </c>
      <c r="P68" s="3">
        <v>100</v>
      </c>
      <c r="Q68" s="3">
        <v>4</v>
      </c>
      <c r="R68" s="3">
        <v>0</v>
      </c>
      <c r="S68" s="3">
        <v>1</v>
      </c>
      <c r="T68" s="3">
        <v>1</v>
      </c>
      <c r="U68" s="3">
        <v>1</v>
      </c>
      <c r="V68" s="3" t="s">
        <v>36</v>
      </c>
      <c r="W68" s="3" t="str">
        <f>HYPERLINK(".\links\NR-LIGHT\gi_442750725-NR-LIGHT.txt","Hsp90 protein, putative")</f>
        <v>Hsp90 protein, putative</v>
      </c>
      <c r="X68" s="3" t="str">
        <f>HYPERLINK("http://www.ncbi.nlm.nih.gov/sutils/blink.cgi?pid=241830514","0.0")</f>
        <v>0.0</v>
      </c>
      <c r="Y68" s="3" t="str">
        <f>HYPERLINK("http://www.ncbi.nlm.nih.gov/protein/241830514","gi|241830514")</f>
        <v>gi|241830514</v>
      </c>
      <c r="Z68" s="3">
        <v>1442</v>
      </c>
      <c r="AA68" s="3">
        <v>731</v>
      </c>
      <c r="AB68" s="3">
        <v>731</v>
      </c>
      <c r="AC68" s="3">
        <v>99</v>
      </c>
      <c r="AD68" s="3">
        <v>99</v>
      </c>
      <c r="AE68" s="3">
        <v>100</v>
      </c>
      <c r="AF68" s="3">
        <v>4</v>
      </c>
      <c r="AG68" s="3">
        <v>0</v>
      </c>
      <c r="AH68" s="3">
        <v>1</v>
      </c>
      <c r="AI68" s="3">
        <v>1</v>
      </c>
      <c r="AJ68" s="3">
        <v>1</v>
      </c>
      <c r="AK68" s="3" t="s">
        <v>40</v>
      </c>
      <c r="AL68" s="3" t="str">
        <f>HYPERLINK(".\links\REFSEQ-INVERTEBRATE\gi_442750725-REFSEQ-INVERTEBRATE.txt","Hsp90 protein, putative")</f>
        <v>Hsp90 protein, putative</v>
      </c>
      <c r="AM68" s="3" t="str">
        <f>HYPERLINK("http://www.ncbi.nlm.nih.gov/sutils/blink.cgi?pid=241830514","0.0")</f>
        <v>0.0</v>
      </c>
      <c r="AN68" s="3" t="str">
        <f>HYPERLINK("http://www.ncbi.nlm.nih.gov/protein/241830514","gi|241830514")</f>
        <v>gi|241830514</v>
      </c>
      <c r="AO68" s="3">
        <v>1442</v>
      </c>
      <c r="AP68" s="3">
        <v>731</v>
      </c>
      <c r="AQ68" s="3">
        <v>731</v>
      </c>
      <c r="AR68" s="3">
        <v>99</v>
      </c>
      <c r="AS68" s="3">
        <v>99</v>
      </c>
      <c r="AT68" s="3">
        <v>100</v>
      </c>
      <c r="AU68" s="3">
        <v>4</v>
      </c>
      <c r="AV68" s="3">
        <v>0</v>
      </c>
      <c r="AW68" s="3">
        <v>1</v>
      </c>
      <c r="AX68" s="3">
        <v>1</v>
      </c>
      <c r="AY68" s="3">
        <v>1</v>
      </c>
      <c r="AZ68" s="3" t="s">
        <v>40</v>
      </c>
      <c r="BA68" s="3" t="str">
        <f>HYPERLINK(".\links\MEROPS\gi_442750725-MEROPS.txt","- ADAM34 ({Mus musculus})-type protein (Nomascus leucogenys)")</f>
        <v>- ADAM34 ({Mus musculus})-type protein (Nomascus leucogenys)</v>
      </c>
      <c r="BB68" s="3" t="str">
        <f>HYPERLINK("http://www.ncbi.nlm.nih.gov/sutils/blink.cgi?pid=256873 - ADAM34 ({Mus musculus})-type protein (Nomascus leucogenys) [M12.994]#M12B#{peptidase unit","1E-111")</f>
        <v>1E-111</v>
      </c>
      <c r="BC68" s="3" t="s">
        <v>520</v>
      </c>
      <c r="BD68" s="3">
        <v>404</v>
      </c>
      <c r="BE68" s="3">
        <v>326</v>
      </c>
      <c r="BF68" s="3">
        <v>1164</v>
      </c>
      <c r="BG68" s="3">
        <v>65</v>
      </c>
      <c r="BH68" s="3">
        <v>77</v>
      </c>
      <c r="BI68" s="3">
        <v>28</v>
      </c>
      <c r="BJ68" s="3">
        <v>113</v>
      </c>
      <c r="BK68" s="3">
        <v>21</v>
      </c>
      <c r="BL68" s="3">
        <v>174</v>
      </c>
      <c r="BM68" s="3">
        <v>38</v>
      </c>
      <c r="BN68" s="3">
        <v>1</v>
      </c>
      <c r="BO68" s="3" t="s">
        <v>521</v>
      </c>
      <c r="BP68" s="3" t="s">
        <v>522</v>
      </c>
      <c r="BQ68" s="3">
        <f>HYPERLINK(".\links\GO\gi_442750725-GO.txt",0)</f>
        <v>0</v>
      </c>
      <c r="BR68" s="3" t="str">
        <f>HYPERLINK("http://amigo.geneontology.org/cgi-bin/amigo/term_details?term=GO:0005524","GO:0005524")</f>
        <v>GO:0005524</v>
      </c>
      <c r="BS68" s="3" t="s">
        <v>523</v>
      </c>
      <c r="BT68" s="3" t="s">
        <v>524</v>
      </c>
      <c r="BU68" s="3" t="s">
        <v>36</v>
      </c>
      <c r="BV68" s="3" t="s">
        <v>36</v>
      </c>
      <c r="BX68" s="3">
        <v>0</v>
      </c>
      <c r="BY68" s="3" t="str">
        <f>HYPERLINK("http://amigo.geneontology.org/cgi-bin/amigo/term_details?term=GO:0005886","GO:0005886")</f>
        <v>GO:0005886</v>
      </c>
      <c r="BZ68" s="3" t="s">
        <v>106</v>
      </c>
      <c r="CA68" s="3" t="s">
        <v>107</v>
      </c>
      <c r="CB68" s="3" t="s">
        <v>108</v>
      </c>
      <c r="CC68" s="3" t="s">
        <v>36</v>
      </c>
      <c r="CE68" s="3">
        <v>0</v>
      </c>
      <c r="CF68" s="3" t="str">
        <f>HYPERLINK("http://amigo.geneontology.org/cgi-bin/amigo/term_details?term=GO:0006457","GO:0006457")</f>
        <v>GO:0006457</v>
      </c>
      <c r="CG68" s="3" t="s">
        <v>525</v>
      </c>
      <c r="CH68" s="3" t="s">
        <v>526</v>
      </c>
      <c r="CI68" s="3" t="s">
        <v>527</v>
      </c>
      <c r="CJ68" s="3" t="s">
        <v>36</v>
      </c>
      <c r="CL68" s="3">
        <v>0</v>
      </c>
      <c r="CM68" s="3" t="str">
        <f>HYPERLINK(".\links\CDD\gi_442750725-CDD.txt","PTZ00272")</f>
        <v>PTZ00272</v>
      </c>
      <c r="CN68" s="3" t="str">
        <f>HYPERLINK("http://www.ncbi.nlm.nih.gov/Structure/cdd/cddsrv.cgi?uid=PTZ00272&amp;version=v4.0","0.0")</f>
        <v>0.0</v>
      </c>
      <c r="CO68" s="3" t="s">
        <v>528</v>
      </c>
      <c r="CP68" s="3" t="str">
        <f>HYPERLINK(".\links\ACARI\gi_442750725-ACARI.txt","Putative heat shock protein hsp 90-alpha isoform 1")</f>
        <v>Putative heat shock protein hsp 90-alpha isoform 1</v>
      </c>
      <c r="CQ68" s="3" t="str">
        <f>HYPERLINK("http://www.ncbi.nlm.nih.gov/sutils/blink.cgi?pid=442750725","0.0")</f>
        <v>0.0</v>
      </c>
      <c r="CR68" s="3" t="str">
        <f>HYPERLINK("http://www.ncbi.nlm.nih.gov/protein/442750725","gi|442750725")</f>
        <v>gi|442750725</v>
      </c>
      <c r="CS68" s="3">
        <v>1451</v>
      </c>
      <c r="CT68" s="3">
        <v>731</v>
      </c>
      <c r="CU68" s="3">
        <v>731</v>
      </c>
      <c r="CV68" s="3">
        <v>100</v>
      </c>
      <c r="CW68" s="3">
        <v>100</v>
      </c>
      <c r="CX68" s="3">
        <v>100</v>
      </c>
      <c r="CY68" s="3">
        <v>0</v>
      </c>
      <c r="CZ68" s="3">
        <v>0</v>
      </c>
      <c r="DA68" s="3">
        <v>1</v>
      </c>
      <c r="DB68" s="3">
        <v>1</v>
      </c>
      <c r="DC68" s="3">
        <v>1</v>
      </c>
      <c r="DD68" s="3" t="s">
        <v>37</v>
      </c>
    </row>
    <row r="69" spans="1:108" s="3" customFormat="1" x14ac:dyDescent="0.2">
      <c r="A69" s="3" t="s">
        <v>1383</v>
      </c>
      <c r="B69" s="3" t="str">
        <f>HYPERLINK(".\links\\gi_556060594-.txt","gi_556060594")</f>
        <v>gi_556060594</v>
      </c>
      <c r="C69" s="3" t="s">
        <v>35</v>
      </c>
      <c r="D69" s="3">
        <v>304</v>
      </c>
      <c r="E69" s="9" t="s">
        <v>37</v>
      </c>
      <c r="F69" s="3" t="s">
        <v>1258</v>
      </c>
      <c r="G69" s="1" t="s">
        <v>1472</v>
      </c>
      <c r="H69" s="3" t="str">
        <f>HYPERLINK(".\links\UNIPROT-ACARI\gi_556060594-UNIPROT-ACARI.txt","Putative methyltransferase")</f>
        <v>Putative methyltransferase</v>
      </c>
      <c r="I69" s="3" t="str">
        <f>HYPERLINK("http://www.ncbi.nlm.nih.gov/sutils/blink.cgi?pid=V5HDU5","0.0")</f>
        <v>0.0</v>
      </c>
      <c r="J69" s="3" t="s">
        <v>488</v>
      </c>
      <c r="K69" s="3">
        <v>631</v>
      </c>
      <c r="L69" s="3">
        <v>304</v>
      </c>
      <c r="M69" s="3">
        <v>304</v>
      </c>
      <c r="N69" s="3">
        <v>100</v>
      </c>
      <c r="O69" s="3">
        <v>100</v>
      </c>
      <c r="P69" s="3">
        <v>100</v>
      </c>
      <c r="Q69" s="3">
        <v>0</v>
      </c>
      <c r="R69" s="3">
        <v>0</v>
      </c>
      <c r="S69" s="3">
        <v>1</v>
      </c>
      <c r="T69" s="3">
        <v>1</v>
      </c>
      <c r="U69" s="3">
        <v>1</v>
      </c>
      <c r="V69" s="3" t="s">
        <v>36</v>
      </c>
      <c r="W69" s="3" t="str">
        <f>HYPERLINK(".\links\NR-LIGHT\gi_556060594-NR-LIGHT.txt","glycine N-methyltransferase, putative")</f>
        <v>glycine N-methyltransferase, putative</v>
      </c>
      <c r="X69" s="3" t="str">
        <f>HYPERLINK("http://www.ncbi.nlm.nih.gov/sutils/blink.cgi?pid=241643370","1E-159")</f>
        <v>1E-159</v>
      </c>
      <c r="Y69" s="3" t="str">
        <f>HYPERLINK("http://www.ncbi.nlm.nih.gov/protein/241643370","gi|241643370")</f>
        <v>gi|241643370</v>
      </c>
      <c r="Z69" s="3">
        <v>562</v>
      </c>
      <c r="AA69" s="3">
        <v>305</v>
      </c>
      <c r="AB69" s="3">
        <v>290</v>
      </c>
      <c r="AC69" s="3">
        <v>91</v>
      </c>
      <c r="AD69" s="3">
        <v>91</v>
      </c>
      <c r="AE69" s="3">
        <v>105</v>
      </c>
      <c r="AF69" s="3">
        <v>27</v>
      </c>
      <c r="AG69" s="3">
        <v>16</v>
      </c>
      <c r="AH69" s="3">
        <v>1</v>
      </c>
      <c r="AI69" s="3">
        <v>1</v>
      </c>
      <c r="AJ69" s="3">
        <v>1</v>
      </c>
      <c r="AK69" s="3" t="s">
        <v>40</v>
      </c>
      <c r="AL69" s="3" t="str">
        <f>HYPERLINK(".\links\REFSEQ-INVERTEBRATE\gi_556060594-REFSEQ-INVERTEBRATE.txt","glycine N-methyltransferase, putative")</f>
        <v>glycine N-methyltransferase, putative</v>
      </c>
      <c r="AM69" s="3" t="str">
        <f>HYPERLINK("http://www.ncbi.nlm.nih.gov/sutils/blink.cgi?pid=241643370","1E-159")</f>
        <v>1E-159</v>
      </c>
      <c r="AN69" s="3" t="str">
        <f>HYPERLINK("http://www.ncbi.nlm.nih.gov/protein/241643370","gi|241643370")</f>
        <v>gi|241643370</v>
      </c>
      <c r="AO69" s="3">
        <v>562</v>
      </c>
      <c r="AP69" s="3">
        <v>305</v>
      </c>
      <c r="AQ69" s="3">
        <v>290</v>
      </c>
      <c r="AR69" s="3">
        <v>91</v>
      </c>
      <c r="AS69" s="3">
        <v>91</v>
      </c>
      <c r="AT69" s="3">
        <v>105</v>
      </c>
      <c r="AU69" s="3">
        <v>27</v>
      </c>
      <c r="AV69" s="3">
        <v>16</v>
      </c>
      <c r="AW69" s="3">
        <v>1</v>
      </c>
      <c r="AX69" s="3">
        <v>1</v>
      </c>
      <c r="AY69" s="3">
        <v>1</v>
      </c>
      <c r="AZ69" s="3" t="s">
        <v>40</v>
      </c>
      <c r="BA69" s="3" t="str">
        <f>HYPERLINK(".\links\MEROPS\gi_556060594-MEROPS.txt","- family I29 unassigned peptidase inhibitors (Vibrio parahaemolyticus)")</f>
        <v>- family I29 unassigned peptidase inhibitors (Vibrio parahaemolyticus)</v>
      </c>
      <c r="BB69" s="3" t="str">
        <f>HYPERLINK("http://www.ncbi.nlm.nih.gov/sutils/blink.cgi?pid=499137 - family I29 unassigned peptidase inhibitors (Vibrio parahaemolyticus) [I29.UPW]#I29#{inhibitor unit","6E-005")</f>
        <v>6E-005</v>
      </c>
      <c r="BC69" s="3" t="s">
        <v>489</v>
      </c>
      <c r="BD69" s="3">
        <v>48.9</v>
      </c>
      <c r="BE69" s="3">
        <v>205</v>
      </c>
      <c r="BF69" s="3">
        <v>251</v>
      </c>
      <c r="BG69" s="3">
        <v>25</v>
      </c>
      <c r="BH69" s="3">
        <v>44</v>
      </c>
      <c r="BI69" s="3">
        <v>82</v>
      </c>
      <c r="BJ69" s="3">
        <v>152</v>
      </c>
      <c r="BK69" s="3">
        <v>36</v>
      </c>
      <c r="BL69" s="3">
        <v>24</v>
      </c>
      <c r="BM69" s="3">
        <v>44</v>
      </c>
      <c r="BN69" s="3">
        <v>1</v>
      </c>
      <c r="BO69" s="3" t="s">
        <v>490</v>
      </c>
      <c r="BP69" s="3" t="s">
        <v>491</v>
      </c>
      <c r="BQ69" s="3">
        <f>HYPERLINK(".\links\GO\gi_556060594-GO.txt",5E-92)</f>
        <v>5.0000000000000001E-92</v>
      </c>
      <c r="BR69" s="3" t="str">
        <f>HYPERLINK("http://amigo.geneontology.org/cgi-bin/amigo/term_details?term=GO:0005542","GO:0005542")</f>
        <v>GO:0005542</v>
      </c>
      <c r="BS69" s="3" t="s">
        <v>492</v>
      </c>
      <c r="BT69" s="3" t="s">
        <v>493</v>
      </c>
      <c r="BU69" s="3" t="s">
        <v>494</v>
      </c>
      <c r="BV69" s="3" t="s">
        <v>36</v>
      </c>
      <c r="BX69" s="4">
        <v>3.0000000000000002E-91</v>
      </c>
      <c r="BY69" s="3" t="str">
        <f>HYPERLINK("http://amigo.geneontology.org/cgi-bin/amigo/term_details?term=GO:0005634","GO:0005634")</f>
        <v>GO:0005634</v>
      </c>
      <c r="BZ69" s="3" t="s">
        <v>359</v>
      </c>
      <c r="CA69" s="3" t="s">
        <v>360</v>
      </c>
      <c r="CB69" s="3" t="s">
        <v>361</v>
      </c>
      <c r="CC69" s="3" t="s">
        <v>36</v>
      </c>
      <c r="CE69" s="4">
        <v>3.0000000000000002E-91</v>
      </c>
      <c r="CF69" s="3" t="str">
        <f>HYPERLINK("http://amigo.geneontology.org/cgi-bin/amigo/term_details?term=GO:0005977","GO:0005977")</f>
        <v>GO:0005977</v>
      </c>
      <c r="CG69" s="3" t="s">
        <v>495</v>
      </c>
      <c r="CH69" s="3" t="s">
        <v>496</v>
      </c>
      <c r="CI69" s="3" t="s">
        <v>497</v>
      </c>
      <c r="CJ69" s="3" t="s">
        <v>36</v>
      </c>
      <c r="CL69" s="4">
        <v>3.0000000000000002E-91</v>
      </c>
      <c r="CM69" s="3" t="str">
        <f>HYPERLINK(".\links\CDD\gi_556060594-CDD.txt","Methyltransf_11")</f>
        <v>Methyltransf_11</v>
      </c>
      <c r="CN69" s="3" t="str">
        <f>HYPERLINK("http://www.ncbi.nlm.nih.gov/Structure/cdd/cddsrv.cgi?uid=pfam08241&amp;version=v4.0","3E-005")</f>
        <v>3E-005</v>
      </c>
      <c r="CO69" s="3" t="s">
        <v>498</v>
      </c>
      <c r="CP69" s="3" t="str">
        <f>HYPERLINK(".\links\ACARI\gi_556060594-ACARI.txt","putative methyltransferase")</f>
        <v>putative methyltransferase</v>
      </c>
      <c r="CQ69" s="3" t="str">
        <f>HYPERLINK("http://www.ncbi.nlm.nih.gov/sutils/blink.cgi?pid=556060594","0.0")</f>
        <v>0.0</v>
      </c>
      <c r="CR69" s="3" t="str">
        <f>HYPERLINK("http://www.ncbi.nlm.nih.gov/protein/556060594","gi|556060594")</f>
        <v>gi|556060594</v>
      </c>
      <c r="CS69" s="3">
        <v>631</v>
      </c>
      <c r="CT69" s="3">
        <v>304</v>
      </c>
      <c r="CU69" s="3">
        <v>304</v>
      </c>
      <c r="CV69" s="3">
        <v>100</v>
      </c>
      <c r="CW69" s="3">
        <v>100</v>
      </c>
      <c r="CX69" s="3">
        <v>100</v>
      </c>
      <c r="CY69" s="3">
        <v>0</v>
      </c>
      <c r="CZ69" s="3">
        <v>0</v>
      </c>
      <c r="DA69" s="3">
        <v>1</v>
      </c>
      <c r="DB69" s="3">
        <v>1</v>
      </c>
      <c r="DC69" s="3">
        <v>1</v>
      </c>
      <c r="DD69" s="3" t="s">
        <v>37</v>
      </c>
    </row>
    <row r="70" spans="1:108" s="3" customFormat="1" x14ac:dyDescent="0.2">
      <c r="A70" s="3" t="s">
        <v>1363</v>
      </c>
      <c r="B70" s="3" t="str">
        <f>HYPERLINK(".\links\\gi_556065543-.txt","gi_556065543")</f>
        <v>gi_556065543</v>
      </c>
      <c r="C70" s="3" t="s">
        <v>35</v>
      </c>
      <c r="D70" s="3">
        <v>396</v>
      </c>
      <c r="E70" s="9" t="s">
        <v>37</v>
      </c>
      <c r="F70" s="3" t="s">
        <v>1257</v>
      </c>
      <c r="G70" s="1" t="s">
        <v>1472</v>
      </c>
      <c r="H70" s="3" t="str">
        <f>HYPERLINK(".\links\UNIPROT-ACARI\gi_556065543-UNIPROT-ACARI.txt","Putative cysteine s-methyltransferase")</f>
        <v>Putative cysteine s-methyltransferase</v>
      </c>
      <c r="I70" s="3" t="str">
        <f>HYPERLINK("http://www.ncbi.nlm.nih.gov/sutils/blink.cgi?pid=V5HKG8","0.0")</f>
        <v>0.0</v>
      </c>
      <c r="J70" s="3" t="s">
        <v>450</v>
      </c>
      <c r="K70" s="3">
        <v>815</v>
      </c>
      <c r="L70" s="3">
        <v>396</v>
      </c>
      <c r="M70" s="3">
        <v>396</v>
      </c>
      <c r="N70" s="3">
        <v>100</v>
      </c>
      <c r="O70" s="3">
        <v>100</v>
      </c>
      <c r="P70" s="3">
        <v>100</v>
      </c>
      <c r="Q70" s="3">
        <v>0</v>
      </c>
      <c r="R70" s="3">
        <v>0</v>
      </c>
      <c r="S70" s="3">
        <v>1</v>
      </c>
      <c r="T70" s="3">
        <v>1</v>
      </c>
      <c r="U70" s="3">
        <v>1</v>
      </c>
      <c r="V70" s="3" t="s">
        <v>36</v>
      </c>
      <c r="W70" s="3" t="str">
        <f>HYPERLINK(".\links\NR-LIGHT\gi_556065543-NR-LIGHT.txt","homocysteine S-methyltransferase, putative")</f>
        <v>homocysteine S-methyltransferase, putative</v>
      </c>
      <c r="X70" s="3" t="str">
        <f>HYPERLINK("http://www.ncbi.nlm.nih.gov/sutils/blink.cgi?pid=240978644","0.0")</f>
        <v>0.0</v>
      </c>
      <c r="Y70" s="3" t="str">
        <f>HYPERLINK("http://www.ncbi.nlm.nih.gov/protein/240978644","gi|240978644")</f>
        <v>gi|240978644</v>
      </c>
      <c r="Z70" s="3">
        <v>671</v>
      </c>
      <c r="AA70" s="3">
        <v>397</v>
      </c>
      <c r="AB70" s="3">
        <v>381</v>
      </c>
      <c r="AC70" s="3">
        <v>86</v>
      </c>
      <c r="AD70" s="3">
        <v>87</v>
      </c>
      <c r="AE70" s="3">
        <v>104</v>
      </c>
      <c r="AF70" s="3">
        <v>54</v>
      </c>
      <c r="AG70" s="3">
        <v>17</v>
      </c>
      <c r="AH70" s="3">
        <v>1</v>
      </c>
      <c r="AI70" s="3">
        <v>1</v>
      </c>
      <c r="AJ70" s="3">
        <v>1</v>
      </c>
      <c r="AK70" s="3" t="s">
        <v>40</v>
      </c>
      <c r="AL70" s="3" t="str">
        <f>HYPERLINK(".\links\REFSEQ-INVERTEBRATE\gi_556065543-REFSEQ-INVERTEBRATE.txt","homocysteine S-methyltransferase, putative")</f>
        <v>homocysteine S-methyltransferase, putative</v>
      </c>
      <c r="AM70" s="3" t="str">
        <f>HYPERLINK("http://www.ncbi.nlm.nih.gov/sutils/blink.cgi?pid=240978644","0.0")</f>
        <v>0.0</v>
      </c>
      <c r="AN70" s="3" t="str">
        <f>HYPERLINK("http://www.ncbi.nlm.nih.gov/protein/240978644","gi|240978644")</f>
        <v>gi|240978644</v>
      </c>
      <c r="AO70" s="3">
        <v>671</v>
      </c>
      <c r="AP70" s="3">
        <v>397</v>
      </c>
      <c r="AQ70" s="3">
        <v>381</v>
      </c>
      <c r="AR70" s="3">
        <v>86</v>
      </c>
      <c r="AS70" s="3">
        <v>87</v>
      </c>
      <c r="AT70" s="3">
        <v>104</v>
      </c>
      <c r="AU70" s="3">
        <v>54</v>
      </c>
      <c r="AV70" s="3">
        <v>17</v>
      </c>
      <c r="AW70" s="3">
        <v>1</v>
      </c>
      <c r="AX70" s="3">
        <v>1</v>
      </c>
      <c r="AY70" s="3">
        <v>1</v>
      </c>
      <c r="AZ70" s="3" t="s">
        <v>40</v>
      </c>
      <c r="BA70" s="3" t="str">
        <f>HYPERLINK(".\links\MEROPS\gi_556065543-MEROPS.txt","- YMXG peptidase (Ralstonia solanacearum)")</f>
        <v>- YMXG peptidase (Ralstonia solanacearum)</v>
      </c>
      <c r="BB70" s="3" t="str">
        <f>HYPERLINK("http://www.ncbi.nlm.nih.gov/sutils/blink.cgi?pid=390768 - YMXG peptidase (Ralstonia solanacearum) [M16.019]#M16B#{peptidase unit","1.4")</f>
        <v>1.4</v>
      </c>
      <c r="BC70" s="3" t="s">
        <v>451</v>
      </c>
      <c r="BD70" s="3">
        <v>35</v>
      </c>
      <c r="BE70" s="3">
        <v>58</v>
      </c>
      <c r="BF70" s="3">
        <v>881</v>
      </c>
      <c r="BG70" s="3">
        <v>36</v>
      </c>
      <c r="BH70" s="3">
        <v>43</v>
      </c>
      <c r="BI70" s="3">
        <v>7</v>
      </c>
      <c r="BJ70" s="3">
        <v>37</v>
      </c>
      <c r="BK70" s="3">
        <v>0</v>
      </c>
      <c r="BL70" s="3">
        <v>263</v>
      </c>
      <c r="BM70" s="3">
        <v>26</v>
      </c>
      <c r="BN70" s="3">
        <v>1</v>
      </c>
      <c r="BO70" s="3" t="s">
        <v>452</v>
      </c>
      <c r="BP70" s="3" t="s">
        <v>453</v>
      </c>
      <c r="BQ70" s="3">
        <f>HYPERLINK(".\links\GO\gi_556065543-GO.txt",0)</f>
        <v>0</v>
      </c>
      <c r="BR70" s="3" t="str">
        <f>HYPERLINK("http://amigo.geneontology.org/cgi-bin/amigo/term_details?term=GO:0008270","GO:0008270")</f>
        <v>GO:0008270</v>
      </c>
      <c r="BS70" s="3" t="s">
        <v>454</v>
      </c>
      <c r="BT70" s="3" t="s">
        <v>455</v>
      </c>
      <c r="BU70" s="3" t="s">
        <v>456</v>
      </c>
      <c r="BV70" s="3" t="s">
        <v>36</v>
      </c>
      <c r="BX70" s="4">
        <v>9.9999999999999992E-164</v>
      </c>
      <c r="BY70" s="3" t="str">
        <f>HYPERLINK("http://amigo.geneontology.org/cgi-bin/amigo/term_details?term=GO:0005737","GO:0005737")</f>
        <v>GO:0005737</v>
      </c>
      <c r="BZ70" s="3" t="s">
        <v>374</v>
      </c>
      <c r="CA70" s="3" t="s">
        <v>375</v>
      </c>
      <c r="CB70" s="3" t="s">
        <v>36</v>
      </c>
      <c r="CC70" s="3" t="s">
        <v>36</v>
      </c>
      <c r="CE70" s="4">
        <v>9.9999999999999992E-164</v>
      </c>
      <c r="CF70" s="3" t="str">
        <f>HYPERLINK("http://amigo.geneontology.org/cgi-bin/amigo/term_details?term=GO:0009086","GO:0009086")</f>
        <v>GO:0009086</v>
      </c>
      <c r="CG70" s="3" t="s">
        <v>457</v>
      </c>
      <c r="CH70" s="3" t="s">
        <v>458</v>
      </c>
      <c r="CI70" s="3" t="s">
        <v>459</v>
      </c>
      <c r="CJ70" s="3" t="s">
        <v>36</v>
      </c>
      <c r="CL70" s="4">
        <v>9.9999999999999992E-164</v>
      </c>
      <c r="CM70" s="3" t="str">
        <f>HYPERLINK(".\links\CDD\gi_556065543-CDD.txt","10-methylenetetrahydrofolate reductase protein")</f>
        <v>10-methylenetetrahydrofolate reductase protein</v>
      </c>
      <c r="CN70" s="3" t="str">
        <f>HYPERLINK("http://www.ncbi.nlm.nih.gov/Structure/cdd/cddsrv.cgi?uid=PRK08645&amp;version=v4.0","3E-037")</f>
        <v>3E-037</v>
      </c>
      <c r="CO70" s="3" t="s">
        <v>460</v>
      </c>
      <c r="CP70" s="3" t="str">
        <f>HYPERLINK(".\links\ACARI\gi_556065543-ACARI.txt","putative cysteine s-methyltransferase")</f>
        <v>putative cysteine s-methyltransferase</v>
      </c>
      <c r="CQ70" s="3" t="str">
        <f>HYPERLINK("http://www.ncbi.nlm.nih.gov/sutils/blink.cgi?pid=556065543","0.0")</f>
        <v>0.0</v>
      </c>
      <c r="CR70" s="3" t="str">
        <f>HYPERLINK("http://www.ncbi.nlm.nih.gov/protein/556065543","gi|556065543")</f>
        <v>gi|556065543</v>
      </c>
      <c r="CS70" s="3">
        <v>815</v>
      </c>
      <c r="CT70" s="3">
        <v>396</v>
      </c>
      <c r="CU70" s="3">
        <v>396</v>
      </c>
      <c r="CV70" s="3">
        <v>100</v>
      </c>
      <c r="CW70" s="3">
        <v>100</v>
      </c>
      <c r="CX70" s="3">
        <v>100</v>
      </c>
      <c r="CY70" s="3">
        <v>0</v>
      </c>
      <c r="CZ70" s="3">
        <v>0</v>
      </c>
      <c r="DA70" s="3">
        <v>1</v>
      </c>
      <c r="DB70" s="3">
        <v>1</v>
      </c>
      <c r="DC70" s="3">
        <v>1</v>
      </c>
      <c r="DD70" s="3" t="s">
        <v>37</v>
      </c>
    </row>
    <row r="71" spans="1:108" s="3" customFormat="1" x14ac:dyDescent="0.2">
      <c r="A71" s="3" t="s">
        <v>1330</v>
      </c>
      <c r="B71" s="3" t="str">
        <f>HYPERLINK(".\links\\Rm-24571-.txt","Rm-24571")</f>
        <v>Rm-24571</v>
      </c>
      <c r="C71" s="3" t="s">
        <v>918</v>
      </c>
      <c r="D71" s="3">
        <v>469</v>
      </c>
      <c r="E71" s="9" t="s">
        <v>203</v>
      </c>
      <c r="F71" s="3" t="s">
        <v>1280</v>
      </c>
      <c r="G71" s="1" t="s">
        <v>1472</v>
      </c>
      <c r="H71" s="3" t="str">
        <f>HYPERLINK(".\links\UNIPROT-ACARI\Rm-24571-UNIPROT-ACARI.txt","Heat shock protein 70 cognate (Fragment)")</f>
        <v>Heat shock protein 70 cognate (Fragment)</v>
      </c>
      <c r="I71" s="3" t="str">
        <f>HYPERLINK("http://www.ncbi.nlm.nih.gov/sutils/blink.cgi?pid=A0A034WXY9","0.0")</f>
        <v>0.0</v>
      </c>
      <c r="J71" s="3" t="s">
        <v>919</v>
      </c>
      <c r="K71" s="3">
        <v>919</v>
      </c>
      <c r="L71" s="3">
        <v>469</v>
      </c>
      <c r="M71" s="3">
        <v>469</v>
      </c>
      <c r="N71" s="3">
        <v>100</v>
      </c>
      <c r="O71" s="3">
        <v>100</v>
      </c>
      <c r="P71" s="3">
        <v>100</v>
      </c>
      <c r="Q71" s="3">
        <v>0</v>
      </c>
      <c r="R71" s="3">
        <v>0</v>
      </c>
      <c r="S71" s="3">
        <v>1</v>
      </c>
      <c r="T71" s="3">
        <v>1</v>
      </c>
      <c r="U71" s="3">
        <v>1</v>
      </c>
      <c r="V71" s="3" t="s">
        <v>36</v>
      </c>
      <c r="W71" s="3" t="str">
        <f>HYPERLINK(".\links\NR-LIGHT\Rm-24571-NR-LIGHT.txt","heat shock protein, putative")</f>
        <v>heat shock protein, putative</v>
      </c>
      <c r="X71" s="3" t="str">
        <f>HYPERLINK("http://www.ncbi.nlm.nih.gov/sutils/blink.cgi?pid=241153675","0.0")</f>
        <v>0.0</v>
      </c>
      <c r="Y71" s="3" t="str">
        <f>HYPERLINK("http://www.ncbi.nlm.nih.gov/protein/241153675","gi|241153675")</f>
        <v>gi|241153675</v>
      </c>
      <c r="Z71" s="3">
        <v>897</v>
      </c>
      <c r="AA71" s="3">
        <v>469</v>
      </c>
      <c r="AB71" s="3">
        <v>648</v>
      </c>
      <c r="AC71" s="3">
        <v>96</v>
      </c>
      <c r="AD71" s="3">
        <v>99</v>
      </c>
      <c r="AE71" s="3">
        <v>72</v>
      </c>
      <c r="AF71" s="3">
        <v>16</v>
      </c>
      <c r="AG71" s="3">
        <v>0</v>
      </c>
      <c r="AH71" s="3">
        <v>180</v>
      </c>
      <c r="AI71" s="3">
        <v>1</v>
      </c>
      <c r="AJ71" s="3">
        <v>1</v>
      </c>
      <c r="AK71" s="3" t="s">
        <v>40</v>
      </c>
      <c r="AL71" s="3" t="str">
        <f>HYPERLINK(".\links\REFSEQ-INVERTEBRATE\Rm-24571-REFSEQ-INVERTEBRATE.txt","heat shock protein, putative")</f>
        <v>heat shock protein, putative</v>
      </c>
      <c r="AM71" s="3" t="str">
        <f>HYPERLINK("http://www.ncbi.nlm.nih.gov/sutils/blink.cgi?pid=241153675","0.0")</f>
        <v>0.0</v>
      </c>
      <c r="AN71" s="3" t="str">
        <f>HYPERLINK("http://www.ncbi.nlm.nih.gov/protein/241153675","gi|241153675")</f>
        <v>gi|241153675</v>
      </c>
      <c r="AO71" s="3">
        <v>897</v>
      </c>
      <c r="AP71" s="3">
        <v>469</v>
      </c>
      <c r="AQ71" s="3">
        <v>648</v>
      </c>
      <c r="AR71" s="3">
        <v>96</v>
      </c>
      <c r="AS71" s="3">
        <v>99</v>
      </c>
      <c r="AT71" s="3">
        <v>72</v>
      </c>
      <c r="AU71" s="3">
        <v>16</v>
      </c>
      <c r="AV71" s="3">
        <v>0</v>
      </c>
      <c r="AW71" s="3">
        <v>180</v>
      </c>
      <c r="AX71" s="3">
        <v>1</v>
      </c>
      <c r="AY71" s="3">
        <v>1</v>
      </c>
      <c r="AZ71" s="3" t="s">
        <v>40</v>
      </c>
      <c r="BA71" s="3" t="str">
        <f>HYPERLINK(".\links\MEROPS\Rm-24571-MEROPS.txt","- subfamily C14B unassigned peptidases (Amycolatopsis mediterranei)")</f>
        <v>- subfamily C14B unassigned peptidases (Amycolatopsis mediterranei)</v>
      </c>
      <c r="BB71" s="3" t="str">
        <f>HYPERLINK("http://www.ncbi.nlm.nih.gov/sutils/blink.cgi?pid=220621 - subfamily C14B unassigned peptidases (Amycolatopsis mediterranei) [C14.UPB]#C14B#{peptidase unit","2E-020")</f>
        <v>2E-020</v>
      </c>
      <c r="BC71" s="3" t="s">
        <v>920</v>
      </c>
      <c r="BD71" s="3">
        <v>101</v>
      </c>
      <c r="BE71" s="3">
        <v>327</v>
      </c>
      <c r="BF71" s="3">
        <v>769</v>
      </c>
      <c r="BG71" s="3">
        <v>27</v>
      </c>
      <c r="BH71" s="3">
        <v>46</v>
      </c>
      <c r="BI71" s="3">
        <v>43</v>
      </c>
      <c r="BJ71" s="3">
        <v>238</v>
      </c>
      <c r="BK71" s="3">
        <v>39</v>
      </c>
      <c r="BL71" s="3">
        <v>440</v>
      </c>
      <c r="BM71" s="3">
        <v>13</v>
      </c>
      <c r="BN71" s="3">
        <v>1</v>
      </c>
      <c r="BO71" s="3" t="s">
        <v>921</v>
      </c>
      <c r="BP71" s="3" t="s">
        <v>922</v>
      </c>
      <c r="BQ71" s="3">
        <f>HYPERLINK(".\links\GO\Rm-24571-GO.txt",0)</f>
        <v>0</v>
      </c>
      <c r="BR71" s="3" t="str">
        <f>HYPERLINK("http://amigo.geneontology.org/cgi-bin/amigo/term_details?term=GO:0005515","GO:0005515")</f>
        <v>GO:0005515</v>
      </c>
      <c r="BS71" s="3" t="s">
        <v>466</v>
      </c>
      <c r="BT71" s="3" t="s">
        <v>467</v>
      </c>
      <c r="BU71" s="3" t="s">
        <v>468</v>
      </c>
      <c r="BV71" s="3" t="s">
        <v>36</v>
      </c>
      <c r="BX71" s="3">
        <v>0</v>
      </c>
      <c r="BY71" s="3" t="str">
        <f>HYPERLINK("http://amigo.geneontology.org/cgi-bin/amigo/term_details?term=GO:0000974","GO:0000974")</f>
        <v>GO:0000974</v>
      </c>
      <c r="BZ71" s="3" t="s">
        <v>923</v>
      </c>
      <c r="CA71" s="3" t="s">
        <v>924</v>
      </c>
      <c r="CB71" s="3" t="s">
        <v>925</v>
      </c>
      <c r="CC71" s="3" t="s">
        <v>36</v>
      </c>
      <c r="CE71" s="3">
        <v>0</v>
      </c>
      <c r="CF71" s="3" t="str">
        <f>HYPERLINK("http://amigo.geneontology.org/cgi-bin/amigo/term_details?term=GO:0006200","GO:0006200")</f>
        <v>GO:0006200</v>
      </c>
      <c r="CG71" s="3" t="s">
        <v>926</v>
      </c>
      <c r="CH71" s="3" t="s">
        <v>927</v>
      </c>
      <c r="CI71" s="3" t="s">
        <v>928</v>
      </c>
      <c r="CJ71" s="3" t="s">
        <v>36</v>
      </c>
      <c r="CL71" s="3">
        <v>0</v>
      </c>
      <c r="CM71" s="3" t="str">
        <f>HYPERLINK(".\links\CDD\Rm-24571-CDD.txt","PTZ00009")</f>
        <v>PTZ00009</v>
      </c>
      <c r="CN71" s="3" t="str">
        <f>HYPERLINK("http://www.ncbi.nlm.nih.gov/Structure/cdd/cddsrv.cgi?uid=PTZ00009&amp;version=v4.0","0.0")</f>
        <v>0.0</v>
      </c>
      <c r="CO71" s="3" t="s">
        <v>929</v>
      </c>
      <c r="CP71" s="3" t="str">
        <f>HYPERLINK(".\links\ACARI\Rm-24571-ACARI.txt","heat shock protein 70 cognate, partial")</f>
        <v>heat shock protein 70 cognate, partial</v>
      </c>
      <c r="CQ71" s="3" t="str">
        <f>HYPERLINK("http://www.ncbi.nlm.nih.gov/sutils/blink.cgi?pid=629510504","0.0")</f>
        <v>0.0</v>
      </c>
      <c r="CR71" s="3" t="str">
        <f>HYPERLINK("http://www.ncbi.nlm.nih.gov/protein/629510504","gi|629510504")</f>
        <v>gi|629510504</v>
      </c>
      <c r="CS71" s="3">
        <v>919</v>
      </c>
      <c r="CT71" s="3">
        <v>469</v>
      </c>
      <c r="CU71" s="3">
        <v>469</v>
      </c>
      <c r="CV71" s="3">
        <v>100</v>
      </c>
      <c r="CW71" s="3">
        <v>100</v>
      </c>
      <c r="CX71" s="3">
        <v>100</v>
      </c>
      <c r="CY71" s="3">
        <v>0</v>
      </c>
      <c r="CZ71" s="3">
        <v>0</v>
      </c>
      <c r="DA71" s="3">
        <v>1</v>
      </c>
      <c r="DB71" s="3">
        <v>1</v>
      </c>
      <c r="DC71" s="3">
        <v>1</v>
      </c>
      <c r="DD71" s="3" t="s">
        <v>203</v>
      </c>
    </row>
    <row r="72" spans="1:108" s="3" customFormat="1" x14ac:dyDescent="0.2">
      <c r="A72" s="3" t="s">
        <v>1339</v>
      </c>
      <c r="B72" s="3" t="str">
        <f>HYPERLINK(".\links\\Rm-62470-.txt","Rm-62470")</f>
        <v>Rm-62470</v>
      </c>
      <c r="C72" s="3" t="s">
        <v>35</v>
      </c>
      <c r="D72" s="3">
        <v>181</v>
      </c>
      <c r="E72" s="9" t="s">
        <v>203</v>
      </c>
      <c r="F72" s="3" t="s">
        <v>1281</v>
      </c>
      <c r="G72" s="1" t="s">
        <v>1472</v>
      </c>
      <c r="H72" s="3" t="str">
        <f>HYPERLINK(".\links\UNIPROT-ACARI\Rm-62470-UNIPROT-ACARI.txt","Putative der and-287 heat shock-related protein")</f>
        <v>Putative der and-287 heat shock-related protein</v>
      </c>
      <c r="I72" s="3" t="str">
        <f>HYPERLINK("http://www.ncbi.nlm.nih.gov/sutils/blink.cgi?pid=L7M4D3","1E-100")</f>
        <v>1E-100</v>
      </c>
      <c r="J72" s="3" t="s">
        <v>965</v>
      </c>
      <c r="K72" s="3">
        <v>361</v>
      </c>
      <c r="L72" s="3">
        <v>181</v>
      </c>
      <c r="M72" s="3">
        <v>181</v>
      </c>
      <c r="N72" s="3">
        <v>94</v>
      </c>
      <c r="O72" s="3">
        <v>97</v>
      </c>
      <c r="P72" s="3">
        <v>100</v>
      </c>
      <c r="Q72" s="3">
        <v>10</v>
      </c>
      <c r="R72" s="3">
        <v>0</v>
      </c>
      <c r="S72" s="3">
        <v>1</v>
      </c>
      <c r="T72" s="3">
        <v>1</v>
      </c>
      <c r="U72" s="3">
        <v>1</v>
      </c>
      <c r="V72" s="3" t="s">
        <v>36</v>
      </c>
      <c r="W72" s="3" t="str">
        <f>HYPERLINK(".\links\NR-LIGHT\Rm-62470-NR-LIGHT.txt","alpha-crystallin B chain, putative")</f>
        <v>alpha-crystallin B chain, putative</v>
      </c>
      <c r="X72" s="3" t="str">
        <f>HYPERLINK("http://www.ncbi.nlm.nih.gov/sutils/blink.cgi?pid=241112923","2E-053")</f>
        <v>2E-053</v>
      </c>
      <c r="Y72" s="3" t="str">
        <f>HYPERLINK("http://www.ncbi.nlm.nih.gov/protein/241112923","gi|241112923")</f>
        <v>gi|241112923</v>
      </c>
      <c r="Z72" s="3">
        <v>210</v>
      </c>
      <c r="AA72" s="3">
        <v>179</v>
      </c>
      <c r="AB72" s="3">
        <v>174</v>
      </c>
      <c r="AC72" s="3">
        <v>62</v>
      </c>
      <c r="AD72" s="3">
        <v>72</v>
      </c>
      <c r="AE72" s="3">
        <v>103</v>
      </c>
      <c r="AF72" s="3">
        <v>67</v>
      </c>
      <c r="AG72" s="3">
        <v>12</v>
      </c>
      <c r="AH72" s="3">
        <v>1</v>
      </c>
      <c r="AI72" s="3">
        <v>1</v>
      </c>
      <c r="AJ72" s="3">
        <v>1</v>
      </c>
      <c r="AK72" s="3" t="s">
        <v>40</v>
      </c>
      <c r="AL72" s="3" t="str">
        <f>HYPERLINK(".\links\REFSEQ-INVERTEBRATE\Rm-62470-REFSEQ-INVERTEBRATE.txt","alpha-crystallin B chain, putative")</f>
        <v>alpha-crystallin B chain, putative</v>
      </c>
      <c r="AM72" s="3" t="str">
        <f>HYPERLINK("http://www.ncbi.nlm.nih.gov/sutils/blink.cgi?pid=241112923","7E-054")</f>
        <v>7E-054</v>
      </c>
      <c r="AN72" s="3" t="str">
        <f>HYPERLINK("http://www.ncbi.nlm.nih.gov/protein/241112923","gi|241112923")</f>
        <v>gi|241112923</v>
      </c>
      <c r="AO72" s="3">
        <v>210</v>
      </c>
      <c r="AP72" s="3">
        <v>179</v>
      </c>
      <c r="AQ72" s="3">
        <v>174</v>
      </c>
      <c r="AR72" s="3">
        <v>62</v>
      </c>
      <c r="AS72" s="3">
        <v>72</v>
      </c>
      <c r="AT72" s="3">
        <v>103</v>
      </c>
      <c r="AU72" s="3">
        <v>67</v>
      </c>
      <c r="AV72" s="3">
        <v>12</v>
      </c>
      <c r="AW72" s="3">
        <v>1</v>
      </c>
      <c r="AX72" s="3">
        <v>1</v>
      </c>
      <c r="AY72" s="3">
        <v>1</v>
      </c>
      <c r="AZ72" s="3" t="s">
        <v>40</v>
      </c>
      <c r="BA72" s="3" t="str">
        <f>HYPERLINK(".\links\MEROPS\Rm-62470-MEROPS.txt","- T3F20.15 protein ({Arabidopsis thaliana}) (Arabidopsis thaliana)")</f>
        <v>- T3F20.15 protein ({Arabidopsis thaliana}) (Arabidopsis thaliana)</v>
      </c>
      <c r="BB72" s="3" t="str">
        <f>HYPERLINK("http://www.ncbi.nlm.nih.gov/sutils/blink.cgi?pid=017118 - T3F20.15 protein ({Arabidopsis thaliana}) (Arabidopsis thaliana) [S26.A08]#S26A#{peptidase unit","0.033")</f>
        <v>0.033</v>
      </c>
      <c r="BC72" s="3" t="s">
        <v>966</v>
      </c>
      <c r="BD72" s="3">
        <v>38.5</v>
      </c>
      <c r="BE72" s="3">
        <v>114</v>
      </c>
      <c r="BF72" s="3">
        <v>403</v>
      </c>
      <c r="BG72" s="3">
        <v>26</v>
      </c>
      <c r="BH72" s="3">
        <v>48</v>
      </c>
      <c r="BI72" s="3">
        <v>28</v>
      </c>
      <c r="BJ72" s="3">
        <v>84</v>
      </c>
      <c r="BK72" s="3">
        <v>10</v>
      </c>
      <c r="BL72" s="3">
        <v>276</v>
      </c>
      <c r="BM72" s="3">
        <v>46</v>
      </c>
      <c r="BN72" s="3">
        <v>1</v>
      </c>
      <c r="BO72" s="3" t="s">
        <v>967</v>
      </c>
      <c r="BP72" s="3" t="s">
        <v>968</v>
      </c>
      <c r="BQ72" s="3">
        <f>HYPERLINK(".\links\GO\Rm-62470-GO.txt",7E-21)</f>
        <v>7.0000000000000007E-21</v>
      </c>
      <c r="BR72" s="3" t="str">
        <f>HYPERLINK("http://amigo.geneontology.org/cgi-bin/amigo/term_details?term=GO:0005515","GO:0005515")</f>
        <v>GO:0005515</v>
      </c>
      <c r="BS72" s="3" t="s">
        <v>466</v>
      </c>
      <c r="BT72" s="3" t="s">
        <v>467</v>
      </c>
      <c r="BU72" s="3" t="s">
        <v>468</v>
      </c>
      <c r="BV72" s="3" t="s">
        <v>36</v>
      </c>
      <c r="BX72" s="4">
        <v>1.9999999999999999E-20</v>
      </c>
      <c r="BY72" s="3" t="str">
        <f>HYPERLINK("http://amigo.geneontology.org/cgi-bin/amigo/term_details?term=GO:0005634","GO:0005634")</f>
        <v>GO:0005634</v>
      </c>
      <c r="BZ72" s="3" t="s">
        <v>359</v>
      </c>
      <c r="CA72" s="3" t="s">
        <v>360</v>
      </c>
      <c r="CB72" s="3" t="s">
        <v>361</v>
      </c>
      <c r="CC72" s="3" t="s">
        <v>36</v>
      </c>
      <c r="CE72" s="4">
        <v>1.9999999999999999E-20</v>
      </c>
      <c r="CF72" s="3" t="str">
        <f>HYPERLINK("http://amigo.geneontology.org/cgi-bin/amigo/term_details?term=GO:0001666","GO:0001666")</f>
        <v>GO:0001666</v>
      </c>
      <c r="CG72" s="3" t="s">
        <v>969</v>
      </c>
      <c r="CH72" s="3" t="s">
        <v>970</v>
      </c>
      <c r="CI72" s="3" t="s">
        <v>971</v>
      </c>
      <c r="CJ72" s="3" t="s">
        <v>36</v>
      </c>
      <c r="CL72" s="4">
        <v>1.9999999999999999E-20</v>
      </c>
      <c r="CM72" s="3" t="str">
        <f>HYPERLINK(".\links\CDD\Rm-62470-CDD.txt","ACD_alphaB-crys")</f>
        <v>ACD_alphaB-crys</v>
      </c>
      <c r="CN72" s="3" t="str">
        <f>HYPERLINK("http://www.ncbi.nlm.nih.gov/Structure/cdd/cddsrv.cgi?uid=cd06498&amp;version=v4.0","4E-019")</f>
        <v>4E-019</v>
      </c>
      <c r="CO72" s="3" t="s">
        <v>972</v>
      </c>
      <c r="CP72" s="3" t="str">
        <f>HYPERLINK(".\links\ACARI\Rm-62470-ACARI.txt","Putative der and-287 heat shock-related protein")</f>
        <v>Putative der and-287 heat shock-related protein</v>
      </c>
      <c r="CQ72" s="3" t="str">
        <f>HYPERLINK("http://www.ncbi.nlm.nih.gov/sutils/blink.cgi?pid=427786531","1E-100")</f>
        <v>1E-100</v>
      </c>
      <c r="CR72" s="3" t="str">
        <f>HYPERLINK("http://www.ncbi.nlm.nih.gov/protein/427786531","gi|427786531")</f>
        <v>gi|427786531</v>
      </c>
      <c r="CS72" s="3">
        <v>361</v>
      </c>
      <c r="CT72" s="3">
        <v>181</v>
      </c>
      <c r="CU72" s="3">
        <v>181</v>
      </c>
      <c r="CV72" s="3">
        <v>94</v>
      </c>
      <c r="CW72" s="3">
        <v>97</v>
      </c>
      <c r="CX72" s="3">
        <v>100</v>
      </c>
      <c r="CY72" s="3">
        <v>10</v>
      </c>
      <c r="CZ72" s="3">
        <v>0</v>
      </c>
      <c r="DA72" s="3">
        <v>1</v>
      </c>
      <c r="DB72" s="3">
        <v>1</v>
      </c>
      <c r="DC72" s="3">
        <v>1</v>
      </c>
      <c r="DD72" s="3" t="s">
        <v>68</v>
      </c>
    </row>
    <row r="73" spans="1:108" s="3" customFormat="1" x14ac:dyDescent="0.2">
      <c r="A73" s="3" t="s">
        <v>1408</v>
      </c>
      <c r="B73" s="3" t="str">
        <f>HYPERLINK(".\links\\gi_296051289-.txt","gi_296051289")</f>
        <v>gi_296051289</v>
      </c>
      <c r="C73" s="3" t="s">
        <v>35</v>
      </c>
      <c r="D73" s="3">
        <v>371</v>
      </c>
      <c r="E73" s="9" t="s">
        <v>53</v>
      </c>
      <c r="F73" s="3" t="s">
        <v>1282</v>
      </c>
      <c r="G73" s="1" t="s">
        <v>1472</v>
      </c>
      <c r="H73" s="3" t="str">
        <f>HYPERLINK(".\links\UNIPROT-ACARI\gi_296051289-UNIPROT-ACARI.txt","Lysosomal acid phosphatase")</f>
        <v>Lysosomal acid phosphatase</v>
      </c>
      <c r="I73" s="3" t="str">
        <f>HYPERLINK("http://www.ncbi.nlm.nih.gov/sutils/blink.cgi?pid=G8C7A0","0.0")</f>
        <v>0.0</v>
      </c>
      <c r="J73" s="3" t="s">
        <v>1130</v>
      </c>
      <c r="K73" s="3">
        <v>768</v>
      </c>
      <c r="L73" s="3">
        <v>371</v>
      </c>
      <c r="M73" s="3">
        <v>371</v>
      </c>
      <c r="N73" s="3">
        <v>100</v>
      </c>
      <c r="O73" s="3">
        <v>100</v>
      </c>
      <c r="P73" s="3">
        <v>100</v>
      </c>
      <c r="Q73" s="3">
        <v>0</v>
      </c>
      <c r="R73" s="3">
        <v>0</v>
      </c>
      <c r="S73" s="3">
        <v>1</v>
      </c>
      <c r="T73" s="3">
        <v>1</v>
      </c>
      <c r="U73" s="3">
        <v>1</v>
      </c>
      <c r="V73" s="3" t="s">
        <v>36</v>
      </c>
      <c r="W73" s="3" t="str">
        <f>HYPERLINK(".\links\NR-LIGHT\gi_296051289-NR-LIGHT.txt","lysosomal acid phosphatase")</f>
        <v>lysosomal acid phosphatase</v>
      </c>
      <c r="X73" s="3" t="str">
        <f>HYPERLINK("http://www.ncbi.nlm.nih.gov/sutils/blink.cgi?pid=296051289","0.0")</f>
        <v>0.0</v>
      </c>
      <c r="Y73" s="3" t="str">
        <f>HYPERLINK("http://www.ncbi.nlm.nih.gov/protein/296051289","gi|296051289")</f>
        <v>gi|296051289</v>
      </c>
      <c r="Z73" s="3">
        <v>768</v>
      </c>
      <c r="AA73" s="3">
        <v>371</v>
      </c>
      <c r="AB73" s="3">
        <v>371</v>
      </c>
      <c r="AC73" s="3">
        <v>100</v>
      </c>
      <c r="AD73" s="3">
        <v>100</v>
      </c>
      <c r="AE73" s="3">
        <v>100</v>
      </c>
      <c r="AF73" s="3">
        <v>0</v>
      </c>
      <c r="AG73" s="3">
        <v>0</v>
      </c>
      <c r="AH73" s="3">
        <v>1</v>
      </c>
      <c r="AI73" s="3">
        <v>1</v>
      </c>
      <c r="AJ73" s="3">
        <v>1</v>
      </c>
      <c r="AK73" s="3" t="s">
        <v>53</v>
      </c>
      <c r="AL73" s="3" t="str">
        <f>HYPERLINK(".\links\REFSEQ-INVERTEBRATE\gi_296051289-REFSEQ-INVERTEBRATE.txt","lysosomal acid phosphatase, putative")</f>
        <v>lysosomal acid phosphatase, putative</v>
      </c>
      <c r="AM73" s="3" t="str">
        <f>HYPERLINK("http://www.ncbi.nlm.nih.gov/sutils/blink.cgi?pid=241168967","0.0")</f>
        <v>0.0</v>
      </c>
      <c r="AN73" s="3" t="str">
        <f>HYPERLINK("http://www.ncbi.nlm.nih.gov/protein/241168967","gi|241168967")</f>
        <v>gi|241168967</v>
      </c>
      <c r="AO73" s="3">
        <v>654</v>
      </c>
      <c r="AP73" s="3">
        <v>369</v>
      </c>
      <c r="AQ73" s="3">
        <v>373</v>
      </c>
      <c r="AR73" s="3">
        <v>82</v>
      </c>
      <c r="AS73" s="3">
        <v>91</v>
      </c>
      <c r="AT73" s="3">
        <v>99</v>
      </c>
      <c r="AU73" s="3">
        <v>63</v>
      </c>
      <c r="AV73" s="3">
        <v>0</v>
      </c>
      <c r="AW73" s="3">
        <v>5</v>
      </c>
      <c r="AX73" s="3">
        <v>3</v>
      </c>
      <c r="AY73" s="3">
        <v>1</v>
      </c>
      <c r="AZ73" s="3" t="s">
        <v>40</v>
      </c>
      <c r="BA73" s="3" t="str">
        <f>HYPERLINK(".\links\MEROPS\gi_296051289-MEROPS.txt","- papain homologue ({Rattus}-type) (Pediculus humanus)")</f>
        <v>- papain homologue ({Rattus}-type) (Pediculus humanus)</v>
      </c>
      <c r="BB73" s="3" t="str">
        <f>HYPERLINK("http://www.ncbi.nlm.nih.gov/sutils/blink.cgi?pid=158813 - papain homologue ({Rattus}-type) (Pediculus humanus) [C01.107]#C01A#{peptidase unit","1.7")</f>
        <v>1.7</v>
      </c>
      <c r="BC73" s="3" t="s">
        <v>1131</v>
      </c>
      <c r="BD73" s="3">
        <v>34.700000000000003</v>
      </c>
      <c r="BE73" s="3">
        <v>64</v>
      </c>
      <c r="BF73" s="3">
        <v>345</v>
      </c>
      <c r="BG73" s="3">
        <v>28</v>
      </c>
      <c r="BH73" s="3">
        <v>53</v>
      </c>
      <c r="BI73" s="3">
        <v>19</v>
      </c>
      <c r="BJ73" s="3">
        <v>46</v>
      </c>
      <c r="BK73" s="3">
        <v>3</v>
      </c>
      <c r="BL73" s="3">
        <v>37</v>
      </c>
      <c r="BM73" s="3">
        <v>233</v>
      </c>
      <c r="BN73" s="3">
        <v>1</v>
      </c>
      <c r="BO73" s="3" t="s">
        <v>248</v>
      </c>
      <c r="BP73" s="3" t="s">
        <v>327</v>
      </c>
      <c r="BQ73" s="3">
        <f>HYPERLINK(".\links\GO\gi_296051289-GO.txt",4E-56)</f>
        <v>4.0000000000000002E-56</v>
      </c>
      <c r="BR73" s="3" t="str">
        <f>HYPERLINK("http://amigo.geneontology.org/cgi-bin/amigo/term_details?term=GO:0003993","GO:0003993")</f>
        <v>GO:0003993</v>
      </c>
      <c r="BS73" s="3" t="s">
        <v>328</v>
      </c>
      <c r="BT73" s="3" t="s">
        <v>329</v>
      </c>
      <c r="BU73" s="3" t="s">
        <v>330</v>
      </c>
      <c r="BV73" s="3" t="str">
        <f>HYPERLINK("http://www.genome.jp/dbget-bin/www_bfind_sub?mode=bfind&amp;max_hit=1000&amp;dbkey=kegg&amp;keywords=EC:3.1.3.2","EC:3.1.3.2")</f>
        <v>EC:3.1.3.2</v>
      </c>
      <c r="BX73" s="4">
        <v>4.0000000000000002E-56</v>
      </c>
      <c r="BY73" s="3" t="str">
        <f>HYPERLINK("http://amigo.geneontology.org/cgi-bin/amigo/term_details?term=GO:0005615","GO:0005615")</f>
        <v>GO:0005615</v>
      </c>
      <c r="BZ73" s="3" t="s">
        <v>195</v>
      </c>
      <c r="CA73" s="3" t="s">
        <v>196</v>
      </c>
      <c r="CB73" s="3" t="s">
        <v>197</v>
      </c>
      <c r="CC73" s="3" t="s">
        <v>36</v>
      </c>
      <c r="CE73" s="4">
        <v>4.0000000000000002E-56</v>
      </c>
      <c r="CF73" s="3" t="str">
        <f>HYPERLINK("http://amigo.geneontology.org/cgi-bin/amigo/term_details?term=GO:0006772","GO:0006772")</f>
        <v>GO:0006772</v>
      </c>
      <c r="CG73" s="3" t="s">
        <v>331</v>
      </c>
      <c r="CH73" s="3" t="s">
        <v>332</v>
      </c>
      <c r="CI73" s="3" t="s">
        <v>333</v>
      </c>
      <c r="CJ73" s="3" t="s">
        <v>36</v>
      </c>
      <c r="CL73" s="4">
        <v>4.0000000000000002E-56</v>
      </c>
      <c r="CM73" s="3" t="str">
        <f>HYPERLINK(".\links\CDD\gi_296051289-CDD.txt","His_Phos_2")</f>
        <v>His_Phos_2</v>
      </c>
      <c r="CN73" s="3" t="str">
        <f>HYPERLINK("http://www.ncbi.nlm.nih.gov/Structure/cdd/cddsrv.cgi?uid=pfam00328&amp;version=v4.0","2E-026")</f>
        <v>2E-026</v>
      </c>
      <c r="CO73" s="3" t="s">
        <v>1132</v>
      </c>
      <c r="CP73" s="3" t="str">
        <f>HYPERLINK(".\links\ACARI\gi_296051289-ACARI.txt","lysosomal acid phosphatase")</f>
        <v>lysosomal acid phosphatase</v>
      </c>
      <c r="CQ73" s="3" t="str">
        <f>HYPERLINK("http://www.ncbi.nlm.nih.gov/sutils/blink.cgi?pid=296051289","0.0")</f>
        <v>0.0</v>
      </c>
      <c r="CR73" s="3" t="str">
        <f>HYPERLINK("http://www.ncbi.nlm.nih.gov/protein/296051289","gi|296051289")</f>
        <v>gi|296051289</v>
      </c>
      <c r="CS73" s="3">
        <v>768</v>
      </c>
      <c r="CT73" s="3">
        <v>371</v>
      </c>
      <c r="CU73" s="3">
        <v>371</v>
      </c>
      <c r="CV73" s="3">
        <v>100</v>
      </c>
      <c r="CW73" s="3">
        <v>100</v>
      </c>
      <c r="CX73" s="3">
        <v>100</v>
      </c>
      <c r="CY73" s="3">
        <v>0</v>
      </c>
      <c r="CZ73" s="3">
        <v>0</v>
      </c>
      <c r="DA73" s="3">
        <v>1</v>
      </c>
      <c r="DB73" s="3">
        <v>1</v>
      </c>
      <c r="DC73" s="3">
        <v>1</v>
      </c>
      <c r="DD73" s="3" t="s">
        <v>53</v>
      </c>
    </row>
    <row r="74" spans="1:108" s="3" customFormat="1" x14ac:dyDescent="0.2">
      <c r="A74" s="3" t="s">
        <v>1344</v>
      </c>
      <c r="B74" s="3" t="str">
        <f>HYPERLINK(".\links\\gi_427793851-.txt","gi_427793851")</f>
        <v>gi_427793851</v>
      </c>
      <c r="C74" s="3" t="s">
        <v>369</v>
      </c>
      <c r="D74" s="3">
        <v>726</v>
      </c>
      <c r="E74" s="9" t="s">
        <v>68</v>
      </c>
      <c r="F74" s="3" t="s">
        <v>1238</v>
      </c>
      <c r="G74" s="1" t="s">
        <v>1472</v>
      </c>
      <c r="H74" s="3" t="str">
        <f>HYPERLINK(".\links\UNIPROT-ACARI\gi_427793851-UNIPROT-ACARI.txt","Putative gmp synthase (Fragment)")</f>
        <v>Putative gmp synthase (Fragment)</v>
      </c>
      <c r="I74" s="3" t="str">
        <f>HYPERLINK("http://www.ncbi.nlm.nih.gov/sutils/blink.cgi?pid=L7MEX3","0.0")</f>
        <v>0.0</v>
      </c>
      <c r="J74" s="3" t="s">
        <v>552</v>
      </c>
      <c r="K74" s="3">
        <v>1456</v>
      </c>
      <c r="L74" s="3">
        <v>726</v>
      </c>
      <c r="M74" s="3">
        <v>726</v>
      </c>
      <c r="N74" s="3">
        <v>100</v>
      </c>
      <c r="O74" s="3">
        <v>100</v>
      </c>
      <c r="P74" s="3">
        <v>100</v>
      </c>
      <c r="Q74" s="3">
        <v>0</v>
      </c>
      <c r="R74" s="3">
        <v>0</v>
      </c>
      <c r="S74" s="3">
        <v>1</v>
      </c>
      <c r="T74" s="3">
        <v>1</v>
      </c>
      <c r="U74" s="3">
        <v>1</v>
      </c>
      <c r="V74" s="3" t="s">
        <v>36</v>
      </c>
      <c r="W74" s="3" t="str">
        <f>HYPERLINK(".\links\NR-LIGHT\gi_427793851-NR-LIGHT.txt","GMP synthase, putative")</f>
        <v>GMP synthase, putative</v>
      </c>
      <c r="X74" s="3" t="str">
        <f>HYPERLINK("http://www.ncbi.nlm.nih.gov/sutils/blink.cgi?pid=241999384","0.0")</f>
        <v>0.0</v>
      </c>
      <c r="Y74" s="3" t="str">
        <f>HYPERLINK("http://www.ncbi.nlm.nih.gov/protein/241999384","gi|241999384")</f>
        <v>gi|241999384</v>
      </c>
      <c r="Z74" s="3">
        <v>1280</v>
      </c>
      <c r="AA74" s="3">
        <v>697</v>
      </c>
      <c r="AB74" s="3">
        <v>696</v>
      </c>
      <c r="AC74" s="3">
        <v>90</v>
      </c>
      <c r="AD74" s="3">
        <v>96</v>
      </c>
      <c r="AE74" s="3">
        <v>100</v>
      </c>
      <c r="AF74" s="3">
        <v>67</v>
      </c>
      <c r="AG74" s="3">
        <v>3</v>
      </c>
      <c r="AH74" s="3">
        <v>1</v>
      </c>
      <c r="AI74" s="3">
        <v>32</v>
      </c>
      <c r="AJ74" s="3">
        <v>1</v>
      </c>
      <c r="AK74" s="3" t="s">
        <v>40</v>
      </c>
      <c r="AL74" s="3" t="str">
        <f>HYPERLINK(".\links\REFSEQ-INVERTEBRATE\gi_427793851-REFSEQ-INVERTEBRATE.txt","GMP synthase, putative, partial")</f>
        <v>GMP synthase, putative, partial</v>
      </c>
      <c r="AM74" s="3" t="str">
        <f>HYPERLINK("http://www.ncbi.nlm.nih.gov/sutils/blink.cgi?pid=241999384","0.0")</f>
        <v>0.0</v>
      </c>
      <c r="AN74" s="3" t="str">
        <f>HYPERLINK("http://www.ncbi.nlm.nih.gov/protein/241999384","gi|241999384")</f>
        <v>gi|241999384</v>
      </c>
      <c r="AO74" s="3">
        <v>1280</v>
      </c>
      <c r="AP74" s="3">
        <v>697</v>
      </c>
      <c r="AQ74" s="3">
        <v>696</v>
      </c>
      <c r="AR74" s="3">
        <v>90</v>
      </c>
      <c r="AS74" s="3">
        <v>96</v>
      </c>
      <c r="AT74" s="3">
        <v>100</v>
      </c>
      <c r="AU74" s="3">
        <v>67</v>
      </c>
      <c r="AV74" s="3">
        <v>3</v>
      </c>
      <c r="AW74" s="3">
        <v>1</v>
      </c>
      <c r="AX74" s="3">
        <v>32</v>
      </c>
      <c r="AY74" s="3">
        <v>1</v>
      </c>
      <c r="AZ74" s="3" t="s">
        <v>40</v>
      </c>
      <c r="BA74" s="3" t="str">
        <f>HYPERLINK(".\links\MEROPS\gi_427793851-MEROPS.txt","- LD42771 protein ({Drosophila melanogaster}) (Ixodes scapularis)")</f>
        <v>- LD42771 protein ({Drosophila melanogaster}) (Ixodes scapularis)</v>
      </c>
      <c r="BB74" s="3" t="str">
        <f>HYPERLINK("http://www.ncbi.nlm.nih.gov/sutils/blink.cgi?pid=441826 - LD42771 protein ({Drosophila melanogaster}) (Ixodes scapularis) [C26.A21]#C26#{peptidase unit","0.0")</f>
        <v>0.0</v>
      </c>
      <c r="BC74" s="3" t="s">
        <v>553</v>
      </c>
      <c r="BD74" s="3">
        <v>1280</v>
      </c>
      <c r="BE74" s="3">
        <v>697</v>
      </c>
      <c r="BF74" s="3">
        <v>696</v>
      </c>
      <c r="BG74" s="3">
        <v>90</v>
      </c>
      <c r="BH74" s="3">
        <v>96</v>
      </c>
      <c r="BI74" s="3">
        <v>100</v>
      </c>
      <c r="BJ74" s="3">
        <v>67</v>
      </c>
      <c r="BK74" s="3">
        <v>3</v>
      </c>
      <c r="BL74" s="3">
        <v>1</v>
      </c>
      <c r="BM74" s="3">
        <v>32</v>
      </c>
      <c r="BN74" s="3">
        <v>1</v>
      </c>
      <c r="BO74" s="3" t="s">
        <v>554</v>
      </c>
      <c r="BP74" s="3" t="s">
        <v>555</v>
      </c>
      <c r="BQ74" s="3">
        <f>HYPERLINK(".\links\GO\gi_427793851-GO.txt",0)</f>
        <v>0</v>
      </c>
      <c r="BR74" s="3" t="str">
        <f>HYPERLINK("http://amigo.geneontology.org/cgi-bin/amigo/term_details?term=GO:0003921","GO:0003921")</f>
        <v>GO:0003921</v>
      </c>
      <c r="BS74" s="3" t="s">
        <v>556</v>
      </c>
      <c r="BT74" s="3" t="s">
        <v>557</v>
      </c>
      <c r="BU74" s="3" t="s">
        <v>558</v>
      </c>
      <c r="BV74" s="3" t="str">
        <f>HYPERLINK("http://www.genome.jp/dbget-bin/www_bfind_sub?mode=bfind&amp;max_hit=1000&amp;dbkey=kegg&amp;keywords=EC:6.3.4.1","EC:6.3.4.1")</f>
        <v>EC:6.3.4.1</v>
      </c>
      <c r="BX74" s="3">
        <v>0</v>
      </c>
      <c r="BY74" s="3" t="str">
        <f>HYPERLINK("http://amigo.geneontology.org/cgi-bin/amigo/term_details?term=GO:0005737","GO:0005737")</f>
        <v>GO:0005737</v>
      </c>
      <c r="BZ74" s="3" t="s">
        <v>374</v>
      </c>
      <c r="CA74" s="3" t="s">
        <v>375</v>
      </c>
      <c r="CB74" s="3" t="s">
        <v>36</v>
      </c>
      <c r="CC74" s="3" t="s">
        <v>36</v>
      </c>
      <c r="CE74" s="3">
        <v>0</v>
      </c>
      <c r="CF74" s="3" t="str">
        <f>HYPERLINK("http://amigo.geneontology.org/cgi-bin/amigo/term_details?term=GO:0006177","GO:0006177")</f>
        <v>GO:0006177</v>
      </c>
      <c r="CG74" s="3" t="s">
        <v>559</v>
      </c>
      <c r="CH74" s="3" t="s">
        <v>560</v>
      </c>
      <c r="CI74" s="3" t="s">
        <v>561</v>
      </c>
      <c r="CJ74" s="3" t="s">
        <v>36</v>
      </c>
      <c r="CL74" s="3">
        <v>0</v>
      </c>
      <c r="CM74" s="3" t="str">
        <f>HYPERLINK(".\links\CDD\gi_427793851-CDD.txt","GMP synthase")</f>
        <v>GMP synthase</v>
      </c>
      <c r="CN74" s="3" t="str">
        <f>HYPERLINK("http://www.ncbi.nlm.nih.gov/Structure/cdd/cddsrv.cgi?uid=PRK00074&amp;version=v4.0","1E-103")</f>
        <v>1E-103</v>
      </c>
      <c r="CO74" s="3" t="s">
        <v>562</v>
      </c>
      <c r="CP74" s="3" t="str">
        <f>HYPERLINK(".\links\ACARI\gi_427793851-ACARI.txt","Putative gmp synthase, partial")</f>
        <v>Putative gmp synthase, partial</v>
      </c>
      <c r="CQ74" s="3" t="str">
        <f>HYPERLINK("http://www.ncbi.nlm.nih.gov/sutils/blink.cgi?pid=427793851","0.0")</f>
        <v>0.0</v>
      </c>
      <c r="CR74" s="3" t="str">
        <f>HYPERLINK("http://www.ncbi.nlm.nih.gov/protein/427793851","gi|427793851")</f>
        <v>gi|427793851</v>
      </c>
      <c r="CS74" s="3">
        <v>1456</v>
      </c>
      <c r="CT74" s="3">
        <v>726</v>
      </c>
      <c r="CU74" s="3">
        <v>726</v>
      </c>
      <c r="CV74" s="3">
        <v>100</v>
      </c>
      <c r="CW74" s="3">
        <v>100</v>
      </c>
      <c r="CX74" s="3">
        <v>100</v>
      </c>
      <c r="CY74" s="3">
        <v>0</v>
      </c>
      <c r="CZ74" s="3">
        <v>0</v>
      </c>
      <c r="DA74" s="3">
        <v>1</v>
      </c>
      <c r="DB74" s="3">
        <v>1</v>
      </c>
      <c r="DC74" s="3">
        <v>1</v>
      </c>
      <c r="DD74" s="3" t="s">
        <v>68</v>
      </c>
    </row>
    <row r="75" spans="1:108" s="3" customFormat="1" x14ac:dyDescent="0.2">
      <c r="A75" s="3" t="s">
        <v>1304</v>
      </c>
      <c r="B75" s="3" t="str">
        <f>HYPERLINK(".\links\\Rm-32843-.txt","Rm-32843")</f>
        <v>Rm-32843</v>
      </c>
      <c r="C75" s="3" t="s">
        <v>35</v>
      </c>
      <c r="D75" s="3">
        <v>371</v>
      </c>
      <c r="E75" s="9" t="s">
        <v>203</v>
      </c>
      <c r="F75" s="3" t="s">
        <v>1236</v>
      </c>
      <c r="G75" s="1" t="s">
        <v>1472</v>
      </c>
      <c r="H75" s="3" t="str">
        <f>HYPERLINK(".\links\UNIPROT-ACARI\Rm-32843-UNIPROT-ACARI.txt","Putative lysosomal &amp; prostatic acid phosphatase")</f>
        <v>Putative lysosomal &amp; prostatic acid phosphatase</v>
      </c>
      <c r="I75" s="3" t="str">
        <f>HYPERLINK("http://www.ncbi.nlm.nih.gov/sutils/blink.cgi?pid=L7M921","0.0")</f>
        <v>0.0</v>
      </c>
      <c r="J75" s="3" t="s">
        <v>324</v>
      </c>
      <c r="K75" s="3">
        <v>736</v>
      </c>
      <c r="L75" s="3">
        <v>371</v>
      </c>
      <c r="M75" s="3">
        <v>371</v>
      </c>
      <c r="N75" s="3">
        <v>95</v>
      </c>
      <c r="O75" s="3">
        <v>97</v>
      </c>
      <c r="P75" s="3">
        <v>100</v>
      </c>
      <c r="Q75" s="3">
        <v>16</v>
      </c>
      <c r="R75" s="3">
        <v>0</v>
      </c>
      <c r="S75" s="3">
        <v>1</v>
      </c>
      <c r="T75" s="3">
        <v>1</v>
      </c>
      <c r="U75" s="3">
        <v>1</v>
      </c>
      <c r="V75" s="3" t="s">
        <v>36</v>
      </c>
      <c r="W75" s="3" t="str">
        <f>HYPERLINK(".\links\NR-LIGHT\Rm-32843-NR-LIGHT.txt","lysosomal acid phosphatase")</f>
        <v>lysosomal acid phosphatase</v>
      </c>
      <c r="X75" s="3" t="str">
        <f>HYPERLINK("http://www.ncbi.nlm.nih.gov/sutils/blink.cgi?pid=296051289","0.0")</f>
        <v>0.0</v>
      </c>
      <c r="Y75" s="3" t="str">
        <f>HYPERLINK("http://www.ncbi.nlm.nih.gov/protein/296051289","gi|296051289")</f>
        <v>gi|296051289</v>
      </c>
      <c r="Z75" s="3">
        <v>694</v>
      </c>
      <c r="AA75" s="3">
        <v>371</v>
      </c>
      <c r="AB75" s="3">
        <v>371</v>
      </c>
      <c r="AC75" s="3">
        <v>89</v>
      </c>
      <c r="AD75" s="3">
        <v>94</v>
      </c>
      <c r="AE75" s="3">
        <v>100</v>
      </c>
      <c r="AF75" s="3">
        <v>40</v>
      </c>
      <c r="AG75" s="3">
        <v>0</v>
      </c>
      <c r="AH75" s="3">
        <v>1</v>
      </c>
      <c r="AI75" s="3">
        <v>1</v>
      </c>
      <c r="AJ75" s="3">
        <v>1</v>
      </c>
      <c r="AK75" s="3" t="s">
        <v>53</v>
      </c>
      <c r="AL75" s="3" t="str">
        <f>HYPERLINK(".\links\REFSEQ-INVERTEBRATE\Rm-32843-REFSEQ-INVERTEBRATE.txt","lysosomal acid phosphatase, putative")</f>
        <v>lysosomal acid phosphatase, putative</v>
      </c>
      <c r="AM75" s="3" t="str">
        <f>HYPERLINK("http://www.ncbi.nlm.nih.gov/sutils/blink.cgi?pid=241168967","0.0")</f>
        <v>0.0</v>
      </c>
      <c r="AN75" s="3" t="str">
        <f>HYPERLINK("http://www.ncbi.nlm.nih.gov/protein/241168967","gi|241168967")</f>
        <v>gi|241168967</v>
      </c>
      <c r="AO75" s="3">
        <v>642</v>
      </c>
      <c r="AP75" s="3">
        <v>369</v>
      </c>
      <c r="AQ75" s="3">
        <v>373</v>
      </c>
      <c r="AR75" s="3">
        <v>82</v>
      </c>
      <c r="AS75" s="3">
        <v>91</v>
      </c>
      <c r="AT75" s="3">
        <v>99</v>
      </c>
      <c r="AU75" s="3">
        <v>66</v>
      </c>
      <c r="AV75" s="3">
        <v>0</v>
      </c>
      <c r="AW75" s="3">
        <v>5</v>
      </c>
      <c r="AX75" s="3">
        <v>3</v>
      </c>
      <c r="AY75" s="3">
        <v>1</v>
      </c>
      <c r="AZ75" s="3" t="s">
        <v>40</v>
      </c>
      <c r="BA75" s="3" t="str">
        <f>HYPERLINK(".\links\MEROPS\Rm-32843-MEROPS.txt","- prolyl endopeptidase ({Myxococcus xanthus}) (Blastopirellula marina)")</f>
        <v>- prolyl endopeptidase ({Myxococcus xanthus}) (Blastopirellula marina)</v>
      </c>
      <c r="BB75" s="3" t="str">
        <f>HYPERLINK("http://www.ncbi.nlm.nih.gov/sutils/blink.cgi?pid=083510 - prolyl endopeptidase ({Myxococcus xanthus}) (Blastopirellula marina) [S09.076]#S09A#{peptidase unit","0.75")</f>
        <v>0.75</v>
      </c>
      <c r="BC75" s="3" t="s">
        <v>325</v>
      </c>
      <c r="BD75" s="3">
        <v>35.799999999999997</v>
      </c>
      <c r="BE75" s="3">
        <v>66</v>
      </c>
      <c r="BF75" s="3">
        <v>714</v>
      </c>
      <c r="BG75" s="3">
        <v>31</v>
      </c>
      <c r="BH75" s="3">
        <v>51</v>
      </c>
      <c r="BI75" s="3">
        <v>9</v>
      </c>
      <c r="BJ75" s="3">
        <v>45</v>
      </c>
      <c r="BK75" s="3">
        <v>1</v>
      </c>
      <c r="BL75" s="3">
        <v>27</v>
      </c>
      <c r="BM75" s="3">
        <v>162</v>
      </c>
      <c r="BN75" s="3">
        <v>1</v>
      </c>
      <c r="BO75" s="3" t="s">
        <v>326</v>
      </c>
      <c r="BP75" s="3" t="s">
        <v>327</v>
      </c>
      <c r="BQ75" s="3">
        <f>HYPERLINK(".\links\GO\Rm-32843-GO.txt",2E-55)</f>
        <v>2E-55</v>
      </c>
      <c r="BR75" s="3" t="str">
        <f>HYPERLINK("http://amigo.geneontology.org/cgi-bin/amigo/term_details?term=GO:0003993","GO:0003993")</f>
        <v>GO:0003993</v>
      </c>
      <c r="BS75" s="3" t="s">
        <v>328</v>
      </c>
      <c r="BT75" s="3" t="s">
        <v>329</v>
      </c>
      <c r="BU75" s="3" t="s">
        <v>330</v>
      </c>
      <c r="BV75" s="3" t="str">
        <f>HYPERLINK("http://www.genome.jp/dbget-bin/www_bfind_sub?mode=bfind&amp;max_hit=1000&amp;dbkey=kegg&amp;keywords=EC:3.1.3.2","EC:3.1.3.2")</f>
        <v>EC:3.1.3.2</v>
      </c>
      <c r="BX75" s="4">
        <v>2E-55</v>
      </c>
      <c r="BY75" s="3" t="str">
        <f>HYPERLINK("http://amigo.geneontology.org/cgi-bin/amigo/term_details?term=GO:0005615","GO:0005615")</f>
        <v>GO:0005615</v>
      </c>
      <c r="BZ75" s="3" t="s">
        <v>195</v>
      </c>
      <c r="CA75" s="3" t="s">
        <v>196</v>
      </c>
      <c r="CB75" s="3" t="s">
        <v>197</v>
      </c>
      <c r="CC75" s="3" t="s">
        <v>36</v>
      </c>
      <c r="CE75" s="4">
        <v>2E-55</v>
      </c>
      <c r="CF75" s="3" t="str">
        <f>HYPERLINK("http://amigo.geneontology.org/cgi-bin/amigo/term_details?term=GO:0006772","GO:0006772")</f>
        <v>GO:0006772</v>
      </c>
      <c r="CG75" s="3" t="s">
        <v>331</v>
      </c>
      <c r="CH75" s="3" t="s">
        <v>332</v>
      </c>
      <c r="CI75" s="3" t="s">
        <v>333</v>
      </c>
      <c r="CJ75" s="3" t="s">
        <v>36</v>
      </c>
      <c r="CL75" s="4">
        <v>2E-55</v>
      </c>
      <c r="CM75" s="3" t="str">
        <f>HYPERLINK(".\links\CDD\Rm-32843-CDD.txt","His_Phos_2")</f>
        <v>His_Phos_2</v>
      </c>
      <c r="CN75" s="3" t="str">
        <f>HYPERLINK("http://www.ncbi.nlm.nih.gov/Structure/cdd/cddsrv.cgi?uid=pfam00328&amp;version=v4.0","3E-025")</f>
        <v>3E-025</v>
      </c>
      <c r="CO75" s="3" t="s">
        <v>334</v>
      </c>
      <c r="CP75" s="3" t="str">
        <f>HYPERLINK(".\links\ACARI\Rm-32843-ACARI.txt","Putative lysosomal &amp; prostatic acid phosphatase")</f>
        <v>Putative lysosomal &amp; prostatic acid phosphatase</v>
      </c>
      <c r="CQ75" s="3" t="str">
        <f>HYPERLINK("http://www.ncbi.nlm.nih.gov/sutils/blink.cgi?pid=427789841","0.0")</f>
        <v>0.0</v>
      </c>
      <c r="CR75" s="3" t="str">
        <f>HYPERLINK("http://www.ncbi.nlm.nih.gov/protein/427789841","gi|427789841")</f>
        <v>gi|427789841</v>
      </c>
      <c r="CS75" s="3">
        <v>736</v>
      </c>
      <c r="CT75" s="3">
        <v>371</v>
      </c>
      <c r="CU75" s="3">
        <v>371</v>
      </c>
      <c r="CV75" s="3">
        <v>95</v>
      </c>
      <c r="CW75" s="3">
        <v>97</v>
      </c>
      <c r="CX75" s="3">
        <v>100</v>
      </c>
      <c r="CY75" s="3">
        <v>16</v>
      </c>
      <c r="CZ75" s="3">
        <v>0</v>
      </c>
      <c r="DA75" s="3">
        <v>1</v>
      </c>
      <c r="DB75" s="3">
        <v>1</v>
      </c>
      <c r="DC75" s="3">
        <v>1</v>
      </c>
      <c r="DD75" s="3" t="s">
        <v>68</v>
      </c>
    </row>
    <row r="76" spans="1:108" s="3" customFormat="1" x14ac:dyDescent="0.2">
      <c r="A76" s="3" t="s">
        <v>1401</v>
      </c>
      <c r="B76" s="3" t="str">
        <f>HYPERLINK(".\links\\gi_442762197-.txt","gi_442762197")</f>
        <v>gi_442762197</v>
      </c>
      <c r="C76" s="3" t="s">
        <v>335</v>
      </c>
      <c r="D76" s="3">
        <v>129</v>
      </c>
      <c r="E76" s="9" t="s">
        <v>37</v>
      </c>
      <c r="F76" s="3" t="s">
        <v>1242</v>
      </c>
      <c r="G76" s="3" t="s">
        <v>1473</v>
      </c>
      <c r="H76" s="3" t="str">
        <f>HYPERLINK(".\links\UNIPROT-ACARI\gi_442762197-UNIPROT-ACARI.txt","Uncharacterized protein (Fragment)")</f>
        <v>Uncharacterized protein (Fragment)</v>
      </c>
      <c r="I76" s="3" t="str">
        <f>HYPERLINK("http://www.ncbi.nlm.nih.gov/sutils/blink.cgi?pid=A0A023GMC0","6E-046")</f>
        <v>6E-046</v>
      </c>
      <c r="J76" s="3" t="s">
        <v>1019</v>
      </c>
      <c r="K76" s="3">
        <v>179</v>
      </c>
      <c r="L76" s="3">
        <v>91</v>
      </c>
      <c r="M76" s="3">
        <v>375</v>
      </c>
      <c r="N76" s="3">
        <v>100</v>
      </c>
      <c r="O76" s="3">
        <v>100</v>
      </c>
      <c r="P76" s="3">
        <v>24</v>
      </c>
      <c r="Q76" s="3">
        <v>0</v>
      </c>
      <c r="R76" s="3">
        <v>0</v>
      </c>
      <c r="S76" s="3">
        <v>285</v>
      </c>
      <c r="T76" s="3">
        <v>39</v>
      </c>
      <c r="U76" s="3">
        <v>1</v>
      </c>
      <c r="V76" s="3" t="s">
        <v>36</v>
      </c>
      <c r="W76" s="3" t="str">
        <f>HYPERLINK(".\links\NR-LIGHT\gi_442762197-NR-LIGHT.txt","hypothetical protein TcasGA2_TC009978")</f>
        <v>hypothetical protein TcasGA2_TC009978</v>
      </c>
      <c r="X76" s="3" t="str">
        <f>HYPERLINK("http://www.ncbi.nlm.nih.gov/sutils/blink.cgi?pid=270010560","2E-044")</f>
        <v>2E-044</v>
      </c>
      <c r="Y76" s="3" t="str">
        <f>HYPERLINK("http://www.ncbi.nlm.nih.gov/protein/270010560","gi|270010560")</f>
        <v>gi|270010560</v>
      </c>
      <c r="Z76" s="3">
        <v>179</v>
      </c>
      <c r="AA76" s="3">
        <v>91</v>
      </c>
      <c r="AB76" s="3">
        <v>685</v>
      </c>
      <c r="AC76" s="3">
        <v>100</v>
      </c>
      <c r="AD76" s="3">
        <v>100</v>
      </c>
      <c r="AE76" s="3">
        <v>13</v>
      </c>
      <c r="AF76" s="3">
        <v>0</v>
      </c>
      <c r="AG76" s="3">
        <v>0</v>
      </c>
      <c r="AH76" s="3">
        <v>595</v>
      </c>
      <c r="AI76" s="3">
        <v>39</v>
      </c>
      <c r="AJ76" s="3">
        <v>1</v>
      </c>
      <c r="AK76" s="3" t="s">
        <v>580</v>
      </c>
      <c r="AL76" s="3" t="str">
        <f>HYPERLINK(".\links\REFSEQ-INVERTEBRATE\gi_442762197-REFSEQ-INVERTEBRATE.txt","polyubiquitin")</f>
        <v>polyubiquitin</v>
      </c>
      <c r="AM76" s="3" t="str">
        <f>HYPERLINK("http://www.ncbi.nlm.nih.gov/sutils/blink.cgi?pid=86515356","7E-045")</f>
        <v>7E-045</v>
      </c>
      <c r="AN76" s="3" t="str">
        <f>HYPERLINK("http://www.ncbi.nlm.nih.gov/protein/86515356","gi|86515356")</f>
        <v>gi|86515356</v>
      </c>
      <c r="AO76" s="3">
        <v>179</v>
      </c>
      <c r="AP76" s="3">
        <v>91</v>
      </c>
      <c r="AQ76" s="3">
        <v>685</v>
      </c>
      <c r="AR76" s="3">
        <v>100</v>
      </c>
      <c r="AS76" s="3">
        <v>100</v>
      </c>
      <c r="AT76" s="3">
        <v>13</v>
      </c>
      <c r="AU76" s="3">
        <v>0</v>
      </c>
      <c r="AV76" s="3">
        <v>0</v>
      </c>
      <c r="AW76" s="3">
        <v>595</v>
      </c>
      <c r="AX76" s="3">
        <v>39</v>
      </c>
      <c r="AY76" s="3">
        <v>1</v>
      </c>
      <c r="AZ76" s="3" t="s">
        <v>580</v>
      </c>
      <c r="BA76" s="3" t="str">
        <f>HYPERLINK(".\links\MEROPS\gi_442762197-MEROPS.txt","- pestivirus Npro peptidase ()")</f>
        <v>- pestivirus Npro peptidase ()</v>
      </c>
      <c r="BB76" s="3" t="str">
        <f>HYPERLINK("http://www.ncbi.nlm.nih.gov/sutils/blink.cgi?pid=003930 - pestivirus Npro peptidase () [C53.001]#C53#{peptidase unit","5E-035")</f>
        <v>5E-035</v>
      </c>
      <c r="BC76" s="3" t="s">
        <v>1020</v>
      </c>
      <c r="BD76" s="3">
        <v>146</v>
      </c>
      <c r="BE76" s="3">
        <v>75</v>
      </c>
      <c r="BF76" s="3">
        <v>3975</v>
      </c>
      <c r="BG76" s="3">
        <v>97</v>
      </c>
      <c r="BH76" s="3">
        <v>100</v>
      </c>
      <c r="BI76" s="3">
        <v>2</v>
      </c>
      <c r="BJ76" s="3">
        <v>2</v>
      </c>
      <c r="BK76" s="3">
        <v>0</v>
      </c>
      <c r="BL76" s="3">
        <v>1591</v>
      </c>
      <c r="BM76" s="3">
        <v>53</v>
      </c>
      <c r="BN76" s="3">
        <v>1</v>
      </c>
      <c r="BO76" s="3" t="s">
        <v>1021</v>
      </c>
      <c r="BP76" s="3" t="s">
        <v>1022</v>
      </c>
      <c r="BQ76" s="3">
        <f>HYPERLINK(".\links\GO\gi_442762197-GO.txt",1E-44)</f>
        <v>9.9999999999999995E-45</v>
      </c>
      <c r="BR76" s="3" t="str">
        <f>HYPERLINK("http://amigo.geneontology.org/cgi-bin/amigo/term_details?term=GO:0002020","GO:0002020")</f>
        <v>GO:0002020</v>
      </c>
      <c r="BS76" s="3" t="s">
        <v>1023</v>
      </c>
      <c r="BT76" s="3" t="s">
        <v>1024</v>
      </c>
      <c r="BU76" s="3" t="s">
        <v>36</v>
      </c>
      <c r="BV76" s="3" t="s">
        <v>36</v>
      </c>
      <c r="BX76" s="4">
        <v>1.9999999999999999E-44</v>
      </c>
      <c r="BY76" s="3" t="str">
        <f>HYPERLINK("http://amigo.geneontology.org/cgi-bin/amigo/term_details?term=GO:0005623","GO:0005623")</f>
        <v>GO:0005623</v>
      </c>
      <c r="BZ76" s="3" t="s">
        <v>1025</v>
      </c>
      <c r="CA76" s="3" t="s">
        <v>1026</v>
      </c>
      <c r="CB76" s="3" t="s">
        <v>36</v>
      </c>
      <c r="CC76" s="3" t="s">
        <v>36</v>
      </c>
      <c r="CE76" s="4">
        <v>1.9999999999999999E-44</v>
      </c>
      <c r="CF76" s="3" t="str">
        <f>HYPERLINK("http://amigo.geneontology.org/cgi-bin/amigo/term_details?term=GO:0006511","GO:0006511")</f>
        <v>GO:0006511</v>
      </c>
      <c r="CG76" s="3" t="s">
        <v>1027</v>
      </c>
      <c r="CH76" s="3" t="s">
        <v>1028</v>
      </c>
      <c r="CI76" s="3" t="s">
        <v>1029</v>
      </c>
      <c r="CJ76" s="3" t="s">
        <v>36</v>
      </c>
      <c r="CL76" s="4">
        <v>1.9999999999999999E-44</v>
      </c>
      <c r="CM76" s="3" t="str">
        <f>HYPERLINK(".\links\CDD\gi_442762197-CDD.txt","Ubiquitin")</f>
        <v>Ubiquitin</v>
      </c>
      <c r="CN76" s="3" t="str">
        <f>HYPERLINK("http://www.ncbi.nlm.nih.gov/Structure/cdd/cddsrv.cgi?uid=cd01803&amp;version=v4.0","8E-038")</f>
        <v>8E-038</v>
      </c>
      <c r="CO76" s="3" t="s">
        <v>1030</v>
      </c>
      <c r="CP76" s="3" t="str">
        <f>HYPERLINK(".\links\ACARI\gi_442762197-ACARI.txt","Putative ubiquitin/40s ribosomal protein s27a fusion, partial")</f>
        <v>Putative ubiquitin/40s ribosomal protein s27a fusion, partial</v>
      </c>
      <c r="CQ76" s="3" t="str">
        <f>HYPERLINK("http://www.ncbi.nlm.nih.gov/sutils/blink.cgi?pid=442762197","1E-070")</f>
        <v>1E-070</v>
      </c>
      <c r="CR76" s="3" t="str">
        <f>HYPERLINK("http://www.ncbi.nlm.nih.gov/protein/442762197","gi|442762197")</f>
        <v>gi|442762197</v>
      </c>
      <c r="CS76" s="3">
        <v>261</v>
      </c>
      <c r="CT76" s="3">
        <v>129</v>
      </c>
      <c r="CU76" s="3">
        <v>129</v>
      </c>
      <c r="CV76" s="3">
        <v>100</v>
      </c>
      <c r="CW76" s="3">
        <v>100</v>
      </c>
      <c r="CX76" s="3">
        <v>100</v>
      </c>
      <c r="CY76" s="3">
        <v>0</v>
      </c>
      <c r="CZ76" s="3">
        <v>0</v>
      </c>
      <c r="DA76" s="3">
        <v>1</v>
      </c>
      <c r="DB76" s="3">
        <v>1</v>
      </c>
      <c r="DC76" s="3">
        <v>1</v>
      </c>
      <c r="DD76" s="3" t="s">
        <v>37</v>
      </c>
    </row>
    <row r="77" spans="1:108" s="3" customFormat="1" x14ac:dyDescent="0.2">
      <c r="A77" s="3" t="s">
        <v>1331</v>
      </c>
      <c r="B77" s="3" t="str">
        <f>HYPERLINK(".\links\\gi_346465493-.txt","gi_346465493")</f>
        <v>gi_346465493</v>
      </c>
      <c r="C77" s="3" t="s">
        <v>98</v>
      </c>
      <c r="D77" s="3">
        <v>502</v>
      </c>
      <c r="E77" s="9" t="s">
        <v>173</v>
      </c>
      <c r="F77" s="3" t="s">
        <v>1458</v>
      </c>
      <c r="G77" s="3" t="s">
        <v>1474</v>
      </c>
      <c r="H77" s="3" t="str">
        <f>HYPERLINK(".\links\UNIPROT-ACARI\gi_346465493-UNIPROT-ACARI.txt","Elongation factor 1-alpha (Fragment)")</f>
        <v>Elongation factor 1-alpha (Fragment)</v>
      </c>
      <c r="I77" s="3" t="str">
        <f>HYPERLINK("http://www.ncbi.nlm.nih.gov/sutils/blink.cgi?pid=G3MGH3","0.0")</f>
        <v>0.0</v>
      </c>
      <c r="J77" s="3" t="s">
        <v>807</v>
      </c>
      <c r="K77" s="3">
        <v>1009</v>
      </c>
      <c r="L77" s="3">
        <v>502</v>
      </c>
      <c r="M77" s="3">
        <v>502</v>
      </c>
      <c r="N77" s="3">
        <v>100</v>
      </c>
      <c r="O77" s="3">
        <v>100</v>
      </c>
      <c r="P77" s="3">
        <v>100</v>
      </c>
      <c r="Q77" s="3">
        <v>0</v>
      </c>
      <c r="R77" s="3">
        <v>0</v>
      </c>
      <c r="S77" s="3">
        <v>1</v>
      </c>
      <c r="T77" s="3">
        <v>1</v>
      </c>
      <c r="U77" s="3">
        <v>1</v>
      </c>
      <c r="V77" s="3" t="s">
        <v>36</v>
      </c>
      <c r="W77" s="3" t="str">
        <f>HYPERLINK(".\links\NR-LIGHT\gi_346465493-NR-LIGHT.txt","translation elongation factor EF-1 alpha/Tu, putative")</f>
        <v>translation elongation factor EF-1 alpha/Tu, putative</v>
      </c>
      <c r="X77" s="3" t="str">
        <f>HYPERLINK("http://www.ncbi.nlm.nih.gov/sutils/blink.cgi?pid=241647495","0.0")</f>
        <v>0.0</v>
      </c>
      <c r="Y77" s="3" t="str">
        <f>HYPERLINK("http://www.ncbi.nlm.nih.gov/protein/241647495","gi|241647495")</f>
        <v>gi|241647495</v>
      </c>
      <c r="Z77" s="3">
        <v>914</v>
      </c>
      <c r="AA77" s="3">
        <v>462</v>
      </c>
      <c r="AB77" s="3">
        <v>462</v>
      </c>
      <c r="AC77" s="3">
        <v>96</v>
      </c>
      <c r="AD77" s="3">
        <v>98</v>
      </c>
      <c r="AE77" s="3">
        <v>100</v>
      </c>
      <c r="AF77" s="3">
        <v>15</v>
      </c>
      <c r="AG77" s="3">
        <v>0</v>
      </c>
      <c r="AH77" s="3">
        <v>1</v>
      </c>
      <c r="AI77" s="3">
        <v>41</v>
      </c>
      <c r="AJ77" s="3">
        <v>1</v>
      </c>
      <c r="AK77" s="3" t="s">
        <v>40</v>
      </c>
      <c r="AL77" s="3" t="str">
        <f>HYPERLINK(".\links\REFSEQ-INVERTEBRATE\gi_346465493-REFSEQ-INVERTEBRATE.txt","translation elongation factor EF-1 alpha/Tu, putative")</f>
        <v>translation elongation factor EF-1 alpha/Tu, putative</v>
      </c>
      <c r="AM77" s="3" t="str">
        <f>HYPERLINK("http://www.ncbi.nlm.nih.gov/sutils/blink.cgi?pid=241647495","0.0")</f>
        <v>0.0</v>
      </c>
      <c r="AN77" s="3" t="str">
        <f>HYPERLINK("http://www.ncbi.nlm.nih.gov/protein/241647495","gi|241647495")</f>
        <v>gi|241647495</v>
      </c>
      <c r="AO77" s="3">
        <v>914</v>
      </c>
      <c r="AP77" s="3">
        <v>462</v>
      </c>
      <c r="AQ77" s="3">
        <v>462</v>
      </c>
      <c r="AR77" s="3">
        <v>96</v>
      </c>
      <c r="AS77" s="3">
        <v>98</v>
      </c>
      <c r="AT77" s="3">
        <v>100</v>
      </c>
      <c r="AU77" s="3">
        <v>15</v>
      </c>
      <c r="AV77" s="3">
        <v>0</v>
      </c>
      <c r="AW77" s="3">
        <v>1</v>
      </c>
      <c r="AX77" s="3">
        <v>41</v>
      </c>
      <c r="AY77" s="3">
        <v>1</v>
      </c>
      <c r="AZ77" s="3" t="s">
        <v>40</v>
      </c>
      <c r="BA77" s="3" t="str">
        <f>HYPERLINK(".\links\MEROPS\gi_346465493-MEROPS.txt","- HAT-like 2 peptidase (Heterocephalus glaber)")</f>
        <v>- HAT-like 2 peptidase (Heterocephalus glaber)</v>
      </c>
      <c r="BB77" s="3" t="str">
        <f>HYPERLINK("http://www.ncbi.nlm.nih.gov/sutils/blink.cgi?pid=365852 - HAT-like 2 peptidase (Heterocephalus glaber) [S01.436]#S01A#{peptidase unit","4E-045")</f>
        <v>4E-045</v>
      </c>
      <c r="BC77" s="3" t="s">
        <v>808</v>
      </c>
      <c r="BD77" s="3">
        <v>183</v>
      </c>
      <c r="BE77" s="3">
        <v>118</v>
      </c>
      <c r="BF77" s="3">
        <v>530</v>
      </c>
      <c r="BG77" s="3">
        <v>73</v>
      </c>
      <c r="BH77" s="3">
        <v>83</v>
      </c>
      <c r="BI77" s="3">
        <v>22</v>
      </c>
      <c r="BJ77" s="3">
        <v>31</v>
      </c>
      <c r="BK77" s="3">
        <v>0</v>
      </c>
      <c r="BL77" s="3">
        <v>84</v>
      </c>
      <c r="BM77" s="3">
        <v>306</v>
      </c>
      <c r="BN77" s="3">
        <v>1</v>
      </c>
      <c r="BO77" s="3" t="s">
        <v>809</v>
      </c>
      <c r="BP77" s="3" t="s">
        <v>810</v>
      </c>
      <c r="BQ77" s="3">
        <f>HYPERLINK(".\links\GO\gi_346465493-GO.txt",0)</f>
        <v>0</v>
      </c>
      <c r="BR77" s="3" t="str">
        <f>HYPERLINK("http://amigo.geneontology.org/cgi-bin/amigo/term_details?term=GO:0003746","GO:0003746")</f>
        <v>GO:0003746</v>
      </c>
      <c r="BS77" s="3" t="s">
        <v>811</v>
      </c>
      <c r="BT77" s="3" t="s">
        <v>812</v>
      </c>
      <c r="BU77" s="3" t="s">
        <v>36</v>
      </c>
      <c r="BV77" s="3" t="s">
        <v>36</v>
      </c>
      <c r="BX77" s="3">
        <v>0</v>
      </c>
      <c r="BY77" s="3" t="str">
        <f>HYPERLINK("http://amigo.geneontology.org/cgi-bin/amigo/term_details?term=GO:0005829","GO:0005829")</f>
        <v>GO:0005829</v>
      </c>
      <c r="BZ77" s="3" t="s">
        <v>643</v>
      </c>
      <c r="CA77" s="3" t="s">
        <v>644</v>
      </c>
      <c r="CB77" s="3" t="s">
        <v>36</v>
      </c>
      <c r="CC77" s="3" t="s">
        <v>36</v>
      </c>
      <c r="CE77" s="3">
        <v>0</v>
      </c>
      <c r="CF77" s="3" t="str">
        <f>HYPERLINK("http://amigo.geneontology.org/cgi-bin/amigo/term_details?term=GO:0008340","GO:0008340")</f>
        <v>GO:0008340</v>
      </c>
      <c r="CG77" s="3" t="s">
        <v>813</v>
      </c>
      <c r="CH77" s="3" t="s">
        <v>814</v>
      </c>
      <c r="CI77" s="3" t="s">
        <v>36</v>
      </c>
      <c r="CJ77" s="3" t="s">
        <v>36</v>
      </c>
      <c r="CL77" s="3">
        <v>0</v>
      </c>
      <c r="CM77" s="3" t="str">
        <f>HYPERLINK(".\links\CDD\gi_346465493-CDD.txt","PTZ00141")</f>
        <v>PTZ00141</v>
      </c>
      <c r="CN77" s="3" t="str">
        <f>HYPERLINK("http://www.ncbi.nlm.nih.gov/Structure/cdd/cddsrv.cgi?uid=PTZ00141&amp;version=v4.0","0.0")</f>
        <v>0.0</v>
      </c>
      <c r="CO77" s="3" t="s">
        <v>815</v>
      </c>
      <c r="CP77" s="3" t="str">
        <f>HYPERLINK(".\links\ACARI\gi_346465493-ACARI.txt","hypothetical protein, partial")</f>
        <v>hypothetical protein, partial</v>
      </c>
      <c r="CQ77" s="3" t="str">
        <f>HYPERLINK("http://www.ncbi.nlm.nih.gov/sutils/blink.cgi?pid=346465493","0.0")</f>
        <v>0.0</v>
      </c>
      <c r="CR77" s="3" t="str">
        <f>HYPERLINK("http://www.ncbi.nlm.nih.gov/protein/346465493","gi|346465493")</f>
        <v>gi|346465493</v>
      </c>
      <c r="CS77" s="3">
        <v>1009</v>
      </c>
      <c r="CT77" s="3">
        <v>502</v>
      </c>
      <c r="CU77" s="3">
        <v>502</v>
      </c>
      <c r="CV77" s="3">
        <v>100</v>
      </c>
      <c r="CW77" s="3">
        <v>100</v>
      </c>
      <c r="CX77" s="3">
        <v>100</v>
      </c>
      <c r="CY77" s="3">
        <v>0</v>
      </c>
      <c r="CZ77" s="3">
        <v>0</v>
      </c>
      <c r="DA77" s="3">
        <v>1</v>
      </c>
      <c r="DB77" s="3">
        <v>1</v>
      </c>
      <c r="DC77" s="3">
        <v>1</v>
      </c>
      <c r="DD77" s="3" t="s">
        <v>173</v>
      </c>
    </row>
    <row r="78" spans="1:108" s="3" customFormat="1" x14ac:dyDescent="0.2">
      <c r="A78" s="3" t="s">
        <v>1387</v>
      </c>
      <c r="B78" s="3" t="str">
        <f>HYPERLINK(".\links\\gi_346465577-.txt","gi_346465577")</f>
        <v>gi_346465577</v>
      </c>
      <c r="C78" s="3" t="s">
        <v>98</v>
      </c>
      <c r="D78" s="3">
        <v>837</v>
      </c>
      <c r="E78" s="9" t="s">
        <v>173</v>
      </c>
      <c r="F78" s="3" t="s">
        <v>1243</v>
      </c>
      <c r="G78" s="3" t="s">
        <v>1474</v>
      </c>
      <c r="H78" s="3" t="str">
        <f>HYPERLINK(".\links\UNIPROT-ACARI\gi_346465577-UNIPROT-ACARI.txt","Putative uncharacterized protein (Fragment)")</f>
        <v>Putative uncharacterized protein (Fragment)</v>
      </c>
      <c r="I78" s="3" t="str">
        <f>HYPERLINK("http://www.ncbi.nlm.nih.gov/sutils/blink.cgi?pid=G3MGL5","0.0")</f>
        <v>0.0</v>
      </c>
      <c r="J78" s="3" t="s">
        <v>799</v>
      </c>
      <c r="K78" s="3">
        <v>1669</v>
      </c>
      <c r="L78" s="3">
        <v>837</v>
      </c>
      <c r="M78" s="3">
        <v>837</v>
      </c>
      <c r="N78" s="3">
        <v>100</v>
      </c>
      <c r="O78" s="3">
        <v>100</v>
      </c>
      <c r="P78" s="3">
        <v>100</v>
      </c>
      <c r="Q78" s="3">
        <v>0</v>
      </c>
      <c r="R78" s="3">
        <v>0</v>
      </c>
      <c r="S78" s="3">
        <v>1</v>
      </c>
      <c r="T78" s="3">
        <v>1</v>
      </c>
      <c r="U78" s="3">
        <v>1</v>
      </c>
      <c r="V78" s="3" t="s">
        <v>36</v>
      </c>
      <c r="W78" s="3" t="str">
        <f>HYPERLINK(".\links\NR-LIGHT\gi_346465577-NR-LIGHT.txt","valosin containing protein")</f>
        <v>valosin containing protein</v>
      </c>
      <c r="X78" s="3" t="str">
        <f>HYPERLINK("http://www.ncbi.nlm.nih.gov/sutils/blink.cgi?pid=152205934","0.0")</f>
        <v>0.0</v>
      </c>
      <c r="Y78" s="3" t="str">
        <f>HYPERLINK("http://www.ncbi.nlm.nih.gov/protein/152205934","gi|152205934")</f>
        <v>gi|152205934</v>
      </c>
      <c r="Z78" s="3">
        <v>1531</v>
      </c>
      <c r="AA78" s="3">
        <v>801</v>
      </c>
      <c r="AB78" s="3">
        <v>808</v>
      </c>
      <c r="AC78" s="3">
        <v>96</v>
      </c>
      <c r="AD78" s="3">
        <v>98</v>
      </c>
      <c r="AE78" s="3">
        <v>99</v>
      </c>
      <c r="AF78" s="3">
        <v>31</v>
      </c>
      <c r="AG78" s="3">
        <v>2</v>
      </c>
      <c r="AH78" s="3">
        <v>8</v>
      </c>
      <c r="AI78" s="3">
        <v>39</v>
      </c>
      <c r="AJ78" s="3">
        <v>1</v>
      </c>
      <c r="AK78" s="3" t="s">
        <v>53</v>
      </c>
      <c r="AL78" s="3" t="str">
        <f>HYPERLINK(".\links\REFSEQ-INVERTEBRATE\gi_346465577-REFSEQ-INVERTEBRATE.txt","transitional endoplasmic reticulum ATPase TER94")</f>
        <v>transitional endoplasmic reticulum ATPase TER94</v>
      </c>
      <c r="AM78" s="3" t="str">
        <f>HYPERLINK("http://www.ncbi.nlm.nih.gov/sutils/blink.cgi?pid=91086235","0.0")</f>
        <v>0.0</v>
      </c>
      <c r="AN78" s="3" t="str">
        <f>HYPERLINK("http://www.ncbi.nlm.nih.gov/protein/91086235","gi|91086235")</f>
        <v>gi|91086235</v>
      </c>
      <c r="AO78" s="3">
        <v>1400</v>
      </c>
      <c r="AP78" s="3">
        <v>803</v>
      </c>
      <c r="AQ78" s="3">
        <v>803</v>
      </c>
      <c r="AR78" s="3">
        <v>86</v>
      </c>
      <c r="AS78" s="3">
        <v>94</v>
      </c>
      <c r="AT78" s="3">
        <v>100</v>
      </c>
      <c r="AU78" s="3">
        <v>107</v>
      </c>
      <c r="AV78" s="3">
        <v>7</v>
      </c>
      <c r="AW78" s="3">
        <v>5</v>
      </c>
      <c r="AX78" s="3">
        <v>38</v>
      </c>
      <c r="AY78" s="3">
        <v>1</v>
      </c>
      <c r="AZ78" s="3" t="s">
        <v>580</v>
      </c>
      <c r="BA78" s="3" t="str">
        <f>HYPERLINK(".\links\MEROPS\gi_346465577-MEROPS.txt","- family N10 unassigned peptide lyases (Archaeoglobus profundus)")</f>
        <v>- family N10 unassigned peptide lyases (Archaeoglobus profundus)</v>
      </c>
      <c r="BB78" s="3" t="str">
        <f>HYPERLINK("http://www.ncbi.nlm.nih.gov/sutils/blink.cgi?pid=183279 - family N10 unassigned peptide lyases (Archaeoglobus profundus) [N10.UPW]#N10#{peptidase unit","1E-125")</f>
        <v>1E-125</v>
      </c>
      <c r="BC78" s="3" t="s">
        <v>800</v>
      </c>
      <c r="BD78" s="3">
        <v>449</v>
      </c>
      <c r="BE78" s="3">
        <v>597</v>
      </c>
      <c r="BF78" s="3">
        <v>1217</v>
      </c>
      <c r="BG78" s="3">
        <v>44</v>
      </c>
      <c r="BH78" s="3">
        <v>60</v>
      </c>
      <c r="BI78" s="3">
        <v>49</v>
      </c>
      <c r="BJ78" s="3">
        <v>334</v>
      </c>
      <c r="BK78" s="3">
        <v>69</v>
      </c>
      <c r="BL78" s="3">
        <v>4</v>
      </c>
      <c r="BM78" s="3">
        <v>50</v>
      </c>
      <c r="BN78" s="3">
        <v>1</v>
      </c>
      <c r="BO78" s="3" t="s">
        <v>768</v>
      </c>
      <c r="BP78" s="3" t="s">
        <v>801</v>
      </c>
      <c r="BQ78" s="3">
        <f>HYPERLINK(".\links\GO\gi_346465577-GO.txt",0)</f>
        <v>0</v>
      </c>
      <c r="BR78" s="3" t="str">
        <f>HYPERLINK("http://amigo.geneontology.org/cgi-bin/amigo/term_details?term=GO:0016787","GO:0016787")</f>
        <v>GO:0016787</v>
      </c>
      <c r="BS78" s="3" t="s">
        <v>802</v>
      </c>
      <c r="BT78" s="3" t="s">
        <v>803</v>
      </c>
      <c r="BU78" s="3" t="s">
        <v>36</v>
      </c>
      <c r="BV78" s="3" t="str">
        <f>HYPERLINK("http://www.genome.jp/dbget-bin/www_bfind_sub?mode=bfind&amp;max_hit=1000&amp;dbkey=kegg&amp;keywords=EC:3","EC:3")</f>
        <v>EC:3</v>
      </c>
      <c r="BX78" s="3">
        <v>0</v>
      </c>
      <c r="BY78" s="3" t="str">
        <f>HYPERLINK("http://amigo.geneontology.org/cgi-bin/amigo/term_details?term=GO:0005634","GO:0005634")</f>
        <v>GO:0005634</v>
      </c>
      <c r="BZ78" s="3" t="s">
        <v>359</v>
      </c>
      <c r="CA78" s="3" t="s">
        <v>360</v>
      </c>
      <c r="CB78" s="3" t="s">
        <v>361</v>
      </c>
      <c r="CC78" s="3" t="s">
        <v>36</v>
      </c>
      <c r="CE78" s="3">
        <v>0</v>
      </c>
      <c r="CF78" s="3" t="str">
        <f>HYPERLINK("http://amigo.geneontology.org/cgi-bin/amigo/term_details?term=GO:0006302","GO:0006302")</f>
        <v>GO:0006302</v>
      </c>
      <c r="CG78" s="3" t="s">
        <v>804</v>
      </c>
      <c r="CH78" s="3" t="s">
        <v>805</v>
      </c>
      <c r="CI78" s="3" t="s">
        <v>36</v>
      </c>
      <c r="CJ78" s="3" t="s">
        <v>36</v>
      </c>
      <c r="CL78" s="3">
        <v>0</v>
      </c>
      <c r="CM78" s="3" t="str">
        <f>HYPERLINK(".\links\CDD\gi_346465577-CDD.txt","CDC48")</f>
        <v>CDC48</v>
      </c>
      <c r="CN78" s="3" t="str">
        <f>HYPERLINK("http://www.ncbi.nlm.nih.gov/Structure/cdd/cddsrv.cgi?uid=TIGR01243&amp;version=v4.0","0.0")</f>
        <v>0.0</v>
      </c>
      <c r="CO78" s="3" t="s">
        <v>806</v>
      </c>
      <c r="CP78" s="3" t="str">
        <f>HYPERLINK(".\links\ACARI\gi_346465577-ACARI.txt","hypothetical protein, partial")</f>
        <v>hypothetical protein, partial</v>
      </c>
      <c r="CQ78" s="3" t="str">
        <f>HYPERLINK("http://www.ncbi.nlm.nih.gov/sutils/blink.cgi?pid=346465577","0.0")</f>
        <v>0.0</v>
      </c>
      <c r="CR78" s="3" t="str">
        <f>HYPERLINK("http://www.ncbi.nlm.nih.gov/protein/346465577","gi|346465577")</f>
        <v>gi|346465577</v>
      </c>
      <c r="CS78" s="3">
        <v>1669</v>
      </c>
      <c r="CT78" s="3">
        <v>837</v>
      </c>
      <c r="CU78" s="3">
        <v>837</v>
      </c>
      <c r="CV78" s="3">
        <v>100</v>
      </c>
      <c r="CW78" s="3">
        <v>100</v>
      </c>
      <c r="CX78" s="3">
        <v>100</v>
      </c>
      <c r="CY78" s="3">
        <v>0</v>
      </c>
      <c r="CZ78" s="3">
        <v>0</v>
      </c>
      <c r="DA78" s="3">
        <v>1</v>
      </c>
      <c r="DB78" s="3">
        <v>1</v>
      </c>
      <c r="DC78" s="3">
        <v>1</v>
      </c>
      <c r="DD78" s="3" t="s">
        <v>173</v>
      </c>
    </row>
    <row r="79" spans="1:108" s="3" customFormat="1" x14ac:dyDescent="0.2">
      <c r="A79" s="3" t="s">
        <v>1351</v>
      </c>
      <c r="B79" s="3" t="str">
        <f>HYPERLINK(".\links\\Rm-50382-.txt","Rm-50382")</f>
        <v>Rm-50382</v>
      </c>
      <c r="C79" s="3" t="s">
        <v>35</v>
      </c>
      <c r="D79" s="3">
        <v>844</v>
      </c>
      <c r="E79" s="9" t="s">
        <v>203</v>
      </c>
      <c r="F79" s="3" t="s">
        <v>1244</v>
      </c>
      <c r="G79" s="3" t="s">
        <v>1474</v>
      </c>
      <c r="H79" s="3" t="str">
        <f>HYPERLINK(".\links\UNIPROT-ACARI\Rm-50382-UNIPROT-ACARI.txt","Putative elongation factor 2-like isoform 1")</f>
        <v>Putative elongation factor 2-like isoform 1</v>
      </c>
      <c r="I79" s="3" t="str">
        <f>HYPERLINK("http://www.ncbi.nlm.nih.gov/sutils/blink.cgi?pid=A0A023FNE9","0.0")</f>
        <v>0.0</v>
      </c>
      <c r="J79" s="3" t="s">
        <v>959</v>
      </c>
      <c r="K79" s="3">
        <v>1689</v>
      </c>
      <c r="L79" s="3">
        <v>844</v>
      </c>
      <c r="M79" s="3">
        <v>844</v>
      </c>
      <c r="N79" s="3">
        <v>98</v>
      </c>
      <c r="O79" s="3">
        <v>99</v>
      </c>
      <c r="P79" s="3">
        <v>100</v>
      </c>
      <c r="Q79" s="3">
        <v>9</v>
      </c>
      <c r="R79" s="3">
        <v>0</v>
      </c>
      <c r="S79" s="3">
        <v>1</v>
      </c>
      <c r="T79" s="3">
        <v>1</v>
      </c>
      <c r="U79" s="3">
        <v>1</v>
      </c>
      <c r="V79" s="3" t="s">
        <v>36</v>
      </c>
      <c r="W79" s="3" t="str">
        <f>HYPERLINK(".\links\NR-LIGHT\Rm-50382-NR-LIGHT.txt","translation elongation factor 2-like isoform 1")</f>
        <v>translation elongation factor 2-like isoform 1</v>
      </c>
      <c r="X79" s="3" t="str">
        <f>HYPERLINK("http://www.ncbi.nlm.nih.gov/sutils/blink.cgi?pid=66508439","0.0")</f>
        <v>0.0</v>
      </c>
      <c r="Y79" s="3" t="str">
        <f>HYPERLINK("http://www.ncbi.nlm.nih.gov/protein/66508439","gi|66508439")</f>
        <v>gi|66508439</v>
      </c>
      <c r="Z79" s="3">
        <v>1474</v>
      </c>
      <c r="AA79" s="3">
        <v>844</v>
      </c>
      <c r="AB79" s="3">
        <v>844</v>
      </c>
      <c r="AC79" s="3">
        <v>84</v>
      </c>
      <c r="AD79" s="3">
        <v>92</v>
      </c>
      <c r="AE79" s="3">
        <v>100</v>
      </c>
      <c r="AF79" s="3">
        <v>132</v>
      </c>
      <c r="AG79" s="3">
        <v>0</v>
      </c>
      <c r="AH79" s="3">
        <v>1</v>
      </c>
      <c r="AI79" s="3">
        <v>1</v>
      </c>
      <c r="AJ79" s="3">
        <v>1</v>
      </c>
      <c r="AK79" s="3" t="s">
        <v>427</v>
      </c>
      <c r="AL79" s="3" t="str">
        <f>HYPERLINK(".\links\REFSEQ-INVERTEBRATE\Rm-50382-REFSEQ-INVERTEBRATE.txt","elongation factor 2-like")</f>
        <v>elongation factor 2-like</v>
      </c>
      <c r="AM79" s="3" t="str">
        <f>HYPERLINK("http://www.ncbi.nlm.nih.gov/sutils/blink.cgi?pid=391339548","0.0")</f>
        <v>0.0</v>
      </c>
      <c r="AN79" s="3" t="str">
        <f>HYPERLINK("http://www.ncbi.nlm.nih.gov/protein/391339548","gi|391339548")</f>
        <v>gi|391339548</v>
      </c>
      <c r="AO79" s="3">
        <v>1541</v>
      </c>
      <c r="AP79" s="3">
        <v>844</v>
      </c>
      <c r="AQ79" s="3">
        <v>844</v>
      </c>
      <c r="AR79" s="3">
        <v>89</v>
      </c>
      <c r="AS79" s="3">
        <v>94</v>
      </c>
      <c r="AT79" s="3">
        <v>100</v>
      </c>
      <c r="AU79" s="3">
        <v>91</v>
      </c>
      <c r="AV79" s="3">
        <v>0</v>
      </c>
      <c r="AW79" s="3">
        <v>1</v>
      </c>
      <c r="AX79" s="3">
        <v>1</v>
      </c>
      <c r="AY79" s="3">
        <v>1</v>
      </c>
      <c r="AZ79" s="3" t="s">
        <v>392</v>
      </c>
      <c r="BA79" s="3" t="str">
        <f>HYPERLINK(".\links\MEROPS\Rm-50382-MEROPS.txt","- signal peptide peptidase A (Monosiga brevicollis)")</f>
        <v>- signal peptide peptidase A (Monosiga brevicollis)</v>
      </c>
      <c r="BB79" s="3" t="str">
        <f>HYPERLINK("http://www.ncbi.nlm.nih.gov/sutils/blink.cgi?pid=143571 - signal peptide peptidase A (Monosiga brevicollis) [S49.001]#S49A#{peptidase unit","4E-047")</f>
        <v>4E-047</v>
      </c>
      <c r="BC79" s="3" t="s">
        <v>960</v>
      </c>
      <c r="BD79" s="3">
        <v>191</v>
      </c>
      <c r="BE79" s="3">
        <v>528</v>
      </c>
      <c r="BF79" s="3">
        <v>1557</v>
      </c>
      <c r="BG79" s="3">
        <v>27</v>
      </c>
      <c r="BH79" s="3">
        <v>44</v>
      </c>
      <c r="BI79" s="3">
        <v>34</v>
      </c>
      <c r="BJ79" s="3">
        <v>383</v>
      </c>
      <c r="BK79" s="3">
        <v>127</v>
      </c>
      <c r="BL79" s="3">
        <v>1020</v>
      </c>
      <c r="BM79" s="3">
        <v>364</v>
      </c>
      <c r="BN79" s="3">
        <v>1</v>
      </c>
      <c r="BO79" s="3" t="s">
        <v>961</v>
      </c>
      <c r="BP79" s="3" t="s">
        <v>962</v>
      </c>
      <c r="BQ79" s="3">
        <f>HYPERLINK(".\links\GO\Rm-50382-GO.txt",0)</f>
        <v>0</v>
      </c>
      <c r="BR79" s="3" t="str">
        <f>HYPERLINK("http://amigo.geneontology.org/cgi-bin/amigo/term_details?term=GO:0003674","GO:0003674")</f>
        <v>GO:0003674</v>
      </c>
      <c r="BS79" s="3" t="s">
        <v>220</v>
      </c>
      <c r="BT79" s="3" t="s">
        <v>221</v>
      </c>
      <c r="BU79" s="3" t="s">
        <v>222</v>
      </c>
      <c r="BV79" s="3" t="s">
        <v>36</v>
      </c>
      <c r="BX79" s="3">
        <v>0</v>
      </c>
      <c r="BY79" s="3" t="str">
        <f>HYPERLINK("http://amigo.geneontology.org/cgi-bin/amigo/term_details?term=GO:0005575","GO:0005575")</f>
        <v>GO:0005575</v>
      </c>
      <c r="BZ79" s="3" t="s">
        <v>60</v>
      </c>
      <c r="CA79" s="3" t="s">
        <v>61</v>
      </c>
      <c r="CB79" s="3" t="s">
        <v>62</v>
      </c>
      <c r="CC79" s="3" t="s">
        <v>36</v>
      </c>
      <c r="CE79" s="3">
        <v>0</v>
      </c>
      <c r="CF79" s="3" t="str">
        <f>HYPERLINK("http://amigo.geneontology.org/cgi-bin/amigo/term_details?term=GO:0008150","GO:0008150")</f>
        <v>GO:0008150</v>
      </c>
      <c r="CG79" s="3" t="s">
        <v>223</v>
      </c>
      <c r="CH79" s="3" t="s">
        <v>224</v>
      </c>
      <c r="CI79" s="3" t="s">
        <v>225</v>
      </c>
      <c r="CJ79" s="3" t="s">
        <v>36</v>
      </c>
      <c r="CL79" s="3">
        <v>0</v>
      </c>
      <c r="CM79" s="3" t="str">
        <f>HYPERLINK(".\links\CDD\Rm-50382-CDD.txt","PTZ00416")</f>
        <v>PTZ00416</v>
      </c>
      <c r="CN79" s="3" t="str">
        <f>HYPERLINK("http://www.ncbi.nlm.nih.gov/Structure/cdd/cddsrv.cgi?uid=PTZ00416&amp;version=v4.0","0.0")</f>
        <v>0.0</v>
      </c>
      <c r="CO79" s="3" t="s">
        <v>963</v>
      </c>
      <c r="CP79" s="3" t="str">
        <f>HYPERLINK(".\links\ACARI\Rm-50382-ACARI.txt","putative elongation factor 2-like isoform 1")</f>
        <v>putative elongation factor 2-like isoform 1</v>
      </c>
      <c r="CQ79" s="3" t="str">
        <f>HYPERLINK("http://www.ncbi.nlm.nih.gov/sutils/blink.cgi?pid=604799908","0.0")</f>
        <v>0.0</v>
      </c>
      <c r="CR79" s="3" t="str">
        <f>HYPERLINK("http://www.ncbi.nlm.nih.gov/protein/604799908","gi|604799908")</f>
        <v>gi|604799908</v>
      </c>
      <c r="CS79" s="3">
        <v>1689</v>
      </c>
      <c r="CT79" s="3">
        <v>844</v>
      </c>
      <c r="CU79" s="3">
        <v>844</v>
      </c>
      <c r="CV79" s="3">
        <v>98</v>
      </c>
      <c r="CW79" s="3">
        <v>99</v>
      </c>
      <c r="CX79" s="3">
        <v>100</v>
      </c>
      <c r="CY79" s="3">
        <v>9</v>
      </c>
      <c r="CZ79" s="3">
        <v>0</v>
      </c>
      <c r="DA79" s="3">
        <v>1</v>
      </c>
      <c r="DB79" s="3">
        <v>1</v>
      </c>
      <c r="DC79" s="3">
        <v>1</v>
      </c>
      <c r="DD79" s="3" t="s">
        <v>964</v>
      </c>
    </row>
    <row r="80" spans="1:108" s="3" customFormat="1" x14ac:dyDescent="0.2">
      <c r="A80" s="1" t="s">
        <v>1293</v>
      </c>
      <c r="B80" s="1" t="str">
        <f>HYPERLINK(".\links\\gi_114155432-.txt","gi_114155432")</f>
        <v>gi_114155432</v>
      </c>
      <c r="C80" s="1" t="s">
        <v>35</v>
      </c>
      <c r="D80" s="1">
        <v>321</v>
      </c>
      <c r="E80" s="8" t="s">
        <v>53</v>
      </c>
      <c r="F80" s="1" t="s">
        <v>1245</v>
      </c>
      <c r="G80" s="1" t="s">
        <v>1475</v>
      </c>
      <c r="H80" s="1" t="str">
        <f>HYPERLINK(".\links\UNIPROT-ACARI\gi_114155432-UNIPROT-ACARI.txt","Putative uncharacterized protein hlim3")</f>
        <v>Putative uncharacterized protein hlim3</v>
      </c>
      <c r="I80" s="1" t="str">
        <f>HYPERLINK("http://www.ncbi.nlm.nih.gov/sutils/blink.cgi?pid=Q0EDB3","0.0")</f>
        <v>0.0</v>
      </c>
      <c r="J80" s="1" t="s">
        <v>291</v>
      </c>
      <c r="K80" s="1">
        <v>657</v>
      </c>
      <c r="L80" s="1">
        <v>321</v>
      </c>
      <c r="M80" s="1">
        <v>321</v>
      </c>
      <c r="N80" s="1">
        <v>100</v>
      </c>
      <c r="O80" s="1">
        <v>100</v>
      </c>
      <c r="P80" s="1">
        <v>100</v>
      </c>
      <c r="Q80" s="1">
        <v>0</v>
      </c>
      <c r="R80" s="1">
        <v>0</v>
      </c>
      <c r="S80" s="1">
        <v>1</v>
      </c>
      <c r="T80" s="1">
        <v>1</v>
      </c>
      <c r="U80" s="1">
        <v>1</v>
      </c>
      <c r="V80" s="1" t="s">
        <v>36</v>
      </c>
      <c r="W80" s="1" t="str">
        <f>HYPERLINK(".\links\NR-LIGHT\gi_114155432-NR-LIGHT.txt","hypothetical protein")</f>
        <v>hypothetical protein</v>
      </c>
      <c r="X80" s="1" t="str">
        <f>HYPERLINK("http://www.ncbi.nlm.nih.gov/sutils/blink.cgi?pid=114155432","0.0")</f>
        <v>0.0</v>
      </c>
      <c r="Y80" s="1" t="str">
        <f>HYPERLINK("http://www.ncbi.nlm.nih.gov/protein/114155432","gi|114155432")</f>
        <v>gi|114155432</v>
      </c>
      <c r="Z80" s="1">
        <v>657</v>
      </c>
      <c r="AA80" s="1">
        <v>321</v>
      </c>
      <c r="AB80" s="1">
        <v>321</v>
      </c>
      <c r="AC80" s="1">
        <v>100</v>
      </c>
      <c r="AD80" s="1">
        <v>100</v>
      </c>
      <c r="AE80" s="1">
        <v>100</v>
      </c>
      <c r="AF80" s="1">
        <v>0</v>
      </c>
      <c r="AG80" s="1">
        <v>0</v>
      </c>
      <c r="AH80" s="1">
        <v>1</v>
      </c>
      <c r="AI80" s="1">
        <v>1</v>
      </c>
      <c r="AJ80" s="1">
        <v>1</v>
      </c>
      <c r="AK80" s="1" t="s">
        <v>53</v>
      </c>
      <c r="AL80" s="1" t="str">
        <f>HYPERLINK(".\links\REFSEQ-INVERTEBRATE\gi_114155432-REFSEQ-INVERTEBRATE.txt","predicted protein, partial")</f>
        <v>predicted protein, partial</v>
      </c>
      <c r="AM80" s="1" t="str">
        <f>HYPERLINK("http://www.ncbi.nlm.nih.gov/sutils/blink.cgi?pid=156370831","9E-012")</f>
        <v>9E-012</v>
      </c>
      <c r="AN80" s="1" t="str">
        <f>HYPERLINK("http://www.ncbi.nlm.nih.gov/protein/156370831","gi|156370831")</f>
        <v>gi|156370831</v>
      </c>
      <c r="AO80" s="1">
        <v>72.400000000000006</v>
      </c>
      <c r="AP80" s="1">
        <v>208</v>
      </c>
      <c r="AQ80" s="1">
        <v>242</v>
      </c>
      <c r="AR80" s="1">
        <v>29</v>
      </c>
      <c r="AS80" s="1">
        <v>37</v>
      </c>
      <c r="AT80" s="1">
        <v>86</v>
      </c>
      <c r="AU80" s="1">
        <v>147</v>
      </c>
      <c r="AV80" s="1">
        <v>6</v>
      </c>
      <c r="AW80" s="1">
        <v>23</v>
      </c>
      <c r="AX80" s="1">
        <v>91</v>
      </c>
      <c r="AY80" s="1">
        <v>1</v>
      </c>
      <c r="AZ80" s="1" t="s">
        <v>292</v>
      </c>
      <c r="BA80" s="1" t="str">
        <f>HYPERLINK(".\links\MEROPS\gi_114155432-MEROPS.txt","- envelysin (Acaryochloris marina)")</f>
        <v>- envelysin (Acaryochloris marina)</v>
      </c>
      <c r="BB80" s="1" t="str">
        <f>HYPERLINK("http://www.ncbi.nlm.nih.gov/sutils/blink.cgi?pid=101611 - envelysin (Acaryochloris marina) [M10.010]#M10A#{peptidase unit","6E-004")</f>
        <v>6E-004</v>
      </c>
      <c r="BC80" s="1" t="s">
        <v>293</v>
      </c>
      <c r="BD80" s="1">
        <v>45.8</v>
      </c>
      <c r="BE80" s="1">
        <v>120</v>
      </c>
      <c r="BF80" s="1">
        <v>580</v>
      </c>
      <c r="BG80" s="1">
        <v>30</v>
      </c>
      <c r="BH80" s="1">
        <v>40</v>
      </c>
      <c r="BI80" s="1">
        <v>21</v>
      </c>
      <c r="BJ80" s="1">
        <v>83</v>
      </c>
      <c r="BK80" s="1">
        <v>14</v>
      </c>
      <c r="BL80" s="1">
        <v>284</v>
      </c>
      <c r="BM80" s="1">
        <v>190</v>
      </c>
      <c r="BN80" s="1">
        <v>1</v>
      </c>
      <c r="BO80" s="1" t="s">
        <v>294</v>
      </c>
      <c r="BP80" s="1" t="s">
        <v>295</v>
      </c>
      <c r="BQ80" s="1">
        <f>HYPERLINK(".\links\GO\gi_114155432-GO.txt",0.0000009)</f>
        <v>8.9999999999999996E-7</v>
      </c>
      <c r="BR80" s="1" t="str">
        <f>HYPERLINK("http://amigo.geneontology.org/cgi-bin/amigo/term_details?term=GO:0003674","GO:0003674")</f>
        <v>GO:0003674</v>
      </c>
      <c r="BS80" s="1" t="s">
        <v>220</v>
      </c>
      <c r="BT80" s="1" t="s">
        <v>221</v>
      </c>
      <c r="BU80" s="1" t="s">
        <v>222</v>
      </c>
      <c r="BV80" s="1" t="s">
        <v>36</v>
      </c>
      <c r="BW80" s="1"/>
      <c r="BX80" s="1">
        <v>1E-4</v>
      </c>
      <c r="BY80" s="1" t="str">
        <f>HYPERLINK("http://amigo.geneontology.org/cgi-bin/amigo/term_details?term=GO:0005778","GO:0005778")</f>
        <v>GO:0005778</v>
      </c>
      <c r="BZ80" s="1" t="s">
        <v>296</v>
      </c>
      <c r="CA80" s="1" t="s">
        <v>297</v>
      </c>
      <c r="CB80" s="1" t="s">
        <v>298</v>
      </c>
      <c r="CC80" s="1" t="s">
        <v>36</v>
      </c>
      <c r="CD80" s="1"/>
      <c r="CE80" s="1">
        <v>1E-4</v>
      </c>
      <c r="CF80" s="1" t="str">
        <f>HYPERLINK("http://amigo.geneontology.org/cgi-bin/amigo/term_details?term=GO:0015031","GO:0015031")</f>
        <v>GO:0015031</v>
      </c>
      <c r="CG80" s="1" t="s">
        <v>299</v>
      </c>
      <c r="CH80" s="1" t="s">
        <v>300</v>
      </c>
      <c r="CI80" s="1" t="s">
        <v>301</v>
      </c>
      <c r="CJ80" s="1" t="s">
        <v>36</v>
      </c>
      <c r="CK80" s="1"/>
      <c r="CL80" s="1">
        <v>1E-4</v>
      </c>
      <c r="CM80" s="1" t="str">
        <f>HYPERLINK(".\links\CDD\gi_114155432-CDD.txt","PTZ00266")</f>
        <v>PTZ00266</v>
      </c>
      <c r="CN80" s="1" t="str">
        <f>HYPERLINK("http://www.ncbi.nlm.nih.gov/Structure/cdd/cddsrv.cgi?uid=PTZ00266&amp;version=v4.0","0.095")</f>
        <v>0.095</v>
      </c>
      <c r="CO80" s="1" t="s">
        <v>302</v>
      </c>
      <c r="CP80" s="1" t="str">
        <f>HYPERLINK(".\links\ACARI\gi_114155432-ACARI.txt","hypothetical protein")</f>
        <v>hypothetical protein</v>
      </c>
      <c r="CQ80" s="1" t="str">
        <f>HYPERLINK("http://www.ncbi.nlm.nih.gov/sutils/blink.cgi?pid=114155432","0.0")</f>
        <v>0.0</v>
      </c>
      <c r="CR80" s="1" t="str">
        <f>HYPERLINK("http://www.ncbi.nlm.nih.gov/protein/114155432","gi|114155432")</f>
        <v>gi|114155432</v>
      </c>
      <c r="CS80" s="1">
        <v>657</v>
      </c>
      <c r="CT80" s="1">
        <v>321</v>
      </c>
      <c r="CU80" s="1">
        <v>321</v>
      </c>
      <c r="CV80" s="1">
        <v>100</v>
      </c>
      <c r="CW80" s="1">
        <v>100</v>
      </c>
      <c r="CX80" s="1">
        <v>100</v>
      </c>
      <c r="CY80" s="1">
        <v>0</v>
      </c>
      <c r="CZ80" s="1">
        <v>0</v>
      </c>
      <c r="DA80" s="1">
        <v>1</v>
      </c>
      <c r="DB80" s="1">
        <v>1</v>
      </c>
      <c r="DC80" s="1">
        <v>1</v>
      </c>
      <c r="DD80" s="1" t="s">
        <v>53</v>
      </c>
    </row>
    <row r="81" spans="1:108" s="3" customFormat="1" x14ac:dyDescent="0.2">
      <c r="A81" s="3" t="s">
        <v>1418</v>
      </c>
      <c r="B81" s="3" t="str">
        <f>HYPERLINK(".\links\\gi_301015208-.txt","gi_301015208")</f>
        <v>gi_301015208</v>
      </c>
      <c r="C81" s="3" t="s">
        <v>35</v>
      </c>
      <c r="D81" s="3">
        <v>179</v>
      </c>
      <c r="E81" s="9" t="s">
        <v>53</v>
      </c>
      <c r="F81" s="3" t="s">
        <v>1247</v>
      </c>
      <c r="G81" s="1" t="s">
        <v>1475</v>
      </c>
      <c r="H81" s="3" t="str">
        <f>HYPERLINK(".\links\UNIPROT-ACARI\gi_301015208-UNIPROT-ACARI.txt","Immunogenic protein")</f>
        <v>Immunogenic protein</v>
      </c>
      <c r="I81" s="3" t="str">
        <f>HYPERLINK("http://www.ncbi.nlm.nih.gov/sutils/blink.cgi?pid=G3BJU6","1E-103")</f>
        <v>1E-103</v>
      </c>
      <c r="J81" s="3" t="s">
        <v>1133</v>
      </c>
      <c r="K81" s="3">
        <v>372</v>
      </c>
      <c r="L81" s="3">
        <v>179</v>
      </c>
      <c r="M81" s="3">
        <v>179</v>
      </c>
      <c r="N81" s="3">
        <v>100</v>
      </c>
      <c r="O81" s="3">
        <v>100</v>
      </c>
      <c r="P81" s="3">
        <v>100</v>
      </c>
      <c r="Q81" s="3">
        <v>0</v>
      </c>
      <c r="R81" s="3">
        <v>0</v>
      </c>
      <c r="S81" s="3">
        <v>1</v>
      </c>
      <c r="T81" s="3">
        <v>1</v>
      </c>
      <c r="U81" s="3">
        <v>1</v>
      </c>
      <c r="V81" s="3" t="s">
        <v>36</v>
      </c>
      <c r="W81" s="3" t="str">
        <f>HYPERLINK(".\links\NR-LIGHT\gi_301015208-NR-LIGHT.txt","immunogenic protein")</f>
        <v>immunogenic protein</v>
      </c>
      <c r="X81" s="3" t="str">
        <f>HYPERLINK("http://www.ncbi.nlm.nih.gov/sutils/blink.cgi?pid=301015208","1E-102")</f>
        <v>1E-102</v>
      </c>
      <c r="Y81" s="3" t="str">
        <f>HYPERLINK("http://www.ncbi.nlm.nih.gov/protein/301015208","gi|301015208")</f>
        <v>gi|301015208</v>
      </c>
      <c r="Z81" s="3">
        <v>372</v>
      </c>
      <c r="AA81" s="3">
        <v>179</v>
      </c>
      <c r="AB81" s="3">
        <v>179</v>
      </c>
      <c r="AC81" s="3">
        <v>100</v>
      </c>
      <c r="AD81" s="3">
        <v>100</v>
      </c>
      <c r="AE81" s="3">
        <v>100</v>
      </c>
      <c r="AF81" s="3">
        <v>0</v>
      </c>
      <c r="AG81" s="3">
        <v>0</v>
      </c>
      <c r="AH81" s="3">
        <v>1</v>
      </c>
      <c r="AI81" s="3">
        <v>1</v>
      </c>
      <c r="AJ81" s="3">
        <v>1</v>
      </c>
      <c r="AK81" s="3" t="s">
        <v>53</v>
      </c>
      <c r="AL81" s="3" t="str">
        <f>HYPERLINK(".\links\REFSEQ-INVERTEBRATE\gi_301015208-REFSEQ-INVERTEBRATE.txt","secreted protein, putative")</f>
        <v>secreted protein, putative</v>
      </c>
      <c r="AM81" s="3" t="str">
        <f>HYPERLINK("http://www.ncbi.nlm.nih.gov/sutils/blink.cgi?pid=241669411","1E-068")</f>
        <v>1E-068</v>
      </c>
      <c r="AN81" s="3" t="str">
        <f>HYPERLINK("http://www.ncbi.nlm.nih.gov/protein/241669411","gi|241669411")</f>
        <v>gi|241669411</v>
      </c>
      <c r="AO81" s="3">
        <v>259</v>
      </c>
      <c r="AP81" s="3">
        <v>190</v>
      </c>
      <c r="AQ81" s="3">
        <v>187</v>
      </c>
      <c r="AR81" s="3">
        <v>71</v>
      </c>
      <c r="AS81" s="3">
        <v>77</v>
      </c>
      <c r="AT81" s="3">
        <v>102</v>
      </c>
      <c r="AU81" s="3">
        <v>55</v>
      </c>
      <c r="AV81" s="3">
        <v>14</v>
      </c>
      <c r="AW81" s="3">
        <v>1</v>
      </c>
      <c r="AX81" s="3">
        <v>1</v>
      </c>
      <c r="AY81" s="3">
        <v>1</v>
      </c>
      <c r="AZ81" s="3" t="s">
        <v>40</v>
      </c>
      <c r="BA81" s="3" t="str">
        <f>HYPERLINK(".\links\MEROPS\gi_301015208-MEROPS.txt","- family C40 unassigned peptidases (Bacillus cereus)")</f>
        <v>- family C40 unassigned peptidases (Bacillus cereus)</v>
      </c>
      <c r="BB81" s="3" t="str">
        <f>HYPERLINK("http://www.ncbi.nlm.nih.gov/sutils/blink.cgi?pid=453889 - family C40 unassigned peptidases (Bacillus cereus) [C40.UPW]#C40#{peptidase unit","0.46")</f>
        <v>0.46</v>
      </c>
      <c r="BC81" s="3" t="s">
        <v>1134</v>
      </c>
      <c r="BD81" s="3">
        <v>34.700000000000003</v>
      </c>
      <c r="BE81" s="3">
        <v>72</v>
      </c>
      <c r="BF81" s="3">
        <v>481</v>
      </c>
      <c r="BG81" s="3">
        <v>33</v>
      </c>
      <c r="BH81" s="3">
        <v>43</v>
      </c>
      <c r="BI81" s="3">
        <v>15</v>
      </c>
      <c r="BJ81" s="3">
        <v>48</v>
      </c>
      <c r="BK81" s="3">
        <v>8</v>
      </c>
      <c r="BL81" s="3">
        <v>268</v>
      </c>
      <c r="BM81" s="3">
        <v>115</v>
      </c>
      <c r="BN81" s="3">
        <v>1</v>
      </c>
      <c r="BO81" s="3" t="s">
        <v>1135</v>
      </c>
      <c r="BP81" s="3" t="s">
        <v>1136</v>
      </c>
      <c r="BQ81" s="3">
        <f>HYPERLINK(".\links\GO\gi_301015208-GO.txt",0.96)</f>
        <v>0.96</v>
      </c>
      <c r="BR81" s="3" t="str">
        <f>HYPERLINK("http://amigo.geneontology.org/cgi-bin/amigo/term_details?term=GO:0003677","GO:0003677")</f>
        <v>GO:0003677</v>
      </c>
      <c r="BS81" s="3" t="s">
        <v>366</v>
      </c>
      <c r="BT81" s="3" t="s">
        <v>367</v>
      </c>
      <c r="BU81" s="3" t="s">
        <v>368</v>
      </c>
      <c r="BV81" s="3" t="s">
        <v>36</v>
      </c>
      <c r="BX81" s="3">
        <v>0.96</v>
      </c>
      <c r="BY81" s="3" t="str">
        <f>HYPERLINK("http://amigo.geneontology.org/cgi-bin/amigo/term_details?term=GO:0005634","GO:0005634")</f>
        <v>GO:0005634</v>
      </c>
      <c r="BZ81" s="3" t="s">
        <v>359</v>
      </c>
      <c r="CA81" s="3" t="s">
        <v>360</v>
      </c>
      <c r="CB81" s="3" t="s">
        <v>361</v>
      </c>
      <c r="CC81" s="3" t="s">
        <v>36</v>
      </c>
      <c r="CE81" s="3">
        <v>0.96</v>
      </c>
      <c r="CF81" s="3" t="str">
        <f>HYPERLINK("http://amigo.geneontology.org/cgi-bin/amigo/term_details?term=GO:0006355","GO:0006355")</f>
        <v>GO:0006355</v>
      </c>
      <c r="CG81" s="3" t="s">
        <v>589</v>
      </c>
      <c r="CH81" s="3" t="s">
        <v>590</v>
      </c>
      <c r="CI81" s="3" t="s">
        <v>591</v>
      </c>
      <c r="CJ81" s="3" t="s">
        <v>36</v>
      </c>
      <c r="CL81" s="3">
        <v>0.96</v>
      </c>
      <c r="CM81" s="3" t="str">
        <f>HYPERLINK(".\links\CDD\gi_301015208-CDD.txt","PHA02693")</f>
        <v>PHA02693</v>
      </c>
      <c r="CN81" s="3" t="str">
        <f>HYPERLINK("http://www.ncbi.nlm.nih.gov/Structure/cdd/cddsrv.cgi?uid=PHA02693&amp;version=v4.0","0.56")</f>
        <v>0.56</v>
      </c>
      <c r="CO81" s="3" t="s">
        <v>1137</v>
      </c>
      <c r="CP81" s="3" t="str">
        <f>HYPERLINK(".\links\ACARI\gi_301015208-ACARI.txt","immunogenic protein")</f>
        <v>immunogenic protein</v>
      </c>
      <c r="CQ81" s="3" t="str">
        <f>HYPERLINK("http://www.ncbi.nlm.nih.gov/sutils/blink.cgi?pid=301015208","1E-103")</f>
        <v>1E-103</v>
      </c>
      <c r="CR81" s="3" t="str">
        <f>HYPERLINK("http://www.ncbi.nlm.nih.gov/protein/301015208","gi|301015208")</f>
        <v>gi|301015208</v>
      </c>
      <c r="CS81" s="3">
        <v>372</v>
      </c>
      <c r="CT81" s="3">
        <v>179</v>
      </c>
      <c r="CU81" s="3">
        <v>179</v>
      </c>
      <c r="CV81" s="3">
        <v>100</v>
      </c>
      <c r="CW81" s="3">
        <v>100</v>
      </c>
      <c r="CX81" s="3">
        <v>100</v>
      </c>
      <c r="CY81" s="3">
        <v>0</v>
      </c>
      <c r="CZ81" s="3">
        <v>0</v>
      </c>
      <c r="DA81" s="3">
        <v>1</v>
      </c>
      <c r="DB81" s="3">
        <v>1</v>
      </c>
      <c r="DC81" s="3">
        <v>1</v>
      </c>
      <c r="DD81" s="3" t="s">
        <v>53</v>
      </c>
    </row>
    <row r="82" spans="1:108" s="3" customFormat="1" x14ac:dyDescent="0.2">
      <c r="A82" s="3" t="s">
        <v>1296</v>
      </c>
      <c r="B82" s="3" t="str">
        <f>HYPERLINK(".\links\\gi_346466897-.txt","gi_346466897")</f>
        <v>gi_346466897</v>
      </c>
      <c r="C82" s="3" t="s">
        <v>84</v>
      </c>
      <c r="D82" s="3">
        <v>425</v>
      </c>
      <c r="E82" s="9" t="s">
        <v>173</v>
      </c>
      <c r="F82" s="3" t="s">
        <v>1246</v>
      </c>
      <c r="G82" s="1" t="s">
        <v>1475</v>
      </c>
      <c r="H82" s="3" t="str">
        <f>HYPERLINK(".\links\UNIPROT-ACARI\gi_346466897-UNIPROT-ACARI.txt","Putative uncharacterized protein (Fragment)")</f>
        <v>Putative uncharacterized protein (Fragment)</v>
      </c>
      <c r="I82" s="3" t="str">
        <f>HYPERLINK("http://www.ncbi.nlm.nih.gov/sutils/blink.cgi?pid=G3MIH5","0.0")</f>
        <v>0.0</v>
      </c>
      <c r="J82" s="3" t="s">
        <v>217</v>
      </c>
      <c r="K82" s="3">
        <v>883</v>
      </c>
      <c r="L82" s="3">
        <v>425</v>
      </c>
      <c r="M82" s="3">
        <v>425</v>
      </c>
      <c r="N82" s="3">
        <v>100</v>
      </c>
      <c r="O82" s="3">
        <v>100</v>
      </c>
      <c r="P82" s="3">
        <v>100</v>
      </c>
      <c r="Q82" s="3">
        <v>0</v>
      </c>
      <c r="R82" s="3">
        <v>0</v>
      </c>
      <c r="S82" s="3">
        <v>1</v>
      </c>
      <c r="T82" s="3">
        <v>1</v>
      </c>
      <c r="U82" s="3">
        <v>1</v>
      </c>
      <c r="V82" s="3" t="s">
        <v>36</v>
      </c>
      <c r="W82" s="3" t="str">
        <f>HYPERLINK(".\links\NR-LIGHT\gi_346466897-NR-LIGHT.txt","CRISP3: cysteine-rich secretory protein, putative")</f>
        <v>CRISP3: cysteine-rich secretory protein, putative</v>
      </c>
      <c r="X82" s="3" t="str">
        <f>HYPERLINK("http://www.ncbi.nlm.nih.gov/sutils/blink.cgi?pid=241705672","6E-097")</f>
        <v>6E-097</v>
      </c>
      <c r="Y82" s="3" t="str">
        <f>HYPERLINK("http://www.ncbi.nlm.nih.gov/protein/241705672","gi|241705672")</f>
        <v>gi|241705672</v>
      </c>
      <c r="Z82" s="3">
        <v>357</v>
      </c>
      <c r="AA82" s="3">
        <v>420</v>
      </c>
      <c r="AB82" s="3">
        <v>419</v>
      </c>
      <c r="AC82" s="3">
        <v>41</v>
      </c>
      <c r="AD82" s="3">
        <v>60</v>
      </c>
      <c r="AE82" s="3">
        <v>100</v>
      </c>
      <c r="AF82" s="3">
        <v>246</v>
      </c>
      <c r="AG82" s="3">
        <v>6</v>
      </c>
      <c r="AH82" s="3">
        <v>3</v>
      </c>
      <c r="AI82" s="3">
        <v>5</v>
      </c>
      <c r="AJ82" s="3">
        <v>1</v>
      </c>
      <c r="AK82" s="3" t="s">
        <v>40</v>
      </c>
      <c r="AL82" s="3" t="str">
        <f>HYPERLINK(".\links\REFSEQ-INVERTEBRATE\gi_346466897-REFSEQ-INVERTEBRATE.txt","CRISP3: cysteine-rich secretory protein, putative")</f>
        <v>CRISP3: cysteine-rich secretory protein, putative</v>
      </c>
      <c r="AM82" s="3" t="str">
        <f>HYPERLINK("http://www.ncbi.nlm.nih.gov/sutils/blink.cgi?pid=241705672","2E-097")</f>
        <v>2E-097</v>
      </c>
      <c r="AN82" s="3" t="str">
        <f>HYPERLINK("http://www.ncbi.nlm.nih.gov/protein/241705672","gi|241705672")</f>
        <v>gi|241705672</v>
      </c>
      <c r="AO82" s="3">
        <v>357</v>
      </c>
      <c r="AP82" s="3">
        <v>420</v>
      </c>
      <c r="AQ82" s="3">
        <v>419</v>
      </c>
      <c r="AR82" s="3">
        <v>41</v>
      </c>
      <c r="AS82" s="3">
        <v>60</v>
      </c>
      <c r="AT82" s="3">
        <v>100</v>
      </c>
      <c r="AU82" s="3">
        <v>246</v>
      </c>
      <c r="AV82" s="3">
        <v>6</v>
      </c>
      <c r="AW82" s="3">
        <v>3</v>
      </c>
      <c r="AX82" s="3">
        <v>5</v>
      </c>
      <c r="AY82" s="3">
        <v>1</v>
      </c>
      <c r="AZ82" s="3" t="s">
        <v>40</v>
      </c>
      <c r="BA82" s="3" t="str">
        <f>HYPERLINK(".\links\MEROPS\gi_346466897-MEROPS.txt","- family I63 unassigned peptidase inhibitors (Ochotona princeps)")</f>
        <v>- family I63 unassigned peptidase inhibitors (Ochotona princeps)</v>
      </c>
      <c r="BB82" s="3" t="str">
        <f>HYPERLINK("http://www.ncbi.nlm.nih.gov/sutils/blink.cgi?pid=183365 - family I63 unassigned peptidase inhibitors (Ochotona princeps) [I63.UPW]#I63#{inhibitor unit","1E-011")</f>
        <v>1E-011</v>
      </c>
      <c r="BC82" s="3" t="s">
        <v>218</v>
      </c>
      <c r="BD82" s="3">
        <v>72</v>
      </c>
      <c r="BE82" s="3">
        <v>214</v>
      </c>
      <c r="BF82" s="3">
        <v>447</v>
      </c>
      <c r="BG82" s="3">
        <v>28</v>
      </c>
      <c r="BH82" s="3">
        <v>44</v>
      </c>
      <c r="BI82" s="3">
        <v>48</v>
      </c>
      <c r="BJ82" s="3">
        <v>154</v>
      </c>
      <c r="BK82" s="3">
        <v>32</v>
      </c>
      <c r="BL82" s="3">
        <v>39</v>
      </c>
      <c r="BM82" s="3">
        <v>54</v>
      </c>
      <c r="BN82" s="3">
        <v>1</v>
      </c>
      <c r="BO82" s="3" t="s">
        <v>73</v>
      </c>
      <c r="BP82" s="3" t="s">
        <v>219</v>
      </c>
      <c r="BQ82" s="3">
        <f>HYPERLINK(".\links\GO\gi_346466897-GO.txt",3E-21)</f>
        <v>2.9999999999999999E-21</v>
      </c>
      <c r="BR82" s="3" t="str">
        <f>HYPERLINK("http://amigo.geneontology.org/cgi-bin/amigo/term_details?term=GO:0003674","GO:0003674")</f>
        <v>GO:0003674</v>
      </c>
      <c r="BS82" s="3" t="s">
        <v>220</v>
      </c>
      <c r="BT82" s="3" t="s">
        <v>221</v>
      </c>
      <c r="BU82" s="3" t="s">
        <v>222</v>
      </c>
      <c r="BV82" s="3" t="s">
        <v>36</v>
      </c>
      <c r="BX82" s="4">
        <v>2.9999999999999999E-21</v>
      </c>
      <c r="BY82" s="3" t="str">
        <f>HYPERLINK("http://amigo.geneontology.org/cgi-bin/amigo/term_details?term=GO:0005576","GO:0005576")</f>
        <v>GO:0005576</v>
      </c>
      <c r="BZ82" s="3" t="s">
        <v>47</v>
      </c>
      <c r="CA82" s="3" t="s">
        <v>48</v>
      </c>
      <c r="CB82" s="3" t="s">
        <v>49</v>
      </c>
      <c r="CC82" s="3" t="s">
        <v>36</v>
      </c>
      <c r="CE82" s="4">
        <v>2.9999999999999999E-21</v>
      </c>
      <c r="CF82" s="3" t="str">
        <f>HYPERLINK("http://amigo.geneontology.org/cgi-bin/amigo/term_details?term=GO:0008150","GO:0008150")</f>
        <v>GO:0008150</v>
      </c>
      <c r="CG82" s="3" t="s">
        <v>223</v>
      </c>
      <c r="CH82" s="3" t="s">
        <v>224</v>
      </c>
      <c r="CI82" s="3" t="s">
        <v>225</v>
      </c>
      <c r="CJ82" s="3" t="s">
        <v>36</v>
      </c>
      <c r="CL82" s="4">
        <v>2.9999999999999999E-21</v>
      </c>
      <c r="CM82" s="3" t="str">
        <f>HYPERLINK(".\links\CDD\gi_346466897-CDD.txt","SCP_euk")</f>
        <v>SCP_euk</v>
      </c>
      <c r="CN82" s="3" t="str">
        <f>HYPERLINK("http://www.ncbi.nlm.nih.gov/Structure/cdd/cddsrv.cgi?uid=cd05380&amp;version=v4.0","4E-012")</f>
        <v>4E-012</v>
      </c>
      <c r="CO82" s="3" t="s">
        <v>226</v>
      </c>
      <c r="CP82" s="3" t="str">
        <f>HYPERLINK(".\links\ACARI\gi_346466897-ACARI.txt","hypothetical protein, partial")</f>
        <v>hypothetical protein, partial</v>
      </c>
      <c r="CQ82" s="3" t="str">
        <f>HYPERLINK("http://www.ncbi.nlm.nih.gov/sutils/blink.cgi?pid=346466897","0.0")</f>
        <v>0.0</v>
      </c>
      <c r="CR82" s="3" t="str">
        <f>HYPERLINK("http://www.ncbi.nlm.nih.gov/protein/346466897","gi|346466897")</f>
        <v>gi|346466897</v>
      </c>
      <c r="CS82" s="3">
        <v>883</v>
      </c>
      <c r="CT82" s="3">
        <v>425</v>
      </c>
      <c r="CU82" s="3">
        <v>425</v>
      </c>
      <c r="CV82" s="3">
        <v>100</v>
      </c>
      <c r="CW82" s="3">
        <v>100</v>
      </c>
      <c r="CX82" s="3">
        <v>100</v>
      </c>
      <c r="CY82" s="3">
        <v>0</v>
      </c>
      <c r="CZ82" s="3">
        <v>0</v>
      </c>
      <c r="DA82" s="3">
        <v>1</v>
      </c>
      <c r="DB82" s="3">
        <v>1</v>
      </c>
      <c r="DC82" s="3">
        <v>1</v>
      </c>
      <c r="DD82" s="3" t="s">
        <v>173</v>
      </c>
    </row>
    <row r="83" spans="1:108" s="3" customFormat="1" x14ac:dyDescent="0.2">
      <c r="A83" s="3" t="s">
        <v>1357</v>
      </c>
      <c r="B83" s="3" t="str">
        <f>HYPERLINK(".\links\\gi_346469857-.txt","gi_346469857")</f>
        <v>gi_346469857</v>
      </c>
      <c r="C83" s="3" t="s">
        <v>35</v>
      </c>
      <c r="D83" s="3">
        <v>175</v>
      </c>
      <c r="E83" s="9" t="s">
        <v>173</v>
      </c>
      <c r="F83" s="3" t="s">
        <v>1245</v>
      </c>
      <c r="G83" s="1" t="s">
        <v>1475</v>
      </c>
      <c r="H83" s="3" t="str">
        <f>HYPERLINK(".\links\UNIPROT-ACARI\gi_346469857-UNIPROT-ACARI.txt","Putative uncharacterized protein")</f>
        <v>Putative uncharacterized protein</v>
      </c>
      <c r="I83" s="3" t="str">
        <f>HYPERLINK("http://www.ncbi.nlm.nih.gov/sutils/blink.cgi?pid=G3MMQ5","1E-101")</f>
        <v>1E-101</v>
      </c>
      <c r="J83" s="3" t="s">
        <v>710</v>
      </c>
      <c r="K83" s="3">
        <v>364</v>
      </c>
      <c r="L83" s="3">
        <v>175</v>
      </c>
      <c r="M83" s="3">
        <v>175</v>
      </c>
      <c r="N83" s="3">
        <v>100</v>
      </c>
      <c r="O83" s="3">
        <v>100</v>
      </c>
      <c r="P83" s="3">
        <v>100</v>
      </c>
      <c r="Q83" s="3">
        <v>0</v>
      </c>
      <c r="R83" s="3">
        <v>0</v>
      </c>
      <c r="S83" s="3">
        <v>1</v>
      </c>
      <c r="T83" s="3">
        <v>1</v>
      </c>
      <c r="U83" s="3">
        <v>1</v>
      </c>
      <c r="V83" s="3" t="s">
        <v>36</v>
      </c>
      <c r="W83" s="3" t="str">
        <f>HYPERLINK(".\links\NR-LIGHT\gi_346469857-NR-LIGHT.txt","unknown larval protein")</f>
        <v>unknown larval protein</v>
      </c>
      <c r="X83" s="3" t="str">
        <f>HYPERLINK("http://www.ncbi.nlm.nih.gov/sutils/blink.cgi?pid=157399341","9E-090")</f>
        <v>9E-090</v>
      </c>
      <c r="Y83" s="3" t="str">
        <f>HYPERLINK("http://www.ncbi.nlm.nih.gov/protein/157399341","gi|157399341")</f>
        <v>gi|157399341</v>
      </c>
      <c r="Z83" s="3">
        <v>331</v>
      </c>
      <c r="AA83" s="3">
        <v>175</v>
      </c>
      <c r="AB83" s="3">
        <v>171</v>
      </c>
      <c r="AC83" s="3">
        <v>92</v>
      </c>
      <c r="AD83" s="3">
        <v>94</v>
      </c>
      <c r="AE83" s="3">
        <v>102</v>
      </c>
      <c r="AF83" s="3">
        <v>13</v>
      </c>
      <c r="AG83" s="3">
        <v>4</v>
      </c>
      <c r="AH83" s="3">
        <v>1</v>
      </c>
      <c r="AI83" s="3">
        <v>1</v>
      </c>
      <c r="AJ83" s="3">
        <v>1</v>
      </c>
      <c r="AK83" s="3" t="s">
        <v>711</v>
      </c>
      <c r="AL83" s="3" t="str">
        <f>HYPERLINK(".\links\REFSEQ-INVERTEBRATE\gi_346469857-REFSEQ-INVERTEBRATE.txt","secreted protein, putative")</f>
        <v>secreted protein, putative</v>
      </c>
      <c r="AM83" s="3" t="str">
        <f>HYPERLINK("http://www.ncbi.nlm.nih.gov/sutils/blink.cgi?pid=241669411","4E-070")</f>
        <v>4E-070</v>
      </c>
      <c r="AN83" s="3" t="str">
        <f>HYPERLINK("http://www.ncbi.nlm.nih.gov/protein/241669411","gi|241669411")</f>
        <v>gi|241669411</v>
      </c>
      <c r="AO83" s="3">
        <v>264</v>
      </c>
      <c r="AP83" s="3">
        <v>187</v>
      </c>
      <c r="AQ83" s="3">
        <v>187</v>
      </c>
      <c r="AR83" s="3">
        <v>73</v>
      </c>
      <c r="AS83" s="3">
        <v>78</v>
      </c>
      <c r="AT83" s="3">
        <v>100</v>
      </c>
      <c r="AU83" s="3">
        <v>49</v>
      </c>
      <c r="AV83" s="3">
        <v>20</v>
      </c>
      <c r="AW83" s="3">
        <v>1</v>
      </c>
      <c r="AX83" s="3">
        <v>1</v>
      </c>
      <c r="AY83" s="3">
        <v>1</v>
      </c>
      <c r="AZ83" s="3" t="s">
        <v>40</v>
      </c>
      <c r="BA83" s="3" t="str">
        <f>HYPERLINK(".\links\MEROPS\gi_346469857-MEROPS.txt","- family S9 unassigned peptidases (Aspergillus fumigatus)")</f>
        <v>- family S9 unassigned peptidases (Aspergillus fumigatus)</v>
      </c>
      <c r="BB83" s="3" t="str">
        <f>HYPERLINK("http://www.ncbi.nlm.nih.gov/sutils/blink.cgi?pid=211134 - family S9 unassigned peptidases (Aspergillus fumigatus) [S09.UPW]#S09X#{peptidase unit","0.25")</f>
        <v>0.25</v>
      </c>
      <c r="BC83" s="3" t="s">
        <v>712</v>
      </c>
      <c r="BD83" s="3">
        <v>35.4</v>
      </c>
      <c r="BE83" s="3">
        <v>124</v>
      </c>
      <c r="BF83" s="3">
        <v>365</v>
      </c>
      <c r="BG83" s="3">
        <v>25</v>
      </c>
      <c r="BH83" s="3">
        <v>45</v>
      </c>
      <c r="BI83" s="3">
        <v>34</v>
      </c>
      <c r="BJ83" s="3">
        <v>92</v>
      </c>
      <c r="BK83" s="3">
        <v>26</v>
      </c>
      <c r="BL83" s="3">
        <v>246</v>
      </c>
      <c r="BM83" s="3">
        <v>22</v>
      </c>
      <c r="BN83" s="3">
        <v>1</v>
      </c>
      <c r="BO83" s="3" t="s">
        <v>713</v>
      </c>
      <c r="BP83" s="3" t="s">
        <v>714</v>
      </c>
      <c r="BQ83" s="3">
        <f>HYPERLINK(".\links\GO\gi_346469857-GO.txt",0.24)</f>
        <v>0.24</v>
      </c>
      <c r="BR83" s="3" t="str">
        <f>HYPERLINK("http://amigo.geneontology.org/cgi-bin/amigo/term_details?term=GO:0003674","GO:0003674")</f>
        <v>GO:0003674</v>
      </c>
      <c r="BS83" s="3" t="s">
        <v>220</v>
      </c>
      <c r="BT83" s="3" t="s">
        <v>221</v>
      </c>
      <c r="BU83" s="3" t="s">
        <v>222</v>
      </c>
      <c r="BV83" s="3" t="s">
        <v>36</v>
      </c>
      <c r="BX83" s="3">
        <v>0.24</v>
      </c>
      <c r="BY83" s="3" t="str">
        <f>HYPERLINK("http://amigo.geneontology.org/cgi-bin/amigo/term_details?term=GO:0005575","GO:0005575")</f>
        <v>GO:0005575</v>
      </c>
      <c r="BZ83" s="3" t="s">
        <v>60</v>
      </c>
      <c r="CA83" s="3" t="s">
        <v>61</v>
      </c>
      <c r="CB83" s="3" t="s">
        <v>62</v>
      </c>
      <c r="CC83" s="3" t="s">
        <v>36</v>
      </c>
      <c r="CE83" s="3">
        <v>0.24</v>
      </c>
      <c r="CF83" s="3" t="str">
        <f>HYPERLINK("http://amigo.geneontology.org/cgi-bin/amigo/term_details?term=GO:0008150","GO:0008150")</f>
        <v>GO:0008150</v>
      </c>
      <c r="CG83" s="3" t="s">
        <v>223</v>
      </c>
      <c r="CH83" s="3" t="s">
        <v>224</v>
      </c>
      <c r="CI83" s="3" t="s">
        <v>225</v>
      </c>
      <c r="CJ83" s="3" t="s">
        <v>36</v>
      </c>
      <c r="CL83" s="3">
        <v>0.24</v>
      </c>
      <c r="CM83" s="3" t="str">
        <f>HYPERLINK(".\links\CDD\gi_346469857-CDD.txt","organic solvent tolerance protein")</f>
        <v>organic solvent tolerance protein</v>
      </c>
      <c r="CN83" s="3" t="str">
        <f>HYPERLINK("http://www.ncbi.nlm.nih.gov/Structure/cdd/cddsrv.cgi?uid=PRK04423&amp;version=v4.0","0.93")</f>
        <v>0.93</v>
      </c>
      <c r="CO83" s="3" t="s">
        <v>715</v>
      </c>
      <c r="CP83" s="3" t="str">
        <f>HYPERLINK(".\links\ACARI\gi_346469857-ACARI.txt","hypothetical protein")</f>
        <v>hypothetical protein</v>
      </c>
      <c r="CQ83" s="3" t="str">
        <f>HYPERLINK("http://www.ncbi.nlm.nih.gov/sutils/blink.cgi?pid=346469857","1E-101")</f>
        <v>1E-101</v>
      </c>
      <c r="CR83" s="3" t="str">
        <f>HYPERLINK("http://www.ncbi.nlm.nih.gov/protein/346469857","gi|346469857")</f>
        <v>gi|346469857</v>
      </c>
      <c r="CS83" s="3">
        <v>364</v>
      </c>
      <c r="CT83" s="3">
        <v>175</v>
      </c>
      <c r="CU83" s="3">
        <v>175</v>
      </c>
      <c r="CV83" s="3">
        <v>100</v>
      </c>
      <c r="CW83" s="3">
        <v>100</v>
      </c>
      <c r="CX83" s="3">
        <v>100</v>
      </c>
      <c r="CY83" s="3">
        <v>0</v>
      </c>
      <c r="CZ83" s="3">
        <v>0</v>
      </c>
      <c r="DA83" s="3">
        <v>1</v>
      </c>
      <c r="DB83" s="3">
        <v>1</v>
      </c>
      <c r="DC83" s="3">
        <v>1</v>
      </c>
      <c r="DD83" s="3" t="s">
        <v>173</v>
      </c>
    </row>
    <row r="84" spans="1:108" s="3" customFormat="1" x14ac:dyDescent="0.2">
      <c r="A84" s="3" t="s">
        <v>1313</v>
      </c>
      <c r="B84" s="3" t="str">
        <f>HYPERLINK(".\links\\gi_346472821-.txt","gi_346472821")</f>
        <v>gi_346472821</v>
      </c>
      <c r="C84" s="3" t="s">
        <v>35</v>
      </c>
      <c r="D84" s="3">
        <v>220</v>
      </c>
      <c r="E84" s="9" t="s">
        <v>173</v>
      </c>
      <c r="F84" s="3" t="s">
        <v>1245</v>
      </c>
      <c r="G84" s="1" t="s">
        <v>1475</v>
      </c>
      <c r="H84" s="3" t="str">
        <f>HYPERLINK(".\links\UNIPROT-ACARI\gi_346472821-UNIPROT-ACARI.txt","Putative uncharacterized protein")</f>
        <v>Putative uncharacterized protein</v>
      </c>
      <c r="I84" s="3" t="str">
        <f>HYPERLINK("http://www.ncbi.nlm.nih.gov/sutils/blink.cgi?pid=G3MRY7","1E-123")</f>
        <v>1E-123</v>
      </c>
      <c r="J84" s="3" t="s">
        <v>174</v>
      </c>
      <c r="K84" s="3">
        <v>438</v>
      </c>
      <c r="L84" s="3">
        <v>220</v>
      </c>
      <c r="M84" s="3">
        <v>220</v>
      </c>
      <c r="N84" s="3">
        <v>100</v>
      </c>
      <c r="O84" s="3">
        <v>100</v>
      </c>
      <c r="P84" s="3">
        <v>100</v>
      </c>
      <c r="Q84" s="3">
        <v>0</v>
      </c>
      <c r="R84" s="3">
        <v>0</v>
      </c>
      <c r="S84" s="3">
        <v>1</v>
      </c>
      <c r="T84" s="3">
        <v>1</v>
      </c>
      <c r="U84" s="3">
        <v>1</v>
      </c>
      <c r="V84" s="3" t="s">
        <v>36</v>
      </c>
      <c r="W84" s="3" t="str">
        <f>HYPERLINK(".\links\NR-LIGHT\gi_346472821-NR-LIGHT.txt","salivary protein antigen P23")</f>
        <v>salivary protein antigen P23</v>
      </c>
      <c r="X84" s="3" t="str">
        <f>HYPERLINK("http://www.ncbi.nlm.nih.gov/sutils/blink.cgi?pid=332691297","7E-035")</f>
        <v>7E-035</v>
      </c>
      <c r="Y84" s="3" t="str">
        <f>HYPERLINK("http://www.ncbi.nlm.nih.gov/protein/332691297","gi|332691297")</f>
        <v>gi|332691297</v>
      </c>
      <c r="Z84" s="3">
        <v>149</v>
      </c>
      <c r="AA84" s="3">
        <v>219</v>
      </c>
      <c r="AB84" s="3">
        <v>222</v>
      </c>
      <c r="AC84" s="3">
        <v>40</v>
      </c>
      <c r="AD84" s="3">
        <v>57</v>
      </c>
      <c r="AE84" s="3">
        <v>99</v>
      </c>
      <c r="AF84" s="3">
        <v>131</v>
      </c>
      <c r="AG84" s="3">
        <v>2</v>
      </c>
      <c r="AH84" s="3">
        <v>1</v>
      </c>
      <c r="AI84" s="3">
        <v>1</v>
      </c>
      <c r="AJ84" s="3">
        <v>1</v>
      </c>
      <c r="AK84" s="3" t="s">
        <v>40</v>
      </c>
      <c r="AL84" s="3" t="str">
        <f>HYPERLINK(".\links\REFSEQ-INVERTEBRATE\gi_346472821-REFSEQ-INVERTEBRATE.txt","secreted salivary gland peptide, putative")</f>
        <v>secreted salivary gland peptide, putative</v>
      </c>
      <c r="AM84" s="3" t="str">
        <f>HYPERLINK("http://www.ncbi.nlm.nih.gov/sutils/blink.cgi?pid=242001148","1E-032")</f>
        <v>1E-032</v>
      </c>
      <c r="AN84" s="3" t="str">
        <f>HYPERLINK("http://www.ncbi.nlm.nih.gov/protein/242001148","gi|242001148")</f>
        <v>gi|242001148</v>
      </c>
      <c r="AO84" s="3">
        <v>140</v>
      </c>
      <c r="AP84" s="3">
        <v>198</v>
      </c>
      <c r="AQ84" s="3">
        <v>218</v>
      </c>
      <c r="AR84" s="3">
        <v>35</v>
      </c>
      <c r="AS84" s="3">
        <v>60</v>
      </c>
      <c r="AT84" s="3">
        <v>91</v>
      </c>
      <c r="AU84" s="3">
        <v>127</v>
      </c>
      <c r="AV84" s="3">
        <v>1</v>
      </c>
      <c r="AW84" s="3">
        <v>20</v>
      </c>
      <c r="AX84" s="3">
        <v>21</v>
      </c>
      <c r="AY84" s="3">
        <v>1</v>
      </c>
      <c r="AZ84" s="3" t="s">
        <v>40</v>
      </c>
      <c r="BA84" s="3" t="str">
        <f>HYPERLINK(".\links\MEROPS\gi_346472821-MEROPS.txt","- penP g.p. ({Bacillus subtilis}) (Paenibacillus mucilaginosus)")</f>
        <v>- penP g.p. ({Bacillus subtilis}) (Paenibacillus mucilaginosus)</v>
      </c>
      <c r="BB84" s="3" t="str">
        <f>HYPERLINK("http://www.ncbi.nlm.nih.gov/sutils/blink.cgi?pid=273531 - penP g.p. ({Bacillus subtilis}) (Paenibacillus mucilaginosus) [S11.A01]#S11#{peptidase unit","2.7")</f>
        <v>2.7</v>
      </c>
      <c r="BC84" s="3" t="s">
        <v>175</v>
      </c>
      <c r="BD84" s="3">
        <v>32.700000000000003</v>
      </c>
      <c r="BE84" s="3">
        <v>82</v>
      </c>
      <c r="BF84" s="3">
        <v>314</v>
      </c>
      <c r="BG84" s="3">
        <v>30</v>
      </c>
      <c r="BH84" s="3">
        <v>42</v>
      </c>
      <c r="BI84" s="3">
        <v>26</v>
      </c>
      <c r="BJ84" s="3">
        <v>57</v>
      </c>
      <c r="BK84" s="3">
        <v>8</v>
      </c>
      <c r="BL84" s="3">
        <v>162</v>
      </c>
      <c r="BM84" s="3">
        <v>76</v>
      </c>
      <c r="BN84" s="3">
        <v>1</v>
      </c>
      <c r="BO84" s="3" t="s">
        <v>176</v>
      </c>
      <c r="BP84" s="3" t="s">
        <v>177</v>
      </c>
      <c r="BQ84" s="3">
        <f>HYPERLINK(".\links\GO\gi_346472821-GO.txt",4.3)</f>
        <v>4.3</v>
      </c>
      <c r="BR84" s="3" t="str">
        <f>HYPERLINK("http://amigo.geneontology.org/cgi-bin/amigo/term_details?term=GO:0005198","GO:0005198")</f>
        <v>GO:0005198</v>
      </c>
      <c r="BS84" s="3" t="s">
        <v>178</v>
      </c>
      <c r="BT84" s="3" t="s">
        <v>179</v>
      </c>
      <c r="BU84" s="3" t="s">
        <v>36</v>
      </c>
      <c r="BV84" s="3" t="s">
        <v>36</v>
      </c>
      <c r="BX84" s="3">
        <v>5.7</v>
      </c>
      <c r="BY84" s="3" t="str">
        <f>HYPERLINK("http://amigo.geneontology.org/cgi-bin/amigo/term_details?term=GO:0009422","GO:0009422")</f>
        <v>GO:0009422</v>
      </c>
      <c r="BZ84" s="3" t="s">
        <v>180</v>
      </c>
      <c r="CA84" s="3" t="s">
        <v>181</v>
      </c>
      <c r="CB84" s="3" t="s">
        <v>182</v>
      </c>
      <c r="CC84" s="3" t="s">
        <v>36</v>
      </c>
      <c r="CE84" s="3">
        <v>5.7</v>
      </c>
      <c r="CF84" s="3" t="str">
        <f>HYPERLINK("http://amigo.geneontology.org/cgi-bin/amigo/term_details?term=GO:0001539","GO:0001539")</f>
        <v>GO:0001539</v>
      </c>
      <c r="CG84" s="3" t="s">
        <v>183</v>
      </c>
      <c r="CH84" s="3" t="s">
        <v>184</v>
      </c>
      <c r="CI84" s="3" t="s">
        <v>185</v>
      </c>
      <c r="CJ84" s="3" t="s">
        <v>36</v>
      </c>
      <c r="CL84" s="3">
        <v>5.7</v>
      </c>
      <c r="CM84" s="3" t="str">
        <f>HYPERLINK(".\links\CDD\gi_346472821-CDD.txt","EDH_00030")</f>
        <v>EDH_00030</v>
      </c>
      <c r="CN84" s="3" t="str">
        <f>HYPERLINK("http://www.ncbi.nlm.nih.gov/Structure/cdd/cddsrv.cgi?uid=TIGR04180&amp;version=v4.0","0.16")</f>
        <v>0.16</v>
      </c>
      <c r="CO84" s="3" t="s">
        <v>186</v>
      </c>
      <c r="CP84" s="3" t="str">
        <f>HYPERLINK(".\links\ACARI\gi_346472821-ACARI.txt","hypothetical protein")</f>
        <v>hypothetical protein</v>
      </c>
      <c r="CQ84" s="3" t="str">
        <f>HYPERLINK("http://www.ncbi.nlm.nih.gov/sutils/blink.cgi?pid=346472821","1E-123")</f>
        <v>1E-123</v>
      </c>
      <c r="CR84" s="3" t="str">
        <f>HYPERLINK("http://www.ncbi.nlm.nih.gov/protein/346472821","gi|346472821")</f>
        <v>gi|346472821</v>
      </c>
      <c r="CS84" s="3">
        <v>438</v>
      </c>
      <c r="CT84" s="3">
        <v>220</v>
      </c>
      <c r="CU84" s="3">
        <v>220</v>
      </c>
      <c r="CV84" s="3">
        <v>100</v>
      </c>
      <c r="CW84" s="3">
        <v>100</v>
      </c>
      <c r="CX84" s="3">
        <v>100</v>
      </c>
      <c r="CY84" s="3">
        <v>0</v>
      </c>
      <c r="CZ84" s="3">
        <v>0</v>
      </c>
      <c r="DA84" s="3">
        <v>1</v>
      </c>
      <c r="DB84" s="3">
        <v>1</v>
      </c>
      <c r="DC84" s="3">
        <v>1</v>
      </c>
      <c r="DD84" s="3" t="s">
        <v>173</v>
      </c>
    </row>
    <row r="85" spans="1:108" s="3" customFormat="1" x14ac:dyDescent="0.2">
      <c r="A85" s="3" t="s">
        <v>1297</v>
      </c>
      <c r="B85" s="3" t="str">
        <f>HYPERLINK(".\links\\gi_427790335-.txt","gi_427790335")</f>
        <v>gi_427790335</v>
      </c>
      <c r="C85" s="3" t="s">
        <v>35</v>
      </c>
      <c r="D85" s="3">
        <v>220</v>
      </c>
      <c r="E85" s="9" t="s">
        <v>68</v>
      </c>
      <c r="F85" s="3" t="s">
        <v>1245</v>
      </c>
      <c r="G85" s="1" t="s">
        <v>1475</v>
      </c>
      <c r="H85" s="3" t="str">
        <f>HYPERLINK(".\links\UNIPROT-ACARI\gi_427790335-UNIPROT-ACARI.txt","Putative amblyomma 40-33 family member")</f>
        <v>Putative amblyomma 40-33 family member</v>
      </c>
      <c r="I85" s="3" t="str">
        <f>HYPERLINK("http://www.ncbi.nlm.nih.gov/sutils/blink.cgi?pid=L7MBU1","1E-123")</f>
        <v>1E-123</v>
      </c>
      <c r="J85" s="3" t="s">
        <v>113</v>
      </c>
      <c r="K85" s="3">
        <v>437</v>
      </c>
      <c r="L85" s="3">
        <v>220</v>
      </c>
      <c r="M85" s="3">
        <v>220</v>
      </c>
      <c r="N85" s="3">
        <v>100</v>
      </c>
      <c r="O85" s="3">
        <v>100</v>
      </c>
      <c r="P85" s="3">
        <v>100</v>
      </c>
      <c r="Q85" s="3">
        <v>0</v>
      </c>
      <c r="R85" s="3">
        <v>0</v>
      </c>
      <c r="S85" s="3">
        <v>1</v>
      </c>
      <c r="T85" s="3">
        <v>1</v>
      </c>
      <c r="U85" s="3">
        <v>1</v>
      </c>
      <c r="V85" s="3" t="s">
        <v>36</v>
      </c>
      <c r="W85" s="3" t="str">
        <f>HYPERLINK(".\links\NR-LIGHT\gi_427790335-NR-LIGHT.txt","hypothetical secreted protein 1652")</f>
        <v>hypothetical secreted protein 1652</v>
      </c>
      <c r="X85" s="3" t="str">
        <f>HYPERLINK("http://www.ncbi.nlm.nih.gov/sutils/blink.cgi?pid=325302786","2E-045")</f>
        <v>2E-045</v>
      </c>
      <c r="Y85" s="3" t="str">
        <f>HYPERLINK("http://www.ncbi.nlm.nih.gov/protein/325302786","gi|325302786")</f>
        <v>gi|325302786</v>
      </c>
      <c r="Z85" s="3">
        <v>184</v>
      </c>
      <c r="AA85" s="3">
        <v>196</v>
      </c>
      <c r="AB85" s="3">
        <v>196</v>
      </c>
      <c r="AC85" s="3">
        <v>46</v>
      </c>
      <c r="AD85" s="3">
        <v>65</v>
      </c>
      <c r="AE85" s="3">
        <v>100</v>
      </c>
      <c r="AF85" s="3">
        <v>104</v>
      </c>
      <c r="AG85" s="3">
        <v>0</v>
      </c>
      <c r="AH85" s="3">
        <v>1</v>
      </c>
      <c r="AI85" s="3">
        <v>1</v>
      </c>
      <c r="AJ85" s="3">
        <v>1</v>
      </c>
      <c r="AK85" s="3" t="s">
        <v>114</v>
      </c>
      <c r="AL85" s="3" t="str">
        <f>HYPERLINK(".\links\REFSEQ-INVERTEBRATE\gi_427790335-REFSEQ-INVERTEBRATE.txt","secreted salivary gland peptide, putative")</f>
        <v>secreted salivary gland peptide, putative</v>
      </c>
      <c r="AM85" s="3" t="str">
        <f>HYPERLINK("http://www.ncbi.nlm.nih.gov/sutils/blink.cgi?pid=242001148","8E-039")</f>
        <v>8E-039</v>
      </c>
      <c r="AN85" s="3" t="str">
        <f>HYPERLINK("http://www.ncbi.nlm.nih.gov/protein/242001148","gi|242001148")</f>
        <v>gi|242001148</v>
      </c>
      <c r="AO85" s="3">
        <v>161</v>
      </c>
      <c r="AP85" s="3">
        <v>212</v>
      </c>
      <c r="AQ85" s="3">
        <v>218</v>
      </c>
      <c r="AR85" s="3">
        <v>41</v>
      </c>
      <c r="AS85" s="3">
        <v>58</v>
      </c>
      <c r="AT85" s="3">
        <v>97</v>
      </c>
      <c r="AU85" s="3">
        <v>124</v>
      </c>
      <c r="AV85" s="3">
        <v>0</v>
      </c>
      <c r="AW85" s="3">
        <v>7</v>
      </c>
      <c r="AX85" s="3">
        <v>7</v>
      </c>
      <c r="AY85" s="3">
        <v>1</v>
      </c>
      <c r="AZ85" s="3" t="s">
        <v>40</v>
      </c>
      <c r="BA85" s="3" t="str">
        <f>HYPERLINK(".\links\MEROPS\gi_427790335-MEROPS.txt","- subfamily S1A non-peptidase homologues (Plasmodium cynomolgi)")</f>
        <v>- subfamily S1A non-peptidase homologues (Plasmodium cynomolgi)</v>
      </c>
      <c r="BB85" s="3" t="str">
        <f>HYPERLINK("http://www.ncbi.nlm.nih.gov/sutils/blink.cgi?pid=428020 - subfamily S1A non-peptidase homologues (Plasmodium cynomolgi) [S01.UNA]#S01A#{peptidase unit","1.6")</f>
        <v>1.6</v>
      </c>
      <c r="BC85" s="3" t="s">
        <v>115</v>
      </c>
      <c r="BD85" s="3">
        <v>33.5</v>
      </c>
      <c r="BE85" s="3">
        <v>72</v>
      </c>
      <c r="BF85" s="3">
        <v>1073</v>
      </c>
      <c r="BG85" s="3">
        <v>26</v>
      </c>
      <c r="BH85" s="3">
        <v>51</v>
      </c>
      <c r="BI85" s="3">
        <v>7</v>
      </c>
      <c r="BJ85" s="3">
        <v>53</v>
      </c>
      <c r="BK85" s="3">
        <v>3</v>
      </c>
      <c r="BL85" s="3">
        <v>347</v>
      </c>
      <c r="BM85" s="3">
        <v>149</v>
      </c>
      <c r="BN85" s="3">
        <v>1</v>
      </c>
      <c r="BO85" s="3" t="s">
        <v>116</v>
      </c>
      <c r="BP85" s="3" t="s">
        <v>117</v>
      </c>
      <c r="BQ85" s="3">
        <f>HYPERLINK(".\links\GO\gi_427790335-GO.txt",1.1)</f>
        <v>1.1000000000000001</v>
      </c>
      <c r="BR85" s="3" t="str">
        <f>HYPERLINK("http://amigo.geneontology.org/cgi-bin/amigo/term_details?term=GO:0000403","GO:0000403")</f>
        <v>GO:0000403</v>
      </c>
      <c r="BS85" s="3" t="s">
        <v>118</v>
      </c>
      <c r="BT85" s="3" t="s">
        <v>119</v>
      </c>
      <c r="BU85" s="3" t="s">
        <v>120</v>
      </c>
      <c r="BV85" s="3" t="s">
        <v>36</v>
      </c>
      <c r="BX85" s="3">
        <v>1.1000000000000001</v>
      </c>
      <c r="BY85" s="3" t="str">
        <f>HYPERLINK("http://amigo.geneontology.org/cgi-bin/amigo/term_details?term=GO:0000228","GO:0000228")</f>
        <v>GO:0000228</v>
      </c>
      <c r="BZ85" s="3" t="s">
        <v>121</v>
      </c>
      <c r="CA85" s="3" t="s">
        <v>122</v>
      </c>
      <c r="CB85" s="3" t="s">
        <v>123</v>
      </c>
      <c r="CC85" s="3" t="s">
        <v>36</v>
      </c>
      <c r="CE85" s="3">
        <v>1.1000000000000001</v>
      </c>
      <c r="CF85" s="3" t="str">
        <f>HYPERLINK("http://amigo.geneontology.org/cgi-bin/amigo/term_details?term=GO:0000710","GO:0000710")</f>
        <v>GO:0000710</v>
      </c>
      <c r="CG85" s="3" t="s">
        <v>124</v>
      </c>
      <c r="CH85" s="3" t="s">
        <v>125</v>
      </c>
      <c r="CI85" s="3" t="s">
        <v>36</v>
      </c>
      <c r="CJ85" s="3" t="s">
        <v>36</v>
      </c>
      <c r="CL85" s="3">
        <v>1.1000000000000001</v>
      </c>
      <c r="CM85" s="3" t="str">
        <f>HYPERLINK(".\links\CDD\gi_427790335-CDD.txt","HNOBA")</f>
        <v>HNOBA</v>
      </c>
      <c r="CN85" s="3" t="str">
        <f>HYPERLINK("http://www.ncbi.nlm.nih.gov/Structure/cdd/cddsrv.cgi?uid=pfam07701&amp;version=v4.0","2.3")</f>
        <v>2.3</v>
      </c>
      <c r="CO85" s="3" t="s">
        <v>126</v>
      </c>
      <c r="CP85" s="3" t="str">
        <f>HYPERLINK(".\links\ACARI\gi_427790335-ACARI.txt","Putative amblyomma 40-33 family member")</f>
        <v>Putative amblyomma 40-33 family member</v>
      </c>
      <c r="CQ85" s="3" t="str">
        <f>HYPERLINK("http://www.ncbi.nlm.nih.gov/sutils/blink.cgi?pid=427790335","1E-123")</f>
        <v>1E-123</v>
      </c>
      <c r="CR85" s="3" t="str">
        <f>HYPERLINK("http://www.ncbi.nlm.nih.gov/protein/427790335","gi|427790335")</f>
        <v>gi|427790335</v>
      </c>
      <c r="CS85" s="3">
        <v>437</v>
      </c>
      <c r="CT85" s="3">
        <v>220</v>
      </c>
      <c r="CU85" s="3">
        <v>220</v>
      </c>
      <c r="CV85" s="3">
        <v>100</v>
      </c>
      <c r="CW85" s="3">
        <v>100</v>
      </c>
      <c r="CX85" s="3">
        <v>100</v>
      </c>
      <c r="CY85" s="3">
        <v>0</v>
      </c>
      <c r="CZ85" s="3">
        <v>0</v>
      </c>
      <c r="DA85" s="3">
        <v>1</v>
      </c>
      <c r="DB85" s="3">
        <v>1</v>
      </c>
      <c r="DC85" s="3">
        <v>1</v>
      </c>
      <c r="DD85" s="3" t="s">
        <v>68</v>
      </c>
    </row>
    <row r="86" spans="1:108" s="3" customFormat="1" x14ac:dyDescent="0.2">
      <c r="A86" s="3" t="s">
        <v>1411</v>
      </c>
      <c r="B86" s="3" t="str">
        <f>HYPERLINK(".\links\\gi_460239124-.txt","gi_460239124")</f>
        <v>gi_460239124</v>
      </c>
      <c r="C86" s="3" t="s">
        <v>35</v>
      </c>
      <c r="D86" s="3">
        <v>231</v>
      </c>
      <c r="E86" s="9" t="s">
        <v>377</v>
      </c>
      <c r="F86" s="3" t="s">
        <v>1285</v>
      </c>
      <c r="G86" s="1" t="s">
        <v>1475</v>
      </c>
      <c r="H86" s="3" t="str">
        <f>HYPERLINK(".\links\UNIPROT-ACARI\gi_460239124-UNIPROT-ACARI.txt","AV422")</f>
        <v>AV422</v>
      </c>
      <c r="I86" s="3" t="str">
        <f>HYPERLINK("http://www.ncbi.nlm.nih.gov/sutils/blink.cgi?pid=M4PPE7","1E-134")</f>
        <v>1E-134</v>
      </c>
      <c r="J86" s="3" t="s">
        <v>1009</v>
      </c>
      <c r="K86" s="3">
        <v>476</v>
      </c>
      <c r="L86" s="3">
        <v>231</v>
      </c>
      <c r="M86" s="3">
        <v>231</v>
      </c>
      <c r="N86" s="3">
        <v>100</v>
      </c>
      <c r="O86" s="3">
        <v>100</v>
      </c>
      <c r="P86" s="3">
        <v>100</v>
      </c>
      <c r="Q86" s="3">
        <v>0</v>
      </c>
      <c r="R86" s="3">
        <v>0</v>
      </c>
      <c r="S86" s="3">
        <v>1</v>
      </c>
      <c r="T86" s="3">
        <v>1</v>
      </c>
      <c r="U86" s="3">
        <v>1</v>
      </c>
      <c r="V86" s="3" t="s">
        <v>36</v>
      </c>
      <c r="W86" s="3" t="str">
        <f>HYPERLINK(".\links\NR-LIGHT\gi_460239124-NR-LIGHT.txt","AV422")</f>
        <v>AV422</v>
      </c>
      <c r="X86" s="3" t="str">
        <f>HYPERLINK("http://www.ncbi.nlm.nih.gov/sutils/blink.cgi?pid=460239124","1E-133")</f>
        <v>1E-133</v>
      </c>
      <c r="Y86" s="3" t="str">
        <f>HYPERLINK("http://www.ncbi.nlm.nih.gov/protein/460239124","gi|460239124")</f>
        <v>gi|460239124</v>
      </c>
      <c r="Z86" s="3">
        <v>476</v>
      </c>
      <c r="AA86" s="3">
        <v>231</v>
      </c>
      <c r="AB86" s="3">
        <v>231</v>
      </c>
      <c r="AC86" s="3">
        <v>100</v>
      </c>
      <c r="AD86" s="3">
        <v>100</v>
      </c>
      <c r="AE86" s="3">
        <v>100</v>
      </c>
      <c r="AF86" s="3">
        <v>0</v>
      </c>
      <c r="AG86" s="3">
        <v>0</v>
      </c>
      <c r="AH86" s="3">
        <v>1</v>
      </c>
      <c r="AI86" s="3">
        <v>1</v>
      </c>
      <c r="AJ86" s="3">
        <v>1</v>
      </c>
      <c r="AK86" s="3" t="s">
        <v>377</v>
      </c>
      <c r="AL86" s="3" t="str">
        <f>HYPERLINK(".\links\REFSEQ-INVERTEBRATE\gi_460239124-REFSEQ-INVERTEBRATE.txt","secreted salivary gland peptide, putative")</f>
        <v>secreted salivary gland peptide, putative</v>
      </c>
      <c r="AM86" s="3" t="str">
        <f>HYPERLINK("http://www.ncbi.nlm.nih.gov/sutils/blink.cgi?pid=241754591","1E-112")</f>
        <v>1E-112</v>
      </c>
      <c r="AN86" s="3" t="str">
        <f>HYPERLINK("http://www.ncbi.nlm.nih.gov/protein/241754591","gi|241754591")</f>
        <v>gi|241754591</v>
      </c>
      <c r="AO86" s="3">
        <v>405</v>
      </c>
      <c r="AP86" s="3">
        <v>231</v>
      </c>
      <c r="AQ86" s="3">
        <v>229</v>
      </c>
      <c r="AR86" s="3">
        <v>83</v>
      </c>
      <c r="AS86" s="3">
        <v>91</v>
      </c>
      <c r="AT86" s="3">
        <v>101</v>
      </c>
      <c r="AU86" s="3">
        <v>37</v>
      </c>
      <c r="AV86" s="3">
        <v>2</v>
      </c>
      <c r="AW86" s="3">
        <v>1</v>
      </c>
      <c r="AX86" s="3">
        <v>1</v>
      </c>
      <c r="AY86" s="3">
        <v>1</v>
      </c>
      <c r="AZ86" s="3" t="s">
        <v>40</v>
      </c>
      <c r="BA86" s="3" t="str">
        <f>HYPERLINK(".\links\MEROPS\gi_460239124-MEROPS.txt","- grifolisin (Aspergillus oryzae)")</f>
        <v>- grifolisin (Aspergillus oryzae)</v>
      </c>
      <c r="BB86" s="3" t="str">
        <f>HYPERLINK("http://www.ncbi.nlm.nih.gov/sutils/blink.cgi?pid=030252 - grifolisin (Aspergillus oryzae) [S53.010]#S53#{peptidase unit","5.1")</f>
        <v>5.1</v>
      </c>
      <c r="BC86" s="3" t="s">
        <v>1010</v>
      </c>
      <c r="BD86" s="3">
        <v>32</v>
      </c>
      <c r="BE86" s="3">
        <v>33</v>
      </c>
      <c r="BF86" s="3">
        <v>600</v>
      </c>
      <c r="BG86" s="3">
        <v>42</v>
      </c>
      <c r="BH86" s="3">
        <v>63</v>
      </c>
      <c r="BI86" s="3">
        <v>6</v>
      </c>
      <c r="BJ86" s="3">
        <v>19</v>
      </c>
      <c r="BK86" s="3">
        <v>0</v>
      </c>
      <c r="BL86" s="3">
        <v>324</v>
      </c>
      <c r="BM86" s="3">
        <v>165</v>
      </c>
      <c r="BN86" s="3">
        <v>1</v>
      </c>
      <c r="BO86" s="3" t="s">
        <v>1011</v>
      </c>
      <c r="BP86" s="3" t="s">
        <v>1012</v>
      </c>
      <c r="BQ86" s="3">
        <f>HYPERLINK(".\links\GO\gi_460239124-GO.txt",0.008)</f>
        <v>8.0000000000000002E-3</v>
      </c>
      <c r="BR86" s="3" t="str">
        <f>HYPERLINK("http://amigo.geneontology.org/cgi-bin/amigo/term_details?term=GO:0018024","GO:0018024")</f>
        <v>GO:0018024</v>
      </c>
      <c r="BS86" s="3" t="s">
        <v>1013</v>
      </c>
      <c r="BT86" s="3" t="s">
        <v>1014</v>
      </c>
      <c r="BU86" s="3" t="s">
        <v>1015</v>
      </c>
      <c r="BV86" s="3" t="str">
        <f>HYPERLINK("http://www.genome.jp/dbget-bin/www_bfind_sub?mode=bfind&amp;max_hit=1000&amp;dbkey=kegg&amp;keywords=EC:2.1.1.43","EC:2.1.1.43")</f>
        <v>EC:2.1.1.43</v>
      </c>
      <c r="BX86" s="3">
        <v>0.97</v>
      </c>
      <c r="BY86" s="3" t="str">
        <f>HYPERLINK("http://amigo.geneontology.org/cgi-bin/amigo/term_details?term=GO:0005634","GO:0005634")</f>
        <v>GO:0005634</v>
      </c>
      <c r="BZ86" s="3" t="s">
        <v>359</v>
      </c>
      <c r="CA86" s="3" t="s">
        <v>360</v>
      </c>
      <c r="CB86" s="3" t="s">
        <v>361</v>
      </c>
      <c r="CC86" s="3" t="s">
        <v>36</v>
      </c>
      <c r="CE86" s="3">
        <v>0.97</v>
      </c>
      <c r="CF86" s="3" t="str">
        <f>HYPERLINK("http://amigo.geneontology.org/cgi-bin/amigo/term_details?term=GO:0032259","GO:0032259")</f>
        <v>GO:0032259</v>
      </c>
      <c r="CG86" s="3" t="s">
        <v>1016</v>
      </c>
      <c r="CH86" s="3" t="s">
        <v>1017</v>
      </c>
      <c r="CI86" s="3" t="s">
        <v>36</v>
      </c>
      <c r="CJ86" s="3" t="s">
        <v>36</v>
      </c>
      <c r="CL86" s="3">
        <v>0.97</v>
      </c>
      <c r="CM86" s="3" t="str">
        <f>HYPERLINK(".\links\CDD\gi_460239124-CDD.txt","DUF19")</f>
        <v>DUF19</v>
      </c>
      <c r="CN86" s="3" t="str">
        <f>HYPERLINK("http://www.ncbi.nlm.nih.gov/Structure/cdd/cddsrv.cgi?uid=pfam01579&amp;version=v4.0","5.6")</f>
        <v>5.6</v>
      </c>
      <c r="CO86" s="3" t="s">
        <v>1018</v>
      </c>
      <c r="CP86" s="3" t="str">
        <f>HYPERLINK(".\links\ACARI\gi_460239124-ACARI.txt","AV422")</f>
        <v>AV422</v>
      </c>
      <c r="CQ86" s="3" t="str">
        <f>HYPERLINK("http://www.ncbi.nlm.nih.gov/sutils/blink.cgi?pid=460239124","1E-134")</f>
        <v>1E-134</v>
      </c>
      <c r="CR86" s="3" t="str">
        <f>HYPERLINK("http://www.ncbi.nlm.nih.gov/protein/460239124","gi|460239124")</f>
        <v>gi|460239124</v>
      </c>
      <c r="CS86" s="3">
        <v>476</v>
      </c>
      <c r="CT86" s="3">
        <v>231</v>
      </c>
      <c r="CU86" s="3">
        <v>231</v>
      </c>
      <c r="CV86" s="3">
        <v>100</v>
      </c>
      <c r="CW86" s="3">
        <v>100</v>
      </c>
      <c r="CX86" s="3">
        <v>100</v>
      </c>
      <c r="CY86" s="3">
        <v>0</v>
      </c>
      <c r="CZ86" s="3">
        <v>0</v>
      </c>
      <c r="DA86" s="3">
        <v>1</v>
      </c>
      <c r="DB86" s="3">
        <v>1</v>
      </c>
      <c r="DC86" s="3">
        <v>1</v>
      </c>
      <c r="DD86" s="3" t="s">
        <v>377</v>
      </c>
    </row>
    <row r="87" spans="1:108" s="3" customFormat="1" x14ac:dyDescent="0.2">
      <c r="A87" s="3" t="s">
        <v>1320</v>
      </c>
      <c r="B87" s="3" t="str">
        <f>HYPERLINK(".\links\\Rm-9069-.txt","Rm-9069")</f>
        <v>Rm-9069</v>
      </c>
      <c r="C87" s="3" t="s">
        <v>369</v>
      </c>
      <c r="D87" s="3">
        <v>130</v>
      </c>
      <c r="E87" s="9" t="s">
        <v>203</v>
      </c>
      <c r="F87" s="3" t="s">
        <v>1245</v>
      </c>
      <c r="G87" s="1" t="s">
        <v>1475</v>
      </c>
      <c r="H87" s="3" t="str">
        <f>HYPERLINK(".\links\UNIPROT-ACARI\Rm-9069-UNIPROT-ACARI.txt","Putative secreted peptide")</f>
        <v>Putative secreted peptide</v>
      </c>
      <c r="I87" s="3" t="str">
        <f>HYPERLINK("http://www.ncbi.nlm.nih.gov/sutils/blink.cgi?pid=L7M9V2","2E-045")</f>
        <v>2E-045</v>
      </c>
      <c r="J87" s="3" t="s">
        <v>370</v>
      </c>
      <c r="K87" s="3">
        <v>177</v>
      </c>
      <c r="L87" s="3">
        <v>108</v>
      </c>
      <c r="M87" s="3">
        <v>110</v>
      </c>
      <c r="N87" s="3">
        <v>83</v>
      </c>
      <c r="O87" s="3">
        <v>88</v>
      </c>
      <c r="P87" s="3">
        <v>98</v>
      </c>
      <c r="Q87" s="3">
        <v>18</v>
      </c>
      <c r="R87" s="3">
        <v>0</v>
      </c>
      <c r="S87" s="3">
        <v>1</v>
      </c>
      <c r="T87" s="3">
        <v>23</v>
      </c>
      <c r="U87" s="3">
        <v>1</v>
      </c>
      <c r="V87" s="3" t="s">
        <v>36</v>
      </c>
      <c r="W87" s="3" t="str">
        <f>HYPERLINK(".\links\NR-LIGHT\Rm-9069-NR-LIGHT.txt","secreted protein, putative")</f>
        <v>secreted protein, putative</v>
      </c>
      <c r="X87" s="3" t="str">
        <f>HYPERLINK("http://www.ncbi.nlm.nih.gov/sutils/blink.cgi?pid=241998256","1E-008")</f>
        <v>1E-008</v>
      </c>
      <c r="Y87" s="3" t="str">
        <f>HYPERLINK("http://www.ncbi.nlm.nih.gov/protein/241998256","gi|241998256")</f>
        <v>gi|241998256</v>
      </c>
      <c r="Z87" s="3">
        <v>61.2</v>
      </c>
      <c r="AA87" s="3">
        <v>114</v>
      </c>
      <c r="AB87" s="3">
        <v>225</v>
      </c>
      <c r="AC87" s="3">
        <v>32</v>
      </c>
      <c r="AD87" s="3">
        <v>51</v>
      </c>
      <c r="AE87" s="3">
        <v>51</v>
      </c>
      <c r="AF87" s="3">
        <v>77</v>
      </c>
      <c r="AG87" s="3">
        <v>6</v>
      </c>
      <c r="AH87" s="3">
        <v>103</v>
      </c>
      <c r="AI87" s="3">
        <v>17</v>
      </c>
      <c r="AJ87" s="3">
        <v>1</v>
      </c>
      <c r="AK87" s="3" t="s">
        <v>40</v>
      </c>
      <c r="AL87" s="3" t="str">
        <f>HYPERLINK(".\links\REFSEQ-INVERTEBRATE\Rm-9069-REFSEQ-INVERTEBRATE.txt","secreted protein, putative")</f>
        <v>secreted protein, putative</v>
      </c>
      <c r="AM87" s="3" t="str">
        <f>HYPERLINK("http://www.ncbi.nlm.nih.gov/sutils/blink.cgi?pid=241998256","3E-009")</f>
        <v>3E-009</v>
      </c>
      <c r="AN87" s="3" t="str">
        <f>HYPERLINK("http://www.ncbi.nlm.nih.gov/protein/241998256","gi|241998256")</f>
        <v>gi|241998256</v>
      </c>
      <c r="AO87" s="3">
        <v>61.2</v>
      </c>
      <c r="AP87" s="3">
        <v>114</v>
      </c>
      <c r="AQ87" s="3">
        <v>225</v>
      </c>
      <c r="AR87" s="3">
        <v>32</v>
      </c>
      <c r="AS87" s="3">
        <v>51</v>
      </c>
      <c r="AT87" s="3">
        <v>51</v>
      </c>
      <c r="AU87" s="3">
        <v>77</v>
      </c>
      <c r="AV87" s="3">
        <v>6</v>
      </c>
      <c r="AW87" s="3">
        <v>103</v>
      </c>
      <c r="AX87" s="3">
        <v>17</v>
      </c>
      <c r="AY87" s="3">
        <v>1</v>
      </c>
      <c r="AZ87" s="3" t="s">
        <v>40</v>
      </c>
      <c r="BA87" s="3" t="str">
        <f>HYPERLINK(".\links\MEROPS\Rm-9069-MEROPS.txt","- YddH peptidase (Mycobacterium massiliense)")</f>
        <v>- YddH peptidase (Mycobacterium massiliense)</v>
      </c>
      <c r="BB87" s="3" t="str">
        <f>HYPERLINK("http://www.ncbi.nlm.nih.gov/sutils/blink.cgi?pid=401475 - YddH peptidase (Mycobacterium massiliense) [C40.007]#C40#{peptidase unit","1.9")</f>
        <v>1.9</v>
      </c>
      <c r="BC87" s="3" t="s">
        <v>371</v>
      </c>
      <c r="BD87" s="3">
        <v>31.6</v>
      </c>
      <c r="BE87" s="3">
        <v>38</v>
      </c>
      <c r="BF87" s="3">
        <v>359</v>
      </c>
      <c r="BG87" s="3">
        <v>42</v>
      </c>
      <c r="BH87" s="3">
        <v>57</v>
      </c>
      <c r="BI87" s="3">
        <v>11</v>
      </c>
      <c r="BJ87" s="3">
        <v>22</v>
      </c>
      <c r="BK87" s="3">
        <v>0</v>
      </c>
      <c r="BL87" s="3">
        <v>225</v>
      </c>
      <c r="BM87" s="3">
        <v>36</v>
      </c>
      <c r="BN87" s="3">
        <v>1</v>
      </c>
      <c r="BO87" s="3" t="s">
        <v>372</v>
      </c>
      <c r="BP87" s="3" t="s">
        <v>373</v>
      </c>
      <c r="BQ87" s="3">
        <f>HYPERLINK(".\links\GO\Rm-9069-GO.txt",0.78)</f>
        <v>0.78</v>
      </c>
      <c r="BR87" s="3" t="str">
        <f>HYPERLINK("http://amigo.geneontology.org/cgi-bin/amigo/term_details?term=GO:0003674","GO:0003674")</f>
        <v>GO:0003674</v>
      </c>
      <c r="BS87" s="3" t="s">
        <v>220</v>
      </c>
      <c r="BT87" s="3" t="s">
        <v>221</v>
      </c>
      <c r="BU87" s="3" t="s">
        <v>222</v>
      </c>
      <c r="BV87" s="3" t="s">
        <v>36</v>
      </c>
      <c r="BX87" s="3">
        <v>0.78</v>
      </c>
      <c r="BY87" s="3" t="str">
        <f>HYPERLINK("http://amigo.geneontology.org/cgi-bin/amigo/term_details?term=GO:0005737","GO:0005737")</f>
        <v>GO:0005737</v>
      </c>
      <c r="BZ87" s="3" t="s">
        <v>374</v>
      </c>
      <c r="CA87" s="3" t="s">
        <v>375</v>
      </c>
      <c r="CB87" s="3" t="s">
        <v>36</v>
      </c>
      <c r="CC87" s="3" t="s">
        <v>36</v>
      </c>
      <c r="CE87" s="3">
        <v>0.78</v>
      </c>
      <c r="CF87" s="3" t="str">
        <f>HYPERLINK("http://amigo.geneontology.org/cgi-bin/amigo/term_details?term=GO:0008150","GO:0008150")</f>
        <v>GO:0008150</v>
      </c>
      <c r="CG87" s="3" t="s">
        <v>223</v>
      </c>
      <c r="CH87" s="3" t="s">
        <v>224</v>
      </c>
      <c r="CI87" s="3" t="s">
        <v>225</v>
      </c>
      <c r="CJ87" s="3" t="s">
        <v>36</v>
      </c>
      <c r="CL87" s="3">
        <v>0.78</v>
      </c>
      <c r="CM87" s="3" t="str">
        <f>HYPERLINK(".\links\CDD\Rm-9069-CDD.txt","flagellar basal body rod protein FlgG")</f>
        <v>flagellar basal body rod protein FlgG</v>
      </c>
      <c r="CN87" s="3" t="str">
        <f>HYPERLINK("http://www.ncbi.nlm.nih.gov/Structure/cdd/cddsrv.cgi?uid=PRK12817&amp;version=v4.0","0.100")</f>
        <v>0.100</v>
      </c>
      <c r="CO87" s="3" t="s">
        <v>376</v>
      </c>
      <c r="CP87" s="3" t="str">
        <f>HYPERLINK(".\links\ACARI\Rm-9069-ACARI.txt","putative secreted peptide precursor")</f>
        <v>putative secreted peptide precursor</v>
      </c>
      <c r="CQ87" s="3" t="str">
        <f>HYPERLINK("http://www.ncbi.nlm.nih.gov/sutils/blink.cgi?pid=427790757","3E-045")</f>
        <v>3E-045</v>
      </c>
      <c r="CR87" s="3" t="str">
        <f>HYPERLINK("http://www.ncbi.nlm.nih.gov/protein/427790757","gi|427790757")</f>
        <v>gi|427790757</v>
      </c>
      <c r="CS87" s="3">
        <v>177</v>
      </c>
      <c r="CT87" s="3">
        <v>108</v>
      </c>
      <c r="CU87" s="3">
        <v>110</v>
      </c>
      <c r="CV87" s="3">
        <v>83</v>
      </c>
      <c r="CW87" s="3">
        <v>88</v>
      </c>
      <c r="CX87" s="3">
        <v>98</v>
      </c>
      <c r="CY87" s="3">
        <v>18</v>
      </c>
      <c r="CZ87" s="3">
        <v>0</v>
      </c>
      <c r="DA87" s="3">
        <v>1</v>
      </c>
      <c r="DB87" s="3">
        <v>23</v>
      </c>
      <c r="DC87" s="3">
        <v>1</v>
      </c>
      <c r="DD87" s="3" t="s">
        <v>68</v>
      </c>
    </row>
    <row r="88" spans="1:108" s="3" customFormat="1" x14ac:dyDescent="0.2">
      <c r="A88" s="3" t="s">
        <v>1326</v>
      </c>
      <c r="B88" s="3" t="str">
        <f>HYPERLINK(".\links\\gi_346466079-.txt","gi_346466079")</f>
        <v>gi_346466079</v>
      </c>
      <c r="C88" s="3" t="s">
        <v>425</v>
      </c>
      <c r="D88" s="3">
        <v>162</v>
      </c>
      <c r="E88" s="9" t="s">
        <v>173</v>
      </c>
      <c r="F88" s="3" t="s">
        <v>1248</v>
      </c>
      <c r="G88" s="3" t="s">
        <v>1476</v>
      </c>
      <c r="H88" s="3" t="str">
        <f>HYPERLINK(".\links\UNIPROT-ACARI\gi_346466079-UNIPROT-ACARI.txt","Putative uncharacterized protein (Fragment)")</f>
        <v>Putative uncharacterized protein (Fragment)</v>
      </c>
      <c r="I88" s="3" t="str">
        <f>HYPERLINK("http://www.ncbi.nlm.nih.gov/sutils/blink.cgi?pid=G3MHB6","4E-088")</f>
        <v>4E-088</v>
      </c>
      <c r="J88" s="3" t="s">
        <v>777</v>
      </c>
      <c r="K88" s="3">
        <v>320</v>
      </c>
      <c r="L88" s="3">
        <v>162</v>
      </c>
      <c r="M88" s="3">
        <v>162</v>
      </c>
      <c r="N88" s="3">
        <v>100</v>
      </c>
      <c r="O88" s="3">
        <v>100</v>
      </c>
      <c r="P88" s="3">
        <v>100</v>
      </c>
      <c r="Q88" s="3">
        <v>0</v>
      </c>
      <c r="R88" s="3">
        <v>0</v>
      </c>
      <c r="S88" s="3">
        <v>1</v>
      </c>
      <c r="T88" s="3">
        <v>1</v>
      </c>
      <c r="U88" s="3">
        <v>1</v>
      </c>
      <c r="V88" s="3" t="s">
        <v>36</v>
      </c>
      <c r="W88" s="3" t="str">
        <f>HYPERLINK(".\links\NR-LIGHT\gi_346466079-NR-LIGHT.txt","fatty acid-binding protein FABP")</f>
        <v>fatty acid-binding protein FABP</v>
      </c>
      <c r="X88" s="3" t="str">
        <f>HYPERLINK("http://www.ncbi.nlm.nih.gov/sutils/blink.cgi?pid=325303794","6E-069")</f>
        <v>6E-069</v>
      </c>
      <c r="Y88" s="3" t="str">
        <f>HYPERLINK("http://www.ncbi.nlm.nih.gov/protein/325303794","gi|325303794")</f>
        <v>gi|325303794</v>
      </c>
      <c r="Z88" s="3">
        <v>261</v>
      </c>
      <c r="AA88" s="3">
        <v>131</v>
      </c>
      <c r="AB88" s="3">
        <v>131</v>
      </c>
      <c r="AC88" s="3">
        <v>99</v>
      </c>
      <c r="AD88" s="3">
        <v>99</v>
      </c>
      <c r="AE88" s="3">
        <v>100</v>
      </c>
      <c r="AF88" s="3">
        <v>1</v>
      </c>
      <c r="AG88" s="3">
        <v>0</v>
      </c>
      <c r="AH88" s="3">
        <v>1</v>
      </c>
      <c r="AI88" s="3">
        <v>32</v>
      </c>
      <c r="AJ88" s="3">
        <v>1</v>
      </c>
      <c r="AK88" s="3" t="s">
        <v>114</v>
      </c>
      <c r="AL88" s="3" t="str">
        <f>HYPERLINK(".\links\REFSEQ-INVERTEBRATE\gi_346466079-REFSEQ-INVERTEBRATE.txt","fatty acid-binding protein FABP, putative")</f>
        <v>fatty acid-binding protein FABP, putative</v>
      </c>
      <c r="AM88" s="3" t="str">
        <f>HYPERLINK("http://www.ncbi.nlm.nih.gov/sutils/blink.cgi?pid=241781846","1E-049")</f>
        <v>1E-049</v>
      </c>
      <c r="AN88" s="3" t="str">
        <f>HYPERLINK("http://www.ncbi.nlm.nih.gov/protein/241781846","gi|241781846")</f>
        <v>gi|241781846</v>
      </c>
      <c r="AO88" s="3">
        <v>196</v>
      </c>
      <c r="AP88" s="3">
        <v>131</v>
      </c>
      <c r="AQ88" s="3">
        <v>132</v>
      </c>
      <c r="AR88" s="3">
        <v>70</v>
      </c>
      <c r="AS88" s="3">
        <v>84</v>
      </c>
      <c r="AT88" s="3">
        <v>99</v>
      </c>
      <c r="AU88" s="3">
        <v>38</v>
      </c>
      <c r="AV88" s="3">
        <v>0</v>
      </c>
      <c r="AW88" s="3">
        <v>1</v>
      </c>
      <c r="AX88" s="3">
        <v>32</v>
      </c>
      <c r="AY88" s="3">
        <v>1</v>
      </c>
      <c r="AZ88" s="3" t="s">
        <v>40</v>
      </c>
      <c r="BA88" s="3" t="str">
        <f>HYPERLINK(".\links\MEROPS\gi_346466079-MEROPS.txt","- family I17 unassigned peptidase inhibitors (Otolemur garnettii)")</f>
        <v>- family I17 unassigned peptidase inhibitors (Otolemur garnettii)</v>
      </c>
      <c r="BB88" s="3" t="str">
        <f>HYPERLINK("http://www.ncbi.nlm.nih.gov/sutils/blink.cgi?pid=256153 - family I17 unassigned peptidase inhibitors (Otolemur garnettii) [I17.UPW]#I17#{inhibitor unit","1E-015")</f>
        <v>1E-015</v>
      </c>
      <c r="BC88" s="3" t="s">
        <v>778</v>
      </c>
      <c r="BD88" s="3">
        <v>82.8</v>
      </c>
      <c r="BE88" s="3">
        <v>106</v>
      </c>
      <c r="BF88" s="3">
        <v>337</v>
      </c>
      <c r="BG88" s="3">
        <v>39</v>
      </c>
      <c r="BH88" s="3">
        <v>58</v>
      </c>
      <c r="BI88" s="3">
        <v>31</v>
      </c>
      <c r="BJ88" s="3">
        <v>64</v>
      </c>
      <c r="BK88" s="3">
        <v>0</v>
      </c>
      <c r="BL88" s="3">
        <v>1</v>
      </c>
      <c r="BM88" s="3">
        <v>32</v>
      </c>
      <c r="BN88" s="3">
        <v>1</v>
      </c>
      <c r="BO88" s="3" t="s">
        <v>779</v>
      </c>
      <c r="BP88" s="3" t="s">
        <v>780</v>
      </c>
      <c r="BQ88" s="3">
        <f>HYPERLINK(".\links\GO\gi_346466079-GO.txt",1E-28)</f>
        <v>9.9999999999999997E-29</v>
      </c>
      <c r="BR88" s="3" t="str">
        <f>HYPERLINK("http://amigo.geneontology.org/cgi-bin/amigo/term_details?term=GO:0005324","GO:0005324")</f>
        <v>GO:0005324</v>
      </c>
      <c r="BS88" s="3" t="s">
        <v>781</v>
      </c>
      <c r="BT88" s="3" t="s">
        <v>782</v>
      </c>
      <c r="BU88" s="3" t="s">
        <v>783</v>
      </c>
      <c r="BV88" s="3" t="s">
        <v>36</v>
      </c>
      <c r="BX88" s="4">
        <v>1.9999999999999999E-28</v>
      </c>
      <c r="BY88" s="3" t="str">
        <f>HYPERLINK("http://amigo.geneontology.org/cgi-bin/amigo/term_details?term=GO:0005615","GO:0005615")</f>
        <v>GO:0005615</v>
      </c>
      <c r="BZ88" s="3" t="s">
        <v>195</v>
      </c>
      <c r="CA88" s="3" t="s">
        <v>196</v>
      </c>
      <c r="CB88" s="3" t="s">
        <v>197</v>
      </c>
      <c r="CC88" s="3" t="s">
        <v>36</v>
      </c>
      <c r="CE88" s="4">
        <v>1.9999999999999999E-28</v>
      </c>
      <c r="CF88" s="3" t="str">
        <f>HYPERLINK("http://amigo.geneontology.org/cgi-bin/amigo/term_details?term=GO:0006631","GO:0006631")</f>
        <v>GO:0006631</v>
      </c>
      <c r="CG88" s="3" t="s">
        <v>784</v>
      </c>
      <c r="CH88" s="3" t="s">
        <v>785</v>
      </c>
      <c r="CI88" s="3" t="s">
        <v>786</v>
      </c>
      <c r="CJ88" s="3" t="s">
        <v>36</v>
      </c>
      <c r="CL88" s="4">
        <v>1.9999999999999999E-28</v>
      </c>
      <c r="CM88" s="3" t="str">
        <f>HYPERLINK(".\links\CDD\gi_346466079-CDD.txt","Lipocalin")</f>
        <v>Lipocalin</v>
      </c>
      <c r="CN88" s="3" t="str">
        <f>HYPERLINK("http://www.ncbi.nlm.nih.gov/Structure/cdd/cddsrv.cgi?uid=pfam00061&amp;version=v4.0","1E-008")</f>
        <v>1E-008</v>
      </c>
      <c r="CO88" s="3" t="s">
        <v>787</v>
      </c>
      <c r="CP88" s="3" t="str">
        <f>HYPERLINK(".\links\ACARI\gi_346466079-ACARI.txt","hypothetical protein, partial")</f>
        <v>hypothetical protein, partial</v>
      </c>
      <c r="CQ88" s="3" t="str">
        <f>HYPERLINK("http://www.ncbi.nlm.nih.gov/sutils/blink.cgi?pid=346466079","5E-088")</f>
        <v>5E-088</v>
      </c>
      <c r="CR88" s="3" t="str">
        <f>HYPERLINK("http://www.ncbi.nlm.nih.gov/protein/346466079","gi|346466079")</f>
        <v>gi|346466079</v>
      </c>
      <c r="CS88" s="3">
        <v>320</v>
      </c>
      <c r="CT88" s="3">
        <v>162</v>
      </c>
      <c r="CU88" s="3">
        <v>162</v>
      </c>
      <c r="CV88" s="3">
        <v>100</v>
      </c>
      <c r="CW88" s="3">
        <v>100</v>
      </c>
      <c r="CX88" s="3">
        <v>100</v>
      </c>
      <c r="CY88" s="3">
        <v>0</v>
      </c>
      <c r="CZ88" s="3">
        <v>0</v>
      </c>
      <c r="DA88" s="3">
        <v>1</v>
      </c>
      <c r="DB88" s="3">
        <v>1</v>
      </c>
      <c r="DC88" s="3">
        <v>1</v>
      </c>
      <c r="DD88" s="3" t="s">
        <v>173</v>
      </c>
    </row>
    <row r="89" spans="1:108" s="3" customFormat="1" x14ac:dyDescent="0.2">
      <c r="A89" s="3" t="s">
        <v>1298</v>
      </c>
      <c r="B89" s="3" t="str">
        <f>HYPERLINK(".\links\\gi_68051217-.txt","gi_68051217")</f>
        <v>gi_68051217</v>
      </c>
      <c r="C89" s="3" t="s">
        <v>35</v>
      </c>
      <c r="D89" s="3">
        <v>178</v>
      </c>
      <c r="E89" s="9" t="s">
        <v>53</v>
      </c>
      <c r="F89" s="3" t="s">
        <v>1248</v>
      </c>
      <c r="G89" s="3" t="s">
        <v>1476</v>
      </c>
      <c r="H89" s="3" t="str">
        <f>HYPERLINK(".\links\UNIPROT-ACARI\gi_68051217-UNIPROT-ACARI.txt","Putative uncharacterized protein HLSG-g5")</f>
        <v>Putative uncharacterized protein HLSG-g5</v>
      </c>
      <c r="I89" s="3" t="str">
        <f>HYPERLINK("http://www.ncbi.nlm.nih.gov/sutils/blink.cgi?pid=Q4R196","1E-104")</f>
        <v>1E-104</v>
      </c>
      <c r="J89" s="3" t="s">
        <v>303</v>
      </c>
      <c r="K89" s="3">
        <v>375</v>
      </c>
      <c r="L89" s="3">
        <v>178</v>
      </c>
      <c r="M89" s="3">
        <v>178</v>
      </c>
      <c r="N89" s="3">
        <v>100</v>
      </c>
      <c r="O89" s="3">
        <v>100</v>
      </c>
      <c r="P89" s="3">
        <v>100</v>
      </c>
      <c r="Q89" s="3">
        <v>0</v>
      </c>
      <c r="R89" s="3">
        <v>0</v>
      </c>
      <c r="S89" s="3">
        <v>1</v>
      </c>
      <c r="T89" s="3">
        <v>1</v>
      </c>
      <c r="U89" s="3">
        <v>1</v>
      </c>
      <c r="V89" s="3" t="s">
        <v>36</v>
      </c>
      <c r="W89" s="3" t="str">
        <f>HYPERLINK(".\links\NR-LIGHT\gi_68051217-NR-LIGHT.txt","hypothetical protein")</f>
        <v>hypothetical protein</v>
      </c>
      <c r="X89" s="3" t="str">
        <f>HYPERLINK("http://www.ncbi.nlm.nih.gov/sutils/blink.cgi?pid=68051217","1E-103")</f>
        <v>1E-103</v>
      </c>
      <c r="Y89" s="3" t="str">
        <f>HYPERLINK("http://www.ncbi.nlm.nih.gov/protein/68051217","gi|68051217")</f>
        <v>gi|68051217</v>
      </c>
      <c r="Z89" s="3">
        <v>375</v>
      </c>
      <c r="AA89" s="3">
        <v>178</v>
      </c>
      <c r="AB89" s="3">
        <v>178</v>
      </c>
      <c r="AC89" s="3">
        <v>100</v>
      </c>
      <c r="AD89" s="3">
        <v>100</v>
      </c>
      <c r="AE89" s="3">
        <v>100</v>
      </c>
      <c r="AF89" s="3">
        <v>0</v>
      </c>
      <c r="AG89" s="3">
        <v>0</v>
      </c>
      <c r="AH89" s="3">
        <v>1</v>
      </c>
      <c r="AI89" s="3">
        <v>1</v>
      </c>
      <c r="AJ89" s="3">
        <v>1</v>
      </c>
      <c r="AK89" s="3" t="s">
        <v>53</v>
      </c>
      <c r="AL89" s="3" t="str">
        <f>HYPERLINK(".\links\REFSEQ-INVERTEBRATE\gi_68051217-REFSEQ-INVERTEBRATE.txt","secreted salivary gland peptide, putative")</f>
        <v>secreted salivary gland peptide, putative</v>
      </c>
      <c r="AM89" s="3" t="str">
        <f>HYPERLINK("http://www.ncbi.nlm.nih.gov/sutils/blink.cgi?pid=241694799","0.012")</f>
        <v>0.012</v>
      </c>
      <c r="AN89" s="3" t="str">
        <f>HYPERLINK("http://www.ncbi.nlm.nih.gov/protein/241694799","gi|241694799")</f>
        <v>gi|241694799</v>
      </c>
      <c r="AO89" s="3">
        <v>40.4</v>
      </c>
      <c r="AP89" s="3">
        <v>64</v>
      </c>
      <c r="AQ89" s="3">
        <v>145</v>
      </c>
      <c r="AR89" s="3">
        <v>42</v>
      </c>
      <c r="AS89" s="3">
        <v>50</v>
      </c>
      <c r="AT89" s="3">
        <v>44</v>
      </c>
      <c r="AU89" s="3">
        <v>37</v>
      </c>
      <c r="AV89" s="3">
        <v>4</v>
      </c>
      <c r="AW89" s="3">
        <v>78</v>
      </c>
      <c r="AX89" s="3">
        <v>110</v>
      </c>
      <c r="AY89" s="3">
        <v>1</v>
      </c>
      <c r="AZ89" s="3" t="s">
        <v>40</v>
      </c>
      <c r="BA89" s="3" t="str">
        <f>HYPERLINK(".\links\MEROPS\gi_68051217-MEROPS.txt","- streptogrisin E (Actinoplanes sp. N902-109)")</f>
        <v>- streptogrisin E (Actinoplanes sp. N902-109)</v>
      </c>
      <c r="BB89" s="3" t="str">
        <f>HYPERLINK("http://www.ncbi.nlm.nih.gov/sutils/blink.cgi?pid=497592 - streptogrisin E (Actinoplanes sp. N902-109) [S01.267]#S01E#{peptidase unit","0.59")</f>
        <v>0.59</v>
      </c>
      <c r="BC89" s="3" t="s">
        <v>304</v>
      </c>
      <c r="BD89" s="3">
        <v>34.299999999999997</v>
      </c>
      <c r="BE89" s="3">
        <v>128</v>
      </c>
      <c r="BF89" s="3">
        <v>355</v>
      </c>
      <c r="BG89" s="3">
        <v>25</v>
      </c>
      <c r="BH89" s="3">
        <v>40</v>
      </c>
      <c r="BI89" s="3">
        <v>36</v>
      </c>
      <c r="BJ89" s="3">
        <v>96</v>
      </c>
      <c r="BK89" s="3">
        <v>22</v>
      </c>
      <c r="BL89" s="3">
        <v>114</v>
      </c>
      <c r="BM89" s="3">
        <v>67</v>
      </c>
      <c r="BN89" s="3">
        <v>1</v>
      </c>
      <c r="BO89" s="3" t="s">
        <v>305</v>
      </c>
      <c r="BP89" s="3" t="s">
        <v>306</v>
      </c>
      <c r="BQ89" s="3">
        <f>HYPERLINK(".\links\GO\gi_68051217-GO.txt",1.2)</f>
        <v>1.2</v>
      </c>
      <c r="BR89" s="3" t="str">
        <f>HYPERLINK("http://amigo.geneontology.org/cgi-bin/amigo/term_details?term=GO:0003674","GO:0003674")</f>
        <v>GO:0003674</v>
      </c>
      <c r="BS89" s="3" t="s">
        <v>220</v>
      </c>
      <c r="BT89" s="3" t="s">
        <v>221</v>
      </c>
      <c r="BU89" s="3" t="s">
        <v>222</v>
      </c>
      <c r="BV89" s="3" t="s">
        <v>36</v>
      </c>
      <c r="BX89" s="3">
        <v>1.2</v>
      </c>
      <c r="BY89" s="3" t="str">
        <f>HYPERLINK("http://amigo.geneontology.org/cgi-bin/amigo/term_details?term=GO:0005575","GO:0005575")</f>
        <v>GO:0005575</v>
      </c>
      <c r="BZ89" s="3" t="s">
        <v>60</v>
      </c>
      <c r="CA89" s="3" t="s">
        <v>61</v>
      </c>
      <c r="CB89" s="3" t="s">
        <v>62</v>
      </c>
      <c r="CC89" s="3" t="s">
        <v>36</v>
      </c>
      <c r="CE89" s="3">
        <v>1.2</v>
      </c>
      <c r="CF89" s="3" t="str">
        <f>HYPERLINK("http://amigo.geneontology.org/cgi-bin/amigo/term_details?term=GO:0008150","GO:0008150")</f>
        <v>GO:0008150</v>
      </c>
      <c r="CG89" s="3" t="s">
        <v>223</v>
      </c>
      <c r="CH89" s="3" t="s">
        <v>224</v>
      </c>
      <c r="CI89" s="3" t="s">
        <v>225</v>
      </c>
      <c r="CJ89" s="3" t="s">
        <v>36</v>
      </c>
      <c r="CL89" s="3">
        <v>1.2</v>
      </c>
      <c r="CM89" s="3" t="str">
        <f>HYPERLINK(".\links\CDD\gi_68051217-CDD.txt","DNA polymerase III subunit alpha")</f>
        <v>DNA polymerase III subunit alpha</v>
      </c>
      <c r="CN89" s="3" t="str">
        <f>HYPERLINK("http://www.ncbi.nlm.nih.gov/Structure/cdd/cddsrv.cgi?uid=PRK07374&amp;version=v4.0","0.33")</f>
        <v>0.33</v>
      </c>
      <c r="CO89" s="3" t="s">
        <v>307</v>
      </c>
      <c r="CP89" s="3" t="str">
        <f>HYPERLINK(".\links\ACARI\gi_68051217-ACARI.txt","hypothetical protein")</f>
        <v>hypothetical protein</v>
      </c>
      <c r="CQ89" s="3" t="str">
        <f>HYPERLINK("http://www.ncbi.nlm.nih.gov/sutils/blink.cgi?pid=68051217","1E-104")</f>
        <v>1E-104</v>
      </c>
      <c r="CR89" s="3" t="str">
        <f>HYPERLINK("http://www.ncbi.nlm.nih.gov/protein/68051217","gi|68051217")</f>
        <v>gi|68051217</v>
      </c>
      <c r="CS89" s="3">
        <v>375</v>
      </c>
      <c r="CT89" s="3">
        <v>178</v>
      </c>
      <c r="CU89" s="3">
        <v>178</v>
      </c>
      <c r="CV89" s="3">
        <v>100</v>
      </c>
      <c r="CW89" s="3">
        <v>100</v>
      </c>
      <c r="CX89" s="3">
        <v>100</v>
      </c>
      <c r="CY89" s="3">
        <v>0</v>
      </c>
      <c r="CZ89" s="3">
        <v>0</v>
      </c>
      <c r="DA89" s="3">
        <v>1</v>
      </c>
      <c r="DB89" s="3">
        <v>1</v>
      </c>
      <c r="DC89" s="3">
        <v>1</v>
      </c>
      <c r="DD89" s="3" t="s">
        <v>53</v>
      </c>
    </row>
    <row r="90" spans="1:108" s="3" customFormat="1" x14ac:dyDescent="0.2">
      <c r="A90" s="3" t="s">
        <v>1345</v>
      </c>
      <c r="B90" s="3" t="str">
        <f>HYPERLINK(".\links\\Rm-26539-.txt","Rm-26539")</f>
        <v>Rm-26539</v>
      </c>
      <c r="C90" s="3" t="s">
        <v>35</v>
      </c>
      <c r="D90" s="3">
        <v>131</v>
      </c>
      <c r="E90" s="9" t="s">
        <v>203</v>
      </c>
      <c r="F90" s="3" t="s">
        <v>1248</v>
      </c>
      <c r="G90" s="3" t="s">
        <v>1476</v>
      </c>
      <c r="H90" s="3" t="str">
        <f>HYPERLINK(".\links\UNIPROT-ACARI\Rm-26539-UNIPROT-ACARI.txt","Lipocalin 5")</f>
        <v>Lipocalin 5</v>
      </c>
      <c r="I90" s="3" t="str">
        <f>HYPERLINK("http://www.ncbi.nlm.nih.gov/sutils/blink.cgi?pid=A0A034WXG8","4E-071")</f>
        <v>4E-071</v>
      </c>
      <c r="J90" s="3" t="s">
        <v>939</v>
      </c>
      <c r="K90" s="3">
        <v>263</v>
      </c>
      <c r="L90" s="3">
        <v>131</v>
      </c>
      <c r="M90" s="3">
        <v>131</v>
      </c>
      <c r="N90" s="3">
        <v>100</v>
      </c>
      <c r="O90" s="3">
        <v>100</v>
      </c>
      <c r="P90" s="3">
        <v>100</v>
      </c>
      <c r="Q90" s="3">
        <v>0</v>
      </c>
      <c r="R90" s="3">
        <v>0</v>
      </c>
      <c r="S90" s="3">
        <v>1</v>
      </c>
      <c r="T90" s="3">
        <v>1</v>
      </c>
      <c r="U90" s="3">
        <v>1</v>
      </c>
      <c r="V90" s="3" t="s">
        <v>36</v>
      </c>
      <c r="W90" s="3" t="str">
        <f>HYPERLINK(".\links\NR-LIGHT\Rm-26539-NR-LIGHT.txt","fatty acid-binding protein FABP")</f>
        <v>fatty acid-binding protein FABP</v>
      </c>
      <c r="X90" s="3" t="str">
        <f>HYPERLINK("http://www.ncbi.nlm.nih.gov/sutils/blink.cgi?pid=325303794","5E-060")</f>
        <v>5E-060</v>
      </c>
      <c r="Y90" s="3" t="str">
        <f>HYPERLINK("http://www.ncbi.nlm.nih.gov/protein/325303794","gi|325303794")</f>
        <v>gi|325303794</v>
      </c>
      <c r="Z90" s="3">
        <v>231</v>
      </c>
      <c r="AA90" s="3">
        <v>131</v>
      </c>
      <c r="AB90" s="3">
        <v>131</v>
      </c>
      <c r="AC90" s="3">
        <v>85</v>
      </c>
      <c r="AD90" s="3">
        <v>92</v>
      </c>
      <c r="AE90" s="3">
        <v>100</v>
      </c>
      <c r="AF90" s="3">
        <v>19</v>
      </c>
      <c r="AG90" s="3">
        <v>0</v>
      </c>
      <c r="AH90" s="3">
        <v>1</v>
      </c>
      <c r="AI90" s="3">
        <v>1</v>
      </c>
      <c r="AJ90" s="3">
        <v>1</v>
      </c>
      <c r="AK90" s="3" t="s">
        <v>114</v>
      </c>
      <c r="AL90" s="3" t="str">
        <f>HYPERLINK(".\links\REFSEQ-INVERTEBRATE\Rm-26539-REFSEQ-INVERTEBRATE.txt","fatty acid-binding protein FABP, putative")</f>
        <v>fatty acid-binding protein FABP, putative</v>
      </c>
      <c r="AM90" s="3" t="str">
        <f>HYPERLINK("http://www.ncbi.nlm.nih.gov/sutils/blink.cgi?pid=241781846","2E-044")</f>
        <v>2E-044</v>
      </c>
      <c r="AN90" s="3" t="str">
        <f>HYPERLINK("http://www.ncbi.nlm.nih.gov/protein/241781846","gi|241781846")</f>
        <v>gi|241781846</v>
      </c>
      <c r="AO90" s="3">
        <v>178</v>
      </c>
      <c r="AP90" s="3">
        <v>131</v>
      </c>
      <c r="AQ90" s="3">
        <v>132</v>
      </c>
      <c r="AR90" s="3">
        <v>64</v>
      </c>
      <c r="AS90" s="3">
        <v>80</v>
      </c>
      <c r="AT90" s="3">
        <v>99</v>
      </c>
      <c r="AU90" s="3">
        <v>46</v>
      </c>
      <c r="AV90" s="3">
        <v>0</v>
      </c>
      <c r="AW90" s="3">
        <v>1</v>
      </c>
      <c r="AX90" s="3">
        <v>1</v>
      </c>
      <c r="AY90" s="3">
        <v>1</v>
      </c>
      <c r="AZ90" s="3" t="s">
        <v>40</v>
      </c>
      <c r="BA90" s="3" t="str">
        <f>HYPERLINK(".\links\MEROPS\Rm-26539-MEROPS.txt","- family I17 unassigned peptidase inhibitors (Otolemur garnettii)")</f>
        <v>- family I17 unassigned peptidase inhibitors (Otolemur garnettii)</v>
      </c>
      <c r="BB90" s="3" t="str">
        <f>HYPERLINK("http://www.ncbi.nlm.nih.gov/sutils/blink.cgi?pid=256153 - family I17 unassigned peptidase inhibitors (Otolemur garnettii) [I17.UPW]#I17#{inhibitor unit","5E-015")</f>
        <v>5E-015</v>
      </c>
      <c r="BC90" s="3" t="s">
        <v>778</v>
      </c>
      <c r="BD90" s="3">
        <v>80.099999999999994</v>
      </c>
      <c r="BE90" s="3">
        <v>113</v>
      </c>
      <c r="BF90" s="3">
        <v>337</v>
      </c>
      <c r="BG90" s="3">
        <v>35</v>
      </c>
      <c r="BH90" s="3">
        <v>57</v>
      </c>
      <c r="BI90" s="3">
        <v>34</v>
      </c>
      <c r="BJ90" s="3">
        <v>73</v>
      </c>
      <c r="BK90" s="3">
        <v>0</v>
      </c>
      <c r="BL90" s="3">
        <v>1</v>
      </c>
      <c r="BM90" s="3">
        <v>1</v>
      </c>
      <c r="BN90" s="3">
        <v>1</v>
      </c>
      <c r="BO90" s="3" t="s">
        <v>779</v>
      </c>
      <c r="BP90" s="3" t="s">
        <v>940</v>
      </c>
      <c r="BQ90" s="3">
        <f>HYPERLINK(".\links\GO\Rm-26539-GO.txt",5E-30)</f>
        <v>4.9999999999999997E-30</v>
      </c>
      <c r="BR90" s="3" t="str">
        <f>HYPERLINK("http://amigo.geneontology.org/cgi-bin/amigo/term_details?term=GO:0005324","GO:0005324")</f>
        <v>GO:0005324</v>
      </c>
      <c r="BS90" s="3" t="s">
        <v>781</v>
      </c>
      <c r="BT90" s="3" t="s">
        <v>782</v>
      </c>
      <c r="BU90" s="3" t="s">
        <v>783</v>
      </c>
      <c r="BV90" s="3" t="s">
        <v>36</v>
      </c>
      <c r="BX90" s="4">
        <v>3E-28</v>
      </c>
      <c r="BY90" s="3" t="str">
        <f>HYPERLINK("http://amigo.geneontology.org/cgi-bin/amigo/term_details?term=GO:0005615","GO:0005615")</f>
        <v>GO:0005615</v>
      </c>
      <c r="BZ90" s="3" t="s">
        <v>195</v>
      </c>
      <c r="CA90" s="3" t="s">
        <v>196</v>
      </c>
      <c r="CB90" s="3" t="s">
        <v>197</v>
      </c>
      <c r="CC90" s="3" t="s">
        <v>36</v>
      </c>
      <c r="CE90" s="4">
        <v>3E-28</v>
      </c>
      <c r="CF90" s="3" t="str">
        <f>HYPERLINK("http://amigo.geneontology.org/cgi-bin/amigo/term_details?term=GO:0006631","GO:0006631")</f>
        <v>GO:0006631</v>
      </c>
      <c r="CG90" s="3" t="s">
        <v>784</v>
      </c>
      <c r="CH90" s="3" t="s">
        <v>785</v>
      </c>
      <c r="CI90" s="3" t="s">
        <v>786</v>
      </c>
      <c r="CJ90" s="3" t="s">
        <v>36</v>
      </c>
      <c r="CL90" s="4">
        <v>3E-28</v>
      </c>
      <c r="CM90" s="3" t="str">
        <f>HYPERLINK(".\links\CDD\Rm-26539-CDD.txt","Lipocalin_7")</f>
        <v>Lipocalin_7</v>
      </c>
      <c r="CN90" s="3" t="str">
        <f>HYPERLINK("http://www.ncbi.nlm.nih.gov/Structure/cdd/cddsrv.cgi?uid=pfam14651&amp;version=v4.0","3E-008")</f>
        <v>3E-008</v>
      </c>
      <c r="CO90" s="3" t="s">
        <v>941</v>
      </c>
      <c r="CP90" s="3" t="str">
        <f>HYPERLINK(".\links\ACARI\Rm-26539-ACARI.txt","lipocalin 5")</f>
        <v>lipocalin 5</v>
      </c>
      <c r="CQ90" s="3" t="str">
        <f>HYPERLINK("http://www.ncbi.nlm.nih.gov/sutils/blink.cgi?pid=629510417","5E-071")</f>
        <v>5E-071</v>
      </c>
      <c r="CR90" s="3" t="str">
        <f>HYPERLINK("http://www.ncbi.nlm.nih.gov/protein/629510417","gi|629510417")</f>
        <v>gi|629510417</v>
      </c>
      <c r="CS90" s="3">
        <v>263</v>
      </c>
      <c r="CT90" s="3">
        <v>131</v>
      </c>
      <c r="CU90" s="3">
        <v>131</v>
      </c>
      <c r="CV90" s="3">
        <v>100</v>
      </c>
      <c r="CW90" s="3">
        <v>100</v>
      </c>
      <c r="CX90" s="3">
        <v>100</v>
      </c>
      <c r="CY90" s="3">
        <v>0</v>
      </c>
      <c r="CZ90" s="3">
        <v>0</v>
      </c>
      <c r="DA90" s="3">
        <v>1</v>
      </c>
      <c r="DB90" s="3">
        <v>1</v>
      </c>
      <c r="DC90" s="3">
        <v>1</v>
      </c>
      <c r="DD90" s="3" t="s">
        <v>203</v>
      </c>
    </row>
    <row r="91" spans="1:108" s="3" customFormat="1" x14ac:dyDescent="0.2">
      <c r="A91" s="1" t="s">
        <v>1295</v>
      </c>
      <c r="B91" s="1" t="str">
        <f>HYPERLINK(".\links\\gi_121309133-.txt","gi_121309133")</f>
        <v>gi_121309133</v>
      </c>
      <c r="C91" s="1" t="s">
        <v>35</v>
      </c>
      <c r="D91" s="1">
        <v>341</v>
      </c>
      <c r="E91" s="8" t="s">
        <v>53</v>
      </c>
      <c r="F91" s="1" t="s">
        <v>1450</v>
      </c>
      <c r="G91" s="1" t="s">
        <v>1477</v>
      </c>
      <c r="H91" s="1" t="str">
        <f>HYPERLINK(".\links\UNIPROT-ACARI\gi_121309133-UNIPROT-ACARI.txt","Longipain")</f>
        <v>Longipain</v>
      </c>
      <c r="I91" s="1" t="str">
        <f>HYPERLINK("http://www.ncbi.nlm.nih.gov/sutils/blink.cgi?pid=A1IHG0","0.0")</f>
        <v>0.0</v>
      </c>
      <c r="J91" s="1" t="s">
        <v>274</v>
      </c>
      <c r="K91" s="1">
        <v>745</v>
      </c>
      <c r="L91" s="1">
        <v>341</v>
      </c>
      <c r="M91" s="1">
        <v>341</v>
      </c>
      <c r="N91" s="1">
        <v>100</v>
      </c>
      <c r="O91" s="1">
        <v>100</v>
      </c>
      <c r="P91" s="1">
        <v>100</v>
      </c>
      <c r="Q91" s="1">
        <v>0</v>
      </c>
      <c r="R91" s="1">
        <v>0</v>
      </c>
      <c r="S91" s="1">
        <v>1</v>
      </c>
      <c r="T91" s="1">
        <v>1</v>
      </c>
      <c r="U91" s="1">
        <v>1</v>
      </c>
      <c r="V91" s="1" t="s">
        <v>36</v>
      </c>
      <c r="W91" s="1" t="str">
        <f>HYPERLINK(".\links\NR-LIGHT\gi_121309133-NR-LIGHT.txt","Longipain")</f>
        <v>Longipain</v>
      </c>
      <c r="X91" s="1" t="str">
        <f>HYPERLINK("http://www.ncbi.nlm.nih.gov/sutils/blink.cgi?pid=121309133","0.0")</f>
        <v>0.0</v>
      </c>
      <c r="Y91" s="1" t="str">
        <f>HYPERLINK("http://www.ncbi.nlm.nih.gov/protein/121309133","gi|121309133")</f>
        <v>gi|121309133</v>
      </c>
      <c r="Z91" s="1">
        <v>745</v>
      </c>
      <c r="AA91" s="1">
        <v>341</v>
      </c>
      <c r="AB91" s="1">
        <v>341</v>
      </c>
      <c r="AC91" s="1">
        <v>100</v>
      </c>
      <c r="AD91" s="1">
        <v>100</v>
      </c>
      <c r="AE91" s="1">
        <v>100</v>
      </c>
      <c r="AF91" s="1">
        <v>0</v>
      </c>
      <c r="AG91" s="1">
        <v>0</v>
      </c>
      <c r="AH91" s="1">
        <v>1</v>
      </c>
      <c r="AI91" s="1">
        <v>1</v>
      </c>
      <c r="AJ91" s="1">
        <v>1</v>
      </c>
      <c r="AK91" s="1" t="s">
        <v>53</v>
      </c>
      <c r="AL91" s="1" t="str">
        <f>HYPERLINK(".\links\REFSEQ-INVERTEBRATE\gi_121309133-REFSEQ-INVERTEBRATE.txt","longipain, putative")</f>
        <v>longipain, putative</v>
      </c>
      <c r="AM91" s="1" t="str">
        <f>HYPERLINK("http://www.ncbi.nlm.nih.gov/sutils/blink.cgi?pid=241998314","1E-155")</f>
        <v>1E-155</v>
      </c>
      <c r="AN91" s="1" t="str">
        <f>HYPERLINK("http://www.ncbi.nlm.nih.gov/protein/241998314","gi|241998314")</f>
        <v>gi|241998314</v>
      </c>
      <c r="AO91" s="1">
        <v>549</v>
      </c>
      <c r="AP91" s="1">
        <v>333</v>
      </c>
      <c r="AQ91" s="1">
        <v>339</v>
      </c>
      <c r="AR91" s="1">
        <v>74</v>
      </c>
      <c r="AS91" s="1">
        <v>84</v>
      </c>
      <c r="AT91" s="1">
        <v>98</v>
      </c>
      <c r="AU91" s="1">
        <v>86</v>
      </c>
      <c r="AV91" s="1">
        <v>3</v>
      </c>
      <c r="AW91" s="1">
        <v>8</v>
      </c>
      <c r="AX91" s="1">
        <v>11</v>
      </c>
      <c r="AY91" s="1">
        <v>1</v>
      </c>
      <c r="AZ91" s="1" t="s">
        <v>40</v>
      </c>
      <c r="BA91" s="1" t="str">
        <f>HYPERLINK(".\links\MEROPS\gi_121309133-MEROPS.txt","- SmCB2 peptidase ({Schistosoma}-type) (Haemaphysalis longicornis)")</f>
        <v>- SmCB2 peptidase ({Schistosoma}-type) (Haemaphysalis longicornis)</v>
      </c>
      <c r="BB91" s="1" t="str">
        <f>HYPERLINK("http://www.ncbi.nlm.nih.gov/sutils/blink.cgi?pid=078980 - SmCB2 peptidase ({Schistosoma}-type) (Haemaphysalis longicornis) [C01.061]#C01A#{peptidase unit","0.0")</f>
        <v>0.0</v>
      </c>
      <c r="BC91" s="1" t="s">
        <v>275</v>
      </c>
      <c r="BD91" s="1">
        <v>745</v>
      </c>
      <c r="BE91" s="1">
        <v>341</v>
      </c>
      <c r="BF91" s="1">
        <v>341</v>
      </c>
      <c r="BG91" s="1">
        <v>100</v>
      </c>
      <c r="BH91" s="1">
        <v>100</v>
      </c>
      <c r="BI91" s="1">
        <v>100</v>
      </c>
      <c r="BJ91" s="1">
        <v>0</v>
      </c>
      <c r="BK91" s="1">
        <v>0</v>
      </c>
      <c r="BL91" s="1">
        <v>1</v>
      </c>
      <c r="BM91" s="1">
        <v>1</v>
      </c>
      <c r="BN91" s="1">
        <v>1</v>
      </c>
      <c r="BO91" s="1" t="s">
        <v>276</v>
      </c>
      <c r="BP91" s="1" t="s">
        <v>277</v>
      </c>
      <c r="BQ91" s="1">
        <f>HYPERLINK(".\links\GO\gi_121309133-GO.txt",0)</f>
        <v>0</v>
      </c>
      <c r="BR91" s="1" t="str">
        <f>HYPERLINK("http://amigo.geneontology.org/cgi-bin/amigo/term_details?term=GO:0008234","GO:0008234")</f>
        <v>GO:0008234</v>
      </c>
      <c r="BS91" s="1" t="s">
        <v>278</v>
      </c>
      <c r="BT91" s="1" t="s">
        <v>279</v>
      </c>
      <c r="BU91" s="1" t="s">
        <v>280</v>
      </c>
      <c r="BV91" s="1" t="str">
        <f>HYPERLINK("http://www.genome.jp/dbget-bin/www_bfind_sub?mode=bfind&amp;max_hit=1000&amp;dbkey=kegg&amp;keywords=EC:3.4.-.-","EC:3.4.-.-")</f>
        <v>EC:3.4.-.-</v>
      </c>
      <c r="BW91" s="1"/>
      <c r="BX91" s="2">
        <v>1E-107</v>
      </c>
      <c r="BY91" s="1" t="str">
        <f>HYPERLINK("http://amigo.geneontology.org/cgi-bin/amigo/term_details?term=GO:0005575","GO:0005575")</f>
        <v>GO:0005575</v>
      </c>
      <c r="BZ91" s="1" t="s">
        <v>60</v>
      </c>
      <c r="CA91" s="1" t="s">
        <v>61</v>
      </c>
      <c r="CB91" s="1" t="s">
        <v>62</v>
      </c>
      <c r="CC91" s="1" t="s">
        <v>36</v>
      </c>
      <c r="CD91" s="1"/>
      <c r="CE91" s="2">
        <v>1E-107</v>
      </c>
      <c r="CF91" s="1" t="str">
        <f>HYPERLINK("http://amigo.geneontology.org/cgi-bin/amigo/term_details?term=GO:0006508","GO:0006508")</f>
        <v>GO:0006508</v>
      </c>
      <c r="CG91" s="1" t="s">
        <v>281</v>
      </c>
      <c r="CH91" s="1" t="s">
        <v>282</v>
      </c>
      <c r="CI91" s="1" t="s">
        <v>283</v>
      </c>
      <c r="CJ91" s="1" t="s">
        <v>36</v>
      </c>
      <c r="CK91" s="1"/>
      <c r="CL91" s="2">
        <v>1E-107</v>
      </c>
      <c r="CM91" s="1" t="str">
        <f>HYPERLINK(".\links\CDD\gi_121309133-CDD.txt","Peptidase_C1A_C")</f>
        <v>Peptidase_C1A_C</v>
      </c>
      <c r="CN91" s="1" t="str">
        <f>HYPERLINK("http://www.ncbi.nlm.nih.gov/Structure/cdd/cddsrv.cgi?uid=cd02620&amp;version=v4.0","2E-085")</f>
        <v>2E-085</v>
      </c>
      <c r="CO91" s="1" t="s">
        <v>284</v>
      </c>
      <c r="CP91" s="1" t="str">
        <f>HYPERLINK(".\links\ACARI\gi_121309133-ACARI.txt","Longipain")</f>
        <v>Longipain</v>
      </c>
      <c r="CQ91" s="1" t="str">
        <f>HYPERLINK("http://www.ncbi.nlm.nih.gov/sutils/blink.cgi?pid=121309133","0.0")</f>
        <v>0.0</v>
      </c>
      <c r="CR91" s="1" t="str">
        <f>HYPERLINK("http://www.ncbi.nlm.nih.gov/protein/121309133","gi|121309133")</f>
        <v>gi|121309133</v>
      </c>
      <c r="CS91" s="1">
        <v>745</v>
      </c>
      <c r="CT91" s="1">
        <v>341</v>
      </c>
      <c r="CU91" s="1">
        <v>341</v>
      </c>
      <c r="CV91" s="1">
        <v>100</v>
      </c>
      <c r="CW91" s="1">
        <v>100</v>
      </c>
      <c r="CX91" s="1">
        <v>100</v>
      </c>
      <c r="CY91" s="1">
        <v>0</v>
      </c>
      <c r="CZ91" s="1">
        <v>0</v>
      </c>
      <c r="DA91" s="1">
        <v>1</v>
      </c>
      <c r="DB91" s="1">
        <v>1</v>
      </c>
      <c r="DC91" s="1">
        <v>1</v>
      </c>
      <c r="DD91" s="1" t="s">
        <v>53</v>
      </c>
    </row>
    <row r="92" spans="1:108" s="3" customFormat="1" x14ac:dyDescent="0.2">
      <c r="A92" s="1" t="s">
        <v>1335</v>
      </c>
      <c r="B92" s="1" t="str">
        <f>HYPERLINK(".\links\\gi_139000435-.txt","gi_139000435")</f>
        <v>gi_139000435</v>
      </c>
      <c r="C92" s="1" t="s">
        <v>35</v>
      </c>
      <c r="D92" s="1">
        <v>442</v>
      </c>
      <c r="E92" s="8" t="s">
        <v>53</v>
      </c>
      <c r="F92" s="1" t="s">
        <v>913</v>
      </c>
      <c r="G92" s="1" t="s">
        <v>1477</v>
      </c>
      <c r="H92" s="1" t="str">
        <f>HYPERLINK(".\links\UNIPROT-ACARI\gi_139000435-UNIPROT-ACARI.txt","Tick legumain")</f>
        <v>Tick legumain</v>
      </c>
      <c r="I92" s="1" t="str">
        <f>HYPERLINK("http://www.ncbi.nlm.nih.gov/sutils/blink.cgi?pid=A4PF00","0.0")</f>
        <v>0.0</v>
      </c>
      <c r="J92" s="1" t="s">
        <v>914</v>
      </c>
      <c r="K92" s="1">
        <v>889</v>
      </c>
      <c r="L92" s="1">
        <v>442</v>
      </c>
      <c r="M92" s="1">
        <v>442</v>
      </c>
      <c r="N92" s="1">
        <v>100</v>
      </c>
      <c r="O92" s="1">
        <v>100</v>
      </c>
      <c r="P92" s="1">
        <v>100</v>
      </c>
      <c r="Q92" s="1">
        <v>0</v>
      </c>
      <c r="R92" s="1">
        <v>0</v>
      </c>
      <c r="S92" s="1">
        <v>1</v>
      </c>
      <c r="T92" s="1">
        <v>1</v>
      </c>
      <c r="U92" s="1">
        <v>1</v>
      </c>
      <c r="V92" s="1" t="s">
        <v>36</v>
      </c>
      <c r="W92" s="1" t="str">
        <f>HYPERLINK(".\links\NR-LIGHT\gi_139000435-NR-LIGHT.txt","tick legumain")</f>
        <v>tick legumain</v>
      </c>
      <c r="X92" s="1" t="str">
        <f>HYPERLINK("http://www.ncbi.nlm.nih.gov/sutils/blink.cgi?pid=139000435","0.0")</f>
        <v>0.0</v>
      </c>
      <c r="Y92" s="1" t="str">
        <f>HYPERLINK("http://www.ncbi.nlm.nih.gov/protein/139000435","gi|139000435")</f>
        <v>gi|139000435</v>
      </c>
      <c r="Z92" s="1">
        <v>889</v>
      </c>
      <c r="AA92" s="1">
        <v>442</v>
      </c>
      <c r="AB92" s="1">
        <v>442</v>
      </c>
      <c r="AC92" s="1">
        <v>100</v>
      </c>
      <c r="AD92" s="1">
        <v>100</v>
      </c>
      <c r="AE92" s="1">
        <v>100</v>
      </c>
      <c r="AF92" s="1">
        <v>0</v>
      </c>
      <c r="AG92" s="1">
        <v>0</v>
      </c>
      <c r="AH92" s="1">
        <v>1</v>
      </c>
      <c r="AI92" s="1">
        <v>1</v>
      </c>
      <c r="AJ92" s="1">
        <v>1</v>
      </c>
      <c r="AK92" s="1" t="s">
        <v>53</v>
      </c>
      <c r="AL92" s="1" t="str">
        <f>HYPERLINK(".\links\REFSEQ-INVERTEBRATE\gi_139000435-REFSEQ-INVERTEBRATE.txt","legumain, putative")</f>
        <v>legumain, putative</v>
      </c>
      <c r="AM92" s="1" t="str">
        <f>HYPERLINK("http://www.ncbi.nlm.nih.gov/sutils/blink.cgi?pid=240975512","1E-150")</f>
        <v>1E-150</v>
      </c>
      <c r="AN92" s="1" t="str">
        <f>HYPERLINK("http://www.ncbi.nlm.nih.gov/protein/240975512","gi|240975512")</f>
        <v>gi|240975512</v>
      </c>
      <c r="AO92" s="1">
        <v>531</v>
      </c>
      <c r="AP92" s="1">
        <v>439</v>
      </c>
      <c r="AQ92" s="1">
        <v>446</v>
      </c>
      <c r="AR92" s="1">
        <v>59</v>
      </c>
      <c r="AS92" s="1">
        <v>73</v>
      </c>
      <c r="AT92" s="1">
        <v>98</v>
      </c>
      <c r="AU92" s="1">
        <v>179</v>
      </c>
      <c r="AV92" s="1">
        <v>8</v>
      </c>
      <c r="AW92" s="1">
        <v>8</v>
      </c>
      <c r="AX92" s="1">
        <v>12</v>
      </c>
      <c r="AY92" s="1">
        <v>1</v>
      </c>
      <c r="AZ92" s="1" t="s">
        <v>40</v>
      </c>
      <c r="BA92" s="1" t="str">
        <f>HYPERLINK(".\links\MEROPS\gi_139000435-MEROPS.txt","- legumain, animal-type (Haemaphysalis longicornis)")</f>
        <v>- legumain, animal-type (Haemaphysalis longicornis)</v>
      </c>
      <c r="BB92" s="1" t="str">
        <f>HYPERLINK("http://www.ncbi.nlm.nih.gov/sutils/blink.cgi?pid=094347 - legumain, animal-type (Haemaphysalis longicornis) [C13.004]#C13#{peptidase unit","0.0")</f>
        <v>0.0</v>
      </c>
      <c r="BC92" s="1" t="s">
        <v>915</v>
      </c>
      <c r="BD92" s="1">
        <v>889</v>
      </c>
      <c r="BE92" s="1">
        <v>442</v>
      </c>
      <c r="BF92" s="1">
        <v>442</v>
      </c>
      <c r="BG92" s="1">
        <v>100</v>
      </c>
      <c r="BH92" s="1">
        <v>100</v>
      </c>
      <c r="BI92" s="1">
        <v>100</v>
      </c>
      <c r="BJ92" s="1">
        <v>0</v>
      </c>
      <c r="BK92" s="1">
        <v>0</v>
      </c>
      <c r="BL92" s="1">
        <v>1</v>
      </c>
      <c r="BM92" s="1">
        <v>1</v>
      </c>
      <c r="BN92" s="1">
        <v>1</v>
      </c>
      <c r="BO92" s="1" t="s">
        <v>439</v>
      </c>
      <c r="BP92" s="1" t="s">
        <v>916</v>
      </c>
      <c r="BQ92" s="1">
        <f>HYPERLINK(".\links\GO\gi_139000435-GO.txt",0)</f>
        <v>0</v>
      </c>
      <c r="BR92" s="1" t="str">
        <f>HYPERLINK("http://amigo.geneontology.org/cgi-bin/amigo/term_details?term=GO:0004197","GO:0004197")</f>
        <v>GO:0004197</v>
      </c>
      <c r="BS92" s="1" t="s">
        <v>250</v>
      </c>
      <c r="BT92" s="1" t="s">
        <v>251</v>
      </c>
      <c r="BU92" s="1" t="s">
        <v>252</v>
      </c>
      <c r="BV92" s="1" t="str">
        <f>HYPERLINK("http://www.genome.jp/dbget-bin/www_bfind_sub?mode=bfind&amp;max_hit=1000&amp;dbkey=kegg&amp;keywords=EC:3.4.22","EC:3.4.22")</f>
        <v>EC:3.4.22</v>
      </c>
      <c r="BW92" s="1"/>
      <c r="BX92" s="2">
        <v>9.9999999999999998E-122</v>
      </c>
      <c r="BY92" s="1" t="str">
        <f>HYPERLINK("http://amigo.geneontology.org/cgi-bin/amigo/term_details?term=GO:0005575","GO:0005575")</f>
        <v>GO:0005575</v>
      </c>
      <c r="BZ92" s="1" t="s">
        <v>60</v>
      </c>
      <c r="CA92" s="1" t="s">
        <v>61</v>
      </c>
      <c r="CB92" s="1" t="s">
        <v>62</v>
      </c>
      <c r="CC92" s="1" t="s">
        <v>36</v>
      </c>
      <c r="CD92" s="1"/>
      <c r="CE92" s="2">
        <v>9.9999999999999998E-122</v>
      </c>
      <c r="CF92" s="1" t="str">
        <f>HYPERLINK("http://amigo.geneontology.org/cgi-bin/amigo/term_details?term=GO:0006508","GO:0006508")</f>
        <v>GO:0006508</v>
      </c>
      <c r="CG92" s="1" t="s">
        <v>281</v>
      </c>
      <c r="CH92" s="1" t="s">
        <v>282</v>
      </c>
      <c r="CI92" s="1" t="s">
        <v>283</v>
      </c>
      <c r="CJ92" s="1" t="s">
        <v>36</v>
      </c>
      <c r="CK92" s="1"/>
      <c r="CL92" s="2">
        <v>9.9999999999999998E-122</v>
      </c>
      <c r="CM92" s="1" t="str">
        <f>HYPERLINK(".\links\CDD\gi_139000435-CDD.txt","Peptidase_C13")</f>
        <v>Peptidase_C13</v>
      </c>
      <c r="CN92" s="1" t="str">
        <f>HYPERLINK("http://www.ncbi.nlm.nih.gov/Structure/cdd/cddsrv.cgi?uid=pfam01650&amp;version=v4.0","4E-097")</f>
        <v>4E-097</v>
      </c>
      <c r="CO92" s="1" t="s">
        <v>917</v>
      </c>
      <c r="CP92" s="1" t="str">
        <f>HYPERLINK(".\links\ACARI\gi_139000435-ACARI.txt","tick legumain")</f>
        <v>tick legumain</v>
      </c>
      <c r="CQ92" s="1" t="str">
        <f>HYPERLINK("http://www.ncbi.nlm.nih.gov/sutils/blink.cgi?pid=139000435","0.0")</f>
        <v>0.0</v>
      </c>
      <c r="CR92" s="1" t="str">
        <f>HYPERLINK("http://www.ncbi.nlm.nih.gov/protein/139000435","gi|139000435")</f>
        <v>gi|139000435</v>
      </c>
      <c r="CS92" s="1">
        <v>889</v>
      </c>
      <c r="CT92" s="1">
        <v>442</v>
      </c>
      <c r="CU92" s="1">
        <v>442</v>
      </c>
      <c r="CV92" s="1">
        <v>100</v>
      </c>
      <c r="CW92" s="1">
        <v>100</v>
      </c>
      <c r="CX92" s="1">
        <v>100</v>
      </c>
      <c r="CY92" s="1">
        <v>0</v>
      </c>
      <c r="CZ92" s="1">
        <v>0</v>
      </c>
      <c r="DA92" s="1">
        <v>1</v>
      </c>
      <c r="DB92" s="1">
        <v>1</v>
      </c>
      <c r="DC92" s="1">
        <v>1</v>
      </c>
      <c r="DD92" s="1" t="s">
        <v>53</v>
      </c>
    </row>
    <row r="93" spans="1:108" s="3" customFormat="1" x14ac:dyDescent="0.2">
      <c r="A93" s="3" t="s">
        <v>1353</v>
      </c>
      <c r="B93" s="3" t="str">
        <f>HYPERLINK(".\links\\gi_254674508-.txt","gi_254674508")</f>
        <v>gi_254674508</v>
      </c>
      <c r="C93" s="3" t="s">
        <v>35</v>
      </c>
      <c r="D93" s="3">
        <v>333</v>
      </c>
      <c r="E93" s="9" t="s">
        <v>53</v>
      </c>
      <c r="F93" s="3" t="s">
        <v>1451</v>
      </c>
      <c r="G93" s="1" t="s">
        <v>1477</v>
      </c>
      <c r="H93" s="3" t="str">
        <f>HYPERLINK(".\links\UNIPROT-ACARI\gi_254674508-UNIPROT-ACARI.txt","Cysteine protease")</f>
        <v>Cysteine protease</v>
      </c>
      <c r="I93" s="3" t="str">
        <f>HYPERLINK("http://www.ncbi.nlm.nih.gov/sutils/blink.cgi?pid=C6L6E2","0.0")</f>
        <v>0.0</v>
      </c>
      <c r="J93" s="3" t="s">
        <v>893</v>
      </c>
      <c r="K93" s="3">
        <v>690</v>
      </c>
      <c r="L93" s="3">
        <v>333</v>
      </c>
      <c r="M93" s="3">
        <v>333</v>
      </c>
      <c r="N93" s="3">
        <v>100</v>
      </c>
      <c r="O93" s="3">
        <v>100</v>
      </c>
      <c r="P93" s="3">
        <v>100</v>
      </c>
      <c r="Q93" s="3">
        <v>0</v>
      </c>
      <c r="R93" s="3">
        <v>0</v>
      </c>
      <c r="S93" s="3">
        <v>1</v>
      </c>
      <c r="T93" s="3">
        <v>1</v>
      </c>
      <c r="U93" s="3">
        <v>1</v>
      </c>
      <c r="V93" s="3" t="s">
        <v>36</v>
      </c>
      <c r="W93" s="3" t="str">
        <f>HYPERLINK(".\links\NR-LIGHT\gi_254674508-NR-LIGHT.txt","cysteine protease")</f>
        <v>cysteine protease</v>
      </c>
      <c r="X93" s="3" t="str">
        <f>HYPERLINK("http://www.ncbi.nlm.nih.gov/sutils/blink.cgi?pid=254674508","0.0")</f>
        <v>0.0</v>
      </c>
      <c r="Y93" s="3" t="str">
        <f>HYPERLINK("http://www.ncbi.nlm.nih.gov/protein/254674508","gi|254674508")</f>
        <v>gi|254674508</v>
      </c>
      <c r="Z93" s="3">
        <v>690</v>
      </c>
      <c r="AA93" s="3">
        <v>333</v>
      </c>
      <c r="AB93" s="3">
        <v>333</v>
      </c>
      <c r="AC93" s="3">
        <v>100</v>
      </c>
      <c r="AD93" s="3">
        <v>100</v>
      </c>
      <c r="AE93" s="3">
        <v>100</v>
      </c>
      <c r="AF93" s="3">
        <v>0</v>
      </c>
      <c r="AG93" s="3">
        <v>0</v>
      </c>
      <c r="AH93" s="3">
        <v>1</v>
      </c>
      <c r="AI93" s="3">
        <v>1</v>
      </c>
      <c r="AJ93" s="3">
        <v>1</v>
      </c>
      <c r="AK93" s="3" t="s">
        <v>53</v>
      </c>
      <c r="AL93" s="3" t="str">
        <f>HYPERLINK(".\links\REFSEQ-INVERTEBRATE\gi_254674508-REFSEQ-INVERTEBRATE.txt","cathepsin L-like")</f>
        <v>cathepsin L-like</v>
      </c>
      <c r="AM93" s="3" t="str">
        <f>HYPERLINK("http://www.ncbi.nlm.nih.gov/sutils/blink.cgi?pid=557783308","1E-119")</f>
        <v>1E-119</v>
      </c>
      <c r="AN93" s="3" t="str">
        <f>HYPERLINK("http://www.ncbi.nlm.nih.gov/protein/557783308","gi|557783308")</f>
        <v>gi|557783308</v>
      </c>
      <c r="AO93" s="3">
        <v>430</v>
      </c>
      <c r="AP93" s="3">
        <v>334</v>
      </c>
      <c r="AQ93" s="3">
        <v>337</v>
      </c>
      <c r="AR93" s="3">
        <v>61</v>
      </c>
      <c r="AS93" s="3">
        <v>74</v>
      </c>
      <c r="AT93" s="3">
        <v>99</v>
      </c>
      <c r="AU93" s="3">
        <v>128</v>
      </c>
      <c r="AV93" s="3">
        <v>10</v>
      </c>
      <c r="AW93" s="3">
        <v>7</v>
      </c>
      <c r="AX93" s="3">
        <v>7</v>
      </c>
      <c r="AY93" s="3">
        <v>1</v>
      </c>
      <c r="AZ93" s="3" t="s">
        <v>462</v>
      </c>
      <c r="BA93" s="3" t="str">
        <f>HYPERLINK(".\links\MEROPS\gi_254674508-MEROPS.txt","- papain homologue ({Rattus}-type) (Haemaphysalis longicornis)")</f>
        <v>- papain homologue ({Rattus}-type) (Haemaphysalis longicornis)</v>
      </c>
      <c r="BB93" s="3" t="str">
        <f>HYPERLINK("http://www.ncbi.nlm.nih.gov/sutils/blink.cgi?pid=183972 - papain homologue ({Rattus}-type) (Haemaphysalis longicornis) [C01.107]#C01A#{peptidase unit","0.0")</f>
        <v>0.0</v>
      </c>
      <c r="BC93" s="3" t="s">
        <v>894</v>
      </c>
      <c r="BD93" s="3">
        <v>690</v>
      </c>
      <c r="BE93" s="3">
        <v>333</v>
      </c>
      <c r="BF93" s="3">
        <v>333</v>
      </c>
      <c r="BG93" s="3">
        <v>100</v>
      </c>
      <c r="BH93" s="3">
        <v>100</v>
      </c>
      <c r="BI93" s="3">
        <v>100</v>
      </c>
      <c r="BJ93" s="3">
        <v>0</v>
      </c>
      <c r="BK93" s="3">
        <v>0</v>
      </c>
      <c r="BL93" s="3">
        <v>1</v>
      </c>
      <c r="BM93" s="3">
        <v>1</v>
      </c>
      <c r="BN93" s="3">
        <v>1</v>
      </c>
      <c r="BO93" s="3" t="s">
        <v>248</v>
      </c>
      <c r="BP93" s="3" t="s">
        <v>249</v>
      </c>
      <c r="BQ93" s="3">
        <f>HYPERLINK(".\links\GO\gi_254674508-GO.txt",0)</f>
        <v>0</v>
      </c>
      <c r="BR93" s="3" t="str">
        <f>HYPERLINK("http://amigo.geneontology.org/cgi-bin/amigo/term_details?term=GO:0004197","GO:0004197")</f>
        <v>GO:0004197</v>
      </c>
      <c r="BS93" s="3" t="s">
        <v>250</v>
      </c>
      <c r="BT93" s="3" t="s">
        <v>251</v>
      </c>
      <c r="BU93" s="3" t="s">
        <v>252</v>
      </c>
      <c r="BV93" s="3" t="str">
        <f>HYPERLINK("http://www.genome.jp/dbget-bin/www_bfind_sub?mode=bfind&amp;max_hit=1000&amp;dbkey=kegg&amp;keywords=EC:3.4.22","EC:3.4.22")</f>
        <v>EC:3.4.22</v>
      </c>
      <c r="BX93" s="4">
        <v>1.0000000000000001E-115</v>
      </c>
      <c r="BY93" s="3" t="str">
        <f>HYPERLINK("http://amigo.geneontology.org/cgi-bin/amigo/term_details?term=GO:0005764","GO:0005764")</f>
        <v>GO:0005764</v>
      </c>
      <c r="BZ93" s="3" t="s">
        <v>253</v>
      </c>
      <c r="CA93" s="3" t="s">
        <v>254</v>
      </c>
      <c r="CB93" s="3" t="s">
        <v>36</v>
      </c>
      <c r="CC93" s="3" t="s">
        <v>36</v>
      </c>
      <c r="CE93" s="4">
        <v>1.0000000000000001E-115</v>
      </c>
      <c r="CF93" s="3" t="str">
        <f>HYPERLINK("http://amigo.geneontology.org/cgi-bin/amigo/term_details?term=GO:0030163","GO:0030163")</f>
        <v>GO:0030163</v>
      </c>
      <c r="CG93" s="3" t="s">
        <v>255</v>
      </c>
      <c r="CH93" s="3" t="s">
        <v>256</v>
      </c>
      <c r="CI93" s="3" t="s">
        <v>257</v>
      </c>
      <c r="CJ93" s="3" t="s">
        <v>36</v>
      </c>
      <c r="CL93" s="4">
        <v>1.0000000000000001E-115</v>
      </c>
      <c r="CM93" s="3" t="str">
        <f>HYPERLINK(".\links\CDD\gi_254674508-CDD.txt","Peptidase_C1")</f>
        <v>Peptidase_C1</v>
      </c>
      <c r="CN93" s="3" t="str">
        <f>HYPERLINK("http://www.ncbi.nlm.nih.gov/Structure/cdd/cddsrv.cgi?uid=pfam00112&amp;version=v4.0","6E-074")</f>
        <v>6E-074</v>
      </c>
      <c r="CO93" s="3" t="s">
        <v>895</v>
      </c>
      <c r="CP93" s="3" t="str">
        <f>HYPERLINK(".\links\ACARI\gi_254674508-ACARI.txt","cysteine protease")</f>
        <v>cysteine protease</v>
      </c>
      <c r="CQ93" s="3" t="str">
        <f>HYPERLINK("http://www.ncbi.nlm.nih.gov/sutils/blink.cgi?pid=254674508","0.0")</f>
        <v>0.0</v>
      </c>
      <c r="CR93" s="3" t="str">
        <f>HYPERLINK("http://www.ncbi.nlm.nih.gov/protein/254674508","gi|254674508")</f>
        <v>gi|254674508</v>
      </c>
      <c r="CS93" s="3">
        <v>690</v>
      </c>
      <c r="CT93" s="3">
        <v>333</v>
      </c>
      <c r="CU93" s="3">
        <v>333</v>
      </c>
      <c r="CV93" s="3">
        <v>100</v>
      </c>
      <c r="CW93" s="3">
        <v>100</v>
      </c>
      <c r="CX93" s="3">
        <v>100</v>
      </c>
      <c r="CY93" s="3">
        <v>0</v>
      </c>
      <c r="CZ93" s="3">
        <v>0</v>
      </c>
      <c r="DA93" s="3">
        <v>1</v>
      </c>
      <c r="DB93" s="3">
        <v>1</v>
      </c>
      <c r="DC93" s="3">
        <v>1</v>
      </c>
      <c r="DD93" s="3" t="s">
        <v>53</v>
      </c>
    </row>
    <row r="94" spans="1:108" s="3" customFormat="1" x14ac:dyDescent="0.2">
      <c r="A94" s="3" t="s">
        <v>1310</v>
      </c>
      <c r="B94" s="3" t="str">
        <f>HYPERLINK(".\links\\gi_325303202-.txt","gi_325303202")</f>
        <v>gi_325303202</v>
      </c>
      <c r="C94" s="3" t="s">
        <v>35</v>
      </c>
      <c r="D94" s="3">
        <v>337</v>
      </c>
      <c r="E94" s="9" t="s">
        <v>114</v>
      </c>
      <c r="F94" s="3" t="s">
        <v>1451</v>
      </c>
      <c r="G94" s="1" t="s">
        <v>1477</v>
      </c>
      <c r="H94" s="3" t="str">
        <f>HYPERLINK(".\links\UNIPROT-ACARI\gi_325303202-UNIPROT-ACARI.txt","Cathepsin L-like cysteine proteinase B")</f>
        <v>Cathepsin L-like cysteine proteinase B</v>
      </c>
      <c r="I94" s="3" t="str">
        <f>HYPERLINK("http://www.ncbi.nlm.nih.gov/sutils/blink.cgi?pid=F0JA27","0.0")</f>
        <v>0.0</v>
      </c>
      <c r="J94" s="3" t="s">
        <v>245</v>
      </c>
      <c r="K94" s="3">
        <v>710</v>
      </c>
      <c r="L94" s="3">
        <v>337</v>
      </c>
      <c r="M94" s="3">
        <v>337</v>
      </c>
      <c r="N94" s="3">
        <v>100</v>
      </c>
      <c r="O94" s="3">
        <v>100</v>
      </c>
      <c r="P94" s="3">
        <v>100</v>
      </c>
      <c r="Q94" s="3">
        <v>0</v>
      </c>
      <c r="R94" s="3">
        <v>0</v>
      </c>
      <c r="S94" s="3">
        <v>1</v>
      </c>
      <c r="T94" s="3">
        <v>1</v>
      </c>
      <c r="U94" s="3">
        <v>1</v>
      </c>
      <c r="V94" s="3" t="s">
        <v>36</v>
      </c>
      <c r="W94" s="3" t="str">
        <f>HYPERLINK(".\links\NR-LIGHT\gi_325303202-NR-LIGHT.txt","cathepsin L-like cysteine proteinase B")</f>
        <v>cathepsin L-like cysteine proteinase B</v>
      </c>
      <c r="X94" s="3" t="str">
        <f>HYPERLINK("http://www.ncbi.nlm.nih.gov/sutils/blink.cgi?pid=325303202","0.0")</f>
        <v>0.0</v>
      </c>
      <c r="Y94" s="3" t="str">
        <f>HYPERLINK("http://www.ncbi.nlm.nih.gov/protein/325303202","gi|325303202")</f>
        <v>gi|325303202</v>
      </c>
      <c r="Z94" s="3">
        <v>710</v>
      </c>
      <c r="AA94" s="3">
        <v>337</v>
      </c>
      <c r="AB94" s="3">
        <v>337</v>
      </c>
      <c r="AC94" s="3">
        <v>100</v>
      </c>
      <c r="AD94" s="3">
        <v>100</v>
      </c>
      <c r="AE94" s="3">
        <v>100</v>
      </c>
      <c r="AF94" s="3">
        <v>0</v>
      </c>
      <c r="AG94" s="3">
        <v>0</v>
      </c>
      <c r="AH94" s="3">
        <v>1</v>
      </c>
      <c r="AI94" s="3">
        <v>1</v>
      </c>
      <c r="AJ94" s="3">
        <v>1</v>
      </c>
      <c r="AK94" s="3" t="s">
        <v>114</v>
      </c>
      <c r="AL94" s="3" t="str">
        <f>HYPERLINK(".\links\REFSEQ-INVERTEBRATE\gi_325303202-REFSEQ-INVERTEBRATE.txt","GK19626")</f>
        <v>GK19626</v>
      </c>
      <c r="AM94" s="3" t="str">
        <f>HYPERLINK("http://www.ncbi.nlm.nih.gov/sutils/blink.cgi?pid=195429415","1E-129")</f>
        <v>1E-129</v>
      </c>
      <c r="AN94" s="3" t="str">
        <f>HYPERLINK("http://www.ncbi.nlm.nih.gov/protein/195429415","gi|195429415")</f>
        <v>gi|195429415</v>
      </c>
      <c r="AO94" s="3">
        <v>464</v>
      </c>
      <c r="AP94" s="3">
        <v>340</v>
      </c>
      <c r="AQ94" s="3">
        <v>341</v>
      </c>
      <c r="AR94" s="3">
        <v>65</v>
      </c>
      <c r="AS94" s="3">
        <v>77</v>
      </c>
      <c r="AT94" s="3">
        <v>100</v>
      </c>
      <c r="AU94" s="3">
        <v>118</v>
      </c>
      <c r="AV94" s="3">
        <v>11</v>
      </c>
      <c r="AW94" s="3">
        <v>6</v>
      </c>
      <c r="AX94" s="3">
        <v>5</v>
      </c>
      <c r="AY94" s="3">
        <v>1</v>
      </c>
      <c r="AZ94" s="3" t="s">
        <v>246</v>
      </c>
      <c r="BA94" s="3" t="str">
        <f>HYPERLINK(".\links\MEROPS\gi_325303202-MEROPS.txt","- papain homologue ({Rattus}-type) (Amblyomma variegatum)")</f>
        <v>- papain homologue ({Rattus}-type) (Amblyomma variegatum)</v>
      </c>
      <c r="BB94" s="3" t="str">
        <f>HYPERLINK("http://www.ncbi.nlm.nih.gov/sutils/blink.cgi?pid=277444 - papain homologue ({Rattus}-type) (Amblyomma variegatum) [C01.107]#C01A#{peptidase unit","0.0")</f>
        <v>0.0</v>
      </c>
      <c r="BC94" s="3" t="s">
        <v>247</v>
      </c>
      <c r="BD94" s="3">
        <v>710</v>
      </c>
      <c r="BE94" s="3">
        <v>337</v>
      </c>
      <c r="BF94" s="3">
        <v>337</v>
      </c>
      <c r="BG94" s="3">
        <v>100</v>
      </c>
      <c r="BH94" s="3">
        <v>100</v>
      </c>
      <c r="BI94" s="3">
        <v>100</v>
      </c>
      <c r="BJ94" s="3">
        <v>0</v>
      </c>
      <c r="BK94" s="3">
        <v>0</v>
      </c>
      <c r="BL94" s="3">
        <v>1</v>
      </c>
      <c r="BM94" s="3">
        <v>1</v>
      </c>
      <c r="BN94" s="3">
        <v>1</v>
      </c>
      <c r="BO94" s="3" t="s">
        <v>248</v>
      </c>
      <c r="BP94" s="3" t="s">
        <v>249</v>
      </c>
      <c r="BQ94" s="3">
        <f>HYPERLINK(".\links\GO\gi_325303202-GO.txt",0)</f>
        <v>0</v>
      </c>
      <c r="BR94" s="3" t="str">
        <f>HYPERLINK("http://amigo.geneontology.org/cgi-bin/amigo/term_details?term=GO:0004197","GO:0004197")</f>
        <v>GO:0004197</v>
      </c>
      <c r="BS94" s="3" t="s">
        <v>250</v>
      </c>
      <c r="BT94" s="3" t="s">
        <v>251</v>
      </c>
      <c r="BU94" s="3" t="s">
        <v>252</v>
      </c>
      <c r="BV94" s="3" t="str">
        <f>HYPERLINK("http://www.genome.jp/dbget-bin/www_bfind_sub?mode=bfind&amp;max_hit=1000&amp;dbkey=kegg&amp;keywords=EC:3.4.22","EC:3.4.22")</f>
        <v>EC:3.4.22</v>
      </c>
      <c r="BX94" s="4">
        <v>1E-127</v>
      </c>
      <c r="BY94" s="3" t="str">
        <f>HYPERLINK("http://amigo.geneontology.org/cgi-bin/amigo/term_details?term=GO:0005764","GO:0005764")</f>
        <v>GO:0005764</v>
      </c>
      <c r="BZ94" s="3" t="s">
        <v>253</v>
      </c>
      <c r="CA94" s="3" t="s">
        <v>254</v>
      </c>
      <c r="CB94" s="3" t="s">
        <v>36</v>
      </c>
      <c r="CC94" s="3" t="s">
        <v>36</v>
      </c>
      <c r="CE94" s="4">
        <v>1E-127</v>
      </c>
      <c r="CF94" s="3" t="str">
        <f>HYPERLINK("http://amigo.geneontology.org/cgi-bin/amigo/term_details?term=GO:0030163","GO:0030163")</f>
        <v>GO:0030163</v>
      </c>
      <c r="CG94" s="3" t="s">
        <v>255</v>
      </c>
      <c r="CH94" s="3" t="s">
        <v>256</v>
      </c>
      <c r="CI94" s="3" t="s">
        <v>257</v>
      </c>
      <c r="CJ94" s="3" t="s">
        <v>36</v>
      </c>
      <c r="CL94" s="4">
        <v>1E-127</v>
      </c>
      <c r="CM94" s="3" t="str">
        <f>HYPERLINK(".\links\CDD\gi_325303202-CDD.txt","Peptidase_C1A")</f>
        <v>Peptidase_C1A</v>
      </c>
      <c r="CN94" s="3" t="str">
        <f>HYPERLINK("http://www.ncbi.nlm.nih.gov/Structure/cdd/cddsrv.cgi?uid=cd02248&amp;version=v4.0","2E-076")</f>
        <v>2E-076</v>
      </c>
      <c r="CO94" s="3" t="s">
        <v>258</v>
      </c>
      <c r="CP94" s="3" t="str">
        <f>HYPERLINK(".\links\ACARI\gi_325303202-ACARI.txt","cathepsin L-like cysteine proteinase B")</f>
        <v>cathepsin L-like cysteine proteinase B</v>
      </c>
      <c r="CQ94" s="3" t="str">
        <f>HYPERLINK("http://www.ncbi.nlm.nih.gov/sutils/blink.cgi?pid=325303202","0.0")</f>
        <v>0.0</v>
      </c>
      <c r="CR94" s="3" t="str">
        <f>HYPERLINK("http://www.ncbi.nlm.nih.gov/protein/325303202","gi|325303202")</f>
        <v>gi|325303202</v>
      </c>
      <c r="CS94" s="3">
        <v>710</v>
      </c>
      <c r="CT94" s="3">
        <v>337</v>
      </c>
      <c r="CU94" s="3">
        <v>337</v>
      </c>
      <c r="CV94" s="3">
        <v>100</v>
      </c>
      <c r="CW94" s="3">
        <v>100</v>
      </c>
      <c r="CX94" s="3">
        <v>100</v>
      </c>
      <c r="CY94" s="3">
        <v>0</v>
      </c>
      <c r="CZ94" s="3">
        <v>0</v>
      </c>
      <c r="DA94" s="3">
        <v>1</v>
      </c>
      <c r="DB94" s="3">
        <v>1</v>
      </c>
      <c r="DC94" s="3">
        <v>1</v>
      </c>
      <c r="DD94" s="3" t="s">
        <v>114</v>
      </c>
    </row>
    <row r="95" spans="1:108" s="3" customFormat="1" x14ac:dyDescent="0.2">
      <c r="A95" s="3" t="s">
        <v>1360</v>
      </c>
      <c r="B95" s="3" t="str">
        <f>HYPERLINK(".\links\\gi_427789439-.txt","gi_427789439")</f>
        <v>gi_427789439</v>
      </c>
      <c r="C95" s="3" t="s">
        <v>35</v>
      </c>
      <c r="D95" s="3">
        <v>481</v>
      </c>
      <c r="E95" s="9" t="s">
        <v>68</v>
      </c>
      <c r="F95" s="3" t="s">
        <v>1239</v>
      </c>
      <c r="G95" s="1" t="s">
        <v>1477</v>
      </c>
      <c r="H95" s="3" t="str">
        <f>HYPERLINK(".\links\UNIPROT-ACARI\gi_427789439-UNIPROT-ACARI.txt","Putative metalloexopeptidase")</f>
        <v>Putative metalloexopeptidase</v>
      </c>
      <c r="I95" s="3" t="str">
        <f>HYPERLINK("http://www.ncbi.nlm.nih.gov/sutils/blink.cgi?pid=L7M7B2","0.0")</f>
        <v>0.0</v>
      </c>
      <c r="J95" s="3" t="s">
        <v>619</v>
      </c>
      <c r="K95" s="3">
        <v>976</v>
      </c>
      <c r="L95" s="3">
        <v>481</v>
      </c>
      <c r="M95" s="3">
        <v>481</v>
      </c>
      <c r="N95" s="3">
        <v>100</v>
      </c>
      <c r="O95" s="3">
        <v>100</v>
      </c>
      <c r="P95" s="3">
        <v>100</v>
      </c>
      <c r="Q95" s="3">
        <v>0</v>
      </c>
      <c r="R95" s="3">
        <v>0</v>
      </c>
      <c r="S95" s="3">
        <v>1</v>
      </c>
      <c r="T95" s="3">
        <v>1</v>
      </c>
      <c r="U95" s="3">
        <v>1</v>
      </c>
      <c r="V95" s="3" t="s">
        <v>36</v>
      </c>
      <c r="W95" s="3" t="str">
        <f>HYPERLINK(".\links\NR-LIGHT\gi_427789439-NR-LIGHT.txt","CNDP dipeptidase, putative")</f>
        <v>CNDP dipeptidase, putative</v>
      </c>
      <c r="X95" s="3" t="str">
        <f>HYPERLINK("http://www.ncbi.nlm.nih.gov/sutils/blink.cgi?pid=241263211","0.0")</f>
        <v>0.0</v>
      </c>
      <c r="Y95" s="3" t="str">
        <f>HYPERLINK("http://www.ncbi.nlm.nih.gov/protein/241263211","gi|241263211")</f>
        <v>gi|241263211</v>
      </c>
      <c r="Z95" s="3">
        <v>775</v>
      </c>
      <c r="AA95" s="3">
        <v>467</v>
      </c>
      <c r="AB95" s="3">
        <v>474</v>
      </c>
      <c r="AC95" s="3">
        <v>78</v>
      </c>
      <c r="AD95" s="3">
        <v>89</v>
      </c>
      <c r="AE95" s="3">
        <v>99</v>
      </c>
      <c r="AF95" s="3">
        <v>100</v>
      </c>
      <c r="AG95" s="3">
        <v>0</v>
      </c>
      <c r="AH95" s="3">
        <v>8</v>
      </c>
      <c r="AI95" s="3">
        <v>15</v>
      </c>
      <c r="AJ95" s="3">
        <v>1</v>
      </c>
      <c r="AK95" s="3" t="s">
        <v>40</v>
      </c>
      <c r="AL95" s="3" t="str">
        <f>HYPERLINK(".\links\REFSEQ-INVERTEBRATE\gi_427789439-REFSEQ-INVERTEBRATE.txt","CNDP dipeptidase, putative, partial")</f>
        <v>CNDP dipeptidase, putative, partial</v>
      </c>
      <c r="AM95" s="3" t="str">
        <f>HYPERLINK("http://www.ncbi.nlm.nih.gov/sutils/blink.cgi?pid=241263211","0.0")</f>
        <v>0.0</v>
      </c>
      <c r="AN95" s="3" t="str">
        <f>HYPERLINK("http://www.ncbi.nlm.nih.gov/protein/241263211","gi|241263211")</f>
        <v>gi|241263211</v>
      </c>
      <c r="AO95" s="3">
        <v>775</v>
      </c>
      <c r="AP95" s="3">
        <v>467</v>
      </c>
      <c r="AQ95" s="3">
        <v>474</v>
      </c>
      <c r="AR95" s="3">
        <v>78</v>
      </c>
      <c r="AS95" s="3">
        <v>89</v>
      </c>
      <c r="AT95" s="3">
        <v>99</v>
      </c>
      <c r="AU95" s="3">
        <v>100</v>
      </c>
      <c r="AV95" s="3">
        <v>0</v>
      </c>
      <c r="AW95" s="3">
        <v>8</v>
      </c>
      <c r="AX95" s="3">
        <v>15</v>
      </c>
      <c r="AY95" s="3">
        <v>1</v>
      </c>
      <c r="AZ95" s="3" t="s">
        <v>40</v>
      </c>
      <c r="BA95" s="3" t="str">
        <f>HYPERLINK(".\links\MEROPS\gi_427789439-MEROPS.txt","- carnosine dipeptidase II (Tribolium castaneum)")</f>
        <v>- carnosine dipeptidase II (Tribolium castaneum)</v>
      </c>
      <c r="BB95" s="3" t="str">
        <f>HYPERLINK("http://www.ncbi.nlm.nih.gov/sutils/blink.cgi?pid=078517 - carnosine dipeptidase II (Tribolium castaneum) [M20.005]#M20F#{peptidase unit","0.0")</f>
        <v>0.0</v>
      </c>
      <c r="BC95" s="3" t="s">
        <v>542</v>
      </c>
      <c r="BD95" s="3">
        <v>655</v>
      </c>
      <c r="BE95" s="3">
        <v>477</v>
      </c>
      <c r="BF95" s="3">
        <v>478</v>
      </c>
      <c r="BG95" s="3">
        <v>65</v>
      </c>
      <c r="BH95" s="3">
        <v>80</v>
      </c>
      <c r="BI95" s="3">
        <v>100</v>
      </c>
      <c r="BJ95" s="3">
        <v>165</v>
      </c>
      <c r="BK95" s="3">
        <v>2</v>
      </c>
      <c r="BL95" s="3">
        <v>3</v>
      </c>
      <c r="BM95" s="3">
        <v>6</v>
      </c>
      <c r="BN95" s="3">
        <v>1</v>
      </c>
      <c r="BO95" s="3" t="s">
        <v>543</v>
      </c>
      <c r="BP95" s="3" t="s">
        <v>544</v>
      </c>
      <c r="BQ95" s="3">
        <f>HYPERLINK(".\links\GO\gi_427789439-GO.txt",0)</f>
        <v>0</v>
      </c>
      <c r="BR95" s="3" t="str">
        <f>HYPERLINK("http://amigo.geneontology.org/cgi-bin/amigo/term_details?term=GO:0004180","GO:0004180")</f>
        <v>GO:0004180</v>
      </c>
      <c r="BS95" s="3" t="s">
        <v>545</v>
      </c>
      <c r="BT95" s="3" t="s">
        <v>546</v>
      </c>
      <c r="BU95" s="3" t="s">
        <v>36</v>
      </c>
      <c r="BV95" s="3" t="s">
        <v>36</v>
      </c>
      <c r="BX95" s="4">
        <v>9.9999999999999995E-179</v>
      </c>
      <c r="BY95" s="3" t="str">
        <f>HYPERLINK("http://amigo.geneontology.org/cgi-bin/amigo/term_details?term=GO:0005737","GO:0005737")</f>
        <v>GO:0005737</v>
      </c>
      <c r="BZ95" s="3" t="s">
        <v>374</v>
      </c>
      <c r="CA95" s="3" t="s">
        <v>375</v>
      </c>
      <c r="CB95" s="3" t="s">
        <v>36</v>
      </c>
      <c r="CC95" s="3" t="s">
        <v>36</v>
      </c>
      <c r="CE95" s="4">
        <v>9.9999999999999995E-179</v>
      </c>
      <c r="CF95" s="3" t="str">
        <f>HYPERLINK("http://amigo.geneontology.org/cgi-bin/amigo/term_details?term=GO:0006508","GO:0006508")</f>
        <v>GO:0006508</v>
      </c>
      <c r="CG95" s="3" t="s">
        <v>281</v>
      </c>
      <c r="CH95" s="3" t="s">
        <v>282</v>
      </c>
      <c r="CI95" s="3" t="s">
        <v>283</v>
      </c>
      <c r="CJ95" s="3" t="s">
        <v>36</v>
      </c>
      <c r="CL95" s="4">
        <v>9.9999999999999995E-179</v>
      </c>
      <c r="CM95" s="3" t="str">
        <f>HYPERLINK(".\links\CDD\gi_427789439-CDD.txt","M20_dipept_like")</f>
        <v>M20_dipept_like</v>
      </c>
      <c r="CN95" s="3" t="str">
        <f>HYPERLINK("http://www.ncbi.nlm.nih.gov/Structure/cdd/cddsrv.cgi?uid=cd05676&amp;version=v4.0","0.0")</f>
        <v>0.0</v>
      </c>
      <c r="CO95" s="3" t="s">
        <v>620</v>
      </c>
      <c r="CP95" s="3" t="str">
        <f>HYPERLINK(".\links\ACARI\gi_427789439-ACARI.txt","Putative metalloexopeptidase")</f>
        <v>Putative metalloexopeptidase</v>
      </c>
      <c r="CQ95" s="3" t="str">
        <f>HYPERLINK("http://www.ncbi.nlm.nih.gov/sutils/blink.cgi?pid=427789439","0.0")</f>
        <v>0.0</v>
      </c>
      <c r="CR95" s="3" t="str">
        <f>HYPERLINK("http://www.ncbi.nlm.nih.gov/protein/427789439","gi|427789439")</f>
        <v>gi|427789439</v>
      </c>
      <c r="CS95" s="3">
        <v>976</v>
      </c>
      <c r="CT95" s="3">
        <v>481</v>
      </c>
      <c r="CU95" s="3">
        <v>481</v>
      </c>
      <c r="CV95" s="3">
        <v>100</v>
      </c>
      <c r="CW95" s="3">
        <v>100</v>
      </c>
      <c r="CX95" s="3">
        <v>100</v>
      </c>
      <c r="CY95" s="3">
        <v>0</v>
      </c>
      <c r="CZ95" s="3">
        <v>0</v>
      </c>
      <c r="DA95" s="3">
        <v>1</v>
      </c>
      <c r="DB95" s="3">
        <v>1</v>
      </c>
      <c r="DC95" s="3">
        <v>1</v>
      </c>
      <c r="DD95" s="3" t="s">
        <v>68</v>
      </c>
    </row>
    <row r="96" spans="1:108" s="3" customFormat="1" x14ac:dyDescent="0.2">
      <c r="A96" s="3" t="s">
        <v>1319</v>
      </c>
      <c r="B96" s="3" t="str">
        <f>HYPERLINK(".\links\\gi_427793665-.txt","gi_427793665")</f>
        <v>gi_427793665</v>
      </c>
      <c r="C96" s="3" t="s">
        <v>98</v>
      </c>
      <c r="D96" s="3">
        <v>478</v>
      </c>
      <c r="E96" s="9" t="s">
        <v>68</v>
      </c>
      <c r="F96" s="3" t="s">
        <v>1235</v>
      </c>
      <c r="G96" s="1" t="s">
        <v>1477</v>
      </c>
      <c r="H96" s="3" t="str">
        <f>HYPERLINK(".\links\UNIPROT-ACARI\gi_427793665-UNIPROT-ACARI.txt","Putative tick serine protease (Fragment)")</f>
        <v>Putative tick serine protease (Fragment)</v>
      </c>
      <c r="I96" s="3" t="str">
        <f>HYPERLINK("http://www.ncbi.nlm.nih.gov/sutils/blink.cgi?pid=L7MGH0","0.0")</f>
        <v>0.0</v>
      </c>
      <c r="J96" s="3" t="s">
        <v>99</v>
      </c>
      <c r="K96" s="3">
        <v>997</v>
      </c>
      <c r="L96" s="3">
        <v>478</v>
      </c>
      <c r="M96" s="3">
        <v>478</v>
      </c>
      <c r="N96" s="3">
        <v>100</v>
      </c>
      <c r="O96" s="3">
        <v>100</v>
      </c>
      <c r="P96" s="3">
        <v>100</v>
      </c>
      <c r="Q96" s="3">
        <v>0</v>
      </c>
      <c r="R96" s="3">
        <v>0</v>
      </c>
      <c r="S96" s="3">
        <v>1</v>
      </c>
      <c r="T96" s="3">
        <v>1</v>
      </c>
      <c r="U96" s="3">
        <v>1</v>
      </c>
      <c r="V96" s="3" t="s">
        <v>36</v>
      </c>
      <c r="W96" s="3" t="str">
        <f>HYPERLINK(".\links\NR-LIGHT\gi_427793665-NR-LIGHT.txt","secreted salivary gland peptide, putative")</f>
        <v>secreted salivary gland peptide, putative</v>
      </c>
      <c r="X96" s="3" t="str">
        <f>HYPERLINK("http://www.ncbi.nlm.nih.gov/sutils/blink.cgi?pid=242002392","1E-110")</f>
        <v>1E-110</v>
      </c>
      <c r="Y96" s="3" t="str">
        <f>HYPERLINK("http://www.ncbi.nlm.nih.gov/protein/242002392","gi|242002392")</f>
        <v>gi|242002392</v>
      </c>
      <c r="Z96" s="3">
        <v>402</v>
      </c>
      <c r="AA96" s="3">
        <v>375</v>
      </c>
      <c r="AB96" s="3">
        <v>394</v>
      </c>
      <c r="AC96" s="3">
        <v>51</v>
      </c>
      <c r="AD96" s="3">
        <v>65</v>
      </c>
      <c r="AE96" s="3">
        <v>95</v>
      </c>
      <c r="AF96" s="3">
        <v>183</v>
      </c>
      <c r="AG96" s="3">
        <v>16</v>
      </c>
      <c r="AH96" s="3">
        <v>25</v>
      </c>
      <c r="AI96" s="3">
        <v>105</v>
      </c>
      <c r="AJ96" s="3">
        <v>1</v>
      </c>
      <c r="AK96" s="3" t="s">
        <v>40</v>
      </c>
      <c r="AL96" s="3" t="str">
        <f>HYPERLINK(".\links\REFSEQ-INVERTEBRATE\gi_427793665-REFSEQ-INVERTEBRATE.txt","secreted salivary gland peptide, putative")</f>
        <v>secreted salivary gland peptide, putative</v>
      </c>
      <c r="AM96" s="3" t="str">
        <f>HYPERLINK("http://www.ncbi.nlm.nih.gov/sutils/blink.cgi?pid=242002392","1E-111")</f>
        <v>1E-111</v>
      </c>
      <c r="AN96" s="3" t="str">
        <f>HYPERLINK("http://www.ncbi.nlm.nih.gov/protein/242002392","gi|242002392")</f>
        <v>gi|242002392</v>
      </c>
      <c r="AO96" s="3">
        <v>402</v>
      </c>
      <c r="AP96" s="3">
        <v>375</v>
      </c>
      <c r="AQ96" s="3">
        <v>394</v>
      </c>
      <c r="AR96" s="3">
        <v>51</v>
      </c>
      <c r="AS96" s="3">
        <v>65</v>
      </c>
      <c r="AT96" s="3">
        <v>95</v>
      </c>
      <c r="AU96" s="3">
        <v>183</v>
      </c>
      <c r="AV96" s="3">
        <v>16</v>
      </c>
      <c r="AW96" s="3">
        <v>25</v>
      </c>
      <c r="AX96" s="3">
        <v>105</v>
      </c>
      <c r="AY96" s="3">
        <v>1</v>
      </c>
      <c r="AZ96" s="3" t="s">
        <v>40</v>
      </c>
      <c r="BA96" s="3" t="str">
        <f>HYPERLINK(".\links\MEROPS\gi_427793665-MEROPS.txt","- clotting enzyme ({Tachypleus}-type) (Rhipicephalus pulchellus)")</f>
        <v>- clotting enzyme ({Tachypleus}-type) (Rhipicephalus pulchellus)</v>
      </c>
      <c r="BB96" s="3" t="str">
        <f>HYPERLINK("http://www.ncbi.nlm.nih.gov/sutils/blink.cgi?pid=384569 - clotting enzyme ({Tachypleus}-type) (Rhipicephalus pulchellus) [S01.221]#S01A#{peptidase unit","0.0")</f>
        <v>0.0</v>
      </c>
      <c r="BC96" s="3" t="s">
        <v>100</v>
      </c>
      <c r="BD96" s="3">
        <v>997</v>
      </c>
      <c r="BE96" s="3">
        <v>478</v>
      </c>
      <c r="BF96" s="3">
        <v>478</v>
      </c>
      <c r="BG96" s="3">
        <v>100</v>
      </c>
      <c r="BH96" s="3">
        <v>100</v>
      </c>
      <c r="BI96" s="3">
        <v>100</v>
      </c>
      <c r="BJ96" s="3">
        <v>0</v>
      </c>
      <c r="BK96" s="3">
        <v>0</v>
      </c>
      <c r="BL96" s="3">
        <v>1</v>
      </c>
      <c r="BM96" s="3">
        <v>1</v>
      </c>
      <c r="BN96" s="3">
        <v>1</v>
      </c>
      <c r="BO96" s="3" t="s">
        <v>101</v>
      </c>
      <c r="BP96" s="3" t="s">
        <v>102</v>
      </c>
      <c r="BQ96" s="3">
        <f>HYPERLINK(".\links\GO\gi_427793665-GO.txt",3E-69)</f>
        <v>2.9999999999999999E-69</v>
      </c>
      <c r="BR96" s="3" t="str">
        <f>HYPERLINK("http://amigo.geneontology.org/cgi-bin/amigo/term_details?term=GO:0004252","GO:0004252")</f>
        <v>GO:0004252</v>
      </c>
      <c r="BS96" s="3" t="s">
        <v>103</v>
      </c>
      <c r="BT96" s="3" t="s">
        <v>104</v>
      </c>
      <c r="BU96" s="3" t="s">
        <v>105</v>
      </c>
      <c r="BV96" s="3" t="str">
        <f>HYPERLINK("http://www.genome.jp/dbget-bin/www_bfind_sub?mode=bfind&amp;max_hit=1000&amp;dbkey=kegg&amp;keywords=EC:3.4.21","EC:3.4.21")</f>
        <v>EC:3.4.21</v>
      </c>
      <c r="BX96" s="4">
        <v>3.0000000000000002E-44</v>
      </c>
      <c r="BY96" s="3" t="str">
        <f>HYPERLINK("http://amigo.geneontology.org/cgi-bin/amigo/term_details?term=GO:0005886","GO:0005886")</f>
        <v>GO:0005886</v>
      </c>
      <c r="BZ96" s="3" t="s">
        <v>106</v>
      </c>
      <c r="CA96" s="3" t="s">
        <v>107</v>
      </c>
      <c r="CB96" s="3" t="s">
        <v>108</v>
      </c>
      <c r="CC96" s="3" t="s">
        <v>36</v>
      </c>
      <c r="CE96" s="4">
        <v>3.0000000000000002E-44</v>
      </c>
      <c r="CF96" s="3" t="str">
        <f>HYPERLINK("http://amigo.geneontology.org/cgi-bin/amigo/term_details?term=GO:0007010","GO:0007010")</f>
        <v>GO:0007010</v>
      </c>
      <c r="CG96" s="3" t="s">
        <v>109</v>
      </c>
      <c r="CH96" s="3" t="s">
        <v>110</v>
      </c>
      <c r="CI96" s="3" t="s">
        <v>111</v>
      </c>
      <c r="CJ96" s="3" t="s">
        <v>36</v>
      </c>
      <c r="CL96" s="4">
        <v>3.0000000000000002E-44</v>
      </c>
      <c r="CM96" s="3" t="str">
        <f>HYPERLINK(".\links\CDD\gi_427793665-CDD.txt","Tryp_SPc")</f>
        <v>Tryp_SPc</v>
      </c>
      <c r="CN96" s="3" t="str">
        <f>HYPERLINK("http://www.ncbi.nlm.nih.gov/Structure/cdd/cddsrv.cgi?uid=cd00190&amp;version=v4.0","2E-046")</f>
        <v>2E-046</v>
      </c>
      <c r="CO96" s="3" t="s">
        <v>112</v>
      </c>
      <c r="CP96" s="3" t="str">
        <f>HYPERLINK(".\links\ACARI\gi_427793665-ACARI.txt","Putative tick serine protease, partial")</f>
        <v>Putative tick serine protease, partial</v>
      </c>
      <c r="CQ96" s="3" t="str">
        <f>HYPERLINK("http://www.ncbi.nlm.nih.gov/sutils/blink.cgi?pid=427793665","0.0")</f>
        <v>0.0</v>
      </c>
      <c r="CR96" s="3" t="str">
        <f>HYPERLINK("http://www.ncbi.nlm.nih.gov/protein/427793665","gi|427793665")</f>
        <v>gi|427793665</v>
      </c>
      <c r="CS96" s="3">
        <v>997</v>
      </c>
      <c r="CT96" s="3">
        <v>478</v>
      </c>
      <c r="CU96" s="3">
        <v>478</v>
      </c>
      <c r="CV96" s="3">
        <v>100</v>
      </c>
      <c r="CW96" s="3">
        <v>100</v>
      </c>
      <c r="CX96" s="3">
        <v>100</v>
      </c>
      <c r="CY96" s="3">
        <v>0</v>
      </c>
      <c r="CZ96" s="3">
        <v>0</v>
      </c>
      <c r="DA96" s="3">
        <v>1</v>
      </c>
      <c r="DB96" s="3">
        <v>1</v>
      </c>
      <c r="DC96" s="3">
        <v>1</v>
      </c>
      <c r="DD96" s="3" t="s">
        <v>68</v>
      </c>
    </row>
    <row r="97" spans="1:108" s="3" customFormat="1" x14ac:dyDescent="0.2">
      <c r="A97" s="3" t="s">
        <v>1355</v>
      </c>
      <c r="B97" s="3" t="str">
        <f>HYPERLINK(".\links\\gi_442747401-.txt","gi_442747401")</f>
        <v>gi_442747401</v>
      </c>
      <c r="C97" s="3" t="s">
        <v>35</v>
      </c>
      <c r="D97" s="3">
        <v>481</v>
      </c>
      <c r="E97" s="9" t="s">
        <v>37</v>
      </c>
      <c r="F97" s="3" t="s">
        <v>1237</v>
      </c>
      <c r="G97" s="1" t="s">
        <v>1477</v>
      </c>
      <c r="H97" s="3" t="str">
        <f>HYPERLINK(".\links\UNIPROT-ACARI\gi_442747401-UNIPROT-ACARI.txt","CNDP dipeptidase, putative (Fragment)")</f>
        <v>CNDP dipeptidase, putative (Fragment)</v>
      </c>
      <c r="I97" s="3" t="str">
        <f>HYPERLINK("http://www.ncbi.nlm.nih.gov/sutils/blink.cgi?pid=B7PIM5","0.0")</f>
        <v>0.0</v>
      </c>
      <c r="J97" s="3" t="s">
        <v>541</v>
      </c>
      <c r="K97" s="3">
        <v>940</v>
      </c>
      <c r="L97" s="3">
        <v>467</v>
      </c>
      <c r="M97" s="3">
        <v>474</v>
      </c>
      <c r="N97" s="3">
        <v>97</v>
      </c>
      <c r="O97" s="3">
        <v>98</v>
      </c>
      <c r="P97" s="3">
        <v>99</v>
      </c>
      <c r="Q97" s="3">
        <v>11</v>
      </c>
      <c r="R97" s="3">
        <v>0</v>
      </c>
      <c r="S97" s="3">
        <v>8</v>
      </c>
      <c r="T97" s="3">
        <v>15</v>
      </c>
      <c r="U97" s="3">
        <v>1</v>
      </c>
      <c r="V97" s="3" t="s">
        <v>36</v>
      </c>
      <c r="W97" s="3" t="str">
        <f>HYPERLINK(".\links\NR-LIGHT\gi_442747401-NR-LIGHT.txt","CNDP dipeptidase, putative")</f>
        <v>CNDP dipeptidase, putative</v>
      </c>
      <c r="X97" s="3" t="str">
        <f>HYPERLINK("http://www.ncbi.nlm.nih.gov/sutils/blink.cgi?pid=241263211","0.0")</f>
        <v>0.0</v>
      </c>
      <c r="Y97" s="3" t="str">
        <f>HYPERLINK("http://www.ncbi.nlm.nih.gov/protein/241263211","gi|241263211")</f>
        <v>gi|241263211</v>
      </c>
      <c r="Z97" s="3">
        <v>940</v>
      </c>
      <c r="AA97" s="3">
        <v>467</v>
      </c>
      <c r="AB97" s="3">
        <v>474</v>
      </c>
      <c r="AC97" s="3">
        <v>97</v>
      </c>
      <c r="AD97" s="3">
        <v>98</v>
      </c>
      <c r="AE97" s="3">
        <v>99</v>
      </c>
      <c r="AF97" s="3">
        <v>11</v>
      </c>
      <c r="AG97" s="3">
        <v>0</v>
      </c>
      <c r="AH97" s="3">
        <v>8</v>
      </c>
      <c r="AI97" s="3">
        <v>15</v>
      </c>
      <c r="AJ97" s="3">
        <v>1</v>
      </c>
      <c r="AK97" s="3" t="s">
        <v>40</v>
      </c>
      <c r="AL97" s="3" t="str">
        <f>HYPERLINK(".\links\REFSEQ-INVERTEBRATE\gi_442747401-REFSEQ-INVERTEBRATE.txt","CNDP dipeptidase, putative, partial")</f>
        <v>CNDP dipeptidase, putative, partial</v>
      </c>
      <c r="AM97" s="3" t="str">
        <f>HYPERLINK("http://www.ncbi.nlm.nih.gov/sutils/blink.cgi?pid=241263211","0.0")</f>
        <v>0.0</v>
      </c>
      <c r="AN97" s="3" t="str">
        <f>HYPERLINK("http://www.ncbi.nlm.nih.gov/protein/241263211","gi|241263211")</f>
        <v>gi|241263211</v>
      </c>
      <c r="AO97" s="3">
        <v>940</v>
      </c>
      <c r="AP97" s="3">
        <v>467</v>
      </c>
      <c r="AQ97" s="3">
        <v>474</v>
      </c>
      <c r="AR97" s="3">
        <v>97</v>
      </c>
      <c r="AS97" s="3">
        <v>98</v>
      </c>
      <c r="AT97" s="3">
        <v>99</v>
      </c>
      <c r="AU97" s="3">
        <v>11</v>
      </c>
      <c r="AV97" s="3">
        <v>0</v>
      </c>
      <c r="AW97" s="3">
        <v>8</v>
      </c>
      <c r="AX97" s="3">
        <v>15</v>
      </c>
      <c r="AY97" s="3">
        <v>1</v>
      </c>
      <c r="AZ97" s="3" t="s">
        <v>40</v>
      </c>
      <c r="BA97" s="3" t="str">
        <f>HYPERLINK(".\links\MEROPS\gi_442747401-MEROPS.txt","- carnosine dipeptidase II (Tribolium castaneum)")</f>
        <v>- carnosine dipeptidase II (Tribolium castaneum)</v>
      </c>
      <c r="BB97" s="3" t="str">
        <f>HYPERLINK("http://www.ncbi.nlm.nih.gov/sutils/blink.cgi?pid=078517 - carnosine dipeptidase II (Tribolium castaneum) [M20.005]#M20F#{peptidase unit","0.0")</f>
        <v>0.0</v>
      </c>
      <c r="BC97" s="3" t="s">
        <v>542</v>
      </c>
      <c r="BD97" s="3">
        <v>668</v>
      </c>
      <c r="BE97" s="3">
        <v>477</v>
      </c>
      <c r="BF97" s="3">
        <v>478</v>
      </c>
      <c r="BG97" s="3">
        <v>66</v>
      </c>
      <c r="BH97" s="3">
        <v>80</v>
      </c>
      <c r="BI97" s="3">
        <v>100</v>
      </c>
      <c r="BJ97" s="3">
        <v>161</v>
      </c>
      <c r="BK97" s="3">
        <v>2</v>
      </c>
      <c r="BL97" s="3">
        <v>3</v>
      </c>
      <c r="BM97" s="3">
        <v>6</v>
      </c>
      <c r="BN97" s="3">
        <v>1</v>
      </c>
      <c r="BO97" s="3" t="s">
        <v>543</v>
      </c>
      <c r="BP97" s="3" t="s">
        <v>544</v>
      </c>
      <c r="BQ97" s="3">
        <f>HYPERLINK(".\links\GO\gi_442747401-GO.txt",0)</f>
        <v>0</v>
      </c>
      <c r="BR97" s="3" t="str">
        <f>HYPERLINK("http://amigo.geneontology.org/cgi-bin/amigo/term_details?term=GO:0004180","GO:0004180")</f>
        <v>GO:0004180</v>
      </c>
      <c r="BS97" s="3" t="s">
        <v>545</v>
      </c>
      <c r="BT97" s="3" t="s">
        <v>546</v>
      </c>
      <c r="BU97" s="3" t="s">
        <v>36</v>
      </c>
      <c r="BV97" s="3" t="s">
        <v>36</v>
      </c>
      <c r="BX97" s="3">
        <v>0</v>
      </c>
      <c r="BY97" s="3" t="str">
        <f>HYPERLINK("http://amigo.geneontology.org/cgi-bin/amigo/term_details?term=GO:0005737","GO:0005737")</f>
        <v>GO:0005737</v>
      </c>
      <c r="BZ97" s="3" t="s">
        <v>374</v>
      </c>
      <c r="CA97" s="3" t="s">
        <v>375</v>
      </c>
      <c r="CB97" s="3" t="s">
        <v>36</v>
      </c>
      <c r="CC97" s="3" t="s">
        <v>36</v>
      </c>
      <c r="CE97" s="3">
        <v>0</v>
      </c>
      <c r="CF97" s="3" t="str">
        <f>HYPERLINK("http://amigo.geneontology.org/cgi-bin/amigo/term_details?term=GO:0006508","GO:0006508")</f>
        <v>GO:0006508</v>
      </c>
      <c r="CG97" s="3" t="s">
        <v>281</v>
      </c>
      <c r="CH97" s="3" t="s">
        <v>282</v>
      </c>
      <c r="CI97" s="3" t="s">
        <v>283</v>
      </c>
      <c r="CJ97" s="3" t="s">
        <v>36</v>
      </c>
      <c r="CL97" s="3">
        <v>0</v>
      </c>
      <c r="CM97" s="3" t="str">
        <f>HYPERLINK(".\links\CDD\gi_442747401-CDD.txt","M20_dipept_like")</f>
        <v>M20_dipept_like</v>
      </c>
      <c r="CN97" s="3" t="str">
        <f>HYPERLINK("http://www.ncbi.nlm.nih.gov/Structure/cdd/cddsrv.cgi?uid=cd05676&amp;version=v4.0","0.0")</f>
        <v>0.0</v>
      </c>
      <c r="CO97" s="3" t="s">
        <v>547</v>
      </c>
      <c r="CP97" s="3" t="str">
        <f>HYPERLINK(".\links\ACARI\gi_442747401-ACARI.txt","Putative metalloexopeptidase")</f>
        <v>Putative metalloexopeptidase</v>
      </c>
      <c r="CQ97" s="3" t="str">
        <f>HYPERLINK("http://www.ncbi.nlm.nih.gov/sutils/blink.cgi?pid=442747401","0.0")</f>
        <v>0.0</v>
      </c>
      <c r="CR97" s="3" t="str">
        <f>HYPERLINK("http://www.ncbi.nlm.nih.gov/protein/442747401","gi|442747401")</f>
        <v>gi|442747401</v>
      </c>
      <c r="CS97" s="3">
        <v>991</v>
      </c>
      <c r="CT97" s="3">
        <v>481</v>
      </c>
      <c r="CU97" s="3">
        <v>481</v>
      </c>
      <c r="CV97" s="3">
        <v>100</v>
      </c>
      <c r="CW97" s="3">
        <v>100</v>
      </c>
      <c r="CX97" s="3">
        <v>100</v>
      </c>
      <c r="CY97" s="3">
        <v>0</v>
      </c>
      <c r="CZ97" s="3">
        <v>0</v>
      </c>
      <c r="DA97" s="3">
        <v>1</v>
      </c>
      <c r="DB97" s="3">
        <v>1</v>
      </c>
      <c r="DC97" s="3">
        <v>1</v>
      </c>
      <c r="DD97" s="3" t="s">
        <v>37</v>
      </c>
    </row>
    <row r="98" spans="1:108" s="3" customFormat="1" x14ac:dyDescent="0.2">
      <c r="A98" s="3" t="s">
        <v>1416</v>
      </c>
      <c r="B98" s="3" t="str">
        <f>HYPERLINK(".\links\\gi_83319201-.txt","gi_83319201")</f>
        <v>gi_83319201</v>
      </c>
      <c r="C98" s="3" t="s">
        <v>35</v>
      </c>
      <c r="D98" s="3">
        <v>391</v>
      </c>
      <c r="E98" s="9" t="s">
        <v>53</v>
      </c>
      <c r="F98" s="3" t="s">
        <v>1452</v>
      </c>
      <c r="G98" s="1" t="s">
        <v>1477</v>
      </c>
      <c r="H98" s="3" t="str">
        <f>HYPERLINK(".\links\UNIPROT-ACARI\gi_83319201-UNIPROT-ACARI.txt","Aspartic protease")</f>
        <v>Aspartic protease</v>
      </c>
      <c r="I98" s="3" t="str">
        <f>HYPERLINK("http://www.ncbi.nlm.nih.gov/sutils/blink.cgi?pid=Q2WFX6","0.0")</f>
        <v>0.0</v>
      </c>
      <c r="J98" s="3" t="s">
        <v>1174</v>
      </c>
      <c r="K98" s="3">
        <v>795</v>
      </c>
      <c r="L98" s="3">
        <v>391</v>
      </c>
      <c r="M98" s="3">
        <v>391</v>
      </c>
      <c r="N98" s="3">
        <v>100</v>
      </c>
      <c r="O98" s="3">
        <v>100</v>
      </c>
      <c r="P98" s="3">
        <v>100</v>
      </c>
      <c r="Q98" s="3">
        <v>0</v>
      </c>
      <c r="R98" s="3">
        <v>0</v>
      </c>
      <c r="S98" s="3">
        <v>1</v>
      </c>
      <c r="T98" s="3">
        <v>1</v>
      </c>
      <c r="U98" s="3">
        <v>1</v>
      </c>
      <c r="V98" s="3" t="s">
        <v>36</v>
      </c>
      <c r="W98" s="3" t="str">
        <f>HYPERLINK(".\links\NR-LIGHT\gi_83319201-NR-LIGHT.txt","aspartic protease")</f>
        <v>aspartic protease</v>
      </c>
      <c r="X98" s="3" t="str">
        <f>HYPERLINK("http://www.ncbi.nlm.nih.gov/sutils/blink.cgi?pid=83319201","0.0")</f>
        <v>0.0</v>
      </c>
      <c r="Y98" s="3" t="str">
        <f>HYPERLINK("http://www.ncbi.nlm.nih.gov/protein/83319201","gi|83319201")</f>
        <v>gi|83319201</v>
      </c>
      <c r="Z98" s="3">
        <v>795</v>
      </c>
      <c r="AA98" s="3">
        <v>391</v>
      </c>
      <c r="AB98" s="3">
        <v>391</v>
      </c>
      <c r="AC98" s="3">
        <v>100</v>
      </c>
      <c r="AD98" s="3">
        <v>100</v>
      </c>
      <c r="AE98" s="3">
        <v>100</v>
      </c>
      <c r="AF98" s="3">
        <v>0</v>
      </c>
      <c r="AG98" s="3">
        <v>0</v>
      </c>
      <c r="AH98" s="3">
        <v>1</v>
      </c>
      <c r="AI98" s="3">
        <v>1</v>
      </c>
      <c r="AJ98" s="3">
        <v>1</v>
      </c>
      <c r="AK98" s="3" t="s">
        <v>53</v>
      </c>
      <c r="AL98" s="3" t="str">
        <f>HYPERLINK(".\links\REFSEQ-INVERTEBRATE\gi_83319201-REFSEQ-INVERTEBRATE.txt","aspartic protease, putative")</f>
        <v>aspartic protease, putative</v>
      </c>
      <c r="AM98" s="3" t="str">
        <f>HYPERLINK("http://www.ncbi.nlm.nih.gov/sutils/blink.cgi?pid=241275826","1E-140")</f>
        <v>1E-140</v>
      </c>
      <c r="AN98" s="3" t="str">
        <f>HYPERLINK("http://www.ncbi.nlm.nih.gov/protein/241275826","gi|241275826")</f>
        <v>gi|241275826</v>
      </c>
      <c r="AO98" s="3">
        <v>499</v>
      </c>
      <c r="AP98" s="3">
        <v>339</v>
      </c>
      <c r="AQ98" s="3">
        <v>345</v>
      </c>
      <c r="AR98" s="3">
        <v>71</v>
      </c>
      <c r="AS98" s="3">
        <v>82</v>
      </c>
      <c r="AT98" s="3">
        <v>98</v>
      </c>
      <c r="AU98" s="3">
        <v>98</v>
      </c>
      <c r="AV98" s="3">
        <v>3</v>
      </c>
      <c r="AW98" s="3">
        <v>1</v>
      </c>
      <c r="AX98" s="3">
        <v>1</v>
      </c>
      <c r="AY98" s="3">
        <v>1</v>
      </c>
      <c r="AZ98" s="3" t="s">
        <v>40</v>
      </c>
      <c r="BA98" s="3" t="str">
        <f>HYPERLINK(".\links\MEROPS\gi_83319201-MEROPS.txt","- necepsin-2 (Haemaphysalis longicornis)")</f>
        <v>- necepsin-2 (Haemaphysalis longicornis)</v>
      </c>
      <c r="BB98" s="3" t="str">
        <f>HYPERLINK("http://www.ncbi.nlm.nih.gov/sutils/blink.cgi?pid=058229 - necepsin-2 (Haemaphysalis longicornis) [A01.068]#A01A#{peptidase unit","0.0")</f>
        <v>0.0</v>
      </c>
      <c r="BC98" s="3" t="s">
        <v>1175</v>
      </c>
      <c r="BD98" s="3">
        <v>795</v>
      </c>
      <c r="BE98" s="3">
        <v>391</v>
      </c>
      <c r="BF98" s="3">
        <v>391</v>
      </c>
      <c r="BG98" s="3">
        <v>100</v>
      </c>
      <c r="BH98" s="3">
        <v>100</v>
      </c>
      <c r="BI98" s="3">
        <v>100</v>
      </c>
      <c r="BJ98" s="3">
        <v>0</v>
      </c>
      <c r="BK98" s="3">
        <v>0</v>
      </c>
      <c r="BL98" s="3">
        <v>1</v>
      </c>
      <c r="BM98" s="3">
        <v>1</v>
      </c>
      <c r="BN98" s="3">
        <v>1</v>
      </c>
      <c r="BO98" s="3" t="s">
        <v>1176</v>
      </c>
      <c r="BP98" s="3" t="s">
        <v>1177</v>
      </c>
      <c r="BQ98" s="3">
        <f>HYPERLINK(".\links\GO\gi_83319201-GO.txt",0)</f>
        <v>0</v>
      </c>
      <c r="BR98" s="3" t="str">
        <f>HYPERLINK("http://amigo.geneontology.org/cgi-bin/amigo/term_details?term=GO:0004190","GO:0004190")</f>
        <v>GO:0004190</v>
      </c>
      <c r="BS98" s="3" t="s">
        <v>1178</v>
      </c>
      <c r="BT98" s="3" t="s">
        <v>1179</v>
      </c>
      <c r="BU98" s="3" t="s">
        <v>1180</v>
      </c>
      <c r="BV98" s="3" t="str">
        <f>HYPERLINK("http://www.genome.jp/dbget-bin/www_bfind_sub?mode=bfind&amp;max_hit=1000&amp;dbkey=kegg&amp;keywords=EC:3.4.23","EC:3.4.23")</f>
        <v>EC:3.4.23</v>
      </c>
      <c r="BX98" s="4">
        <v>1E-127</v>
      </c>
      <c r="BY98" s="3" t="str">
        <f>HYPERLINK("http://amigo.geneontology.org/cgi-bin/amigo/term_details?term=GO:0005576","GO:0005576")</f>
        <v>GO:0005576</v>
      </c>
      <c r="BZ98" s="3" t="s">
        <v>47</v>
      </c>
      <c r="CA98" s="3" t="s">
        <v>48</v>
      </c>
      <c r="CB98" s="3" t="s">
        <v>49</v>
      </c>
      <c r="CC98" s="3" t="s">
        <v>36</v>
      </c>
      <c r="CE98" s="4">
        <v>1E-127</v>
      </c>
      <c r="CF98" s="3" t="str">
        <f>HYPERLINK("http://amigo.geneontology.org/cgi-bin/amigo/term_details?term=GO:0035071","GO:0035071")</f>
        <v>GO:0035071</v>
      </c>
      <c r="CG98" s="3" t="s">
        <v>1181</v>
      </c>
      <c r="CH98" s="3" t="s">
        <v>1182</v>
      </c>
      <c r="CI98" s="3" t="s">
        <v>1183</v>
      </c>
      <c r="CJ98" s="3" t="s">
        <v>36</v>
      </c>
      <c r="CL98" s="4">
        <v>1E-127</v>
      </c>
      <c r="CM98" s="3" t="str">
        <f>HYPERLINK(".\links\CDD\gi_83319201-CDD.txt","Cathepsin_D_lik")</f>
        <v>Cathepsin_D_lik</v>
      </c>
      <c r="CN98" s="3" t="str">
        <f>HYPERLINK("http://www.ncbi.nlm.nih.gov/Structure/cdd/cddsrv.cgi?uid=cd05485&amp;version=v4.0","1E-130")</f>
        <v>1E-130</v>
      </c>
      <c r="CO98" s="3" t="s">
        <v>1184</v>
      </c>
      <c r="CP98" s="3" t="str">
        <f>HYPERLINK(".\links\ACARI\gi_83319201-ACARI.txt","aspartic protease")</f>
        <v>aspartic protease</v>
      </c>
      <c r="CQ98" s="3" t="str">
        <f>HYPERLINK("http://www.ncbi.nlm.nih.gov/sutils/blink.cgi?pid=83319201","0.0")</f>
        <v>0.0</v>
      </c>
      <c r="CR98" s="3" t="str">
        <f>HYPERLINK("http://www.ncbi.nlm.nih.gov/protein/83319201","gi|83319201")</f>
        <v>gi|83319201</v>
      </c>
      <c r="CS98" s="3">
        <v>795</v>
      </c>
      <c r="CT98" s="3">
        <v>391</v>
      </c>
      <c r="CU98" s="3">
        <v>391</v>
      </c>
      <c r="CV98" s="3">
        <v>100</v>
      </c>
      <c r="CW98" s="3">
        <v>100</v>
      </c>
      <c r="CX98" s="3">
        <v>100</v>
      </c>
      <c r="CY98" s="3">
        <v>0</v>
      </c>
      <c r="CZ98" s="3">
        <v>0</v>
      </c>
      <c r="DA98" s="3">
        <v>1</v>
      </c>
      <c r="DB98" s="3">
        <v>1</v>
      </c>
      <c r="DC98" s="3">
        <v>1</v>
      </c>
      <c r="DD98" s="3" t="s">
        <v>53</v>
      </c>
    </row>
    <row r="99" spans="1:108" s="3" customFormat="1" x14ac:dyDescent="0.2">
      <c r="A99" s="3" t="s">
        <v>1318</v>
      </c>
      <c r="B99" s="3" t="str">
        <f>HYPERLINK(".\links\\Rm-44814-.txt","Rm-44814")</f>
        <v>Rm-44814</v>
      </c>
      <c r="C99" s="3" t="s">
        <v>335</v>
      </c>
      <c r="D99" s="3">
        <v>215</v>
      </c>
      <c r="E99" s="9" t="s">
        <v>203</v>
      </c>
      <c r="F99" s="3" t="s">
        <v>1220</v>
      </c>
      <c r="G99" s="1" t="s">
        <v>1477</v>
      </c>
      <c r="H99" s="3" t="str">
        <f>HYPERLINK(".\links\UNIPROT-ACARI\Rm-44814-UNIPROT-ACARI.txt","Putative serine carboxypeptidase lysosomal cathepsin a")</f>
        <v>Putative serine carboxypeptidase lysosomal cathepsin a</v>
      </c>
      <c r="I99" s="3" t="str">
        <f>HYPERLINK("http://www.ncbi.nlm.nih.gov/sutils/blink.cgi?pid=A0A023GNB7","1E-063")</f>
        <v>1E-063</v>
      </c>
      <c r="J99" s="3" t="s">
        <v>336</v>
      </c>
      <c r="K99" s="3">
        <v>239</v>
      </c>
      <c r="L99" s="3">
        <v>178</v>
      </c>
      <c r="M99" s="3">
        <v>478</v>
      </c>
      <c r="N99" s="3">
        <v>66</v>
      </c>
      <c r="O99" s="3">
        <v>77</v>
      </c>
      <c r="P99" s="3">
        <v>37</v>
      </c>
      <c r="Q99" s="3">
        <v>59</v>
      </c>
      <c r="R99" s="3">
        <v>3</v>
      </c>
      <c r="S99" s="3">
        <v>4</v>
      </c>
      <c r="T99" s="3">
        <v>37</v>
      </c>
      <c r="U99" s="3">
        <v>1</v>
      </c>
      <c r="V99" s="3" t="s">
        <v>36</v>
      </c>
      <c r="W99" s="3" t="str">
        <f>HYPERLINK(".\links\NR-LIGHT\Rm-44814-NR-LIGHT.txt","serine carboxypeptidase, putative")</f>
        <v>serine carboxypeptidase, putative</v>
      </c>
      <c r="X99" s="3" t="str">
        <f>HYPERLINK("http://www.ncbi.nlm.nih.gov/sutils/blink.cgi?pid=241744317","3E-044")</f>
        <v>3E-044</v>
      </c>
      <c r="Y99" s="3" t="str">
        <f>HYPERLINK("http://www.ncbi.nlm.nih.gov/protein/241744317","gi|241744317")</f>
        <v>gi|241744317</v>
      </c>
      <c r="Z99" s="3">
        <v>180</v>
      </c>
      <c r="AA99" s="3">
        <v>138</v>
      </c>
      <c r="AB99" s="3">
        <v>473</v>
      </c>
      <c r="AC99" s="3">
        <v>57</v>
      </c>
      <c r="AD99" s="3">
        <v>78</v>
      </c>
      <c r="AE99" s="3">
        <v>29</v>
      </c>
      <c r="AF99" s="3">
        <v>59</v>
      </c>
      <c r="AG99" s="3">
        <v>1</v>
      </c>
      <c r="AH99" s="3">
        <v>46</v>
      </c>
      <c r="AI99" s="3">
        <v>75</v>
      </c>
      <c r="AJ99" s="3">
        <v>1</v>
      </c>
      <c r="AK99" s="3" t="s">
        <v>40</v>
      </c>
      <c r="AL99" s="3" t="str">
        <f>HYPERLINK(".\links\REFSEQ-INVERTEBRATE\Rm-44814-REFSEQ-INVERTEBRATE.txt","serine carboxypeptidase, putative")</f>
        <v>serine carboxypeptidase, putative</v>
      </c>
      <c r="AM99" s="3" t="str">
        <f>HYPERLINK("http://www.ncbi.nlm.nih.gov/sutils/blink.cgi?pid=241744317","1E-044")</f>
        <v>1E-044</v>
      </c>
      <c r="AN99" s="3" t="str">
        <f>HYPERLINK("http://www.ncbi.nlm.nih.gov/protein/241744317","gi|241744317")</f>
        <v>gi|241744317</v>
      </c>
      <c r="AO99" s="3">
        <v>180</v>
      </c>
      <c r="AP99" s="3">
        <v>138</v>
      </c>
      <c r="AQ99" s="3">
        <v>473</v>
      </c>
      <c r="AR99" s="3">
        <v>57</v>
      </c>
      <c r="AS99" s="3">
        <v>78</v>
      </c>
      <c r="AT99" s="3">
        <v>29</v>
      </c>
      <c r="AU99" s="3">
        <v>59</v>
      </c>
      <c r="AV99" s="3">
        <v>1</v>
      </c>
      <c r="AW99" s="3">
        <v>46</v>
      </c>
      <c r="AX99" s="3">
        <v>75</v>
      </c>
      <c r="AY99" s="3">
        <v>1</v>
      </c>
      <c r="AZ99" s="3" t="s">
        <v>40</v>
      </c>
      <c r="BA99" s="3" t="str">
        <f>HYPERLINK(".\links\MEROPS\Rm-44814-MEROPS.txt","- vitellogenic carboxypeptidase-like protein (Ixodes scapularis)")</f>
        <v>- vitellogenic carboxypeptidase-like protein (Ixodes scapularis)</v>
      </c>
      <c r="BB99" s="3" t="str">
        <f>HYPERLINK("http://www.ncbi.nlm.nih.gov/sutils/blink.cgi?pid=177713 - vitellogenic carboxypeptidase-like protein (Ixodes scapularis) [S10.003]#S10#{peptidase unit","8E-045")</f>
        <v>8E-045</v>
      </c>
      <c r="BC99" s="3" t="s">
        <v>337</v>
      </c>
      <c r="BD99" s="3">
        <v>180</v>
      </c>
      <c r="BE99" s="3">
        <v>138</v>
      </c>
      <c r="BF99" s="3">
        <v>473</v>
      </c>
      <c r="BG99" s="3">
        <v>57</v>
      </c>
      <c r="BH99" s="3">
        <v>78</v>
      </c>
      <c r="BI99" s="3">
        <v>29</v>
      </c>
      <c r="BJ99" s="3">
        <v>59</v>
      </c>
      <c r="BK99" s="3">
        <v>1</v>
      </c>
      <c r="BL99" s="3">
        <v>46</v>
      </c>
      <c r="BM99" s="3">
        <v>75</v>
      </c>
      <c r="BN99" s="3">
        <v>1</v>
      </c>
      <c r="BO99" s="3" t="s">
        <v>338</v>
      </c>
      <c r="BP99" s="3" t="s">
        <v>339</v>
      </c>
      <c r="BQ99" s="3">
        <f>HYPERLINK(".\links\GO\Rm-44814-GO.txt",9E-40)</f>
        <v>9.0000000000000002E-40</v>
      </c>
      <c r="BR99" s="3" t="str">
        <f>HYPERLINK("http://amigo.geneontology.org/cgi-bin/amigo/term_details?term=GO:0004185","GO:0004185")</f>
        <v>GO:0004185</v>
      </c>
      <c r="BS99" s="3" t="s">
        <v>340</v>
      </c>
      <c r="BT99" s="3" t="s">
        <v>341</v>
      </c>
      <c r="BU99" s="3" t="s">
        <v>342</v>
      </c>
      <c r="BV99" s="3" t="str">
        <f>HYPERLINK("http://www.genome.jp/dbget-bin/www_bfind_sub?mode=bfind&amp;max_hit=1000&amp;dbkey=kegg&amp;keywords=EC:3.4.16","EC:3.4.16")</f>
        <v>EC:3.4.16</v>
      </c>
      <c r="BX99" s="4">
        <v>5E-36</v>
      </c>
      <c r="BY99" s="3" t="str">
        <f>HYPERLINK("http://amigo.geneontology.org/cgi-bin/amigo/term_details?term=GO:0070062","GO:0070062")</f>
        <v>GO:0070062</v>
      </c>
      <c r="BZ99" s="3" t="s">
        <v>343</v>
      </c>
      <c r="CA99" s="3" t="s">
        <v>344</v>
      </c>
      <c r="CB99" s="3" t="s">
        <v>36</v>
      </c>
      <c r="CC99" s="3" t="s">
        <v>36</v>
      </c>
      <c r="CE99" s="4">
        <v>5E-36</v>
      </c>
      <c r="CF99" s="3" t="str">
        <f>HYPERLINK("http://amigo.geneontology.org/cgi-bin/amigo/term_details?term=GO:0006508","GO:0006508")</f>
        <v>GO:0006508</v>
      </c>
      <c r="CG99" s="3" t="s">
        <v>281</v>
      </c>
      <c r="CH99" s="3" t="s">
        <v>282</v>
      </c>
      <c r="CI99" s="3" t="s">
        <v>283</v>
      </c>
      <c r="CJ99" s="3" t="s">
        <v>36</v>
      </c>
      <c r="CL99" s="4">
        <v>5E-36</v>
      </c>
      <c r="CM99" s="3" t="str">
        <f>HYPERLINK(".\links\CDD\Rm-44814-CDD.txt","Peptidase_S10")</f>
        <v>Peptidase_S10</v>
      </c>
      <c r="CN99" s="3" t="str">
        <f>HYPERLINK("http://www.ncbi.nlm.nih.gov/Structure/cdd/cddsrv.cgi?uid=pfam00450&amp;version=v4.0","5E-018")</f>
        <v>5E-018</v>
      </c>
      <c r="CO99" s="3" t="s">
        <v>345</v>
      </c>
      <c r="CP99" s="3" t="str">
        <f>HYPERLINK(".\links\ACARI\Rm-44814-ACARI.txt","putative serine carboxypeptidase lysosomal cathepsin a")</f>
        <v>putative serine carboxypeptidase lysosomal cathepsin a</v>
      </c>
      <c r="CQ99" s="3" t="str">
        <f>HYPERLINK("http://www.ncbi.nlm.nih.gov/sutils/blink.cgi?pid=604826009","2E-063")</f>
        <v>2E-063</v>
      </c>
      <c r="CR99" s="3" t="str">
        <f>HYPERLINK("http://www.ncbi.nlm.nih.gov/protein/604826009","gi|604826009")</f>
        <v>gi|604826009</v>
      </c>
      <c r="CS99" s="3">
        <v>239</v>
      </c>
      <c r="CT99" s="3">
        <v>178</v>
      </c>
      <c r="CU99" s="3">
        <v>478</v>
      </c>
      <c r="CV99" s="3">
        <v>66</v>
      </c>
      <c r="CW99" s="3">
        <v>77</v>
      </c>
      <c r="CX99" s="3">
        <v>37</v>
      </c>
      <c r="CY99" s="3">
        <v>59</v>
      </c>
      <c r="CZ99" s="3">
        <v>3</v>
      </c>
      <c r="DA99" s="3">
        <v>4</v>
      </c>
      <c r="DB99" s="3">
        <v>37</v>
      </c>
      <c r="DC99" s="3">
        <v>1</v>
      </c>
      <c r="DD99" s="3" t="s">
        <v>346</v>
      </c>
    </row>
    <row r="100" spans="1:108" s="3" customFormat="1" x14ac:dyDescent="0.2">
      <c r="A100" s="3" t="s">
        <v>1292</v>
      </c>
      <c r="B100" s="3" t="str">
        <f>HYPERLINK(".\links\\gi_212549820-.txt","gi_212549820")</f>
        <v>gi_212549820</v>
      </c>
      <c r="C100" s="3" t="s">
        <v>35</v>
      </c>
      <c r="D100" s="3">
        <v>1486</v>
      </c>
      <c r="E100" s="9" t="s">
        <v>37</v>
      </c>
      <c r="F100" s="3" t="s">
        <v>1208</v>
      </c>
      <c r="G100" s="3" t="s">
        <v>1478</v>
      </c>
      <c r="H100" s="3" t="str">
        <f>HYPERLINK(".\links\UNIPROT-ACARI\gi_212549820-UNIPROT-ACARI.txt","Alpha-2-macroglobiln splicing variant 1")</f>
        <v>Alpha-2-macroglobiln splicing variant 1</v>
      </c>
      <c r="I100" s="3" t="str">
        <f>HYPERLINK("http://www.ncbi.nlm.nih.gov/sutils/blink.cgi?pid=B8R3M2","0.0")</f>
        <v>0.0</v>
      </c>
      <c r="J100" s="3" t="s">
        <v>268</v>
      </c>
      <c r="K100" s="3">
        <v>2967</v>
      </c>
      <c r="L100" s="3">
        <v>1486</v>
      </c>
      <c r="M100" s="3">
        <v>1486</v>
      </c>
      <c r="N100" s="3">
        <v>100</v>
      </c>
      <c r="O100" s="3">
        <v>100</v>
      </c>
      <c r="P100" s="3">
        <v>100</v>
      </c>
      <c r="Q100" s="3">
        <v>0</v>
      </c>
      <c r="R100" s="3">
        <v>0</v>
      </c>
      <c r="S100" s="3">
        <v>1</v>
      </c>
      <c r="T100" s="3">
        <v>1</v>
      </c>
      <c r="U100" s="3">
        <v>1</v>
      </c>
      <c r="V100" s="3" t="s">
        <v>36</v>
      </c>
      <c r="W100" s="3" t="str">
        <f>HYPERLINK(".\links\NR-LIGHT\gi_212549820-NR-LIGHT.txt","alpha-2-macroglobiln splicing variant 1 precursor")</f>
        <v>alpha-2-macroglobiln splicing variant 1 precursor</v>
      </c>
      <c r="X100" s="3" t="str">
        <f>HYPERLINK("http://www.ncbi.nlm.nih.gov/sutils/blink.cgi?pid=212549820","0.0")</f>
        <v>0.0</v>
      </c>
      <c r="Y100" s="3" t="str">
        <f>HYPERLINK("http://www.ncbi.nlm.nih.gov/protein/212549820","gi|212549820")</f>
        <v>gi|212549820</v>
      </c>
      <c r="Z100" s="3">
        <v>2967</v>
      </c>
      <c r="AA100" s="3">
        <v>1486</v>
      </c>
      <c r="AB100" s="3">
        <v>1486</v>
      </c>
      <c r="AC100" s="3">
        <v>100</v>
      </c>
      <c r="AD100" s="3">
        <v>100</v>
      </c>
      <c r="AE100" s="3">
        <v>100</v>
      </c>
      <c r="AF100" s="3">
        <v>0</v>
      </c>
      <c r="AG100" s="3">
        <v>0</v>
      </c>
      <c r="AH100" s="3">
        <v>1</v>
      </c>
      <c r="AI100" s="3">
        <v>1</v>
      </c>
      <c r="AJ100" s="3">
        <v>1</v>
      </c>
      <c r="AK100" s="3" t="s">
        <v>37</v>
      </c>
      <c r="AL100" s="3" t="str">
        <f>HYPERLINK(".\links\REFSEQ-INVERTEBRATE\gi_212549820-REFSEQ-INVERTEBRATE.txt","alpha-macroglobulin, putative, partial")</f>
        <v>alpha-macroglobulin, putative, partial</v>
      </c>
      <c r="AM100" s="3" t="str">
        <f>HYPERLINK("http://www.ncbi.nlm.nih.gov/sutils/blink.cgi?pid=241861590","0.0")</f>
        <v>0.0</v>
      </c>
      <c r="AN100" s="3" t="str">
        <f>HYPERLINK("http://www.ncbi.nlm.nih.gov/protein/241861590","gi|241861590")</f>
        <v>gi|241861590</v>
      </c>
      <c r="AO100" s="3">
        <v>1036</v>
      </c>
      <c r="AP100" s="3">
        <v>518</v>
      </c>
      <c r="AQ100" s="3">
        <v>1092</v>
      </c>
      <c r="AR100" s="3">
        <v>98</v>
      </c>
      <c r="AS100" s="3">
        <v>99</v>
      </c>
      <c r="AT100" s="3">
        <v>47</v>
      </c>
      <c r="AU100" s="3">
        <v>8</v>
      </c>
      <c r="AV100" s="3">
        <v>0</v>
      </c>
      <c r="AW100" s="3">
        <v>1</v>
      </c>
      <c r="AX100" s="3">
        <v>76</v>
      </c>
      <c r="AY100" s="3">
        <v>1</v>
      </c>
      <c r="AZ100" s="3" t="s">
        <v>40</v>
      </c>
      <c r="BA100" s="3" t="str">
        <f>HYPERLINK(".\links\MEROPS\gi_212549820-MEROPS.txt","- family I39 unassigned peptidase inhibitors (Ixodes ricinus)")</f>
        <v>- family I39 unassigned peptidase inhibitors (Ixodes ricinus)</v>
      </c>
      <c r="BB100" s="3" t="str">
        <f>HYPERLINK("http://www.ncbi.nlm.nih.gov/sutils/blink.cgi?pid=164742 - family I39 unassigned peptidase inhibitors (Ixodes ricinus) [I39.UPW]#I39#{inhibitor unit","0.0")</f>
        <v>0.0</v>
      </c>
      <c r="BC100" s="3" t="s">
        <v>269</v>
      </c>
      <c r="BD100" s="3">
        <v>2967</v>
      </c>
      <c r="BE100" s="3">
        <v>1486</v>
      </c>
      <c r="BF100" s="3">
        <v>1486</v>
      </c>
      <c r="BG100" s="3">
        <v>100</v>
      </c>
      <c r="BH100" s="3">
        <v>100</v>
      </c>
      <c r="BI100" s="3">
        <v>100</v>
      </c>
      <c r="BJ100" s="3">
        <v>0</v>
      </c>
      <c r="BK100" s="3">
        <v>0</v>
      </c>
      <c r="BL100" s="3">
        <v>1</v>
      </c>
      <c r="BM100" s="3">
        <v>1</v>
      </c>
      <c r="BN100" s="3">
        <v>1</v>
      </c>
      <c r="BO100" s="3" t="s">
        <v>42</v>
      </c>
      <c r="BP100" s="3" t="s">
        <v>270</v>
      </c>
      <c r="BQ100" s="3">
        <f>HYPERLINK(".\links\GO\gi_212549820-GO.txt",0)</f>
        <v>0</v>
      </c>
      <c r="BR100" s="3" t="str">
        <f>HYPERLINK("http://amigo.geneontology.org/cgi-bin/amigo/term_details?term=GO:0004866","GO:0004866")</f>
        <v>GO:0004866</v>
      </c>
      <c r="BS100" s="3" t="s">
        <v>44</v>
      </c>
      <c r="BT100" s="3" t="s">
        <v>45</v>
      </c>
      <c r="BU100" s="3" t="s">
        <v>46</v>
      </c>
      <c r="BV100" s="3" t="s">
        <v>36</v>
      </c>
      <c r="BX100" s="3">
        <v>0</v>
      </c>
      <c r="BY100" s="3" t="str">
        <f>HYPERLINK("http://amigo.geneontology.org/cgi-bin/amigo/term_details?term=GO:0005615","GO:0005615")</f>
        <v>GO:0005615</v>
      </c>
      <c r="BZ100" s="3" t="s">
        <v>195</v>
      </c>
      <c r="CA100" s="3" t="s">
        <v>196</v>
      </c>
      <c r="CB100" s="3" t="s">
        <v>197</v>
      </c>
      <c r="CC100" s="3" t="s">
        <v>36</v>
      </c>
      <c r="CE100" s="3">
        <v>0</v>
      </c>
      <c r="CF100" s="3" t="str">
        <f>HYPERLINK("http://amigo.geneontology.org/cgi-bin/amigo/term_details?term=GO:0010951","GO:0010951")</f>
        <v>GO:0010951</v>
      </c>
      <c r="CG100" s="3" t="s">
        <v>271</v>
      </c>
      <c r="CH100" s="3" t="s">
        <v>272</v>
      </c>
      <c r="CI100" s="3" t="s">
        <v>36</v>
      </c>
      <c r="CJ100" s="3" t="s">
        <v>36</v>
      </c>
      <c r="CL100" s="3">
        <v>0</v>
      </c>
      <c r="CM100" s="3" t="str">
        <f>HYPERLINK(".\links\CDD\gi_212549820-CDD.txt","A2M_2")</f>
        <v>A2M_2</v>
      </c>
      <c r="CN100" s="3" t="str">
        <f>HYPERLINK("http://www.ncbi.nlm.nih.gov/Structure/cdd/cddsrv.cgi?uid=cd02897&amp;version=v4.0","1E-075")</f>
        <v>1E-075</v>
      </c>
      <c r="CO100" s="3" t="s">
        <v>273</v>
      </c>
      <c r="CP100" s="3" t="str">
        <f>HYPERLINK(".\links\ACARI\gi_212549820-ACARI.txt","alpha-2-macroglobiln splicing variant 1 precursor")</f>
        <v>alpha-2-macroglobiln splicing variant 1 precursor</v>
      </c>
      <c r="CQ100" s="3" t="str">
        <f>HYPERLINK("http://www.ncbi.nlm.nih.gov/sutils/blink.cgi?pid=212549820","0.0")</f>
        <v>0.0</v>
      </c>
      <c r="CR100" s="3" t="str">
        <f>HYPERLINK("http://www.ncbi.nlm.nih.gov/protein/212549820","gi|212549820")</f>
        <v>gi|212549820</v>
      </c>
      <c r="CS100" s="3">
        <v>2967</v>
      </c>
      <c r="CT100" s="3">
        <v>1486</v>
      </c>
      <c r="CU100" s="3">
        <v>1486</v>
      </c>
      <c r="CV100" s="3">
        <v>100</v>
      </c>
      <c r="CW100" s="3">
        <v>100</v>
      </c>
      <c r="CX100" s="3">
        <v>100</v>
      </c>
      <c r="CY100" s="3">
        <v>0</v>
      </c>
      <c r="CZ100" s="3">
        <v>0</v>
      </c>
      <c r="DA100" s="3">
        <v>1</v>
      </c>
      <c r="DB100" s="3">
        <v>1</v>
      </c>
      <c r="DC100" s="3">
        <v>1</v>
      </c>
      <c r="DD100" s="3" t="s">
        <v>37</v>
      </c>
    </row>
    <row r="101" spans="1:108" s="3" customFormat="1" x14ac:dyDescent="0.2">
      <c r="A101" s="3" t="s">
        <v>1316</v>
      </c>
      <c r="B101" s="3" t="str">
        <f>HYPERLINK(".\links\\gi_215496256-.txt","gi_215496256")</f>
        <v>gi_215496256</v>
      </c>
      <c r="C101" s="3" t="s">
        <v>35</v>
      </c>
      <c r="D101" s="3">
        <v>703</v>
      </c>
      <c r="E101" s="9" t="s">
        <v>40</v>
      </c>
      <c r="F101" s="3" t="s">
        <v>1249</v>
      </c>
      <c r="G101" s="3" t="s">
        <v>1478</v>
      </c>
      <c r="H101" s="3" t="str">
        <f>HYPERLINK(".\links\UNIPROT-ACARI\gi_215496256-UNIPROT-ACARI.txt","Serine protease inhibitor, putative")</f>
        <v>Serine protease inhibitor, putative</v>
      </c>
      <c r="I101" s="3" t="str">
        <f>HYPERLINK("http://www.ncbi.nlm.nih.gov/sutils/blink.cgi?pid=B7PH24","0.0")</f>
        <v>0.0</v>
      </c>
      <c r="J101" s="3" t="s">
        <v>237</v>
      </c>
      <c r="K101" s="3">
        <v>1366</v>
      </c>
      <c r="L101" s="3">
        <v>703</v>
      </c>
      <c r="M101" s="3">
        <v>703</v>
      </c>
      <c r="N101" s="3">
        <v>100</v>
      </c>
      <c r="O101" s="3">
        <v>100</v>
      </c>
      <c r="P101" s="3">
        <v>100</v>
      </c>
      <c r="Q101" s="3">
        <v>0</v>
      </c>
      <c r="R101" s="3">
        <v>0</v>
      </c>
      <c r="S101" s="3">
        <v>1</v>
      </c>
      <c r="T101" s="3">
        <v>1</v>
      </c>
      <c r="U101" s="3">
        <v>1</v>
      </c>
      <c r="V101" s="3" t="s">
        <v>36</v>
      </c>
      <c r="W101" s="3" t="str">
        <f>HYPERLINK(".\links\NR-LIGHT\gi_215496256-NR-LIGHT.txt","serine protease inhibitor, putative")</f>
        <v>serine protease inhibitor, putative</v>
      </c>
      <c r="X101" s="3" t="str">
        <f>HYPERLINK("http://www.ncbi.nlm.nih.gov/sutils/blink.cgi?pid=241242564","0.0")</f>
        <v>0.0</v>
      </c>
      <c r="Y101" s="3" t="str">
        <f>HYPERLINK("http://www.ncbi.nlm.nih.gov/protein/241242564","gi|241242564")</f>
        <v>gi|241242564</v>
      </c>
      <c r="Z101" s="3">
        <v>1366</v>
      </c>
      <c r="AA101" s="3">
        <v>703</v>
      </c>
      <c r="AB101" s="3">
        <v>703</v>
      </c>
      <c r="AC101" s="3">
        <v>100</v>
      </c>
      <c r="AD101" s="3">
        <v>100</v>
      </c>
      <c r="AE101" s="3">
        <v>100</v>
      </c>
      <c r="AF101" s="3">
        <v>0</v>
      </c>
      <c r="AG101" s="3">
        <v>0</v>
      </c>
      <c r="AH101" s="3">
        <v>1</v>
      </c>
      <c r="AI101" s="3">
        <v>1</v>
      </c>
      <c r="AJ101" s="3">
        <v>1</v>
      </c>
      <c r="AK101" s="3" t="s">
        <v>40</v>
      </c>
      <c r="AL101" s="3" t="str">
        <f>HYPERLINK(".\links\REFSEQ-INVERTEBRATE\gi_215496256-REFSEQ-INVERTEBRATE.txt","serine protease inhibitor, putative")</f>
        <v>serine protease inhibitor, putative</v>
      </c>
      <c r="AM101" s="3" t="str">
        <f>HYPERLINK("http://www.ncbi.nlm.nih.gov/sutils/blink.cgi?pid=241242564","0.0")</f>
        <v>0.0</v>
      </c>
      <c r="AN101" s="3" t="str">
        <f>HYPERLINK("http://www.ncbi.nlm.nih.gov/protein/241242564","gi|241242564")</f>
        <v>gi|241242564</v>
      </c>
      <c r="AO101" s="3">
        <v>1366</v>
      </c>
      <c r="AP101" s="3">
        <v>703</v>
      </c>
      <c r="AQ101" s="3">
        <v>703</v>
      </c>
      <c r="AR101" s="3">
        <v>100</v>
      </c>
      <c r="AS101" s="3">
        <v>100</v>
      </c>
      <c r="AT101" s="3">
        <v>100</v>
      </c>
      <c r="AU101" s="3">
        <v>0</v>
      </c>
      <c r="AV101" s="3">
        <v>0</v>
      </c>
      <c r="AW101" s="3">
        <v>1</v>
      </c>
      <c r="AX101" s="3">
        <v>1</v>
      </c>
      <c r="AY101" s="3">
        <v>1</v>
      </c>
      <c r="AZ101" s="3" t="s">
        <v>40</v>
      </c>
      <c r="BA101" s="3" t="str">
        <f>HYPERLINK(".\links\MEROPS\gi_215496256-MEROPS.txt","- family I4 unassigned peptidase inhibitors (Ixodes scapularis)")</f>
        <v>- family I4 unassigned peptidase inhibitors (Ixodes scapularis)</v>
      </c>
      <c r="BB101" s="3" t="str">
        <f>HYPERLINK("http://www.ncbi.nlm.nih.gov/sutils/blink.cgi?pid=164436 - family I4 unassigned peptidase inhibitors (Ixodes scapularis) [I04.UPW]#I04#{inhibitor unit","0.0")</f>
        <v>0.0</v>
      </c>
      <c r="BC101" s="3" t="s">
        <v>238</v>
      </c>
      <c r="BD101" s="3">
        <v>1366</v>
      </c>
      <c r="BE101" s="3">
        <v>703</v>
      </c>
      <c r="BF101" s="3">
        <v>703</v>
      </c>
      <c r="BG101" s="3">
        <v>100</v>
      </c>
      <c r="BH101" s="3">
        <v>100</v>
      </c>
      <c r="BI101" s="3">
        <v>100</v>
      </c>
      <c r="BJ101" s="3">
        <v>0</v>
      </c>
      <c r="BK101" s="3">
        <v>0</v>
      </c>
      <c r="BL101" s="3">
        <v>1</v>
      </c>
      <c r="BM101" s="3">
        <v>1</v>
      </c>
      <c r="BN101" s="3">
        <v>1</v>
      </c>
      <c r="BO101" s="3" t="s">
        <v>239</v>
      </c>
      <c r="BP101" s="3" t="s">
        <v>240</v>
      </c>
      <c r="BQ101" s="3">
        <f>HYPERLINK(".\links\GO\gi_215496256-GO.txt",1E-55)</f>
        <v>9.9999999999999999E-56</v>
      </c>
      <c r="BR101" s="3" t="str">
        <f>HYPERLINK("http://amigo.geneontology.org/cgi-bin/amigo/term_details?term=GO:0004867","GO:0004867")</f>
        <v>GO:0004867</v>
      </c>
      <c r="BS101" s="3" t="s">
        <v>207</v>
      </c>
      <c r="BT101" s="3" t="s">
        <v>208</v>
      </c>
      <c r="BU101" s="3" t="s">
        <v>209</v>
      </c>
      <c r="BV101" s="3" t="s">
        <v>36</v>
      </c>
      <c r="BX101" s="4">
        <v>9.9999999999999999E-56</v>
      </c>
      <c r="BY101" s="3" t="str">
        <f>HYPERLINK("http://amigo.geneontology.org/cgi-bin/amigo/term_details?term=GO:0005615","GO:0005615")</f>
        <v>GO:0005615</v>
      </c>
      <c r="BZ101" s="3" t="s">
        <v>195</v>
      </c>
      <c r="CA101" s="3" t="s">
        <v>196</v>
      </c>
      <c r="CB101" s="3" t="s">
        <v>197</v>
      </c>
      <c r="CC101" s="3" t="s">
        <v>36</v>
      </c>
      <c r="CE101" s="4">
        <v>9.9999999999999999E-56</v>
      </c>
      <c r="CF101" s="3" t="str">
        <f>HYPERLINK("http://amigo.geneontology.org/cgi-bin/amigo/term_details?term=GO:0030162","GO:0030162")</f>
        <v>GO:0030162</v>
      </c>
      <c r="CG101" s="3" t="s">
        <v>241</v>
      </c>
      <c r="CH101" s="3" t="s">
        <v>242</v>
      </c>
      <c r="CI101" s="3" t="s">
        <v>243</v>
      </c>
      <c r="CJ101" s="3" t="s">
        <v>36</v>
      </c>
      <c r="CL101" s="4">
        <v>9.9999999999999999E-56</v>
      </c>
      <c r="CM101" s="3" t="str">
        <f>HYPERLINK(".\links\CDD\gi_215496256-CDD.txt","SERPIN")</f>
        <v>SERPIN</v>
      </c>
      <c r="CN101" s="3" t="str">
        <f>HYPERLINK("http://www.ncbi.nlm.nih.gov/Structure/cdd/cddsrv.cgi?uid=cd00172&amp;version=v4.0","2E-067")</f>
        <v>2E-067</v>
      </c>
      <c r="CO101" s="3" t="s">
        <v>244</v>
      </c>
      <c r="CP101" s="3" t="str">
        <f>HYPERLINK(".\links\ACARI\gi_215496256-ACARI.txt","serine protease inhibitor, putative")</f>
        <v>serine protease inhibitor, putative</v>
      </c>
      <c r="CQ101" s="3" t="str">
        <f>HYPERLINK("http://www.ncbi.nlm.nih.gov/sutils/blink.cgi?pid=241242564","0.0")</f>
        <v>0.0</v>
      </c>
      <c r="CR101" s="3" t="str">
        <f>HYPERLINK("http://www.ncbi.nlm.nih.gov/protein/241242564","gi|241242564")</f>
        <v>gi|241242564</v>
      </c>
      <c r="CS101" s="3">
        <v>1366</v>
      </c>
      <c r="CT101" s="3">
        <v>703</v>
      </c>
      <c r="CU101" s="3">
        <v>703</v>
      </c>
      <c r="CV101" s="3">
        <v>100</v>
      </c>
      <c r="CW101" s="3">
        <v>100</v>
      </c>
      <c r="CX101" s="3">
        <v>100</v>
      </c>
      <c r="CY101" s="3">
        <v>0</v>
      </c>
      <c r="CZ101" s="3">
        <v>0</v>
      </c>
      <c r="DA101" s="3">
        <v>1</v>
      </c>
      <c r="DB101" s="3">
        <v>1</v>
      </c>
      <c r="DC101" s="3">
        <v>1</v>
      </c>
      <c r="DD101" s="3" t="s">
        <v>40</v>
      </c>
    </row>
    <row r="102" spans="1:108" s="3" customFormat="1" x14ac:dyDescent="0.2">
      <c r="A102" s="3" t="s">
        <v>1334</v>
      </c>
      <c r="B102" s="3" t="str">
        <f>HYPERLINK(".\links\\gi_215510547-.txt","gi_215510547")</f>
        <v>gi_215510547</v>
      </c>
      <c r="C102" s="3" t="s">
        <v>335</v>
      </c>
      <c r="D102" s="3">
        <v>1092</v>
      </c>
      <c r="E102" s="9" t="s">
        <v>40</v>
      </c>
      <c r="F102" s="3" t="s">
        <v>1208</v>
      </c>
      <c r="G102" s="3" t="s">
        <v>1478</v>
      </c>
      <c r="H102" s="3" t="str">
        <f>HYPERLINK(".\links\UNIPROT-ACARI\gi_215510547-UNIPROT-ACARI.txt","Alpha-macroglobulin, putative (Fragment)")</f>
        <v>Alpha-macroglobulin, putative (Fragment)</v>
      </c>
      <c r="I102" s="3" t="str">
        <f>HYPERLINK("http://www.ncbi.nlm.nih.gov/sutils/blink.cgi?pid=B7QMC8","0.0")</f>
        <v>0.0</v>
      </c>
      <c r="J102" s="3" t="s">
        <v>835</v>
      </c>
      <c r="K102" s="3">
        <v>2189</v>
      </c>
      <c r="L102" s="3">
        <v>1092</v>
      </c>
      <c r="M102" s="3">
        <v>1092</v>
      </c>
      <c r="N102" s="3">
        <v>100</v>
      </c>
      <c r="O102" s="3">
        <v>100</v>
      </c>
      <c r="P102" s="3">
        <v>100</v>
      </c>
      <c r="Q102" s="3">
        <v>0</v>
      </c>
      <c r="R102" s="3">
        <v>0</v>
      </c>
      <c r="S102" s="3">
        <v>1</v>
      </c>
      <c r="T102" s="3">
        <v>1</v>
      </c>
      <c r="U102" s="3">
        <v>1</v>
      </c>
      <c r="V102" s="3" t="s">
        <v>36</v>
      </c>
      <c r="W102" s="3" t="str">
        <f>HYPERLINK(".\links\NR-LIGHT\gi_215510547-NR-LIGHT.txt","alpha-macroglobulin, putative")</f>
        <v>alpha-macroglobulin, putative</v>
      </c>
      <c r="X102" s="3" t="str">
        <f>HYPERLINK("http://www.ncbi.nlm.nih.gov/sutils/blink.cgi?pid=241861590","0.0")</f>
        <v>0.0</v>
      </c>
      <c r="Y102" s="3" t="str">
        <f>HYPERLINK("http://www.ncbi.nlm.nih.gov/protein/241861590","gi|241861590")</f>
        <v>gi|241861590</v>
      </c>
      <c r="Z102" s="3">
        <v>2189</v>
      </c>
      <c r="AA102" s="3">
        <v>1092</v>
      </c>
      <c r="AB102" s="3">
        <v>1092</v>
      </c>
      <c r="AC102" s="3">
        <v>100</v>
      </c>
      <c r="AD102" s="3">
        <v>100</v>
      </c>
      <c r="AE102" s="3">
        <v>100</v>
      </c>
      <c r="AF102" s="3">
        <v>0</v>
      </c>
      <c r="AG102" s="3">
        <v>0</v>
      </c>
      <c r="AH102" s="3">
        <v>1</v>
      </c>
      <c r="AI102" s="3">
        <v>1</v>
      </c>
      <c r="AJ102" s="3">
        <v>1</v>
      </c>
      <c r="AK102" s="3" t="s">
        <v>40</v>
      </c>
      <c r="AL102" s="3" t="str">
        <f>HYPERLINK(".\links\REFSEQ-INVERTEBRATE\gi_215510547-REFSEQ-INVERTEBRATE.txt","alpha-macroglobulin, putative, partial")</f>
        <v>alpha-macroglobulin, putative, partial</v>
      </c>
      <c r="AM102" s="3" t="str">
        <f>HYPERLINK("http://www.ncbi.nlm.nih.gov/sutils/blink.cgi?pid=241861590","0.0")</f>
        <v>0.0</v>
      </c>
      <c r="AN102" s="3" t="str">
        <f>HYPERLINK("http://www.ncbi.nlm.nih.gov/protein/241861590","gi|241861590")</f>
        <v>gi|241861590</v>
      </c>
      <c r="AO102" s="3">
        <v>2189</v>
      </c>
      <c r="AP102" s="3">
        <v>1092</v>
      </c>
      <c r="AQ102" s="3">
        <v>1092</v>
      </c>
      <c r="AR102" s="3">
        <v>100</v>
      </c>
      <c r="AS102" s="3">
        <v>100</v>
      </c>
      <c r="AT102" s="3">
        <v>100</v>
      </c>
      <c r="AU102" s="3">
        <v>0</v>
      </c>
      <c r="AV102" s="3">
        <v>0</v>
      </c>
      <c r="AW102" s="3">
        <v>1</v>
      </c>
      <c r="AX102" s="3">
        <v>1</v>
      </c>
      <c r="AY102" s="3">
        <v>1</v>
      </c>
      <c r="AZ102" s="3" t="s">
        <v>40</v>
      </c>
      <c r="BA102" s="3" t="str">
        <f>HYPERLINK(".\links\MEROPS\gi_215510547-MEROPS.txt","- ovomacroglobulin (Ixodes scapularis)")</f>
        <v>- ovomacroglobulin (Ixodes scapularis)</v>
      </c>
      <c r="BB102" s="3" t="str">
        <f>HYPERLINK("http://www.ncbi.nlm.nih.gov/sutils/blink.cgi?pid=180440 - ovomacroglobulin (Ixodes scapularis) [I39.002]#I39#{inhibitor unit","0.0")</f>
        <v>0.0</v>
      </c>
      <c r="BC102" s="3" t="s">
        <v>836</v>
      </c>
      <c r="BD102" s="3">
        <v>2189</v>
      </c>
      <c r="BE102" s="3">
        <v>1092</v>
      </c>
      <c r="BF102" s="3">
        <v>1092</v>
      </c>
      <c r="BG102" s="3">
        <v>100</v>
      </c>
      <c r="BH102" s="3">
        <v>100</v>
      </c>
      <c r="BI102" s="3">
        <v>100</v>
      </c>
      <c r="BJ102" s="3">
        <v>0</v>
      </c>
      <c r="BK102" s="3">
        <v>0</v>
      </c>
      <c r="BL102" s="3">
        <v>1</v>
      </c>
      <c r="BM102" s="3">
        <v>1</v>
      </c>
      <c r="BN102" s="3">
        <v>1</v>
      </c>
      <c r="BO102" s="3" t="s">
        <v>837</v>
      </c>
      <c r="BP102" s="3" t="s">
        <v>838</v>
      </c>
      <c r="BQ102" s="3">
        <f>HYPERLINK(".\links\GO\gi_215510547-GO.txt",0)</f>
        <v>0</v>
      </c>
      <c r="BR102" s="3" t="str">
        <f>HYPERLINK("http://amigo.geneontology.org/cgi-bin/amigo/term_details?term=GO:0004867","GO:0004867")</f>
        <v>GO:0004867</v>
      </c>
      <c r="BS102" s="3" t="s">
        <v>207</v>
      </c>
      <c r="BT102" s="3" t="s">
        <v>208</v>
      </c>
      <c r="BU102" s="3" t="s">
        <v>209</v>
      </c>
      <c r="BV102" s="3" t="s">
        <v>36</v>
      </c>
      <c r="BX102" s="4">
        <v>9.9999999999999998E-121</v>
      </c>
      <c r="BY102" s="3" t="str">
        <f>HYPERLINK("http://amigo.geneontology.org/cgi-bin/amigo/term_details?term=GO:0005615","GO:0005615")</f>
        <v>GO:0005615</v>
      </c>
      <c r="BZ102" s="3" t="s">
        <v>195</v>
      </c>
      <c r="CA102" s="3" t="s">
        <v>196</v>
      </c>
      <c r="CB102" s="3" t="s">
        <v>197</v>
      </c>
      <c r="CC102" s="3" t="s">
        <v>36</v>
      </c>
      <c r="CE102" s="4">
        <v>9.9999999999999998E-121</v>
      </c>
      <c r="CF102" s="3" t="str">
        <f>HYPERLINK("http://amigo.geneontology.org/cgi-bin/amigo/term_details?term=GO:0007566","GO:0007566")</f>
        <v>GO:0007566</v>
      </c>
      <c r="CG102" s="3" t="s">
        <v>839</v>
      </c>
      <c r="CH102" s="3" t="s">
        <v>840</v>
      </c>
      <c r="CI102" s="3" t="s">
        <v>841</v>
      </c>
      <c r="CJ102" s="3" t="s">
        <v>36</v>
      </c>
      <c r="CL102" s="4">
        <v>9.9999999999999998E-121</v>
      </c>
      <c r="CM102" s="3" t="str">
        <f>HYPERLINK(".\links\CDD\gi_215510547-CDD.txt","A2M_2")</f>
        <v>A2M_2</v>
      </c>
      <c r="CN102" s="3" t="str">
        <f>HYPERLINK("http://www.ncbi.nlm.nih.gov/Structure/cdd/cddsrv.cgi?uid=cd02897&amp;version=v4.0","3E-033")</f>
        <v>3E-033</v>
      </c>
      <c r="CO102" s="3" t="s">
        <v>842</v>
      </c>
      <c r="CP102" s="3" t="str">
        <f>HYPERLINK(".\links\ACARI\gi_215510547-ACARI.txt","alpha-macroglobulin, putative, partial")</f>
        <v>alpha-macroglobulin, putative, partial</v>
      </c>
      <c r="CQ102" s="3" t="str">
        <f>HYPERLINK("http://www.ncbi.nlm.nih.gov/sutils/blink.cgi?pid=241861590","0.0")</f>
        <v>0.0</v>
      </c>
      <c r="CR102" s="3" t="str">
        <f>HYPERLINK("http://www.ncbi.nlm.nih.gov/protein/241861590","gi|241861590")</f>
        <v>gi|241861590</v>
      </c>
      <c r="CS102" s="3">
        <v>2189</v>
      </c>
      <c r="CT102" s="3">
        <v>1092</v>
      </c>
      <c r="CU102" s="3">
        <v>1092</v>
      </c>
      <c r="CV102" s="3">
        <v>100</v>
      </c>
      <c r="CW102" s="3">
        <v>100</v>
      </c>
      <c r="CX102" s="3">
        <v>100</v>
      </c>
      <c r="CY102" s="3">
        <v>0</v>
      </c>
      <c r="CZ102" s="3">
        <v>0</v>
      </c>
      <c r="DA102" s="3">
        <v>1</v>
      </c>
      <c r="DB102" s="3">
        <v>1</v>
      </c>
      <c r="DC102" s="3">
        <v>1</v>
      </c>
      <c r="DD102" s="3" t="s">
        <v>40</v>
      </c>
    </row>
    <row r="103" spans="1:108" s="3" customFormat="1" x14ac:dyDescent="0.2">
      <c r="A103" s="3" t="s">
        <v>1347</v>
      </c>
      <c r="B103" s="3" t="str">
        <f>HYPERLINK(".\links\\gi_217034827-.txt","gi_217034827")</f>
        <v>gi_217034827</v>
      </c>
      <c r="C103" s="3" t="s">
        <v>35</v>
      </c>
      <c r="D103" s="3">
        <v>141</v>
      </c>
      <c r="E103" s="9" t="s">
        <v>53</v>
      </c>
      <c r="F103" s="3" t="s">
        <v>1250</v>
      </c>
      <c r="G103" s="3" t="s">
        <v>1478</v>
      </c>
      <c r="H103" s="3" t="str">
        <f>HYPERLINK(".\links\UNIPROT-ACARI\gi_217034827-UNIPROT-ACARI.txt","Thrombin inhibitor haemalin")</f>
        <v>Thrombin inhibitor haemalin</v>
      </c>
      <c r="I103" s="3" t="str">
        <f>HYPERLINK("http://www.ncbi.nlm.nih.gov/sutils/blink.cgi?pid=B6ZIW0","2E-085")</f>
        <v>2E-085</v>
      </c>
      <c r="J103" s="3" t="s">
        <v>827</v>
      </c>
      <c r="K103" s="3">
        <v>311</v>
      </c>
      <c r="L103" s="3">
        <v>141</v>
      </c>
      <c r="M103" s="3">
        <v>141</v>
      </c>
      <c r="N103" s="3">
        <v>100</v>
      </c>
      <c r="O103" s="3">
        <v>100</v>
      </c>
      <c r="P103" s="3">
        <v>100</v>
      </c>
      <c r="Q103" s="3">
        <v>0</v>
      </c>
      <c r="R103" s="3">
        <v>0</v>
      </c>
      <c r="S103" s="3">
        <v>1</v>
      </c>
      <c r="T103" s="3">
        <v>1</v>
      </c>
      <c r="U103" s="3">
        <v>1</v>
      </c>
      <c r="V103" s="3" t="s">
        <v>36</v>
      </c>
      <c r="W103" s="3" t="str">
        <f>HYPERLINK(".\links\NR-LIGHT\gi_217034827-NR-LIGHT.txt","thrombin inhibitor haemalin")</f>
        <v>thrombin inhibitor haemalin</v>
      </c>
      <c r="X103" s="3" t="str">
        <f>HYPERLINK("http://www.ncbi.nlm.nih.gov/sutils/blink.cgi?pid=217034827","5E-084")</f>
        <v>5E-084</v>
      </c>
      <c r="Y103" s="3" t="str">
        <f>HYPERLINK("http://www.ncbi.nlm.nih.gov/protein/217034827","gi|217034827")</f>
        <v>gi|217034827</v>
      </c>
      <c r="Z103" s="3">
        <v>311</v>
      </c>
      <c r="AA103" s="3">
        <v>141</v>
      </c>
      <c r="AB103" s="3">
        <v>141</v>
      </c>
      <c r="AC103" s="3">
        <v>100</v>
      </c>
      <c r="AD103" s="3">
        <v>100</v>
      </c>
      <c r="AE103" s="3">
        <v>100</v>
      </c>
      <c r="AF103" s="3">
        <v>0</v>
      </c>
      <c r="AG103" s="3">
        <v>0</v>
      </c>
      <c r="AH103" s="3">
        <v>1</v>
      </c>
      <c r="AI103" s="3">
        <v>1</v>
      </c>
      <c r="AJ103" s="3">
        <v>1</v>
      </c>
      <c r="AK103" s="3" t="s">
        <v>53</v>
      </c>
      <c r="AL103" s="3" t="str">
        <f>HYPERLINK(".\links\REFSEQ-INVERTEBRATE\gi_217034827-REFSEQ-INVERTEBRATE.txt","serine proteinase inhibitor, putative")</f>
        <v>serine proteinase inhibitor, putative</v>
      </c>
      <c r="AM103" s="3" t="str">
        <f>HYPERLINK("http://www.ncbi.nlm.nih.gov/sutils/blink.cgi?pid=241999004","1E-047")</f>
        <v>1E-047</v>
      </c>
      <c r="AN103" s="3" t="str">
        <f>HYPERLINK("http://www.ncbi.nlm.nih.gov/protein/241999004","gi|241999004")</f>
        <v>gi|241999004</v>
      </c>
      <c r="AO103" s="3">
        <v>188</v>
      </c>
      <c r="AP103" s="3">
        <v>141</v>
      </c>
      <c r="AQ103" s="3">
        <v>491</v>
      </c>
      <c r="AR103" s="3">
        <v>57</v>
      </c>
      <c r="AS103" s="3">
        <v>70</v>
      </c>
      <c r="AT103" s="3">
        <v>29</v>
      </c>
      <c r="AU103" s="3">
        <v>60</v>
      </c>
      <c r="AV103" s="3">
        <v>1</v>
      </c>
      <c r="AW103" s="3">
        <v>1</v>
      </c>
      <c r="AX103" s="3">
        <v>1</v>
      </c>
      <c r="AY103" s="3">
        <v>1</v>
      </c>
      <c r="AZ103" s="3" t="s">
        <v>40</v>
      </c>
      <c r="BA103" s="3" t="str">
        <f>HYPERLINK(".\links\MEROPS\gi_217034827-MEROPS.txt","- boophilin inhibitor unit 2 (Haemaphysalis longicornis)")</f>
        <v>- boophilin inhibitor unit 2 (Haemaphysalis longicornis)</v>
      </c>
      <c r="BB103" s="3" t="str">
        <f>HYPERLINK("http://www.ncbi.nlm.nih.gov/sutils/blink.cgi?pid=155238 - boophilin inhibitor unit 2 (Haemaphysalis longicornis) [I02.021]#I02#{inhibitor unit","1E-084")</f>
        <v>1E-084</v>
      </c>
      <c r="BC103" s="3" t="s">
        <v>828</v>
      </c>
      <c r="BD103" s="3">
        <v>311</v>
      </c>
      <c r="BE103" s="3">
        <v>141</v>
      </c>
      <c r="BF103" s="3">
        <v>141</v>
      </c>
      <c r="BG103" s="3">
        <v>100</v>
      </c>
      <c r="BH103" s="3">
        <v>100</v>
      </c>
      <c r="BI103" s="3">
        <v>100</v>
      </c>
      <c r="BJ103" s="3">
        <v>0</v>
      </c>
      <c r="BK103" s="3">
        <v>0</v>
      </c>
      <c r="BL103" s="3">
        <v>1</v>
      </c>
      <c r="BM103" s="3">
        <v>1</v>
      </c>
      <c r="BN103" s="3">
        <v>1</v>
      </c>
      <c r="BO103" s="3" t="s">
        <v>829</v>
      </c>
      <c r="BP103" s="3" t="s">
        <v>830</v>
      </c>
      <c r="BQ103" s="3">
        <f>HYPERLINK(".\links\GO\gi_217034827-GO.txt",3E-31)</f>
        <v>2.9999999999999998E-31</v>
      </c>
      <c r="BR103" s="3" t="str">
        <f>HYPERLINK("http://amigo.geneontology.org/cgi-bin/amigo/term_details?term=GO:0004867","GO:0004867")</f>
        <v>GO:0004867</v>
      </c>
      <c r="BS103" s="3" t="s">
        <v>207</v>
      </c>
      <c r="BT103" s="3" t="s">
        <v>208</v>
      </c>
      <c r="BU103" s="3" t="s">
        <v>209</v>
      </c>
      <c r="BV103" s="3" t="s">
        <v>36</v>
      </c>
      <c r="BX103" s="4">
        <v>2.9999999999999998E-31</v>
      </c>
      <c r="BY103" s="3" t="str">
        <f>HYPERLINK("http://amigo.geneontology.org/cgi-bin/amigo/term_details?term=GO:0005615","GO:0005615")</f>
        <v>GO:0005615</v>
      </c>
      <c r="BZ103" s="3" t="s">
        <v>195</v>
      </c>
      <c r="CA103" s="3" t="s">
        <v>196</v>
      </c>
      <c r="CB103" s="3" t="s">
        <v>197</v>
      </c>
      <c r="CC103" s="3" t="s">
        <v>36</v>
      </c>
      <c r="CE103" s="4">
        <v>2.9999999999999998E-31</v>
      </c>
      <c r="CF103" s="3" t="str">
        <f>HYPERLINK("http://amigo.geneontology.org/cgi-bin/amigo/term_details?term=GO:0007596","GO:0007596")</f>
        <v>GO:0007596</v>
      </c>
      <c r="CG103" s="3" t="s">
        <v>831</v>
      </c>
      <c r="CH103" s="3" t="s">
        <v>832</v>
      </c>
      <c r="CI103" s="3" t="s">
        <v>833</v>
      </c>
      <c r="CJ103" s="3" t="s">
        <v>36</v>
      </c>
      <c r="CL103" s="4">
        <v>2.9999999999999998E-31</v>
      </c>
      <c r="CM103" s="3" t="str">
        <f>HYPERLINK(".\links\CDD\gi_217034827-CDD.txt","Kunitz_BPTI")</f>
        <v>Kunitz_BPTI</v>
      </c>
      <c r="CN103" s="3" t="str">
        <f>HYPERLINK("http://www.ncbi.nlm.nih.gov/Structure/cdd/cddsrv.cgi?uid=pfam00014&amp;version=v4.0","5E-016")</f>
        <v>5E-016</v>
      </c>
      <c r="CO103" s="3" t="s">
        <v>834</v>
      </c>
      <c r="CP103" s="3" t="str">
        <f>HYPERLINK(".\links\ACARI\gi_217034827-ACARI.txt","thrombin inhibitor haemalin")</f>
        <v>thrombin inhibitor haemalin</v>
      </c>
      <c r="CQ103" s="3" t="str">
        <f>HYPERLINK("http://www.ncbi.nlm.nih.gov/sutils/blink.cgi?pid=217034827","2E-085")</f>
        <v>2E-085</v>
      </c>
      <c r="CR103" s="3" t="str">
        <f>HYPERLINK("http://www.ncbi.nlm.nih.gov/protein/217034827","gi|217034827")</f>
        <v>gi|217034827</v>
      </c>
      <c r="CS103" s="3">
        <v>311</v>
      </c>
      <c r="CT103" s="3">
        <v>141</v>
      </c>
      <c r="CU103" s="3">
        <v>141</v>
      </c>
      <c r="CV103" s="3">
        <v>100</v>
      </c>
      <c r="CW103" s="3">
        <v>100</v>
      </c>
      <c r="CX103" s="3">
        <v>100</v>
      </c>
      <c r="CY103" s="3">
        <v>0</v>
      </c>
      <c r="CZ103" s="3">
        <v>0</v>
      </c>
      <c r="DA103" s="3">
        <v>1</v>
      </c>
      <c r="DB103" s="3">
        <v>1</v>
      </c>
      <c r="DC103" s="3">
        <v>1</v>
      </c>
      <c r="DD103" s="3" t="s">
        <v>53</v>
      </c>
    </row>
    <row r="104" spans="1:108" s="3" customFormat="1" x14ac:dyDescent="0.2">
      <c r="A104" s="3" t="s">
        <v>1309</v>
      </c>
      <c r="B104" s="3" t="str">
        <f>HYPERLINK(".\links\\gi_346468747-.txt","gi_346468747")</f>
        <v>gi_346468747</v>
      </c>
      <c r="C104" s="3" t="s">
        <v>35</v>
      </c>
      <c r="D104" s="3">
        <v>402</v>
      </c>
      <c r="E104" s="9" t="s">
        <v>173</v>
      </c>
      <c r="F104" s="3" t="s">
        <v>1249</v>
      </c>
      <c r="G104" s="3" t="s">
        <v>1478</v>
      </c>
      <c r="H104" s="3" t="str">
        <f>HYPERLINK(".\links\UNIPROT-ACARI\gi_346468747-UNIPROT-ACARI.txt","Putative uncharacterized protein")</f>
        <v>Putative uncharacterized protein</v>
      </c>
      <c r="I104" s="3" t="str">
        <f>HYPERLINK("http://www.ncbi.nlm.nih.gov/sutils/blink.cgi?pid=G3ML50","0.0")</f>
        <v>0.0</v>
      </c>
      <c r="J104" s="3" t="s">
        <v>213</v>
      </c>
      <c r="K104" s="3">
        <v>793</v>
      </c>
      <c r="L104" s="3">
        <v>402</v>
      </c>
      <c r="M104" s="3">
        <v>402</v>
      </c>
      <c r="N104" s="3">
        <v>100</v>
      </c>
      <c r="O104" s="3">
        <v>100</v>
      </c>
      <c r="P104" s="3">
        <v>100</v>
      </c>
      <c r="Q104" s="3">
        <v>0</v>
      </c>
      <c r="R104" s="3">
        <v>0</v>
      </c>
      <c r="S104" s="3">
        <v>1</v>
      </c>
      <c r="T104" s="3">
        <v>1</v>
      </c>
      <c r="U104" s="3">
        <v>1</v>
      </c>
      <c r="V104" s="3" t="s">
        <v>36</v>
      </c>
      <c r="W104" s="3" t="str">
        <f>HYPERLINK(".\links\NR-LIGHT\gi_346468747-NR-LIGHT.txt","serine protease inhibitor 15 RmS15")</f>
        <v>serine protease inhibitor 15 RmS15</v>
      </c>
      <c r="X104" s="3" t="str">
        <f>HYPERLINK("http://www.ncbi.nlm.nih.gov/sutils/blink.cgi?pid=568215839","0.0")</f>
        <v>0.0</v>
      </c>
      <c r="Y104" s="3" t="str">
        <f>HYPERLINK("http://www.ncbi.nlm.nih.gov/protein/568215839","gi|568215839")</f>
        <v>gi|568215839</v>
      </c>
      <c r="Z104" s="3">
        <v>687</v>
      </c>
      <c r="AA104" s="3">
        <v>403</v>
      </c>
      <c r="AB104" s="3">
        <v>403</v>
      </c>
      <c r="AC104" s="3">
        <v>83</v>
      </c>
      <c r="AD104" s="3">
        <v>92</v>
      </c>
      <c r="AE104" s="3">
        <v>100</v>
      </c>
      <c r="AF104" s="3">
        <v>66</v>
      </c>
      <c r="AG104" s="3">
        <v>1</v>
      </c>
      <c r="AH104" s="3">
        <v>1</v>
      </c>
      <c r="AI104" s="3">
        <v>1</v>
      </c>
      <c r="AJ104" s="3">
        <v>1</v>
      </c>
      <c r="AK104" s="3" t="s">
        <v>203</v>
      </c>
      <c r="AL104" s="3" t="str">
        <f>HYPERLINK(".\links\REFSEQ-INVERTEBRATE\gi_346468747-REFSEQ-INVERTEBRATE.txt","serpin-8 precursor, putative")</f>
        <v>serpin-8 precursor, putative</v>
      </c>
      <c r="AM104" s="3" t="str">
        <f>HYPERLINK("http://www.ncbi.nlm.nih.gov/sutils/blink.cgi?pid=241840771","0.0")</f>
        <v>0.0</v>
      </c>
      <c r="AN104" s="3" t="str">
        <f>HYPERLINK("http://www.ncbi.nlm.nih.gov/protein/241840771","gi|241840771")</f>
        <v>gi|241840771</v>
      </c>
      <c r="AO104" s="3">
        <v>654</v>
      </c>
      <c r="AP104" s="3">
        <v>402</v>
      </c>
      <c r="AQ104" s="3">
        <v>455</v>
      </c>
      <c r="AR104" s="3">
        <v>78</v>
      </c>
      <c r="AS104" s="3">
        <v>89</v>
      </c>
      <c r="AT104" s="3">
        <v>88</v>
      </c>
      <c r="AU104" s="3">
        <v>87</v>
      </c>
      <c r="AV104" s="3">
        <v>0</v>
      </c>
      <c r="AW104" s="3">
        <v>54</v>
      </c>
      <c r="AX104" s="3">
        <v>1</v>
      </c>
      <c r="AY104" s="3">
        <v>1</v>
      </c>
      <c r="AZ104" s="3" t="s">
        <v>40</v>
      </c>
      <c r="BA104" s="3" t="str">
        <f>HYPERLINK(".\links\MEROPS\gi_346468747-MEROPS.txt","- serpin IRS-2 ({Ixodes} sp.) (Amblyomma maculatum)")</f>
        <v>- serpin IRS-2 ({Ixodes} sp.) (Amblyomma maculatum)</v>
      </c>
      <c r="BB104" s="3" t="str">
        <f>HYPERLINK("http://www.ncbi.nlm.nih.gov/sutils/blink.cgi?pid=409708 - serpin IRS-2 ({Ixodes} sp.) (Amblyomma maculatum) [I04.088]#I04#{inhibitor unit","0.0")</f>
        <v>0.0</v>
      </c>
      <c r="BC104" s="3" t="s">
        <v>214</v>
      </c>
      <c r="BD104" s="3">
        <v>793</v>
      </c>
      <c r="BE104" s="3">
        <v>402</v>
      </c>
      <c r="BF104" s="3">
        <v>402</v>
      </c>
      <c r="BG104" s="3">
        <v>100</v>
      </c>
      <c r="BH104" s="3">
        <v>100</v>
      </c>
      <c r="BI104" s="3">
        <v>100</v>
      </c>
      <c r="BJ104" s="3">
        <v>0</v>
      </c>
      <c r="BK104" s="3">
        <v>0</v>
      </c>
      <c r="BL104" s="3">
        <v>1</v>
      </c>
      <c r="BM104" s="3">
        <v>1</v>
      </c>
      <c r="BN104" s="3">
        <v>1</v>
      </c>
      <c r="BO104" s="3" t="s">
        <v>205</v>
      </c>
      <c r="BP104" s="3" t="s">
        <v>215</v>
      </c>
      <c r="BQ104" s="3">
        <f>HYPERLINK(".\links\GO\gi_346468747-GO.txt",3E-55)</f>
        <v>3.0000000000000002E-55</v>
      </c>
      <c r="BR104" s="3" t="str">
        <f>HYPERLINK("http://amigo.geneontology.org/cgi-bin/amigo/term_details?term=GO:0004867","GO:0004867")</f>
        <v>GO:0004867</v>
      </c>
      <c r="BS104" s="3" t="s">
        <v>207</v>
      </c>
      <c r="BT104" s="3" t="s">
        <v>208</v>
      </c>
      <c r="BU104" s="3" t="s">
        <v>209</v>
      </c>
      <c r="BV104" s="3" t="s">
        <v>36</v>
      </c>
      <c r="BX104" s="4">
        <v>3.0000000000000002E-55</v>
      </c>
      <c r="BY104" s="3" t="str">
        <f>HYPERLINK("http://amigo.geneontology.org/cgi-bin/amigo/term_details?term=GO:0005576","GO:0005576")</f>
        <v>GO:0005576</v>
      </c>
      <c r="BZ104" s="3" t="s">
        <v>47</v>
      </c>
      <c r="CA104" s="3" t="s">
        <v>48</v>
      </c>
      <c r="CB104" s="3" t="s">
        <v>49</v>
      </c>
      <c r="CC104" s="3" t="s">
        <v>36</v>
      </c>
      <c r="CE104" s="4">
        <v>3.0000000000000002E-55</v>
      </c>
      <c r="CF104" s="3" t="str">
        <f>HYPERLINK("http://amigo.geneontology.org/cgi-bin/amigo/term_details?term=GO:0010466","GO:0010466")</f>
        <v>GO:0010466</v>
      </c>
      <c r="CG104" s="3" t="s">
        <v>210</v>
      </c>
      <c r="CH104" s="3" t="s">
        <v>211</v>
      </c>
      <c r="CI104" s="3" t="s">
        <v>36</v>
      </c>
      <c r="CJ104" s="3" t="s">
        <v>36</v>
      </c>
      <c r="CL104" s="4">
        <v>3.0000000000000002E-55</v>
      </c>
      <c r="CM104" s="3" t="str">
        <f>HYPERLINK(".\links\CDD\gi_346468747-CDD.txt","Serpin")</f>
        <v>Serpin</v>
      </c>
      <c r="CN104" s="3" t="str">
        <f>HYPERLINK("http://www.ncbi.nlm.nih.gov/Structure/cdd/cddsrv.cgi?uid=pfam00079&amp;version=v4.0","3E-071")</f>
        <v>3E-071</v>
      </c>
      <c r="CO104" s="3" t="s">
        <v>216</v>
      </c>
      <c r="CP104" s="3" t="str">
        <f>HYPERLINK(".\links\ACARI\gi_346468747-ACARI.txt","hypothetical protein")</f>
        <v>hypothetical protein</v>
      </c>
      <c r="CQ104" s="3" t="str">
        <f>HYPERLINK("http://www.ncbi.nlm.nih.gov/sutils/blink.cgi?pid=346468747","0.0")</f>
        <v>0.0</v>
      </c>
      <c r="CR104" s="3" t="str">
        <f>HYPERLINK("http://www.ncbi.nlm.nih.gov/protein/346468747","gi|346468747")</f>
        <v>gi|346468747</v>
      </c>
      <c r="CS104" s="3">
        <v>793</v>
      </c>
      <c r="CT104" s="3">
        <v>402</v>
      </c>
      <c r="CU104" s="3">
        <v>402</v>
      </c>
      <c r="CV104" s="3">
        <v>100</v>
      </c>
      <c r="CW104" s="3">
        <v>100</v>
      </c>
      <c r="CX104" s="3">
        <v>100</v>
      </c>
      <c r="CY104" s="3">
        <v>0</v>
      </c>
      <c r="CZ104" s="3">
        <v>0</v>
      </c>
      <c r="DA104" s="3">
        <v>1</v>
      </c>
      <c r="DB104" s="3">
        <v>1</v>
      </c>
      <c r="DC104" s="3">
        <v>1</v>
      </c>
      <c r="DD104" s="3" t="s">
        <v>173</v>
      </c>
    </row>
    <row r="105" spans="1:108" s="3" customFormat="1" x14ac:dyDescent="0.2">
      <c r="A105" s="3" t="s">
        <v>1303</v>
      </c>
      <c r="B105" s="3" t="str">
        <f>HYPERLINK(".\links\\gi_346469009-.txt","gi_346469009")</f>
        <v>gi_346469009</v>
      </c>
      <c r="C105" s="3" t="s">
        <v>35</v>
      </c>
      <c r="D105" s="3">
        <v>398</v>
      </c>
      <c r="E105" s="9" t="s">
        <v>173</v>
      </c>
      <c r="F105" s="3" t="s">
        <v>1249</v>
      </c>
      <c r="G105" s="3" t="s">
        <v>1478</v>
      </c>
      <c r="H105" s="3" t="str">
        <f>HYPERLINK(".\links\UNIPROT-ACARI\gi_346469009-UNIPROT-ACARI.txt","Putative uncharacterized protein")</f>
        <v>Putative uncharacterized protein</v>
      </c>
      <c r="I105" s="3" t="str">
        <f>HYPERLINK("http://www.ncbi.nlm.nih.gov/sutils/blink.cgi?pid=G3MLI1","0.0")</f>
        <v>0.0</v>
      </c>
      <c r="J105" s="3" t="s">
        <v>202</v>
      </c>
      <c r="K105" s="3">
        <v>774</v>
      </c>
      <c r="L105" s="3">
        <v>398</v>
      </c>
      <c r="M105" s="3">
        <v>398</v>
      </c>
      <c r="N105" s="3">
        <v>100</v>
      </c>
      <c r="O105" s="3">
        <v>100</v>
      </c>
      <c r="P105" s="3">
        <v>100</v>
      </c>
      <c r="Q105" s="3">
        <v>0</v>
      </c>
      <c r="R105" s="3">
        <v>0</v>
      </c>
      <c r="S105" s="3">
        <v>1</v>
      </c>
      <c r="T105" s="3">
        <v>1</v>
      </c>
      <c r="U105" s="3">
        <v>1</v>
      </c>
      <c r="V105" s="3" t="s">
        <v>36</v>
      </c>
      <c r="W105" s="3" t="str">
        <f>HYPERLINK(".\links\NR-LIGHT\gi_346469009-NR-LIGHT.txt","serine protease inhibitor 6 RmS6")</f>
        <v>serine protease inhibitor 6 RmS6</v>
      </c>
      <c r="X105" s="3" t="str">
        <f>HYPERLINK("http://www.ncbi.nlm.nih.gov/sutils/blink.cgi?pid=568215821","1E-155")</f>
        <v>1E-155</v>
      </c>
      <c r="Y105" s="3" t="str">
        <f>HYPERLINK("http://www.ncbi.nlm.nih.gov/protein/568215821","gi|568215821")</f>
        <v>gi|568215821</v>
      </c>
      <c r="Z105" s="3">
        <v>552</v>
      </c>
      <c r="AA105" s="3">
        <v>399</v>
      </c>
      <c r="AB105" s="3">
        <v>399</v>
      </c>
      <c r="AC105" s="3">
        <v>69</v>
      </c>
      <c r="AD105" s="3">
        <v>82</v>
      </c>
      <c r="AE105" s="3">
        <v>100</v>
      </c>
      <c r="AF105" s="3">
        <v>123</v>
      </c>
      <c r="AG105" s="3">
        <v>1</v>
      </c>
      <c r="AH105" s="3">
        <v>1</v>
      </c>
      <c r="AI105" s="3">
        <v>1</v>
      </c>
      <c r="AJ105" s="3">
        <v>1</v>
      </c>
      <c r="AK105" s="3" t="s">
        <v>203</v>
      </c>
      <c r="AL105" s="3" t="str">
        <f>HYPERLINK(".\links\REFSEQ-INVERTEBRATE\gi_346469009-REFSEQ-INVERTEBRATE.txt","serpin-1 precursor, putative")</f>
        <v>serpin-1 precursor, putative</v>
      </c>
      <c r="AM105" s="3" t="str">
        <f>HYPERLINK("http://www.ncbi.nlm.nih.gov/sutils/blink.cgi?pid=241853529","5E-095")</f>
        <v>5E-095</v>
      </c>
      <c r="AN105" s="3" t="str">
        <f>HYPERLINK("http://www.ncbi.nlm.nih.gov/protein/241853529","gi|241853529")</f>
        <v>gi|241853529</v>
      </c>
      <c r="AO105" s="3">
        <v>349</v>
      </c>
      <c r="AP105" s="3">
        <v>377</v>
      </c>
      <c r="AQ105" s="3">
        <v>390</v>
      </c>
      <c r="AR105" s="3">
        <v>47</v>
      </c>
      <c r="AS105" s="3">
        <v>64</v>
      </c>
      <c r="AT105" s="3">
        <v>97</v>
      </c>
      <c r="AU105" s="3">
        <v>198</v>
      </c>
      <c r="AV105" s="3">
        <v>1</v>
      </c>
      <c r="AW105" s="3">
        <v>14</v>
      </c>
      <c r="AX105" s="3">
        <v>21</v>
      </c>
      <c r="AY105" s="3">
        <v>1</v>
      </c>
      <c r="AZ105" s="3" t="s">
        <v>40</v>
      </c>
      <c r="BA105" s="3" t="str">
        <f>HYPERLINK(".\links\MEROPS\gi_346469009-MEROPS.txt","- serpin IRS-2 ({Ixodes} sp.) (Amblyomma maculatum)")</f>
        <v>- serpin IRS-2 ({Ixodes} sp.) (Amblyomma maculatum)</v>
      </c>
      <c r="BB105" s="3" t="str">
        <f>HYPERLINK("http://www.ncbi.nlm.nih.gov/sutils/blink.cgi?pid=409943 - serpin IRS-2 ({Ixodes} sp.) (Amblyomma maculatum) [I04.088]#I04#{inhibitor unit","0.0")</f>
        <v>0.0</v>
      </c>
      <c r="BC105" s="3" t="s">
        <v>204</v>
      </c>
      <c r="BD105" s="3">
        <v>774</v>
      </c>
      <c r="BE105" s="3">
        <v>398</v>
      </c>
      <c r="BF105" s="3">
        <v>398</v>
      </c>
      <c r="BG105" s="3">
        <v>100</v>
      </c>
      <c r="BH105" s="3">
        <v>100</v>
      </c>
      <c r="BI105" s="3">
        <v>100</v>
      </c>
      <c r="BJ105" s="3">
        <v>0</v>
      </c>
      <c r="BK105" s="3">
        <v>0</v>
      </c>
      <c r="BL105" s="3">
        <v>1</v>
      </c>
      <c r="BM105" s="3">
        <v>1</v>
      </c>
      <c r="BN105" s="3">
        <v>1</v>
      </c>
      <c r="BO105" s="3" t="s">
        <v>205</v>
      </c>
      <c r="BP105" s="3" t="s">
        <v>206</v>
      </c>
      <c r="BQ105" s="3">
        <f>HYPERLINK(".\links\GO\gi_346469009-GO.txt",4E-60)</f>
        <v>3.9999999999999999E-60</v>
      </c>
      <c r="BR105" s="3" t="str">
        <f>HYPERLINK("http://amigo.geneontology.org/cgi-bin/amigo/term_details?term=GO:0004867","GO:0004867")</f>
        <v>GO:0004867</v>
      </c>
      <c r="BS105" s="3" t="s">
        <v>207</v>
      </c>
      <c r="BT105" s="3" t="s">
        <v>208</v>
      </c>
      <c r="BU105" s="3" t="s">
        <v>209</v>
      </c>
      <c r="BV105" s="3" t="s">
        <v>36</v>
      </c>
      <c r="BX105" s="4">
        <v>3.9999999999999999E-60</v>
      </c>
      <c r="BY105" s="3" t="str">
        <f>HYPERLINK("http://amigo.geneontology.org/cgi-bin/amigo/term_details?term=GO:0005615","GO:0005615")</f>
        <v>GO:0005615</v>
      </c>
      <c r="BZ105" s="3" t="s">
        <v>195</v>
      </c>
      <c r="CA105" s="3" t="s">
        <v>196</v>
      </c>
      <c r="CB105" s="3" t="s">
        <v>197</v>
      </c>
      <c r="CC105" s="3" t="s">
        <v>36</v>
      </c>
      <c r="CE105" s="4">
        <v>3.9999999999999999E-60</v>
      </c>
      <c r="CF105" s="3" t="str">
        <f>HYPERLINK("http://amigo.geneontology.org/cgi-bin/amigo/term_details?term=GO:0010466","GO:0010466")</f>
        <v>GO:0010466</v>
      </c>
      <c r="CG105" s="3" t="s">
        <v>210</v>
      </c>
      <c r="CH105" s="3" t="s">
        <v>211</v>
      </c>
      <c r="CI105" s="3" t="s">
        <v>36</v>
      </c>
      <c r="CJ105" s="3" t="s">
        <v>36</v>
      </c>
      <c r="CL105" s="4">
        <v>3.9999999999999999E-60</v>
      </c>
      <c r="CM105" s="3" t="str">
        <f>HYPERLINK(".\links\CDD\gi_346469009-CDD.txt","SERPIN")</f>
        <v>SERPIN</v>
      </c>
      <c r="CN105" s="3" t="str">
        <f>HYPERLINK("http://www.ncbi.nlm.nih.gov/Structure/cdd/cddsrv.cgi?uid=cd00172&amp;version=v4.0","2E-070")</f>
        <v>2E-070</v>
      </c>
      <c r="CO105" s="3" t="s">
        <v>212</v>
      </c>
      <c r="CP105" s="3" t="str">
        <f>HYPERLINK(".\links\ACARI\gi_346469009-ACARI.txt","hypothetical protein")</f>
        <v>hypothetical protein</v>
      </c>
      <c r="CQ105" s="3" t="str">
        <f>HYPERLINK("http://www.ncbi.nlm.nih.gov/sutils/blink.cgi?pid=346469009","0.0")</f>
        <v>0.0</v>
      </c>
      <c r="CR105" s="3" t="str">
        <f>HYPERLINK("http://www.ncbi.nlm.nih.gov/protein/346469009","gi|346469009")</f>
        <v>gi|346469009</v>
      </c>
      <c r="CS105" s="3">
        <v>774</v>
      </c>
      <c r="CT105" s="3">
        <v>398</v>
      </c>
      <c r="CU105" s="3">
        <v>398</v>
      </c>
      <c r="CV105" s="3">
        <v>100</v>
      </c>
      <c r="CW105" s="3">
        <v>100</v>
      </c>
      <c r="CX105" s="3">
        <v>100</v>
      </c>
      <c r="CY105" s="3">
        <v>0</v>
      </c>
      <c r="CZ105" s="3">
        <v>0</v>
      </c>
      <c r="DA105" s="3">
        <v>1</v>
      </c>
      <c r="DB105" s="3">
        <v>1</v>
      </c>
      <c r="DC105" s="3">
        <v>1</v>
      </c>
      <c r="DD105" s="3" t="s">
        <v>173</v>
      </c>
    </row>
    <row r="106" spans="1:108" s="3" customFormat="1" x14ac:dyDescent="0.2">
      <c r="A106" s="3" t="s">
        <v>1338</v>
      </c>
      <c r="B106" s="3" t="str">
        <f>HYPERLINK(".\links\\gi_346471657-.txt","gi_346471657")</f>
        <v>gi_346471657</v>
      </c>
      <c r="C106" s="3" t="s">
        <v>35</v>
      </c>
      <c r="D106" s="3">
        <v>166</v>
      </c>
      <c r="E106" s="9" t="s">
        <v>173</v>
      </c>
      <c r="F106" s="3" t="s">
        <v>1286</v>
      </c>
      <c r="G106" s="3" t="s">
        <v>1478</v>
      </c>
      <c r="H106" s="3" t="str">
        <f>HYPERLINK(".\links\UNIPROT-ACARI\gi_346471657-UNIPROT-ACARI.txt","Putative uncharacterized protein")</f>
        <v>Putative uncharacterized protein</v>
      </c>
      <c r="I106" s="3" t="str">
        <f>HYPERLINK("http://www.ncbi.nlm.nih.gov/sutils/blink.cgi?pid=G3MQA5","1E-103")</f>
        <v>1E-103</v>
      </c>
      <c r="J106" s="3" t="s">
        <v>673</v>
      </c>
      <c r="K106" s="3">
        <v>372</v>
      </c>
      <c r="L106" s="3">
        <v>166</v>
      </c>
      <c r="M106" s="3">
        <v>166</v>
      </c>
      <c r="N106" s="3">
        <v>100</v>
      </c>
      <c r="O106" s="3">
        <v>100</v>
      </c>
      <c r="P106" s="3">
        <v>100</v>
      </c>
      <c r="Q106" s="3">
        <v>0</v>
      </c>
      <c r="R106" s="3">
        <v>0</v>
      </c>
      <c r="S106" s="3">
        <v>1</v>
      </c>
      <c r="T106" s="3">
        <v>1</v>
      </c>
      <c r="U106" s="3">
        <v>1</v>
      </c>
      <c r="V106" s="3" t="s">
        <v>36</v>
      </c>
      <c r="W106" s="3" t="str">
        <f>HYPERLINK(".\links\NR-LIGHT\gi_346471657-NR-LIGHT.txt","Inducible metalloproteinase, putative")</f>
        <v>Inducible metalloproteinase, putative</v>
      </c>
      <c r="X106" s="3" t="str">
        <f>HYPERLINK("http://www.ncbi.nlm.nih.gov/sutils/blink.cgi?pid=241104728","5E-044")</f>
        <v>5E-044</v>
      </c>
      <c r="Y106" s="3" t="str">
        <f>HYPERLINK("http://www.ncbi.nlm.nih.gov/protein/241104728","gi|241104728")</f>
        <v>gi|241104728</v>
      </c>
      <c r="Z106" s="3">
        <v>179</v>
      </c>
      <c r="AA106" s="3">
        <v>140</v>
      </c>
      <c r="AB106" s="3">
        <v>242</v>
      </c>
      <c r="AC106" s="3">
        <v>52</v>
      </c>
      <c r="AD106" s="3">
        <v>65</v>
      </c>
      <c r="AE106" s="3">
        <v>58</v>
      </c>
      <c r="AF106" s="3">
        <v>67</v>
      </c>
      <c r="AG106" s="3">
        <v>10</v>
      </c>
      <c r="AH106" s="3">
        <v>35</v>
      </c>
      <c r="AI106" s="3">
        <v>33</v>
      </c>
      <c r="AJ106" s="3">
        <v>1</v>
      </c>
      <c r="AK106" s="3" t="s">
        <v>40</v>
      </c>
      <c r="AL106" s="3" t="str">
        <f>HYPERLINK(".\links\REFSEQ-INVERTEBRATE\gi_346471657-REFSEQ-INVERTEBRATE.txt","Inducible metalloproteinase, putative, partial")</f>
        <v>Inducible metalloproteinase, putative, partial</v>
      </c>
      <c r="AM106" s="3" t="str">
        <f>HYPERLINK("http://www.ncbi.nlm.nih.gov/sutils/blink.cgi?pid=241104728","2E-044")</f>
        <v>2E-044</v>
      </c>
      <c r="AN106" s="3" t="str">
        <f>HYPERLINK("http://www.ncbi.nlm.nih.gov/protein/241104728","gi|241104728")</f>
        <v>gi|241104728</v>
      </c>
      <c r="AO106" s="3">
        <v>179</v>
      </c>
      <c r="AP106" s="3">
        <v>140</v>
      </c>
      <c r="AQ106" s="3">
        <v>242</v>
      </c>
      <c r="AR106" s="3">
        <v>52</v>
      </c>
      <c r="AS106" s="3">
        <v>65</v>
      </c>
      <c r="AT106" s="3">
        <v>58</v>
      </c>
      <c r="AU106" s="3">
        <v>67</v>
      </c>
      <c r="AV106" s="3">
        <v>10</v>
      </c>
      <c r="AW106" s="3">
        <v>35</v>
      </c>
      <c r="AX106" s="3">
        <v>33</v>
      </c>
      <c r="AY106" s="3">
        <v>1</v>
      </c>
      <c r="AZ106" s="3" t="s">
        <v>40</v>
      </c>
      <c r="BA106" s="3" t="str">
        <f>HYPERLINK(".\links\MEROPS\gi_346471657-MEROPS.txt","- SjAPI peptidase inhibitor ({Scorpiops jendeki}) (Anopheles gambiae)")</f>
        <v>- SjAPI peptidase inhibitor ({Scorpiops jendeki}) (Anopheles gambiae)</v>
      </c>
      <c r="BB106" s="3" t="str">
        <f>HYPERLINK("http://www.ncbi.nlm.nih.gov/sutils/blink.cgi?pid=018132 - SjAPI peptidase inhibitor ({Scorpiops jendeki}) (Anopheles gambiae) [I08.013]#I08#{inhibitor unit","2E-017")</f>
        <v>2E-017</v>
      </c>
      <c r="BC106" s="3" t="s">
        <v>674</v>
      </c>
      <c r="BD106" s="3">
        <v>89</v>
      </c>
      <c r="BE106" s="3">
        <v>129</v>
      </c>
      <c r="BF106" s="3">
        <v>137</v>
      </c>
      <c r="BG106" s="3">
        <v>34</v>
      </c>
      <c r="BH106" s="3">
        <v>50</v>
      </c>
      <c r="BI106" s="3">
        <v>94</v>
      </c>
      <c r="BJ106" s="3">
        <v>85</v>
      </c>
      <c r="BK106" s="3">
        <v>8</v>
      </c>
      <c r="BL106" s="3">
        <v>12</v>
      </c>
      <c r="BM106" s="3">
        <v>36</v>
      </c>
      <c r="BN106" s="3">
        <v>1</v>
      </c>
      <c r="BO106" s="3" t="s">
        <v>675</v>
      </c>
      <c r="BP106" s="3" t="s">
        <v>676</v>
      </c>
      <c r="BQ106" s="3">
        <f>HYPERLINK(".\links\GO\gi_346471657-GO.txt",0.000000000000001)</f>
        <v>1.0000000000000001E-15</v>
      </c>
      <c r="BR106" s="3" t="str">
        <f>HYPERLINK("http://amigo.geneontology.org/cgi-bin/amigo/term_details?term=GO:0003674","GO:0003674")</f>
        <v>GO:0003674</v>
      </c>
      <c r="BS106" s="3" t="s">
        <v>220</v>
      </c>
      <c r="BT106" s="3" t="s">
        <v>221</v>
      </c>
      <c r="BU106" s="3" t="s">
        <v>222</v>
      </c>
      <c r="BV106" s="3" t="s">
        <v>36</v>
      </c>
      <c r="BX106" s="3">
        <v>1.9999999999999999E-7</v>
      </c>
      <c r="BY106" s="3" t="str">
        <f>HYPERLINK("http://amigo.geneontology.org/cgi-bin/amigo/term_details?term=GO:0005575","GO:0005575")</f>
        <v>GO:0005575</v>
      </c>
      <c r="BZ106" s="3" t="s">
        <v>60</v>
      </c>
      <c r="CA106" s="3" t="s">
        <v>61</v>
      </c>
      <c r="CB106" s="3" t="s">
        <v>62</v>
      </c>
      <c r="CC106" s="3" t="s">
        <v>36</v>
      </c>
      <c r="CE106" s="3">
        <v>1.9999999999999999E-7</v>
      </c>
      <c r="CF106" s="3" t="str">
        <f>HYPERLINK("http://amigo.geneontology.org/cgi-bin/amigo/term_details?term=GO:0002244","GO:0002244")</f>
        <v>GO:0002244</v>
      </c>
      <c r="CG106" s="3" t="s">
        <v>677</v>
      </c>
      <c r="CH106" s="3" t="s">
        <v>678</v>
      </c>
      <c r="CI106" s="3" t="s">
        <v>679</v>
      </c>
      <c r="CJ106" s="3" t="s">
        <v>36</v>
      </c>
      <c r="CL106" s="3">
        <v>1.9999999999999999E-7</v>
      </c>
      <c r="CM106" s="3" t="str">
        <f>HYPERLINK(".\links\CDD\gi_346471657-CDD.txt","TIL")</f>
        <v>TIL</v>
      </c>
      <c r="CN106" s="3" t="str">
        <f>HYPERLINK("http://www.ncbi.nlm.nih.gov/Structure/cdd/cddsrv.cgi?uid=pfam01826&amp;version=v4.0","3E-006")</f>
        <v>3E-006</v>
      </c>
      <c r="CO106" s="3" t="s">
        <v>680</v>
      </c>
      <c r="CP106" s="3" t="str">
        <f>HYPERLINK(".\links\ACARI\gi_346471657-ACARI.txt","hypothetical protein")</f>
        <v>hypothetical protein</v>
      </c>
      <c r="CQ106" s="3" t="str">
        <f>HYPERLINK("http://www.ncbi.nlm.nih.gov/sutils/blink.cgi?pid=346471657","1E-103")</f>
        <v>1E-103</v>
      </c>
      <c r="CR106" s="3" t="str">
        <f>HYPERLINK("http://www.ncbi.nlm.nih.gov/protein/346471657","gi|346471657")</f>
        <v>gi|346471657</v>
      </c>
      <c r="CS106" s="3">
        <v>372</v>
      </c>
      <c r="CT106" s="3">
        <v>166</v>
      </c>
      <c r="CU106" s="3">
        <v>166</v>
      </c>
      <c r="CV106" s="3">
        <v>100</v>
      </c>
      <c r="CW106" s="3">
        <v>100</v>
      </c>
      <c r="CX106" s="3">
        <v>100</v>
      </c>
      <c r="CY106" s="3">
        <v>0</v>
      </c>
      <c r="CZ106" s="3">
        <v>0</v>
      </c>
      <c r="DA106" s="3">
        <v>1</v>
      </c>
      <c r="DB106" s="3">
        <v>1</v>
      </c>
      <c r="DC106" s="3">
        <v>1</v>
      </c>
      <c r="DD106" s="3" t="s">
        <v>173</v>
      </c>
    </row>
    <row r="107" spans="1:108" s="3" customFormat="1" x14ac:dyDescent="0.2">
      <c r="A107" s="3" t="s">
        <v>1402</v>
      </c>
      <c r="B107" s="3" t="str">
        <f>HYPERLINK(".\links\\gi_42662201-.txt","gi_42662201")</f>
        <v>gi_42662201</v>
      </c>
      <c r="C107" s="3" t="s">
        <v>35</v>
      </c>
      <c r="D107" s="3">
        <v>398</v>
      </c>
      <c r="E107" s="9" t="s">
        <v>53</v>
      </c>
      <c r="F107" s="3" t="s">
        <v>1249</v>
      </c>
      <c r="G107" s="3" t="s">
        <v>1478</v>
      </c>
      <c r="H107" s="3" t="str">
        <f>HYPERLINK(".\links\UNIPROT-ACARI\gi_42662201-UNIPROT-ACARI.txt","Serpin-2")</f>
        <v>Serpin-2</v>
      </c>
      <c r="I107" s="3" t="str">
        <f>HYPERLINK("http://www.ncbi.nlm.nih.gov/sutils/blink.cgi?pid=Q75Q63","0.0")</f>
        <v>0.0</v>
      </c>
      <c r="J107" s="3" t="s">
        <v>1185</v>
      </c>
      <c r="K107" s="3">
        <v>780</v>
      </c>
      <c r="L107" s="3">
        <v>398</v>
      </c>
      <c r="M107" s="3">
        <v>398</v>
      </c>
      <c r="N107" s="3">
        <v>100</v>
      </c>
      <c r="O107" s="3">
        <v>100</v>
      </c>
      <c r="P107" s="3">
        <v>100</v>
      </c>
      <c r="Q107" s="3">
        <v>0</v>
      </c>
      <c r="R107" s="3">
        <v>0</v>
      </c>
      <c r="S107" s="3">
        <v>1</v>
      </c>
      <c r="T107" s="3">
        <v>1</v>
      </c>
      <c r="U107" s="3">
        <v>1</v>
      </c>
      <c r="V107" s="3" t="s">
        <v>36</v>
      </c>
      <c r="W107" s="3" t="str">
        <f>HYPERLINK(".\links\NR-LIGHT\gi_42662201-NR-LIGHT.txt","serpin-2")</f>
        <v>serpin-2</v>
      </c>
      <c r="X107" s="3" t="str">
        <f>HYPERLINK("http://www.ncbi.nlm.nih.gov/sutils/blink.cgi?pid=42662201","0.0")</f>
        <v>0.0</v>
      </c>
      <c r="Y107" s="3" t="str">
        <f>HYPERLINK("http://www.ncbi.nlm.nih.gov/protein/42662201","gi|42662201")</f>
        <v>gi|42662201</v>
      </c>
      <c r="Z107" s="3">
        <v>780</v>
      </c>
      <c r="AA107" s="3">
        <v>398</v>
      </c>
      <c r="AB107" s="3">
        <v>398</v>
      </c>
      <c r="AC107" s="3">
        <v>100</v>
      </c>
      <c r="AD107" s="3">
        <v>100</v>
      </c>
      <c r="AE107" s="3">
        <v>100</v>
      </c>
      <c r="AF107" s="3">
        <v>0</v>
      </c>
      <c r="AG107" s="3">
        <v>0</v>
      </c>
      <c r="AH107" s="3">
        <v>1</v>
      </c>
      <c r="AI107" s="3">
        <v>1</v>
      </c>
      <c r="AJ107" s="3">
        <v>1</v>
      </c>
      <c r="AK107" s="3" t="s">
        <v>53</v>
      </c>
      <c r="AL107" s="3" t="str">
        <f>HYPERLINK(".\links\REFSEQ-INVERTEBRATE\gi_42662201-REFSEQ-INVERTEBRATE.txt","serine proteinase inhibitor serpin-3, putative")</f>
        <v>serine proteinase inhibitor serpin-3, putative</v>
      </c>
      <c r="AM107" s="3" t="str">
        <f>HYPERLINK("http://www.ncbi.nlm.nih.gov/sutils/blink.cgi?pid=241826938","3E-095")</f>
        <v>3E-095</v>
      </c>
      <c r="AN107" s="3" t="str">
        <f>HYPERLINK("http://www.ncbi.nlm.nih.gov/protein/241826938","gi|241826938")</f>
        <v>gi|241826938</v>
      </c>
      <c r="AO107" s="3">
        <v>350</v>
      </c>
      <c r="AP107" s="3">
        <v>394</v>
      </c>
      <c r="AQ107" s="3">
        <v>396</v>
      </c>
      <c r="AR107" s="3">
        <v>46</v>
      </c>
      <c r="AS107" s="3">
        <v>63</v>
      </c>
      <c r="AT107" s="3">
        <v>99</v>
      </c>
      <c r="AU107" s="3">
        <v>211</v>
      </c>
      <c r="AV107" s="3">
        <v>7</v>
      </c>
      <c r="AW107" s="3">
        <v>8</v>
      </c>
      <c r="AX107" s="3">
        <v>7</v>
      </c>
      <c r="AY107" s="3">
        <v>1</v>
      </c>
      <c r="AZ107" s="3" t="s">
        <v>40</v>
      </c>
      <c r="BA107" s="3" t="str">
        <f>HYPERLINK(".\links\MEROPS\gi_42662201-MEROPS.txt","- serpin IRS-2 ({Ixodes} sp.) (Haemaphysalis longicornis)")</f>
        <v>- serpin IRS-2 ({Ixodes} sp.) (Haemaphysalis longicornis)</v>
      </c>
      <c r="BB107" s="3" t="str">
        <f>HYPERLINK("http://www.ncbi.nlm.nih.gov/sutils/blink.cgi?pid=047774 - serpin IRS-2 ({Ixodes} sp.) (Haemaphysalis longicornis) [I04.088]#I04#{inhibitor unit","0.0")</f>
        <v>0.0</v>
      </c>
      <c r="BC107" s="3" t="s">
        <v>1186</v>
      </c>
      <c r="BD107" s="3">
        <v>780</v>
      </c>
      <c r="BE107" s="3">
        <v>398</v>
      </c>
      <c r="BF107" s="3">
        <v>398</v>
      </c>
      <c r="BG107" s="3">
        <v>100</v>
      </c>
      <c r="BH107" s="3">
        <v>100</v>
      </c>
      <c r="BI107" s="3">
        <v>100</v>
      </c>
      <c r="BJ107" s="3">
        <v>0</v>
      </c>
      <c r="BK107" s="3">
        <v>0</v>
      </c>
      <c r="BL107" s="3">
        <v>1</v>
      </c>
      <c r="BM107" s="3">
        <v>1</v>
      </c>
      <c r="BN107" s="3">
        <v>1</v>
      </c>
      <c r="BO107" s="3" t="s">
        <v>205</v>
      </c>
      <c r="BP107" s="3" t="s">
        <v>309</v>
      </c>
      <c r="BQ107" s="3">
        <f>HYPERLINK(".\links\GO\gi_42662201-GO.txt",3E-54)</f>
        <v>3.0000000000000001E-54</v>
      </c>
      <c r="BR107" s="3" t="str">
        <f>HYPERLINK("http://amigo.geneontology.org/cgi-bin/amigo/term_details?term=GO:0004867","GO:0004867")</f>
        <v>GO:0004867</v>
      </c>
      <c r="BS107" s="3" t="s">
        <v>207</v>
      </c>
      <c r="BT107" s="3" t="s">
        <v>208</v>
      </c>
      <c r="BU107" s="3" t="s">
        <v>209</v>
      </c>
      <c r="BV107" s="3" t="s">
        <v>36</v>
      </c>
      <c r="BX107" s="4">
        <v>3.0000000000000001E-54</v>
      </c>
      <c r="BY107" s="3" t="str">
        <f>HYPERLINK("http://amigo.geneontology.org/cgi-bin/amigo/term_details?term=GO:0005615","GO:0005615")</f>
        <v>GO:0005615</v>
      </c>
      <c r="BZ107" s="3" t="s">
        <v>195</v>
      </c>
      <c r="CA107" s="3" t="s">
        <v>196</v>
      </c>
      <c r="CB107" s="3" t="s">
        <v>197</v>
      </c>
      <c r="CC107" s="3" t="s">
        <v>36</v>
      </c>
      <c r="CE107" s="4">
        <v>3.0000000000000001E-54</v>
      </c>
      <c r="CF107" s="3" t="str">
        <f>HYPERLINK("http://amigo.geneontology.org/cgi-bin/amigo/term_details?term=GO:0010951","GO:0010951")</f>
        <v>GO:0010951</v>
      </c>
      <c r="CG107" s="3" t="s">
        <v>271</v>
      </c>
      <c r="CH107" s="3" t="s">
        <v>272</v>
      </c>
      <c r="CI107" s="3" t="s">
        <v>36</v>
      </c>
      <c r="CJ107" s="3" t="s">
        <v>36</v>
      </c>
      <c r="CL107" s="4">
        <v>3.0000000000000001E-54</v>
      </c>
      <c r="CM107" s="3" t="str">
        <f>HYPERLINK(".\links\CDD\gi_42662201-CDD.txt","Serpin")</f>
        <v>Serpin</v>
      </c>
      <c r="CN107" s="3" t="str">
        <f>HYPERLINK("http://www.ncbi.nlm.nih.gov/Structure/cdd/cddsrv.cgi?uid=pfam00079&amp;version=v4.0","4E-074")</f>
        <v>4E-074</v>
      </c>
      <c r="CO107" s="3" t="s">
        <v>1187</v>
      </c>
      <c r="CP107" s="3" t="str">
        <f>HYPERLINK(".\links\ACARI\gi_42662201-ACARI.txt","serpin-2")</f>
        <v>serpin-2</v>
      </c>
      <c r="CQ107" s="3" t="str">
        <f>HYPERLINK("http://www.ncbi.nlm.nih.gov/sutils/blink.cgi?pid=42662201","0.0")</f>
        <v>0.0</v>
      </c>
      <c r="CR107" s="3" t="str">
        <f>HYPERLINK("http://www.ncbi.nlm.nih.gov/protein/42662201","gi|42662201")</f>
        <v>gi|42662201</v>
      </c>
      <c r="CS107" s="3">
        <v>780</v>
      </c>
      <c r="CT107" s="3">
        <v>398</v>
      </c>
      <c r="CU107" s="3">
        <v>398</v>
      </c>
      <c r="CV107" s="3">
        <v>100</v>
      </c>
      <c r="CW107" s="3">
        <v>100</v>
      </c>
      <c r="CX107" s="3">
        <v>100</v>
      </c>
      <c r="CY107" s="3">
        <v>0</v>
      </c>
      <c r="CZ107" s="3">
        <v>0</v>
      </c>
      <c r="DA107" s="3">
        <v>1</v>
      </c>
      <c r="DB107" s="3">
        <v>1</v>
      </c>
      <c r="DC107" s="3">
        <v>1</v>
      </c>
      <c r="DD107" s="3" t="s">
        <v>53</v>
      </c>
    </row>
    <row r="108" spans="1:108" s="3" customFormat="1" x14ac:dyDescent="0.2">
      <c r="A108" s="3" t="s">
        <v>1396</v>
      </c>
      <c r="B108" s="3" t="str">
        <f>HYPERLINK(".\links\\gi_427789957-.txt","gi_427789957")</f>
        <v>gi_427789957</v>
      </c>
      <c r="C108" s="3" t="s">
        <v>35</v>
      </c>
      <c r="D108" s="3">
        <v>1497</v>
      </c>
      <c r="E108" s="9" t="s">
        <v>68</v>
      </c>
      <c r="F108" s="3" t="s">
        <v>1208</v>
      </c>
      <c r="G108" s="3" t="s">
        <v>1478</v>
      </c>
      <c r="H108" s="3" t="str">
        <f>HYPERLINK(".\links\UNIPROT-ACARI\gi_427789957-UNIPROT-ACARI.txt","Putative tick thioester protein")</f>
        <v>Putative tick thioester protein</v>
      </c>
      <c r="I108" s="3" t="str">
        <f>HYPERLINK("http://www.ncbi.nlm.nih.gov/sutils/blink.cgi?pid=L7M8R2","0.0")</f>
        <v>0.0</v>
      </c>
      <c r="J108" s="3" t="s">
        <v>1060</v>
      </c>
      <c r="K108" s="3">
        <v>3005</v>
      </c>
      <c r="L108" s="3">
        <v>1497</v>
      </c>
      <c r="M108" s="3">
        <v>1497</v>
      </c>
      <c r="N108" s="3">
        <v>100</v>
      </c>
      <c r="O108" s="3">
        <v>100</v>
      </c>
      <c r="P108" s="3">
        <v>100</v>
      </c>
      <c r="Q108" s="3">
        <v>0</v>
      </c>
      <c r="R108" s="3">
        <v>0</v>
      </c>
      <c r="S108" s="3">
        <v>1</v>
      </c>
      <c r="T108" s="3">
        <v>1</v>
      </c>
      <c r="U108" s="3">
        <v>1</v>
      </c>
      <c r="V108" s="3" t="s">
        <v>36</v>
      </c>
      <c r="W108" s="3" t="str">
        <f>HYPERLINK(".\links\NR-LIGHT\gi_427789957-NR-LIGHT.txt","alpha-2-macroglobiln splicing variant 1 precursor")</f>
        <v>alpha-2-macroglobiln splicing variant 1 precursor</v>
      </c>
      <c r="X108" s="3" t="str">
        <f>HYPERLINK("http://www.ncbi.nlm.nih.gov/sutils/blink.cgi?pid=212549820","0.0")</f>
        <v>0.0</v>
      </c>
      <c r="Y108" s="3" t="str">
        <f>HYPERLINK("http://www.ncbi.nlm.nih.gov/protein/212549820","gi|212549820")</f>
        <v>gi|212549820</v>
      </c>
      <c r="Z108" s="3">
        <v>2444</v>
      </c>
      <c r="AA108" s="3">
        <v>1503</v>
      </c>
      <c r="AB108" s="3">
        <v>1486</v>
      </c>
      <c r="AC108" s="3">
        <v>79</v>
      </c>
      <c r="AD108" s="3">
        <v>88</v>
      </c>
      <c r="AE108" s="3">
        <v>101</v>
      </c>
      <c r="AF108" s="3">
        <v>306</v>
      </c>
      <c r="AG108" s="3">
        <v>24</v>
      </c>
      <c r="AH108" s="3">
        <v>1</v>
      </c>
      <c r="AI108" s="3">
        <v>1</v>
      </c>
      <c r="AJ108" s="3">
        <v>1</v>
      </c>
      <c r="AK108" s="3" t="s">
        <v>37</v>
      </c>
      <c r="AL108" s="3" t="str">
        <f>HYPERLINK(".\links\REFSEQ-INVERTEBRATE\gi_427789957-REFSEQ-INVERTEBRATE.txt","alpha-macroglobulin, putative, partial")</f>
        <v>alpha-macroglobulin, putative, partial</v>
      </c>
      <c r="AM108" s="3" t="str">
        <f>HYPERLINK("http://www.ncbi.nlm.nih.gov/sutils/blink.cgi?pid=241861590","0.0")</f>
        <v>0.0</v>
      </c>
      <c r="AN108" s="3" t="str">
        <f>HYPERLINK("http://www.ncbi.nlm.nih.gov/protein/241861590","gi|241861590")</f>
        <v>gi|241861590</v>
      </c>
      <c r="AO108" s="3">
        <v>894</v>
      </c>
      <c r="AP108" s="3">
        <v>520</v>
      </c>
      <c r="AQ108" s="3">
        <v>1092</v>
      </c>
      <c r="AR108" s="3">
        <v>81</v>
      </c>
      <c r="AS108" s="3">
        <v>90</v>
      </c>
      <c r="AT108" s="3">
        <v>48</v>
      </c>
      <c r="AU108" s="3">
        <v>95</v>
      </c>
      <c r="AV108" s="3">
        <v>2</v>
      </c>
      <c r="AW108" s="3">
        <v>1</v>
      </c>
      <c r="AX108" s="3">
        <v>76</v>
      </c>
      <c r="AY108" s="3">
        <v>1</v>
      </c>
      <c r="AZ108" s="3" t="s">
        <v>40</v>
      </c>
      <c r="BA108" s="3" t="str">
        <f>HYPERLINK(".\links\MEROPS\gi_427789957-MEROPS.txt","- family I39 unassigned peptidase inhibitors (Ixodes ricinus)")</f>
        <v>- family I39 unassigned peptidase inhibitors (Ixodes ricinus)</v>
      </c>
      <c r="BB108" s="3" t="str">
        <f>HYPERLINK("http://www.ncbi.nlm.nih.gov/sutils/blink.cgi?pid=164742 - family I39 unassigned peptidase inhibitors (Ixodes ricinus) [I39.UPW]#I39#{inhibitor unit","0.0")</f>
        <v>0.0</v>
      </c>
      <c r="BC108" s="3" t="s">
        <v>269</v>
      </c>
      <c r="BD108" s="3">
        <v>2444</v>
      </c>
      <c r="BE108" s="3">
        <v>1503</v>
      </c>
      <c r="BF108" s="3">
        <v>1486</v>
      </c>
      <c r="BG108" s="3">
        <v>79</v>
      </c>
      <c r="BH108" s="3">
        <v>88</v>
      </c>
      <c r="BI108" s="3">
        <v>101</v>
      </c>
      <c r="BJ108" s="3">
        <v>306</v>
      </c>
      <c r="BK108" s="3">
        <v>24</v>
      </c>
      <c r="BL108" s="3">
        <v>1</v>
      </c>
      <c r="BM108" s="3">
        <v>1</v>
      </c>
      <c r="BN108" s="3">
        <v>1</v>
      </c>
      <c r="BO108" s="3" t="s">
        <v>42</v>
      </c>
      <c r="BP108" s="3" t="s">
        <v>270</v>
      </c>
      <c r="BQ108" s="3">
        <f>HYPERLINK(".\links\GO\gi_427789957-GO.txt",0)</f>
        <v>0</v>
      </c>
      <c r="BR108" s="3" t="str">
        <f>HYPERLINK("http://amigo.geneontology.org/cgi-bin/amigo/term_details?term=GO:0004866","GO:0004866")</f>
        <v>GO:0004866</v>
      </c>
      <c r="BS108" s="3" t="s">
        <v>44</v>
      </c>
      <c r="BT108" s="3" t="s">
        <v>45</v>
      </c>
      <c r="BU108" s="3" t="s">
        <v>46</v>
      </c>
      <c r="BV108" s="3" t="s">
        <v>36</v>
      </c>
      <c r="BX108" s="3">
        <v>0</v>
      </c>
      <c r="BY108" s="3" t="str">
        <f>HYPERLINK("http://amigo.geneontology.org/cgi-bin/amigo/term_details?term=GO:0005615","GO:0005615")</f>
        <v>GO:0005615</v>
      </c>
      <c r="BZ108" s="3" t="s">
        <v>195</v>
      </c>
      <c r="CA108" s="3" t="s">
        <v>196</v>
      </c>
      <c r="CB108" s="3" t="s">
        <v>197</v>
      </c>
      <c r="CC108" s="3" t="s">
        <v>36</v>
      </c>
      <c r="CE108" s="3">
        <v>0</v>
      </c>
      <c r="CF108" s="3" t="str">
        <f>HYPERLINK("http://amigo.geneontology.org/cgi-bin/amigo/term_details?term=GO:0010951","GO:0010951")</f>
        <v>GO:0010951</v>
      </c>
      <c r="CG108" s="3" t="s">
        <v>271</v>
      </c>
      <c r="CH108" s="3" t="s">
        <v>272</v>
      </c>
      <c r="CI108" s="3" t="s">
        <v>36</v>
      </c>
      <c r="CJ108" s="3" t="s">
        <v>36</v>
      </c>
      <c r="CL108" s="3">
        <v>0</v>
      </c>
      <c r="CM108" s="3" t="str">
        <f>HYPERLINK(".\links\CDD\gi_427789957-CDD.txt","A2M_2")</f>
        <v>A2M_2</v>
      </c>
      <c r="CN108" s="3" t="str">
        <f>HYPERLINK("http://www.ncbi.nlm.nih.gov/Structure/cdd/cddsrv.cgi?uid=cd02897&amp;version=v4.0","3E-075")</f>
        <v>3E-075</v>
      </c>
      <c r="CO108" s="3" t="s">
        <v>1061</v>
      </c>
      <c r="CP108" s="3" t="str">
        <f>HYPERLINK(".\links\ACARI\gi_427789957-ACARI.txt","Putative tick thioester protein")</f>
        <v>Putative tick thioester protein</v>
      </c>
      <c r="CQ108" s="3" t="str">
        <f>HYPERLINK("http://www.ncbi.nlm.nih.gov/sutils/blink.cgi?pid=427789957","0.0")</f>
        <v>0.0</v>
      </c>
      <c r="CR108" s="3" t="str">
        <f>HYPERLINK("http://www.ncbi.nlm.nih.gov/protein/427789957","gi|427789957")</f>
        <v>gi|427789957</v>
      </c>
      <c r="CS108" s="3">
        <v>3005</v>
      </c>
      <c r="CT108" s="3">
        <v>1497</v>
      </c>
      <c r="CU108" s="3">
        <v>1497</v>
      </c>
      <c r="CV108" s="3">
        <v>100</v>
      </c>
      <c r="CW108" s="3">
        <v>100</v>
      </c>
      <c r="CX108" s="3">
        <v>100</v>
      </c>
      <c r="CY108" s="3">
        <v>0</v>
      </c>
      <c r="CZ108" s="3">
        <v>0</v>
      </c>
      <c r="DA108" s="3">
        <v>1</v>
      </c>
      <c r="DB108" s="3">
        <v>1</v>
      </c>
      <c r="DC108" s="3">
        <v>1</v>
      </c>
      <c r="DD108" s="3" t="s">
        <v>68</v>
      </c>
    </row>
    <row r="109" spans="1:108" s="3" customFormat="1" x14ac:dyDescent="0.2">
      <c r="A109" s="3" t="s">
        <v>1400</v>
      </c>
      <c r="B109" s="3" t="str">
        <f>HYPERLINK(".\links\\gi_427799043-.txt","gi_427799043")</f>
        <v>gi_427799043</v>
      </c>
      <c r="C109" s="3" t="s">
        <v>35</v>
      </c>
      <c r="D109" s="3">
        <v>1532</v>
      </c>
      <c r="E109" s="9" t="s">
        <v>68</v>
      </c>
      <c r="F109" s="3" t="s">
        <v>1251</v>
      </c>
      <c r="G109" s="3" t="s">
        <v>1478</v>
      </c>
      <c r="H109" s="3" t="str">
        <f>HYPERLINK(".\links\UNIPROT-ACARI\gi_427799043-UNIPROT-ACARI.txt","Putative tick thioester protein (Fragment)")</f>
        <v>Putative tick thioester protein (Fragment)</v>
      </c>
      <c r="I109" s="3" t="str">
        <f>HYPERLINK("http://www.ncbi.nlm.nih.gov/sutils/blink.cgi?pid=L7MMT8","0.0")</f>
        <v>0.0</v>
      </c>
      <c r="J109" s="3" t="s">
        <v>1039</v>
      </c>
      <c r="K109" s="3">
        <v>3034</v>
      </c>
      <c r="L109" s="3">
        <v>1532</v>
      </c>
      <c r="M109" s="3">
        <v>1532</v>
      </c>
      <c r="N109" s="3">
        <v>100</v>
      </c>
      <c r="O109" s="3">
        <v>100</v>
      </c>
      <c r="P109" s="3">
        <v>100</v>
      </c>
      <c r="Q109" s="3">
        <v>0</v>
      </c>
      <c r="R109" s="3">
        <v>0</v>
      </c>
      <c r="S109" s="3">
        <v>1</v>
      </c>
      <c r="T109" s="3">
        <v>1</v>
      </c>
      <c r="U109" s="3">
        <v>1</v>
      </c>
      <c r="V109" s="3" t="s">
        <v>36</v>
      </c>
      <c r="W109" s="3" t="str">
        <f>HYPERLINK(".\links\NR-LIGHT\gi_427799043-NR-LIGHT.txt","alpha-2-macroglobulin precursor splice variant 1")</f>
        <v>alpha-2-macroglobulin precursor splice variant 1</v>
      </c>
      <c r="X109" s="3" t="str">
        <f>HYPERLINK("http://www.ncbi.nlm.nih.gov/sutils/blink.cgi?pid=22901939","0.0")</f>
        <v>0.0</v>
      </c>
      <c r="Y109" s="3" t="str">
        <f>HYPERLINK("http://www.ncbi.nlm.nih.gov/protein/22901939","gi|22901939")</f>
        <v>gi|22901939</v>
      </c>
      <c r="Z109" s="3">
        <v>662</v>
      </c>
      <c r="AA109" s="3">
        <v>1568</v>
      </c>
      <c r="AB109" s="3">
        <v>1494</v>
      </c>
      <c r="AC109" s="3">
        <v>30</v>
      </c>
      <c r="AD109" s="3">
        <v>48</v>
      </c>
      <c r="AE109" s="3">
        <v>105</v>
      </c>
      <c r="AF109" s="3">
        <v>1095</v>
      </c>
      <c r="AG109" s="3">
        <v>117</v>
      </c>
      <c r="AH109" s="3">
        <v>1</v>
      </c>
      <c r="AI109" s="3">
        <v>1</v>
      </c>
      <c r="AJ109" s="3">
        <v>1</v>
      </c>
      <c r="AK109" s="3" t="s">
        <v>39</v>
      </c>
      <c r="AL109" s="3" t="str">
        <f>HYPERLINK(".\links\REFSEQ-INVERTEBRATE\gi_427799043-REFSEQ-INVERTEBRATE.txt","alpha-2-macroglobulin, putative, partial")</f>
        <v>alpha-2-macroglobulin, putative, partial</v>
      </c>
      <c r="AM109" s="3" t="str">
        <f>HYPERLINK("http://www.ncbi.nlm.nih.gov/sutils/blink.cgi?pid=241603611","1E-125")</f>
        <v>1E-125</v>
      </c>
      <c r="AN109" s="3" t="str">
        <f>HYPERLINK("http://www.ncbi.nlm.nih.gov/protein/241603611","gi|241603611")</f>
        <v>gi|241603611</v>
      </c>
      <c r="AO109" s="3">
        <v>452</v>
      </c>
      <c r="AP109" s="3">
        <v>417</v>
      </c>
      <c r="AQ109" s="3">
        <v>413</v>
      </c>
      <c r="AR109" s="3">
        <v>58</v>
      </c>
      <c r="AS109" s="3">
        <v>72</v>
      </c>
      <c r="AT109" s="3">
        <v>101</v>
      </c>
      <c r="AU109" s="3">
        <v>175</v>
      </c>
      <c r="AV109" s="3">
        <v>13</v>
      </c>
      <c r="AW109" s="3">
        <v>5</v>
      </c>
      <c r="AX109" s="3">
        <v>1052</v>
      </c>
      <c r="AY109" s="3">
        <v>1</v>
      </c>
      <c r="AZ109" s="3" t="s">
        <v>40</v>
      </c>
      <c r="BA109" s="3" t="str">
        <f>HYPERLINK(".\links\MEROPS\gi_427799043-MEROPS.txt","- family I39 unassigned peptidase inhibitors (Ornithodoros moubata)")</f>
        <v>- family I39 unassigned peptidase inhibitors (Ornithodoros moubata)</v>
      </c>
      <c r="BB109" s="3" t="str">
        <f>HYPERLINK("http://www.ncbi.nlm.nih.gov/sutils/blink.cgi?pid=023374 - family I39 unassigned peptidase inhibitors (Ornithodoros moubata) [I39.UPW]#I39#{inhibitor unit","0.0")</f>
        <v>0.0</v>
      </c>
      <c r="BC109" s="3" t="s">
        <v>41</v>
      </c>
      <c r="BD109" s="3">
        <v>662</v>
      </c>
      <c r="BE109" s="3">
        <v>1568</v>
      </c>
      <c r="BF109" s="3">
        <v>1494</v>
      </c>
      <c r="BG109" s="3">
        <v>30</v>
      </c>
      <c r="BH109" s="3">
        <v>48</v>
      </c>
      <c r="BI109" s="3">
        <v>105</v>
      </c>
      <c r="BJ109" s="3">
        <v>1095</v>
      </c>
      <c r="BK109" s="3">
        <v>117</v>
      </c>
      <c r="BL109" s="3">
        <v>1</v>
      </c>
      <c r="BM109" s="3">
        <v>1</v>
      </c>
      <c r="BN109" s="3">
        <v>1</v>
      </c>
      <c r="BO109" s="3" t="s">
        <v>42</v>
      </c>
      <c r="BP109" s="3" t="s">
        <v>1040</v>
      </c>
      <c r="BQ109" s="3">
        <f>HYPERLINK(".\links\GO\gi_427799043-GO.txt",0)</f>
        <v>0</v>
      </c>
      <c r="BR109" s="3" t="str">
        <f>HYPERLINK("http://amigo.geneontology.org/cgi-bin/amigo/term_details?term=GO:0004866","GO:0004866")</f>
        <v>GO:0004866</v>
      </c>
      <c r="BS109" s="3" t="s">
        <v>44</v>
      </c>
      <c r="BT109" s="3" t="s">
        <v>45</v>
      </c>
      <c r="BU109" s="3" t="s">
        <v>46</v>
      </c>
      <c r="BV109" s="3" t="s">
        <v>36</v>
      </c>
      <c r="BX109" s="4">
        <v>1E-108</v>
      </c>
      <c r="BY109" s="3" t="str">
        <f>HYPERLINK("http://amigo.geneontology.org/cgi-bin/amigo/term_details?term=GO:0005576","GO:0005576")</f>
        <v>GO:0005576</v>
      </c>
      <c r="BZ109" s="3" t="s">
        <v>47</v>
      </c>
      <c r="CA109" s="3" t="s">
        <v>48</v>
      </c>
      <c r="CB109" s="3" t="s">
        <v>49</v>
      </c>
      <c r="CC109" s="3" t="s">
        <v>36</v>
      </c>
      <c r="CE109" s="4">
        <v>1E-108</v>
      </c>
      <c r="CF109" s="3" t="str">
        <f>HYPERLINK("http://amigo.geneontology.org/cgi-bin/amigo/term_details?term=GO:0001889","GO:0001889")</f>
        <v>GO:0001889</v>
      </c>
      <c r="CG109" s="3" t="s">
        <v>50</v>
      </c>
      <c r="CH109" s="3" t="s">
        <v>51</v>
      </c>
      <c r="CI109" s="3" t="s">
        <v>36</v>
      </c>
      <c r="CJ109" s="3" t="s">
        <v>36</v>
      </c>
      <c r="CL109" s="4">
        <v>1E-108</v>
      </c>
      <c r="CM109" s="3" t="str">
        <f>HYPERLINK(".\links\CDD\gi_427799043-CDD.txt","A2M_like")</f>
        <v>A2M_like</v>
      </c>
      <c r="CN109" s="3" t="str">
        <f>HYPERLINK("http://www.ncbi.nlm.nih.gov/Structure/cdd/cddsrv.cgi?uid=cd02891&amp;version=v4.0","8E-021")</f>
        <v>8E-021</v>
      </c>
      <c r="CO109" s="3" t="s">
        <v>1041</v>
      </c>
      <c r="CP109" s="3" t="str">
        <f>HYPERLINK(".\links\ACARI\gi_427799043-ACARI.txt","Putative tick thioester protein, partial")</f>
        <v>Putative tick thioester protein, partial</v>
      </c>
      <c r="CQ109" s="3" t="str">
        <f>HYPERLINK("http://www.ncbi.nlm.nih.gov/sutils/blink.cgi?pid=427799043","0.0")</f>
        <v>0.0</v>
      </c>
      <c r="CR109" s="3" t="str">
        <f>HYPERLINK("http://www.ncbi.nlm.nih.gov/protein/427799043","gi|427799043")</f>
        <v>gi|427799043</v>
      </c>
      <c r="CS109" s="3">
        <v>3034</v>
      </c>
      <c r="CT109" s="3">
        <v>1532</v>
      </c>
      <c r="CU109" s="3">
        <v>1532</v>
      </c>
      <c r="CV109" s="3">
        <v>100</v>
      </c>
      <c r="CW109" s="3">
        <v>100</v>
      </c>
      <c r="CX109" s="3">
        <v>100</v>
      </c>
      <c r="CY109" s="3">
        <v>0</v>
      </c>
      <c r="CZ109" s="3">
        <v>0</v>
      </c>
      <c r="DA109" s="3">
        <v>1</v>
      </c>
      <c r="DB109" s="3">
        <v>1</v>
      </c>
      <c r="DC109" s="3">
        <v>1</v>
      </c>
      <c r="DD109" s="3" t="s">
        <v>68</v>
      </c>
    </row>
    <row r="110" spans="1:108" s="3" customFormat="1" x14ac:dyDescent="0.2">
      <c r="A110" s="3" t="s">
        <v>1315</v>
      </c>
      <c r="B110" s="3" t="str">
        <f>HYPERLINK(".\links\\gi_556055134-.txt","gi_556055134")</f>
        <v>gi_556055134</v>
      </c>
      <c r="C110" s="3" t="s">
        <v>35</v>
      </c>
      <c r="D110" s="3">
        <v>1387</v>
      </c>
      <c r="E110" s="9" t="s">
        <v>37</v>
      </c>
      <c r="F110" s="3" t="s">
        <v>1208</v>
      </c>
      <c r="G110" s="3" t="s">
        <v>1478</v>
      </c>
      <c r="H110" s="3" t="str">
        <f>HYPERLINK(".\links\UNIPROT-ACARI\gi_556055134-UNIPROT-ACARI.txt","Putative alpha-macroglobulin")</f>
        <v>Putative alpha-macroglobulin</v>
      </c>
      <c r="I110" s="3" t="str">
        <f>HYPERLINK("http://www.ncbi.nlm.nih.gov/sutils/blink.cgi?pid=V5H7Z4","0.0")</f>
        <v>0.0</v>
      </c>
      <c r="J110" s="3" t="s">
        <v>38</v>
      </c>
      <c r="K110" s="3">
        <v>2751</v>
      </c>
      <c r="L110" s="3">
        <v>1387</v>
      </c>
      <c r="M110" s="3">
        <v>1387</v>
      </c>
      <c r="N110" s="3">
        <v>100</v>
      </c>
      <c r="O110" s="3">
        <v>100</v>
      </c>
      <c r="P110" s="3">
        <v>100</v>
      </c>
      <c r="Q110" s="3">
        <v>0</v>
      </c>
      <c r="R110" s="3">
        <v>0</v>
      </c>
      <c r="S110" s="3">
        <v>1</v>
      </c>
      <c r="T110" s="3">
        <v>1</v>
      </c>
      <c r="U110" s="3">
        <v>1</v>
      </c>
      <c r="V110" s="3" t="s">
        <v>36</v>
      </c>
      <c r="W110" s="3" t="str">
        <f>HYPERLINK(".\links\NR-LIGHT\gi_556055134-NR-LIGHT.txt","alpha-2-macroglobulin precursor splice variant 1")</f>
        <v>alpha-2-macroglobulin precursor splice variant 1</v>
      </c>
      <c r="X110" s="3" t="str">
        <f>HYPERLINK("http://www.ncbi.nlm.nih.gov/sutils/blink.cgi?pid=22901939","1E-178")</f>
        <v>1E-178</v>
      </c>
      <c r="Y110" s="3" t="str">
        <f>HYPERLINK("http://www.ncbi.nlm.nih.gov/protein/22901939","gi|22901939")</f>
        <v>gi|22901939</v>
      </c>
      <c r="Z110" s="3">
        <v>630</v>
      </c>
      <c r="AA110" s="3">
        <v>1402</v>
      </c>
      <c r="AB110" s="3">
        <v>1494</v>
      </c>
      <c r="AC110" s="3">
        <v>30</v>
      </c>
      <c r="AD110" s="3">
        <v>48</v>
      </c>
      <c r="AE110" s="3">
        <v>94</v>
      </c>
      <c r="AF110" s="3">
        <v>969</v>
      </c>
      <c r="AG110" s="3">
        <v>100</v>
      </c>
      <c r="AH110" s="3">
        <v>5</v>
      </c>
      <c r="AI110" s="3">
        <v>3</v>
      </c>
      <c r="AJ110" s="3">
        <v>1</v>
      </c>
      <c r="AK110" s="3" t="s">
        <v>39</v>
      </c>
      <c r="AL110" s="3" t="str">
        <f>HYPERLINK(".\links\REFSEQ-INVERTEBRATE\gi_556055134-REFSEQ-INVERTEBRATE.txt","alpha-2-macroglobulin, putative, partial")</f>
        <v>alpha-2-macroglobulin, putative, partial</v>
      </c>
      <c r="AM110" s="3" t="str">
        <f>HYPERLINK("http://www.ncbi.nlm.nih.gov/sutils/blink.cgi?pid=241603611","1E-168")</f>
        <v>1E-168</v>
      </c>
      <c r="AN110" s="3" t="str">
        <f>HYPERLINK("http://www.ncbi.nlm.nih.gov/protein/241603611","gi|241603611")</f>
        <v>gi|241603611</v>
      </c>
      <c r="AO110" s="3">
        <v>594</v>
      </c>
      <c r="AP110" s="3">
        <v>330</v>
      </c>
      <c r="AQ110" s="3">
        <v>413</v>
      </c>
      <c r="AR110" s="3">
        <v>93</v>
      </c>
      <c r="AS110" s="3">
        <v>95</v>
      </c>
      <c r="AT110" s="3">
        <v>80</v>
      </c>
      <c r="AU110" s="3">
        <v>21</v>
      </c>
      <c r="AV110" s="3">
        <v>6</v>
      </c>
      <c r="AW110" s="3">
        <v>5</v>
      </c>
      <c r="AX110" s="3">
        <v>1054</v>
      </c>
      <c r="AY110" s="3">
        <v>1</v>
      </c>
      <c r="AZ110" s="3" t="s">
        <v>40</v>
      </c>
      <c r="BA110" s="3" t="str">
        <f>HYPERLINK(".\links\MEROPS\gi_556055134-MEROPS.txt","- family I39 unassigned peptidase inhibitors (Ornithodoros moubata)")</f>
        <v>- family I39 unassigned peptidase inhibitors (Ornithodoros moubata)</v>
      </c>
      <c r="BB110" s="3" t="str">
        <f>HYPERLINK("http://www.ncbi.nlm.nih.gov/sutils/blink.cgi?pid=023374 - family I39 unassigned peptidase inhibitors (Ornithodoros moubata) [I39.UPW]#I39#{inhibitor unit","1E-179")</f>
        <v>1E-179</v>
      </c>
      <c r="BC110" s="3" t="s">
        <v>41</v>
      </c>
      <c r="BD110" s="3">
        <v>630</v>
      </c>
      <c r="BE110" s="3">
        <v>1402</v>
      </c>
      <c r="BF110" s="3">
        <v>1494</v>
      </c>
      <c r="BG110" s="3">
        <v>30</v>
      </c>
      <c r="BH110" s="3">
        <v>48</v>
      </c>
      <c r="BI110" s="3">
        <v>94</v>
      </c>
      <c r="BJ110" s="3">
        <v>969</v>
      </c>
      <c r="BK110" s="3">
        <v>100</v>
      </c>
      <c r="BL110" s="3">
        <v>5</v>
      </c>
      <c r="BM110" s="3">
        <v>3</v>
      </c>
      <c r="BN110" s="3">
        <v>1</v>
      </c>
      <c r="BO110" s="3" t="s">
        <v>42</v>
      </c>
      <c r="BP110" s="3" t="s">
        <v>43</v>
      </c>
      <c r="BQ110" s="3">
        <f>HYPERLINK(".\links\GO\gi_556055134-GO.txt",0)</f>
        <v>0</v>
      </c>
      <c r="BR110" s="3" t="str">
        <f>HYPERLINK("http://amigo.geneontology.org/cgi-bin/amigo/term_details?term=GO:0004866","GO:0004866")</f>
        <v>GO:0004866</v>
      </c>
      <c r="BS110" s="3" t="s">
        <v>44</v>
      </c>
      <c r="BT110" s="3" t="s">
        <v>45</v>
      </c>
      <c r="BU110" s="3" t="s">
        <v>46</v>
      </c>
      <c r="BV110" s="3" t="s">
        <v>36</v>
      </c>
      <c r="BX110" s="4">
        <v>1E-100</v>
      </c>
      <c r="BY110" s="3" t="str">
        <f>HYPERLINK("http://amigo.geneontology.org/cgi-bin/amigo/term_details?term=GO:0005576","GO:0005576")</f>
        <v>GO:0005576</v>
      </c>
      <c r="BZ110" s="3" t="s">
        <v>47</v>
      </c>
      <c r="CA110" s="3" t="s">
        <v>48</v>
      </c>
      <c r="CB110" s="3" t="s">
        <v>49</v>
      </c>
      <c r="CC110" s="3" t="s">
        <v>36</v>
      </c>
      <c r="CE110" s="4">
        <v>1E-100</v>
      </c>
      <c r="CF110" s="3" t="str">
        <f>HYPERLINK("http://amigo.geneontology.org/cgi-bin/amigo/term_details?term=GO:0001889","GO:0001889")</f>
        <v>GO:0001889</v>
      </c>
      <c r="CG110" s="3" t="s">
        <v>50</v>
      </c>
      <c r="CH110" s="3" t="s">
        <v>51</v>
      </c>
      <c r="CI110" s="3" t="s">
        <v>36</v>
      </c>
      <c r="CJ110" s="3" t="s">
        <v>36</v>
      </c>
      <c r="CL110" s="4">
        <v>1E-100</v>
      </c>
      <c r="CM110" s="3" t="str">
        <f>HYPERLINK(".\links\CDD\gi_556055134-CDD.txt","A2M_like")</f>
        <v>A2M_like</v>
      </c>
      <c r="CN110" s="3" t="str">
        <f>HYPERLINK("http://www.ncbi.nlm.nih.gov/Structure/cdd/cddsrv.cgi?uid=cd02891&amp;version=v4.0","1E-025")</f>
        <v>1E-025</v>
      </c>
      <c r="CO110" s="3" t="s">
        <v>52</v>
      </c>
      <c r="CP110" s="3" t="str">
        <f>HYPERLINK(".\links\ACARI\gi_556055134-ACARI.txt","putative alpha-macroglobulin")</f>
        <v>putative alpha-macroglobulin</v>
      </c>
      <c r="CQ110" s="3" t="str">
        <f>HYPERLINK("http://www.ncbi.nlm.nih.gov/sutils/blink.cgi?pid=556055134","0.0")</f>
        <v>0.0</v>
      </c>
      <c r="CR110" s="3" t="str">
        <f>HYPERLINK("http://www.ncbi.nlm.nih.gov/protein/556055134","gi|556055134")</f>
        <v>gi|556055134</v>
      </c>
      <c r="CS110" s="3">
        <v>2751</v>
      </c>
      <c r="CT110" s="3">
        <v>1387</v>
      </c>
      <c r="CU110" s="3">
        <v>1387</v>
      </c>
      <c r="CV110" s="3">
        <v>100</v>
      </c>
      <c r="CW110" s="3">
        <v>100</v>
      </c>
      <c r="CX110" s="3">
        <v>100</v>
      </c>
      <c r="CY110" s="3">
        <v>0</v>
      </c>
      <c r="CZ110" s="3">
        <v>0</v>
      </c>
      <c r="DA110" s="3">
        <v>1</v>
      </c>
      <c r="DB110" s="3">
        <v>1</v>
      </c>
      <c r="DC110" s="3">
        <v>1</v>
      </c>
      <c r="DD110" s="3" t="s">
        <v>37</v>
      </c>
    </row>
    <row r="111" spans="1:108" s="3" customFormat="1" x14ac:dyDescent="0.2">
      <c r="A111" s="3" t="s">
        <v>1305</v>
      </c>
      <c r="B111" s="3" t="str">
        <f>HYPERLINK(".\links\\Rm-12491-.txt","Rm-12491")</f>
        <v>Rm-12491</v>
      </c>
      <c r="C111" s="3" t="s">
        <v>35</v>
      </c>
      <c r="D111" s="3">
        <v>399</v>
      </c>
      <c r="E111" s="9" t="s">
        <v>203</v>
      </c>
      <c r="F111" s="3" t="s">
        <v>1249</v>
      </c>
      <c r="G111" s="3" t="s">
        <v>1478</v>
      </c>
      <c r="H111" s="3" t="str">
        <f>HYPERLINK(".\links\UNIPROT-ACARI\Rm-12491-UNIPROT-ACARI.txt","Serine protease inhibitor 6 RmS6")</f>
        <v>Serine protease inhibitor 6 RmS6</v>
      </c>
      <c r="I111" s="3" t="str">
        <f>HYPERLINK("http://www.ncbi.nlm.nih.gov/sutils/blink.cgi?pid=V9VL04","0.0")</f>
        <v>0.0</v>
      </c>
      <c r="J111" s="3" t="s">
        <v>308</v>
      </c>
      <c r="K111" s="3">
        <v>760</v>
      </c>
      <c r="L111" s="3">
        <v>399</v>
      </c>
      <c r="M111" s="3">
        <v>399</v>
      </c>
      <c r="N111" s="3">
        <v>96</v>
      </c>
      <c r="O111" s="3">
        <v>97</v>
      </c>
      <c r="P111" s="3">
        <v>100</v>
      </c>
      <c r="Q111" s="3">
        <v>12</v>
      </c>
      <c r="R111" s="3">
        <v>0</v>
      </c>
      <c r="S111" s="3">
        <v>1</v>
      </c>
      <c r="T111" s="3">
        <v>1</v>
      </c>
      <c r="U111" s="3">
        <v>1</v>
      </c>
      <c r="V111" s="3" t="s">
        <v>36</v>
      </c>
      <c r="W111" s="3" t="str">
        <f>HYPERLINK(".\links\NR-LIGHT\Rm-12491-NR-LIGHT.txt","serine protease inhibitor 6 RmS6")</f>
        <v>serine protease inhibitor 6 RmS6</v>
      </c>
      <c r="X111" s="3" t="str">
        <f>HYPERLINK("http://www.ncbi.nlm.nih.gov/sutils/blink.cgi?pid=568215821","0.0")</f>
        <v>0.0</v>
      </c>
      <c r="Y111" s="3" t="str">
        <f>HYPERLINK("http://www.ncbi.nlm.nih.gov/protein/568215821","gi|568215821")</f>
        <v>gi|568215821</v>
      </c>
      <c r="Z111" s="3">
        <v>760</v>
      </c>
      <c r="AA111" s="3">
        <v>399</v>
      </c>
      <c r="AB111" s="3">
        <v>399</v>
      </c>
      <c r="AC111" s="3">
        <v>96</v>
      </c>
      <c r="AD111" s="3">
        <v>97</v>
      </c>
      <c r="AE111" s="3">
        <v>100</v>
      </c>
      <c r="AF111" s="3">
        <v>12</v>
      </c>
      <c r="AG111" s="3">
        <v>0</v>
      </c>
      <c r="AH111" s="3">
        <v>1</v>
      </c>
      <c r="AI111" s="3">
        <v>1</v>
      </c>
      <c r="AJ111" s="3">
        <v>1</v>
      </c>
      <c r="AK111" s="3" t="s">
        <v>203</v>
      </c>
      <c r="AL111" s="3" t="str">
        <f>HYPERLINK(".\links\REFSEQ-INVERTEBRATE\Rm-12491-REFSEQ-INVERTEBRATE.txt","serpin-1 precursor, putative")</f>
        <v>serpin-1 precursor, putative</v>
      </c>
      <c r="AM111" s="3" t="str">
        <f>HYPERLINK("http://www.ncbi.nlm.nih.gov/sutils/blink.cgi?pid=241853529","5E-096")</f>
        <v>5E-096</v>
      </c>
      <c r="AN111" s="3" t="str">
        <f>HYPERLINK("http://www.ncbi.nlm.nih.gov/protein/241853529","gi|241853529")</f>
        <v>gi|241853529</v>
      </c>
      <c r="AO111" s="3">
        <v>352</v>
      </c>
      <c r="AP111" s="3">
        <v>389</v>
      </c>
      <c r="AQ111" s="3">
        <v>390</v>
      </c>
      <c r="AR111" s="3">
        <v>48</v>
      </c>
      <c r="AS111" s="3">
        <v>63</v>
      </c>
      <c r="AT111" s="3">
        <v>100</v>
      </c>
      <c r="AU111" s="3">
        <v>202</v>
      </c>
      <c r="AV111" s="3">
        <v>1</v>
      </c>
      <c r="AW111" s="3">
        <v>3</v>
      </c>
      <c r="AX111" s="3">
        <v>9</v>
      </c>
      <c r="AY111" s="3">
        <v>1</v>
      </c>
      <c r="AZ111" s="3" t="s">
        <v>40</v>
      </c>
      <c r="BA111" s="3" t="str">
        <f>HYPERLINK(".\links\MEROPS\Rm-12491-MEROPS.txt","- serpin IRS-2 ({Ixodes} sp.) (Amblyomma maculatum)")</f>
        <v>- serpin IRS-2 ({Ixodes} sp.) (Amblyomma maculatum)</v>
      </c>
      <c r="BB111" s="3" t="str">
        <f>HYPERLINK("http://www.ncbi.nlm.nih.gov/sutils/blink.cgi?pid=409943 - serpin IRS-2 ({Ixodes} sp.) (Amblyomma maculatum) [I04.088]#I04#{inhibitor unit","1E-157")</f>
        <v>1E-157</v>
      </c>
      <c r="BC111" s="3" t="s">
        <v>204</v>
      </c>
      <c r="BD111" s="3">
        <v>554</v>
      </c>
      <c r="BE111" s="3">
        <v>399</v>
      </c>
      <c r="BF111" s="3">
        <v>398</v>
      </c>
      <c r="BG111" s="3">
        <v>69</v>
      </c>
      <c r="BH111" s="3">
        <v>82</v>
      </c>
      <c r="BI111" s="3">
        <v>100</v>
      </c>
      <c r="BJ111" s="3">
        <v>123</v>
      </c>
      <c r="BK111" s="3">
        <v>1</v>
      </c>
      <c r="BL111" s="3">
        <v>1</v>
      </c>
      <c r="BM111" s="3">
        <v>1</v>
      </c>
      <c r="BN111" s="3">
        <v>1</v>
      </c>
      <c r="BO111" s="3" t="s">
        <v>205</v>
      </c>
      <c r="BP111" s="3" t="s">
        <v>309</v>
      </c>
      <c r="BQ111" s="3">
        <f>HYPERLINK(".\links\GO\Rm-12491-GO.txt",1E-58)</f>
        <v>1E-58</v>
      </c>
      <c r="BR111" s="3" t="str">
        <f>HYPERLINK("http://amigo.geneontology.org/cgi-bin/amigo/term_details?term=GO:0004867","GO:0004867")</f>
        <v>GO:0004867</v>
      </c>
      <c r="BS111" s="3" t="s">
        <v>207</v>
      </c>
      <c r="BT111" s="3" t="s">
        <v>208</v>
      </c>
      <c r="BU111" s="3" t="s">
        <v>209</v>
      </c>
      <c r="BV111" s="3" t="s">
        <v>36</v>
      </c>
      <c r="BX111" s="4">
        <v>1E-58</v>
      </c>
      <c r="BY111" s="3" t="str">
        <f>HYPERLINK("http://amigo.geneontology.org/cgi-bin/amigo/term_details?term=GO:0005615","GO:0005615")</f>
        <v>GO:0005615</v>
      </c>
      <c r="BZ111" s="3" t="s">
        <v>195</v>
      </c>
      <c r="CA111" s="3" t="s">
        <v>196</v>
      </c>
      <c r="CB111" s="3" t="s">
        <v>197</v>
      </c>
      <c r="CC111" s="3" t="s">
        <v>36</v>
      </c>
      <c r="CE111" s="4">
        <v>1E-58</v>
      </c>
      <c r="CF111" s="3" t="str">
        <f>HYPERLINK("http://amigo.geneontology.org/cgi-bin/amigo/term_details?term=GO:0010951","GO:0010951")</f>
        <v>GO:0010951</v>
      </c>
      <c r="CG111" s="3" t="s">
        <v>271</v>
      </c>
      <c r="CH111" s="3" t="s">
        <v>272</v>
      </c>
      <c r="CI111" s="3" t="s">
        <v>36</v>
      </c>
      <c r="CJ111" s="3" t="s">
        <v>36</v>
      </c>
      <c r="CL111" s="4">
        <v>1E-58</v>
      </c>
      <c r="CM111" s="3" t="str">
        <f>HYPERLINK(".\links\CDD\Rm-12491-CDD.txt","SERPIN")</f>
        <v>SERPIN</v>
      </c>
      <c r="CN111" s="3" t="str">
        <f>HYPERLINK("http://www.ncbi.nlm.nih.gov/Structure/cdd/cddsrv.cgi?uid=cd00172&amp;version=v4.0","2E-070")</f>
        <v>2E-070</v>
      </c>
      <c r="CO111" s="3" t="s">
        <v>310</v>
      </c>
      <c r="CP111" s="3" t="str">
        <f>HYPERLINK(".\links\ACARI\Rm-12491-ACARI.txt","serine protease inhibitor 6 RmS6")</f>
        <v>serine protease inhibitor 6 RmS6</v>
      </c>
      <c r="CQ111" s="3" t="str">
        <f>HYPERLINK("http://www.ncbi.nlm.nih.gov/sutils/blink.cgi?pid=568215821","0.0")</f>
        <v>0.0</v>
      </c>
      <c r="CR111" s="3" t="str">
        <f>HYPERLINK("http://www.ncbi.nlm.nih.gov/protein/568215821","gi|568215821")</f>
        <v>gi|568215821</v>
      </c>
      <c r="CS111" s="3">
        <v>760</v>
      </c>
      <c r="CT111" s="3">
        <v>399</v>
      </c>
      <c r="CU111" s="3">
        <v>399</v>
      </c>
      <c r="CV111" s="3">
        <v>96</v>
      </c>
      <c r="CW111" s="3">
        <v>97</v>
      </c>
      <c r="CX111" s="3">
        <v>100</v>
      </c>
      <c r="CY111" s="3">
        <v>12</v>
      </c>
      <c r="CZ111" s="3">
        <v>0</v>
      </c>
      <c r="DA111" s="3">
        <v>1</v>
      </c>
      <c r="DB111" s="3">
        <v>1</v>
      </c>
      <c r="DC111" s="3">
        <v>1</v>
      </c>
      <c r="DD111" s="3" t="s">
        <v>203</v>
      </c>
    </row>
    <row r="112" spans="1:108" s="3" customFormat="1" x14ac:dyDescent="0.2">
      <c r="A112" s="3" t="s">
        <v>1398</v>
      </c>
      <c r="B112" s="3" t="str">
        <f>HYPERLINK(".\links\\Rm-7619-.txt","Rm-7619")</f>
        <v>Rm-7619</v>
      </c>
      <c r="C112" s="3" t="s">
        <v>35</v>
      </c>
      <c r="D112" s="3">
        <v>1474</v>
      </c>
      <c r="E112" s="9" t="s">
        <v>203</v>
      </c>
      <c r="F112" s="3" t="s">
        <v>1208</v>
      </c>
      <c r="G112" s="3" t="s">
        <v>1478</v>
      </c>
      <c r="H112" s="3" t="str">
        <f>HYPERLINK(".\links\UNIPROT-ACARI\Rm-7619-UNIPROT-ACARI.txt","Alpha2 macroglobulin 2 (Fragment)")</f>
        <v>Alpha2 macroglobulin 2 (Fragment)</v>
      </c>
      <c r="I112" s="3" t="str">
        <f>HYPERLINK("http://www.ncbi.nlm.nih.gov/sutils/blink.cgi?pid=A0A034WWU3","0.0")</f>
        <v>0.0</v>
      </c>
      <c r="J112" s="3" t="s">
        <v>1206</v>
      </c>
      <c r="K112" s="3">
        <v>2961</v>
      </c>
      <c r="L112" s="3">
        <v>1473</v>
      </c>
      <c r="M112" s="3">
        <v>1473</v>
      </c>
      <c r="N112" s="3">
        <v>100</v>
      </c>
      <c r="O112" s="3">
        <v>100</v>
      </c>
      <c r="P112" s="3">
        <v>100</v>
      </c>
      <c r="Q112" s="3">
        <v>0</v>
      </c>
      <c r="R112" s="3">
        <v>0</v>
      </c>
      <c r="S112" s="3">
        <v>1</v>
      </c>
      <c r="T112" s="3">
        <v>1</v>
      </c>
      <c r="U112" s="3">
        <v>1</v>
      </c>
      <c r="V112" s="3" t="s">
        <v>36</v>
      </c>
      <c r="W112" s="3" t="str">
        <f>HYPERLINK(".\links\NR-LIGHT\Rm-7619-NR-LIGHT.txt","alpha-2-macroglobiln splicing variant 1 precursor")</f>
        <v>alpha-2-macroglobiln splicing variant 1 precursor</v>
      </c>
      <c r="X112" s="3" t="str">
        <f>HYPERLINK("http://www.ncbi.nlm.nih.gov/sutils/blink.cgi?pid=212549820","0.0")</f>
        <v>0.0</v>
      </c>
      <c r="Y112" s="3" t="str">
        <f>HYPERLINK("http://www.ncbi.nlm.nih.gov/protein/212549820","gi|212549820")</f>
        <v>gi|212549820</v>
      </c>
      <c r="Z112" s="3">
        <v>2386</v>
      </c>
      <c r="AA112" s="3">
        <v>1480</v>
      </c>
      <c r="AB112" s="3">
        <v>1486</v>
      </c>
      <c r="AC112" s="3">
        <v>78</v>
      </c>
      <c r="AD112" s="3">
        <v>88</v>
      </c>
      <c r="AE112" s="3">
        <v>100</v>
      </c>
      <c r="AF112" s="3">
        <v>314</v>
      </c>
      <c r="AG112" s="3">
        <v>25</v>
      </c>
      <c r="AH112" s="3">
        <v>1</v>
      </c>
      <c r="AI112" s="3">
        <v>1</v>
      </c>
      <c r="AJ112" s="3">
        <v>1</v>
      </c>
      <c r="AK112" s="3" t="s">
        <v>37</v>
      </c>
      <c r="AL112" s="3" t="str">
        <f>HYPERLINK(".\links\REFSEQ-INVERTEBRATE\Rm-7619-REFSEQ-INVERTEBRATE.txt","alpha-macroglobulin, putative, partial")</f>
        <v>alpha-macroglobulin, putative, partial</v>
      </c>
      <c r="AM112" s="3" t="str">
        <f>HYPERLINK("http://www.ncbi.nlm.nih.gov/sutils/blink.cgi?pid=241861590","0.0")</f>
        <v>0.0</v>
      </c>
      <c r="AN112" s="3" t="str">
        <f>HYPERLINK("http://www.ncbi.nlm.nih.gov/protein/241861590","gi|241861590")</f>
        <v>gi|241861590</v>
      </c>
      <c r="AO112" s="3">
        <v>893</v>
      </c>
      <c r="AP112" s="3">
        <v>520</v>
      </c>
      <c r="AQ112" s="3">
        <v>1092</v>
      </c>
      <c r="AR112" s="3">
        <v>81</v>
      </c>
      <c r="AS112" s="3">
        <v>91</v>
      </c>
      <c r="AT112" s="3">
        <v>48</v>
      </c>
      <c r="AU112" s="3">
        <v>96</v>
      </c>
      <c r="AV112" s="3">
        <v>2</v>
      </c>
      <c r="AW112" s="3">
        <v>1</v>
      </c>
      <c r="AX112" s="3">
        <v>76</v>
      </c>
      <c r="AY112" s="3">
        <v>1</v>
      </c>
      <c r="AZ112" s="3" t="s">
        <v>40</v>
      </c>
      <c r="BA112" s="3" t="str">
        <f>HYPERLINK(".\links\MEROPS\Rm-7619-MEROPS.txt","- family I39 unassigned peptidase inhibitors (Ixodes ricinus)")</f>
        <v>- family I39 unassigned peptidase inhibitors (Ixodes ricinus)</v>
      </c>
      <c r="BB112" s="3" t="str">
        <f>HYPERLINK("http://www.ncbi.nlm.nih.gov/sutils/blink.cgi?pid=164742 - family I39 unassigned peptidase inhibitors (Ixodes ricinus) [I39.UPW]#I39#{inhibitor unit","0.0")</f>
        <v>0.0</v>
      </c>
      <c r="BC112" s="3" t="s">
        <v>269</v>
      </c>
      <c r="BD112" s="3">
        <v>2386</v>
      </c>
      <c r="BE112" s="3">
        <v>1480</v>
      </c>
      <c r="BF112" s="3">
        <v>1486</v>
      </c>
      <c r="BG112" s="3">
        <v>78</v>
      </c>
      <c r="BH112" s="3">
        <v>88</v>
      </c>
      <c r="BI112" s="3">
        <v>100</v>
      </c>
      <c r="BJ112" s="3">
        <v>314</v>
      </c>
      <c r="BK112" s="3">
        <v>25</v>
      </c>
      <c r="BL112" s="3">
        <v>1</v>
      </c>
      <c r="BM112" s="3">
        <v>1</v>
      </c>
      <c r="BN112" s="3">
        <v>1</v>
      </c>
      <c r="BO112" s="3" t="s">
        <v>42</v>
      </c>
      <c r="BP112" s="3" t="s">
        <v>270</v>
      </c>
      <c r="BQ112" s="3">
        <f>HYPERLINK(".\links\GO\Rm-7619-GO.txt",0)</f>
        <v>0</v>
      </c>
      <c r="BR112" s="3" t="str">
        <f>HYPERLINK("http://amigo.geneontology.org/cgi-bin/amigo/term_details?term=GO:0004866","GO:0004866")</f>
        <v>GO:0004866</v>
      </c>
      <c r="BS112" s="3" t="s">
        <v>44</v>
      </c>
      <c r="BT112" s="3" t="s">
        <v>45</v>
      </c>
      <c r="BU112" s="3" t="s">
        <v>46</v>
      </c>
      <c r="BV112" s="3" t="s">
        <v>36</v>
      </c>
      <c r="BX112" s="3">
        <v>0</v>
      </c>
      <c r="BY112" s="3" t="str">
        <f>HYPERLINK("http://amigo.geneontology.org/cgi-bin/amigo/term_details?term=GO:0005615","GO:0005615")</f>
        <v>GO:0005615</v>
      </c>
      <c r="BZ112" s="3" t="s">
        <v>195</v>
      </c>
      <c r="CA112" s="3" t="s">
        <v>196</v>
      </c>
      <c r="CB112" s="3" t="s">
        <v>197</v>
      </c>
      <c r="CC112" s="3" t="s">
        <v>36</v>
      </c>
      <c r="CE112" s="3">
        <v>0</v>
      </c>
      <c r="CF112" s="3" t="str">
        <f>HYPERLINK("http://amigo.geneontology.org/cgi-bin/amigo/term_details?term=GO:0010951","GO:0010951")</f>
        <v>GO:0010951</v>
      </c>
      <c r="CG112" s="3" t="s">
        <v>271</v>
      </c>
      <c r="CH112" s="3" t="s">
        <v>272</v>
      </c>
      <c r="CI112" s="3" t="s">
        <v>36</v>
      </c>
      <c r="CJ112" s="3" t="s">
        <v>36</v>
      </c>
      <c r="CL112" s="3">
        <v>0</v>
      </c>
      <c r="CM112" s="3" t="str">
        <f>HYPERLINK(".\links\CDD\Rm-7619-CDD.txt","A2M_2")</f>
        <v>A2M_2</v>
      </c>
      <c r="CN112" s="3" t="str">
        <f>HYPERLINK("http://www.ncbi.nlm.nih.gov/Structure/cdd/cddsrv.cgi?uid=cd02897&amp;version=v4.0","5E-074")</f>
        <v>5E-074</v>
      </c>
      <c r="CO112" s="3" t="s">
        <v>1207</v>
      </c>
      <c r="CP112" s="3" t="str">
        <f>HYPERLINK(".\links\ACARI\Rm-7619-ACARI.txt","alpha2 macroglobulin 2, partial")</f>
        <v>alpha2 macroglobulin 2, partial</v>
      </c>
      <c r="CQ112" s="3" t="str">
        <f>HYPERLINK("http://www.ncbi.nlm.nih.gov/sutils/blink.cgi?pid=629510552","0.0")</f>
        <v>0.0</v>
      </c>
      <c r="CR112" s="3" t="str">
        <f>HYPERLINK("http://www.ncbi.nlm.nih.gov/protein/629510552","gi|629510552")</f>
        <v>gi|629510552</v>
      </c>
      <c r="CS112" s="3">
        <v>2961</v>
      </c>
      <c r="CT112" s="3">
        <v>1473</v>
      </c>
      <c r="CU112" s="3">
        <v>1473</v>
      </c>
      <c r="CV112" s="3">
        <v>100</v>
      </c>
      <c r="CW112" s="3">
        <v>100</v>
      </c>
      <c r="CX112" s="3">
        <v>100</v>
      </c>
      <c r="CY112" s="3">
        <v>0</v>
      </c>
      <c r="CZ112" s="3">
        <v>0</v>
      </c>
      <c r="DA112" s="3">
        <v>1</v>
      </c>
      <c r="DB112" s="3">
        <v>1</v>
      </c>
      <c r="DC112" s="3">
        <v>1</v>
      </c>
      <c r="DD112" s="3" t="s">
        <v>203</v>
      </c>
    </row>
    <row r="113" spans="1:108" s="3" customFormat="1" x14ac:dyDescent="0.2">
      <c r="A113" s="1" t="s">
        <v>1412</v>
      </c>
      <c r="B113" s="1" t="str">
        <f>HYPERLINK(".\links\\gi_167613909-.txt","gi_167613909")</f>
        <v>gi_167613909</v>
      </c>
      <c r="C113" s="1" t="s">
        <v>35</v>
      </c>
      <c r="D113" s="1">
        <v>129</v>
      </c>
      <c r="E113" s="8" t="s">
        <v>53</v>
      </c>
      <c r="F113" s="1" t="s">
        <v>1252</v>
      </c>
      <c r="G113" s="3" t="s">
        <v>1478</v>
      </c>
      <c r="H113" s="1" t="str">
        <f>HYPERLINK(".\links\UNIPROT-ACARI\gi_167613909-UNIPROT-ACARI.txt","Cystatin")</f>
        <v>Cystatin</v>
      </c>
      <c r="I113" s="1" t="str">
        <f>HYPERLINK("http://www.ncbi.nlm.nih.gov/sutils/blink.cgi?pid=B1A5Z3","2E-072")</f>
        <v>2E-072</v>
      </c>
      <c r="J113" s="1" t="s">
        <v>1161</v>
      </c>
      <c r="K113" s="1">
        <v>268</v>
      </c>
      <c r="L113" s="1">
        <v>129</v>
      </c>
      <c r="M113" s="1">
        <v>129</v>
      </c>
      <c r="N113" s="1">
        <v>100</v>
      </c>
      <c r="O113" s="1">
        <v>100</v>
      </c>
      <c r="P113" s="1">
        <v>100</v>
      </c>
      <c r="Q113" s="1">
        <v>0</v>
      </c>
      <c r="R113" s="1">
        <v>0</v>
      </c>
      <c r="S113" s="1">
        <v>1</v>
      </c>
      <c r="T113" s="1">
        <v>1</v>
      </c>
      <c r="U113" s="1">
        <v>1</v>
      </c>
      <c r="V113" s="1" t="s">
        <v>36</v>
      </c>
      <c r="W113" s="1" t="str">
        <f>HYPERLINK(".\links\NR-LIGHT\gi_167613909-NR-LIGHT.txt","cystatin")</f>
        <v>cystatin</v>
      </c>
      <c r="X113" s="1" t="str">
        <f>HYPERLINK("http://www.ncbi.nlm.nih.gov/sutils/blink.cgi?pid=167613909","6E-071")</f>
        <v>6E-071</v>
      </c>
      <c r="Y113" s="1" t="str">
        <f>HYPERLINK("http://www.ncbi.nlm.nih.gov/protein/167613909","gi|167613909")</f>
        <v>gi|167613909</v>
      </c>
      <c r="Z113" s="1">
        <v>268</v>
      </c>
      <c r="AA113" s="1">
        <v>129</v>
      </c>
      <c r="AB113" s="1">
        <v>129</v>
      </c>
      <c r="AC113" s="1">
        <v>100</v>
      </c>
      <c r="AD113" s="1">
        <v>100</v>
      </c>
      <c r="AE113" s="1">
        <v>100</v>
      </c>
      <c r="AF113" s="1">
        <v>0</v>
      </c>
      <c r="AG113" s="1">
        <v>0</v>
      </c>
      <c r="AH113" s="1">
        <v>1</v>
      </c>
      <c r="AI113" s="1">
        <v>1</v>
      </c>
      <c r="AJ113" s="1">
        <v>1</v>
      </c>
      <c r="AK113" s="1" t="s">
        <v>53</v>
      </c>
      <c r="AL113" s="1" t="str">
        <f>HYPERLINK(".\links\REFSEQ-INVERTEBRATE\gi_167613909-REFSEQ-INVERTEBRATE.txt","cystatin-2 precursor, putative")</f>
        <v>cystatin-2 precursor, putative</v>
      </c>
      <c r="AM113" s="1" t="str">
        <f>HYPERLINK("http://www.ncbi.nlm.nih.gov/sutils/blink.cgi?pid=241729172","4E-032")</f>
        <v>4E-032</v>
      </c>
      <c r="AN113" s="1" t="str">
        <f>HYPERLINK("http://www.ncbi.nlm.nih.gov/protein/241729172","gi|241729172")</f>
        <v>gi|241729172</v>
      </c>
      <c r="AO113" s="1">
        <v>137</v>
      </c>
      <c r="AP113" s="1">
        <v>129</v>
      </c>
      <c r="AQ113" s="1">
        <v>167</v>
      </c>
      <c r="AR113" s="1">
        <v>51</v>
      </c>
      <c r="AS113" s="1">
        <v>66</v>
      </c>
      <c r="AT113" s="1">
        <v>77</v>
      </c>
      <c r="AU113" s="1">
        <v>62</v>
      </c>
      <c r="AV113" s="1">
        <v>10</v>
      </c>
      <c r="AW113" s="1">
        <v>49</v>
      </c>
      <c r="AX113" s="1">
        <v>1</v>
      </c>
      <c r="AY113" s="1">
        <v>1</v>
      </c>
      <c r="AZ113" s="1" t="s">
        <v>40</v>
      </c>
      <c r="BA113" s="1" t="str">
        <f>HYPERLINK(".\links\MEROPS\gi_167613909-MEROPS.txt","- sialostatin L ({Ixodes scapularis}) (Haemaphysalis longicornis)")</f>
        <v>- sialostatin L ({Ixodes scapularis}) (Haemaphysalis longicornis)</v>
      </c>
      <c r="BB113" s="1" t="str">
        <f>HYPERLINK("http://www.ncbi.nlm.nih.gov/sutils/blink.cgi?pid=162999 - sialostatin L ({Ixodes scapularis}) (Haemaphysalis longicornis) [I25.049]#I25B#{inhibitor unit","1E-071")</f>
        <v>1E-071</v>
      </c>
      <c r="BC113" s="1" t="s">
        <v>1162</v>
      </c>
      <c r="BD113" s="1">
        <v>268</v>
      </c>
      <c r="BE113" s="1">
        <v>129</v>
      </c>
      <c r="BF113" s="1">
        <v>129</v>
      </c>
      <c r="BG113" s="1">
        <v>100</v>
      </c>
      <c r="BH113" s="1">
        <v>100</v>
      </c>
      <c r="BI113" s="1">
        <v>100</v>
      </c>
      <c r="BJ113" s="1">
        <v>0</v>
      </c>
      <c r="BK113" s="1">
        <v>0</v>
      </c>
      <c r="BL113" s="1">
        <v>1</v>
      </c>
      <c r="BM113" s="1">
        <v>1</v>
      </c>
      <c r="BN113" s="1">
        <v>1</v>
      </c>
      <c r="BO113" s="1" t="s">
        <v>190</v>
      </c>
      <c r="BP113" s="1" t="s">
        <v>1163</v>
      </c>
      <c r="BQ113" s="1">
        <f>HYPERLINK(".\links\GO\gi_167613909-GO.txt",0.0000003)</f>
        <v>2.9999999999999999E-7</v>
      </c>
      <c r="BR113" s="1" t="str">
        <f>HYPERLINK("http://amigo.geneontology.org/cgi-bin/amigo/term_details?term=GO:0004869","GO:0004869")</f>
        <v>GO:0004869</v>
      </c>
      <c r="BS113" s="1" t="s">
        <v>192</v>
      </c>
      <c r="BT113" s="1" t="s">
        <v>193</v>
      </c>
      <c r="BU113" s="1" t="s">
        <v>194</v>
      </c>
      <c r="BV113" s="1" t="s">
        <v>36</v>
      </c>
      <c r="BW113" s="1"/>
      <c r="BX113" s="1">
        <v>9.0000000000000006E-5</v>
      </c>
      <c r="BY113" s="1" t="str">
        <f>HYPERLINK("http://amigo.geneontology.org/cgi-bin/amigo/term_details?term=GO:0001533","GO:0001533")</f>
        <v>GO:0001533</v>
      </c>
      <c r="BZ113" s="1" t="s">
        <v>1164</v>
      </c>
      <c r="CA113" s="1" t="s">
        <v>1165</v>
      </c>
      <c r="CB113" s="1" t="s">
        <v>36</v>
      </c>
      <c r="CC113" s="1" t="s">
        <v>36</v>
      </c>
      <c r="CD113" s="1"/>
      <c r="CE113" s="1">
        <v>9.0000000000000006E-5</v>
      </c>
      <c r="CF113" s="1" t="str">
        <f>HYPERLINK("http://amigo.geneontology.org/cgi-bin/amigo/term_details?term=GO:0008544","GO:0008544")</f>
        <v>GO:0008544</v>
      </c>
      <c r="CG113" s="1" t="s">
        <v>1166</v>
      </c>
      <c r="CH113" s="1" t="s">
        <v>1167</v>
      </c>
      <c r="CI113" s="1" t="s">
        <v>1168</v>
      </c>
      <c r="CJ113" s="1" t="s">
        <v>36</v>
      </c>
      <c r="CK113" s="1"/>
      <c r="CL113" s="1">
        <v>9.0000000000000006E-5</v>
      </c>
      <c r="CM113" s="1" t="str">
        <f>HYPERLINK(".\links\CDD\gi_167613909-CDD.txt","CY")</f>
        <v>CY</v>
      </c>
      <c r="CN113" s="1" t="str">
        <f>HYPERLINK("http://www.ncbi.nlm.nih.gov/Structure/cdd/cddsrv.cgi?uid=cd00042&amp;version=v4.0","8E-012")</f>
        <v>8E-012</v>
      </c>
      <c r="CO113" s="1" t="s">
        <v>1169</v>
      </c>
      <c r="CP113" s="1" t="str">
        <f>HYPERLINK(".\links\ACARI\gi_167613909-ACARI.txt","cystatin")</f>
        <v>cystatin</v>
      </c>
      <c r="CQ113" s="1" t="str">
        <f>HYPERLINK("http://www.ncbi.nlm.nih.gov/sutils/blink.cgi?pid=167613909","2E-072")</f>
        <v>2E-072</v>
      </c>
      <c r="CR113" s="1" t="str">
        <f>HYPERLINK("http://www.ncbi.nlm.nih.gov/protein/167613909","gi|167613909")</f>
        <v>gi|167613909</v>
      </c>
      <c r="CS113" s="1">
        <v>268</v>
      </c>
      <c r="CT113" s="1">
        <v>129</v>
      </c>
      <c r="CU113" s="1">
        <v>129</v>
      </c>
      <c r="CV113" s="1">
        <v>100</v>
      </c>
      <c r="CW113" s="1">
        <v>100</v>
      </c>
      <c r="CX113" s="1">
        <v>100</v>
      </c>
      <c r="CY113" s="1">
        <v>0</v>
      </c>
      <c r="CZ113" s="1">
        <v>0</v>
      </c>
      <c r="DA113" s="1">
        <v>1</v>
      </c>
      <c r="DB113" s="1">
        <v>1</v>
      </c>
      <c r="DC113" s="1">
        <v>1</v>
      </c>
      <c r="DD113" s="1" t="s">
        <v>53</v>
      </c>
    </row>
    <row r="114" spans="1:108" s="3" customFormat="1" x14ac:dyDescent="0.2">
      <c r="A114" s="3" t="s">
        <v>1312</v>
      </c>
      <c r="B114" s="3" t="str">
        <f>HYPERLINK(".\links\\gi_346471039-.txt","gi_346471039")</f>
        <v>gi_346471039</v>
      </c>
      <c r="C114" s="3" t="s">
        <v>35</v>
      </c>
      <c r="D114" s="3">
        <v>141</v>
      </c>
      <c r="E114" s="9" t="s">
        <v>173</v>
      </c>
      <c r="F114" s="3" t="s">
        <v>1252</v>
      </c>
      <c r="G114" s="3" t="s">
        <v>1478</v>
      </c>
      <c r="H114" s="3" t="str">
        <f>HYPERLINK(".\links\UNIPROT-ACARI\gi_346471039-UNIPROT-ACARI.txt","Putative uncharacterized protein")</f>
        <v>Putative uncharacterized protein</v>
      </c>
      <c r="I114" s="3" t="str">
        <f>HYPERLINK("http://www.ncbi.nlm.nih.gov/sutils/blink.cgi?pid=G3MPE6","3E-079")</f>
        <v>3E-079</v>
      </c>
      <c r="J114" s="3" t="s">
        <v>187</v>
      </c>
      <c r="K114" s="3">
        <v>290</v>
      </c>
      <c r="L114" s="3">
        <v>141</v>
      </c>
      <c r="M114" s="3">
        <v>141</v>
      </c>
      <c r="N114" s="3">
        <v>100</v>
      </c>
      <c r="O114" s="3">
        <v>100</v>
      </c>
      <c r="P114" s="3">
        <v>100</v>
      </c>
      <c r="Q114" s="3">
        <v>0</v>
      </c>
      <c r="R114" s="3">
        <v>0</v>
      </c>
      <c r="S114" s="3">
        <v>1</v>
      </c>
      <c r="T114" s="3">
        <v>1</v>
      </c>
      <c r="U114" s="3">
        <v>1</v>
      </c>
      <c r="V114" s="3" t="s">
        <v>36</v>
      </c>
      <c r="W114" s="3" t="str">
        <f>HYPERLINK(".\links\NR-LIGHT\gi_346471039-NR-LIGHT.txt","gut cystatin")</f>
        <v>gut cystatin</v>
      </c>
      <c r="X114" s="3" t="str">
        <f>HYPERLINK("http://www.ncbi.nlm.nih.gov/sutils/blink.cgi?pid=433552116","7E-035")</f>
        <v>7E-035</v>
      </c>
      <c r="Y114" s="3" t="str">
        <f>HYPERLINK("http://www.ncbi.nlm.nih.gov/protein/433552116","gi|433552116")</f>
        <v>gi|433552116</v>
      </c>
      <c r="Z114" s="3">
        <v>148</v>
      </c>
      <c r="AA114" s="3">
        <v>134</v>
      </c>
      <c r="AB114" s="3">
        <v>140</v>
      </c>
      <c r="AC114" s="3">
        <v>59</v>
      </c>
      <c r="AD114" s="3">
        <v>73</v>
      </c>
      <c r="AE114" s="3">
        <v>96</v>
      </c>
      <c r="AF114" s="3">
        <v>54</v>
      </c>
      <c r="AG114" s="3">
        <v>8</v>
      </c>
      <c r="AH114" s="3">
        <v>12</v>
      </c>
      <c r="AI114" s="3">
        <v>9</v>
      </c>
      <c r="AJ114" s="3">
        <v>1</v>
      </c>
      <c r="AK114" s="3" t="s">
        <v>188</v>
      </c>
      <c r="AL114" s="3" t="str">
        <f>HYPERLINK(".\links\REFSEQ-INVERTEBRATE\gi_346471039-REFSEQ-INVERTEBRATE.txt","secreted cystatin")</f>
        <v>secreted cystatin</v>
      </c>
      <c r="AM114" s="3" t="str">
        <f>HYPERLINK("http://www.ncbi.nlm.nih.gov/sutils/blink.cgi?pid=241999592","3E-025")</f>
        <v>3E-025</v>
      </c>
      <c r="AN114" s="3" t="str">
        <f>HYPERLINK("http://www.ncbi.nlm.nih.gov/protein/241999592","gi|241999592")</f>
        <v>gi|241999592</v>
      </c>
      <c r="AO114" s="3">
        <v>114</v>
      </c>
      <c r="AP114" s="3">
        <v>140</v>
      </c>
      <c r="AQ114" s="3">
        <v>132</v>
      </c>
      <c r="AR114" s="3">
        <v>45</v>
      </c>
      <c r="AS114" s="3">
        <v>60</v>
      </c>
      <c r="AT114" s="3">
        <v>106</v>
      </c>
      <c r="AU114" s="3">
        <v>77</v>
      </c>
      <c r="AV114" s="3">
        <v>11</v>
      </c>
      <c r="AW114" s="3">
        <v>1</v>
      </c>
      <c r="AX114" s="3">
        <v>1</v>
      </c>
      <c r="AY114" s="3">
        <v>1</v>
      </c>
      <c r="AZ114" s="3" t="s">
        <v>40</v>
      </c>
      <c r="BA114" s="3" t="str">
        <f>HYPERLINK(".\links\MEROPS\gi_346471039-MEROPS.txt","- sialostatin L ({Ixodes scapularis}) (Amblyomma maculatum)")</f>
        <v>- sialostatin L ({Ixodes scapularis}) (Amblyomma maculatum)</v>
      </c>
      <c r="BB114" s="3" t="str">
        <f>HYPERLINK("http://www.ncbi.nlm.nih.gov/sutils/blink.cgi?pid=277849 - sialostatin L ({Ixodes scapularis}) (Amblyomma maculatum) [I25.049]#I25B#{inhibitor unit","7E-044")</f>
        <v>7E-044</v>
      </c>
      <c r="BC114" s="3" t="s">
        <v>189</v>
      </c>
      <c r="BD114" s="3">
        <v>176</v>
      </c>
      <c r="BE114" s="3">
        <v>141</v>
      </c>
      <c r="BF114" s="3">
        <v>139</v>
      </c>
      <c r="BG114" s="3">
        <v>66</v>
      </c>
      <c r="BH114" s="3">
        <v>75</v>
      </c>
      <c r="BI114" s="3">
        <v>101</v>
      </c>
      <c r="BJ114" s="3">
        <v>47</v>
      </c>
      <c r="BK114" s="3">
        <v>4</v>
      </c>
      <c r="BL114" s="3">
        <v>1</v>
      </c>
      <c r="BM114" s="3">
        <v>1</v>
      </c>
      <c r="BN114" s="3">
        <v>1</v>
      </c>
      <c r="BO114" s="3" t="s">
        <v>190</v>
      </c>
      <c r="BP114" s="3" t="s">
        <v>191</v>
      </c>
      <c r="BQ114" s="3">
        <f>HYPERLINK(".\links\GO\gi_346471039-GO.txt",0.0000003)</f>
        <v>2.9999999999999999E-7</v>
      </c>
      <c r="BR114" s="3" t="str">
        <f>HYPERLINK("http://amigo.geneontology.org/cgi-bin/amigo/term_details?term=GO:0004869","GO:0004869")</f>
        <v>GO:0004869</v>
      </c>
      <c r="BS114" s="3" t="s">
        <v>192</v>
      </c>
      <c r="BT114" s="3" t="s">
        <v>193</v>
      </c>
      <c r="BU114" s="3" t="s">
        <v>194</v>
      </c>
      <c r="BV114" s="3" t="s">
        <v>36</v>
      </c>
      <c r="BX114" s="3">
        <v>2.5999999999999999E-2</v>
      </c>
      <c r="BY114" s="3" t="str">
        <f>HYPERLINK("http://amigo.geneontology.org/cgi-bin/amigo/term_details?term=GO:0005615","GO:0005615")</f>
        <v>GO:0005615</v>
      </c>
      <c r="BZ114" s="3" t="s">
        <v>195</v>
      </c>
      <c r="CA114" s="3" t="s">
        <v>196</v>
      </c>
      <c r="CB114" s="3" t="s">
        <v>197</v>
      </c>
      <c r="CC114" s="3" t="s">
        <v>36</v>
      </c>
      <c r="CE114" s="3">
        <v>2.5999999999999999E-2</v>
      </c>
      <c r="CF114" s="3" t="str">
        <f>HYPERLINK("http://amigo.geneontology.org/cgi-bin/amigo/term_details?term=GO:0006954","GO:0006954")</f>
        <v>GO:0006954</v>
      </c>
      <c r="CG114" s="3" t="s">
        <v>198</v>
      </c>
      <c r="CH114" s="3" t="s">
        <v>199</v>
      </c>
      <c r="CI114" s="3" t="s">
        <v>200</v>
      </c>
      <c r="CJ114" s="3" t="s">
        <v>36</v>
      </c>
      <c r="CL114" s="3">
        <v>2.5999999999999999E-2</v>
      </c>
      <c r="CM114" s="3" t="str">
        <f>HYPERLINK(".\links\CDD\gi_346471039-CDD.txt","CY")</f>
        <v>CY</v>
      </c>
      <c r="CN114" s="3" t="str">
        <f>HYPERLINK("http://www.ncbi.nlm.nih.gov/Structure/cdd/cddsrv.cgi?uid=cd00042&amp;version=v4.0","1E-005")</f>
        <v>1E-005</v>
      </c>
      <c r="CO114" s="3" t="s">
        <v>201</v>
      </c>
      <c r="CP114" s="3" t="str">
        <f>HYPERLINK(".\links\ACARI\gi_346471039-ACARI.txt","hypothetical protein")</f>
        <v>hypothetical protein</v>
      </c>
      <c r="CQ114" s="3" t="str">
        <f>HYPERLINK("http://www.ncbi.nlm.nih.gov/sutils/blink.cgi?pid=346471039","4E-079")</f>
        <v>4E-079</v>
      </c>
      <c r="CR114" s="3" t="str">
        <f>HYPERLINK("http://www.ncbi.nlm.nih.gov/protein/346471039","gi|346471039")</f>
        <v>gi|346471039</v>
      </c>
      <c r="CS114" s="3">
        <v>290</v>
      </c>
      <c r="CT114" s="3">
        <v>141</v>
      </c>
      <c r="CU114" s="3">
        <v>141</v>
      </c>
      <c r="CV114" s="3">
        <v>100</v>
      </c>
      <c r="CW114" s="3">
        <v>100</v>
      </c>
      <c r="CX114" s="3">
        <v>100</v>
      </c>
      <c r="CY114" s="3">
        <v>0</v>
      </c>
      <c r="CZ114" s="3">
        <v>0</v>
      </c>
      <c r="DA114" s="3">
        <v>1</v>
      </c>
      <c r="DB114" s="3">
        <v>1</v>
      </c>
      <c r="DC114" s="3">
        <v>1</v>
      </c>
      <c r="DD114" s="3" t="s">
        <v>173</v>
      </c>
    </row>
    <row r="115" spans="1:108" s="3" customFormat="1" x14ac:dyDescent="0.2">
      <c r="A115" s="1" t="s">
        <v>1352</v>
      </c>
      <c r="B115" s="1" t="str">
        <f>HYPERLINK(".\links\\gi_189339121-.txt","gi_189339121")</f>
        <v>gi_189339121</v>
      </c>
      <c r="C115" s="1" t="s">
        <v>35</v>
      </c>
      <c r="D115" s="1">
        <v>188</v>
      </c>
      <c r="E115" s="8" t="s">
        <v>53</v>
      </c>
      <c r="F115" s="1" t="s">
        <v>1287</v>
      </c>
      <c r="G115" s="1" t="s">
        <v>1479</v>
      </c>
      <c r="H115" s="1" t="str">
        <f>HYPERLINK(".\links\UNIPROT-ACARI\gi_189339121-UNIPROT-ACARI.txt","Peptidyl-prolyl cis-trans isomerase")</f>
        <v>Peptidyl-prolyl cis-trans isomerase</v>
      </c>
      <c r="I115" s="1" t="str">
        <f>HYPERLINK("http://www.ncbi.nlm.nih.gov/sutils/blink.cgi?pid=B2ZWT4","1E-109")</f>
        <v>1E-109</v>
      </c>
      <c r="J115" s="1" t="s">
        <v>904</v>
      </c>
      <c r="K115" s="1">
        <v>391</v>
      </c>
      <c r="L115" s="1">
        <v>188</v>
      </c>
      <c r="M115" s="1">
        <v>188</v>
      </c>
      <c r="N115" s="1">
        <v>100</v>
      </c>
      <c r="O115" s="1">
        <v>100</v>
      </c>
      <c r="P115" s="1">
        <v>100</v>
      </c>
      <c r="Q115" s="1">
        <v>0</v>
      </c>
      <c r="R115" s="1">
        <v>0</v>
      </c>
      <c r="S115" s="1">
        <v>1</v>
      </c>
      <c r="T115" s="1">
        <v>1</v>
      </c>
      <c r="U115" s="1">
        <v>1</v>
      </c>
      <c r="V115" s="1" t="s">
        <v>36</v>
      </c>
      <c r="W115" s="1" t="str">
        <f>HYPERLINK(".\links\NR-LIGHT\gi_189339121-NR-LIGHT.txt","cyclophilin A")</f>
        <v>cyclophilin A</v>
      </c>
      <c r="X115" s="1" t="str">
        <f>HYPERLINK("http://www.ncbi.nlm.nih.gov/sutils/blink.cgi?pid=189339121","1E-108")</f>
        <v>1E-108</v>
      </c>
      <c r="Y115" s="1" t="str">
        <f>HYPERLINK("http://www.ncbi.nlm.nih.gov/protein/189339121","gi|189339121")</f>
        <v>gi|189339121</v>
      </c>
      <c r="Z115" s="1">
        <v>391</v>
      </c>
      <c r="AA115" s="1">
        <v>188</v>
      </c>
      <c r="AB115" s="1">
        <v>188</v>
      </c>
      <c r="AC115" s="1">
        <v>100</v>
      </c>
      <c r="AD115" s="1">
        <v>100</v>
      </c>
      <c r="AE115" s="1">
        <v>100</v>
      </c>
      <c r="AF115" s="1">
        <v>0</v>
      </c>
      <c r="AG115" s="1">
        <v>0</v>
      </c>
      <c r="AH115" s="1">
        <v>1</v>
      </c>
      <c r="AI115" s="1">
        <v>1</v>
      </c>
      <c r="AJ115" s="1">
        <v>1</v>
      </c>
      <c r="AK115" s="1" t="s">
        <v>53</v>
      </c>
      <c r="AL115" s="1" t="str">
        <f>HYPERLINK(".\links\REFSEQ-INVERTEBRATE\gi_189339121-REFSEQ-INVERTEBRATE.txt","peptidyl-prolyl cis-trans isomerase")</f>
        <v>peptidyl-prolyl cis-trans isomerase</v>
      </c>
      <c r="AM115" s="1" t="str">
        <f>HYPERLINK("http://www.ncbi.nlm.nih.gov/sutils/blink.cgi?pid=644998852","5E-078")</f>
        <v>5E-078</v>
      </c>
      <c r="AN115" s="1" t="str">
        <f>HYPERLINK("http://www.ncbi.nlm.nih.gov/protein/644998852","gi|644998852")</f>
        <v>gi|644998852</v>
      </c>
      <c r="AO115" s="1">
        <v>291</v>
      </c>
      <c r="AP115" s="1">
        <v>155</v>
      </c>
      <c r="AQ115" s="1">
        <v>165</v>
      </c>
      <c r="AR115" s="1">
        <v>86</v>
      </c>
      <c r="AS115" s="1">
        <v>95</v>
      </c>
      <c r="AT115" s="1">
        <v>94</v>
      </c>
      <c r="AU115" s="1">
        <v>21</v>
      </c>
      <c r="AV115" s="1">
        <v>0</v>
      </c>
      <c r="AW115" s="1">
        <v>1</v>
      </c>
      <c r="AX115" s="1">
        <v>1</v>
      </c>
      <c r="AY115" s="1">
        <v>1</v>
      </c>
      <c r="AZ115" s="1" t="s">
        <v>905</v>
      </c>
      <c r="BA115" s="1" t="str">
        <f>HYPERLINK(".\links\MEROPS\gi_189339121-MEROPS.txt","- subfamily M14B non-peptidase homologues (Metaseiulus occidentalis)")</f>
        <v>- subfamily M14B non-peptidase homologues (Metaseiulus occidentalis)</v>
      </c>
      <c r="BB115" s="1" t="str">
        <f>HYPERLINK("http://www.ncbi.nlm.nih.gov/sutils/blink.cgi?pid=382737 - subfamily M14B non-peptidase homologues (Metaseiulus occidentalis) [M14.UNB]#M14B#{peptidase unit","5E-065")</f>
        <v>5E-065</v>
      </c>
      <c r="BC115" s="1" t="s">
        <v>906</v>
      </c>
      <c r="BD115" s="1">
        <v>247</v>
      </c>
      <c r="BE115" s="1">
        <v>150</v>
      </c>
      <c r="BF115" s="1">
        <v>637</v>
      </c>
      <c r="BG115" s="1">
        <v>76</v>
      </c>
      <c r="BH115" s="1">
        <v>86</v>
      </c>
      <c r="BI115" s="1">
        <v>24</v>
      </c>
      <c r="BJ115" s="1">
        <v>36</v>
      </c>
      <c r="BK115" s="1">
        <v>0</v>
      </c>
      <c r="BL115" s="1">
        <v>477</v>
      </c>
      <c r="BM115" s="1">
        <v>4</v>
      </c>
      <c r="BN115" s="1">
        <v>1</v>
      </c>
      <c r="BO115" s="1" t="s">
        <v>907</v>
      </c>
      <c r="BP115" s="1" t="s">
        <v>908</v>
      </c>
      <c r="BQ115" s="1">
        <f>HYPERLINK(".\links\GO\gi_189339121-GO.txt",6E-73)</f>
        <v>6.0000000000000003E-73</v>
      </c>
      <c r="BR115" s="1" t="str">
        <f>HYPERLINK("http://amigo.geneontology.org/cgi-bin/amigo/term_details?term=GO:0003755","GO:0003755")</f>
        <v>GO:0003755</v>
      </c>
      <c r="BS115" s="1" t="s">
        <v>909</v>
      </c>
      <c r="BT115" s="1" t="s">
        <v>910</v>
      </c>
      <c r="BU115" s="1" t="s">
        <v>911</v>
      </c>
      <c r="BV115" s="1" t="str">
        <f>HYPERLINK("http://www.genome.jp/dbget-bin/www_bfind_sub?mode=bfind&amp;max_hit=1000&amp;dbkey=kegg&amp;keywords=EC:5.2.1.8","EC:5.2.1.8")</f>
        <v>EC:5.2.1.8</v>
      </c>
      <c r="BW115" s="1"/>
      <c r="BX115" s="2">
        <v>6.0000000000000003E-73</v>
      </c>
      <c r="BY115" s="1" t="str">
        <f>HYPERLINK("http://amigo.geneontology.org/cgi-bin/amigo/term_details?term=GO:0005829","GO:0005829")</f>
        <v>GO:0005829</v>
      </c>
      <c r="BZ115" s="1" t="s">
        <v>643</v>
      </c>
      <c r="CA115" s="1" t="s">
        <v>644</v>
      </c>
      <c r="CB115" s="1" t="s">
        <v>36</v>
      </c>
      <c r="CC115" s="1" t="s">
        <v>36</v>
      </c>
      <c r="CD115" s="1"/>
      <c r="CE115" s="2">
        <v>6.0000000000000003E-73</v>
      </c>
      <c r="CF115" s="1" t="str">
        <f>HYPERLINK("http://amigo.geneontology.org/cgi-bin/amigo/term_details?term=GO:0006457","GO:0006457")</f>
        <v>GO:0006457</v>
      </c>
      <c r="CG115" s="1" t="s">
        <v>525</v>
      </c>
      <c r="CH115" s="1" t="s">
        <v>526</v>
      </c>
      <c r="CI115" s="1" t="s">
        <v>527</v>
      </c>
      <c r="CJ115" s="1" t="s">
        <v>36</v>
      </c>
      <c r="CK115" s="1"/>
      <c r="CL115" s="2">
        <v>6.0000000000000003E-73</v>
      </c>
      <c r="CM115" s="1" t="str">
        <f>HYPERLINK(".\links\CDD\gi_189339121-CDD.txt","cyclophilin_ABH")</f>
        <v>cyclophilin_ABH</v>
      </c>
      <c r="CN115" s="1" t="str">
        <f>HYPERLINK("http://www.ncbi.nlm.nih.gov/Structure/cdd/cddsrv.cgi?uid=cd01926&amp;version=v4.0","2E-069")</f>
        <v>2E-069</v>
      </c>
      <c r="CO115" s="1" t="s">
        <v>912</v>
      </c>
      <c r="CP115" s="1" t="str">
        <f>HYPERLINK(".\links\ACARI\gi_189339121-ACARI.txt","cyclophilin A")</f>
        <v>cyclophilin A</v>
      </c>
      <c r="CQ115" s="1" t="str">
        <f>HYPERLINK("http://www.ncbi.nlm.nih.gov/sutils/blink.cgi?pid=189339121","1E-109")</f>
        <v>1E-109</v>
      </c>
      <c r="CR115" s="1" t="str">
        <f>HYPERLINK("http://www.ncbi.nlm.nih.gov/protein/189339121","gi|189339121")</f>
        <v>gi|189339121</v>
      </c>
      <c r="CS115" s="1">
        <v>391</v>
      </c>
      <c r="CT115" s="1">
        <v>188</v>
      </c>
      <c r="CU115" s="1">
        <v>188</v>
      </c>
      <c r="CV115" s="1">
        <v>100</v>
      </c>
      <c r="CW115" s="1">
        <v>100</v>
      </c>
      <c r="CX115" s="1">
        <v>100</v>
      </c>
      <c r="CY115" s="1">
        <v>0</v>
      </c>
      <c r="CZ115" s="1">
        <v>0</v>
      </c>
      <c r="DA115" s="1">
        <v>1</v>
      </c>
      <c r="DB115" s="1">
        <v>1</v>
      </c>
      <c r="DC115" s="1">
        <v>1</v>
      </c>
      <c r="DD115" s="1" t="s">
        <v>53</v>
      </c>
    </row>
    <row r="116" spans="1:108" s="3" customFormat="1" x14ac:dyDescent="0.2">
      <c r="A116" s="3" t="s">
        <v>1299</v>
      </c>
      <c r="B116" s="3" t="str">
        <f>HYPERLINK(".\links\\gi_215492851-.txt","gi_215492851")</f>
        <v>gi_215492851</v>
      </c>
      <c r="C116" s="3" t="s">
        <v>35</v>
      </c>
      <c r="D116" s="3">
        <v>800</v>
      </c>
      <c r="E116" s="9" t="s">
        <v>40</v>
      </c>
      <c r="F116" s="3" t="s">
        <v>1254</v>
      </c>
      <c r="G116" s="1" t="s">
        <v>1479</v>
      </c>
      <c r="H116" s="3" t="str">
        <f>HYPERLINK(".\links\UNIPROT-ACARI\gi_215492851-UNIPROT-ACARI.txt","Fasciclin, putative")</f>
        <v>Fasciclin, putative</v>
      </c>
      <c r="I116" s="3" t="str">
        <f>HYPERLINK("http://www.ncbi.nlm.nih.gov/sutils/blink.cgi?pid=B7P7C0","0.0")</f>
        <v>0.0</v>
      </c>
      <c r="J116" s="3" t="s">
        <v>227</v>
      </c>
      <c r="K116" s="3">
        <v>1598</v>
      </c>
      <c r="L116" s="3">
        <v>800</v>
      </c>
      <c r="M116" s="3">
        <v>800</v>
      </c>
      <c r="N116" s="3">
        <v>100</v>
      </c>
      <c r="O116" s="3">
        <v>100</v>
      </c>
      <c r="P116" s="3">
        <v>100</v>
      </c>
      <c r="Q116" s="3">
        <v>0</v>
      </c>
      <c r="R116" s="3">
        <v>0</v>
      </c>
      <c r="S116" s="3">
        <v>1</v>
      </c>
      <c r="T116" s="3">
        <v>1</v>
      </c>
      <c r="U116" s="3">
        <v>1</v>
      </c>
      <c r="V116" s="3" t="s">
        <v>36</v>
      </c>
      <c r="W116" s="3" t="str">
        <f>HYPERLINK(".\links\NR-LIGHT\gi_215492851-NR-LIGHT.txt","fasciclin, putative")</f>
        <v>fasciclin, putative</v>
      </c>
      <c r="X116" s="3" t="str">
        <f>HYPERLINK("http://www.ncbi.nlm.nih.gov/sutils/blink.cgi?pid=241104748","0.0")</f>
        <v>0.0</v>
      </c>
      <c r="Y116" s="3" t="str">
        <f>HYPERLINK("http://www.ncbi.nlm.nih.gov/protein/241104748","gi|241104748")</f>
        <v>gi|241104748</v>
      </c>
      <c r="Z116" s="3">
        <v>1598</v>
      </c>
      <c r="AA116" s="3">
        <v>800</v>
      </c>
      <c r="AB116" s="3">
        <v>800</v>
      </c>
      <c r="AC116" s="3">
        <v>100</v>
      </c>
      <c r="AD116" s="3">
        <v>100</v>
      </c>
      <c r="AE116" s="3">
        <v>100</v>
      </c>
      <c r="AF116" s="3">
        <v>0</v>
      </c>
      <c r="AG116" s="3">
        <v>0</v>
      </c>
      <c r="AH116" s="3">
        <v>1</v>
      </c>
      <c r="AI116" s="3">
        <v>1</v>
      </c>
      <c r="AJ116" s="3">
        <v>1</v>
      </c>
      <c r="AK116" s="3" t="s">
        <v>40</v>
      </c>
      <c r="AL116" s="3" t="str">
        <f>HYPERLINK(".\links\REFSEQ-INVERTEBRATE\gi_215492851-REFSEQ-INVERTEBRATE.txt","fasciclin, putative")</f>
        <v>fasciclin, putative</v>
      </c>
      <c r="AM116" s="3" t="str">
        <f>HYPERLINK("http://www.ncbi.nlm.nih.gov/sutils/blink.cgi?pid=241104748","0.0")</f>
        <v>0.0</v>
      </c>
      <c r="AN116" s="3" t="str">
        <f>HYPERLINK("http://www.ncbi.nlm.nih.gov/protein/241104748","gi|241104748")</f>
        <v>gi|241104748</v>
      </c>
      <c r="AO116" s="3">
        <v>1598</v>
      </c>
      <c r="AP116" s="3">
        <v>800</v>
      </c>
      <c r="AQ116" s="3">
        <v>800</v>
      </c>
      <c r="AR116" s="3">
        <v>100</v>
      </c>
      <c r="AS116" s="3">
        <v>100</v>
      </c>
      <c r="AT116" s="3">
        <v>100</v>
      </c>
      <c r="AU116" s="3">
        <v>0</v>
      </c>
      <c r="AV116" s="3">
        <v>0</v>
      </c>
      <c r="AW116" s="3">
        <v>1</v>
      </c>
      <c r="AX116" s="3">
        <v>1</v>
      </c>
      <c r="AY116" s="3">
        <v>1</v>
      </c>
      <c r="AZ116" s="3" t="s">
        <v>40</v>
      </c>
      <c r="BA116" s="3" t="str">
        <f>HYPERLINK(".\links\MEROPS\gi_215492851-MEROPS.txt","- family I63 unassigned peptidase inhibitors (Dipodomys ordii)")</f>
        <v>- family I63 unassigned peptidase inhibitors (Dipodomys ordii)</v>
      </c>
      <c r="BB116" s="3" t="str">
        <f>HYPERLINK("http://www.ncbi.nlm.nih.gov/sutils/blink.cgi?pid=157506 - family I63 unassigned peptidase inhibitors (Dipodomys ordii) [I63.UPW]#I63#{inhibitor unit","5E-007")</f>
        <v>5E-007</v>
      </c>
      <c r="BC116" s="3" t="s">
        <v>228</v>
      </c>
      <c r="BD116" s="3">
        <v>57.8</v>
      </c>
      <c r="BE116" s="3">
        <v>275</v>
      </c>
      <c r="BF116" s="3">
        <v>2546</v>
      </c>
      <c r="BG116" s="3">
        <v>21</v>
      </c>
      <c r="BH116" s="3">
        <v>41</v>
      </c>
      <c r="BI116" s="3">
        <v>11</v>
      </c>
      <c r="BJ116" s="3">
        <v>217</v>
      </c>
      <c r="BK116" s="3">
        <v>25</v>
      </c>
      <c r="BL116" s="3">
        <v>1011</v>
      </c>
      <c r="BM116" s="3">
        <v>519</v>
      </c>
      <c r="BN116" s="3">
        <v>1</v>
      </c>
      <c r="BO116" s="3" t="s">
        <v>73</v>
      </c>
      <c r="BP116" s="3" t="s">
        <v>229</v>
      </c>
      <c r="BQ116" s="3">
        <f>HYPERLINK(".\links\GO\gi_215492851-GO.txt",5E-70)</f>
        <v>4.9999999999999998E-70</v>
      </c>
      <c r="BR116" s="3" t="str">
        <f>HYPERLINK("http://amigo.geneontology.org/cgi-bin/amigo/term_details?term=GO:0050839","GO:0050839")</f>
        <v>GO:0050839</v>
      </c>
      <c r="BS116" s="3" t="s">
        <v>230</v>
      </c>
      <c r="BT116" s="3" t="s">
        <v>231</v>
      </c>
      <c r="BU116" s="3" t="s">
        <v>232</v>
      </c>
      <c r="BV116" s="3" t="s">
        <v>36</v>
      </c>
      <c r="BX116" s="4">
        <v>4.9999999999999998E-70</v>
      </c>
      <c r="BY116" s="3" t="str">
        <f>HYPERLINK("http://amigo.geneontology.org/cgi-bin/amigo/term_details?term=GO:0005886","GO:0005886")</f>
        <v>GO:0005886</v>
      </c>
      <c r="BZ116" s="3" t="s">
        <v>106</v>
      </c>
      <c r="CA116" s="3" t="s">
        <v>107</v>
      </c>
      <c r="CB116" s="3" t="s">
        <v>108</v>
      </c>
      <c r="CC116" s="3" t="s">
        <v>36</v>
      </c>
      <c r="CE116" s="4">
        <v>4.9999999999999998E-70</v>
      </c>
      <c r="CF116" s="3" t="str">
        <f>HYPERLINK("http://amigo.geneontology.org/cgi-bin/amigo/term_details?term=GO:0007409","GO:0007409")</f>
        <v>GO:0007409</v>
      </c>
      <c r="CG116" s="3" t="s">
        <v>233</v>
      </c>
      <c r="CH116" s="3" t="s">
        <v>234</v>
      </c>
      <c r="CI116" s="3" t="s">
        <v>235</v>
      </c>
      <c r="CJ116" s="3" t="s">
        <v>36</v>
      </c>
      <c r="CL116" s="4">
        <v>4.9999999999999998E-70</v>
      </c>
      <c r="CM116" s="3" t="str">
        <f>HYPERLINK(".\links\CDD\gi_215492851-CDD.txt","Fasciclin")</f>
        <v>Fasciclin</v>
      </c>
      <c r="CN116" s="3" t="str">
        <f>HYPERLINK("http://www.ncbi.nlm.nih.gov/Structure/cdd/cddsrv.cgi?uid=pfam02469&amp;version=v4.0","6E-015")</f>
        <v>6E-015</v>
      </c>
      <c r="CO116" s="3" t="s">
        <v>236</v>
      </c>
      <c r="CP116" s="3" t="str">
        <f>HYPERLINK(".\links\ACARI\gi_215492851-ACARI.txt","fasciclin, putative")</f>
        <v>fasciclin, putative</v>
      </c>
      <c r="CQ116" s="3" t="str">
        <f>HYPERLINK("http://www.ncbi.nlm.nih.gov/sutils/blink.cgi?pid=241104748","0.0")</f>
        <v>0.0</v>
      </c>
      <c r="CR116" s="3" t="str">
        <f>HYPERLINK("http://www.ncbi.nlm.nih.gov/protein/241104748","gi|241104748")</f>
        <v>gi|241104748</v>
      </c>
      <c r="CS116" s="3">
        <v>1598</v>
      </c>
      <c r="CT116" s="3">
        <v>800</v>
      </c>
      <c r="CU116" s="3">
        <v>800</v>
      </c>
      <c r="CV116" s="3">
        <v>100</v>
      </c>
      <c r="CW116" s="3">
        <v>100</v>
      </c>
      <c r="CX116" s="3">
        <v>100</v>
      </c>
      <c r="CY116" s="3">
        <v>0</v>
      </c>
      <c r="CZ116" s="3">
        <v>0</v>
      </c>
      <c r="DA116" s="3">
        <v>1</v>
      </c>
      <c r="DB116" s="3">
        <v>1</v>
      </c>
      <c r="DC116" s="3">
        <v>1</v>
      </c>
      <c r="DD116" s="3" t="s">
        <v>40</v>
      </c>
    </row>
    <row r="117" spans="1:108" s="3" customFormat="1" x14ac:dyDescent="0.2">
      <c r="A117" s="3" t="s">
        <v>1374</v>
      </c>
      <c r="B117" s="3" t="str">
        <f>HYPERLINK(".\links\\gi_346465995-.txt","gi_346465995")</f>
        <v>gi_346465995</v>
      </c>
      <c r="C117" s="3" t="s">
        <v>369</v>
      </c>
      <c r="D117" s="3">
        <v>127</v>
      </c>
      <c r="E117" s="9" t="s">
        <v>173</v>
      </c>
      <c r="F117" s="3" t="s">
        <v>1288</v>
      </c>
      <c r="G117" s="1" t="s">
        <v>1479</v>
      </c>
      <c r="H117" s="3" t="str">
        <f>HYPERLINK(".\links\UNIPROT-ACARI\gi_346465995-UNIPROT-ACARI.txt","Putative uncharacterized protein (Fragment)")</f>
        <v>Putative uncharacterized protein (Fragment)</v>
      </c>
      <c r="I117" s="3" t="str">
        <f>HYPERLINK("http://www.ncbi.nlm.nih.gov/sutils/blink.cgi?pid=G3MH74","2E-076")</f>
        <v>2E-076</v>
      </c>
      <c r="J117" s="3" t="s">
        <v>788</v>
      </c>
      <c r="K117" s="3">
        <v>280</v>
      </c>
      <c r="L117" s="3">
        <v>127</v>
      </c>
      <c r="M117" s="3">
        <v>127</v>
      </c>
      <c r="N117" s="3">
        <v>100</v>
      </c>
      <c r="O117" s="3">
        <v>100</v>
      </c>
      <c r="P117" s="3">
        <v>100</v>
      </c>
      <c r="Q117" s="3">
        <v>0</v>
      </c>
      <c r="R117" s="3">
        <v>0</v>
      </c>
      <c r="S117" s="3">
        <v>1</v>
      </c>
      <c r="T117" s="3">
        <v>1</v>
      </c>
      <c r="U117" s="3">
        <v>1</v>
      </c>
      <c r="V117" s="3" t="s">
        <v>36</v>
      </c>
      <c r="W117" s="3" t="str">
        <f>HYPERLINK(".\links\NR-LIGHT\gi_346465995-NR-LIGHT.txt","regulatory protein MLP")</f>
        <v>regulatory protein MLP</v>
      </c>
      <c r="X117" s="3" t="str">
        <f>HYPERLINK("http://www.ncbi.nlm.nih.gov/sutils/blink.cgi?pid=325304086","9E-062")</f>
        <v>9E-062</v>
      </c>
      <c r="Y117" s="3" t="str">
        <f>HYPERLINK("http://www.ncbi.nlm.nih.gov/protein/325304086","gi|325304086")</f>
        <v>gi|325304086</v>
      </c>
      <c r="Z117" s="3">
        <v>237</v>
      </c>
      <c r="AA117" s="3">
        <v>106</v>
      </c>
      <c r="AB117" s="3">
        <v>106</v>
      </c>
      <c r="AC117" s="3">
        <v>98</v>
      </c>
      <c r="AD117" s="3">
        <v>99</v>
      </c>
      <c r="AE117" s="3">
        <v>100</v>
      </c>
      <c r="AF117" s="3">
        <v>2</v>
      </c>
      <c r="AG117" s="3">
        <v>0</v>
      </c>
      <c r="AH117" s="3">
        <v>1</v>
      </c>
      <c r="AI117" s="3">
        <v>22</v>
      </c>
      <c r="AJ117" s="3">
        <v>1</v>
      </c>
      <c r="AK117" s="3" t="s">
        <v>114</v>
      </c>
      <c r="AL117" s="3" t="str">
        <f>HYPERLINK(".\links\REFSEQ-INVERTEBRATE\gi_346465995-REFSEQ-INVERTEBRATE.txt","muscle LIM protein isoform A isoform, putative")</f>
        <v>muscle LIM protein isoform A isoform, putative</v>
      </c>
      <c r="AM117" s="3" t="str">
        <f>HYPERLINK("http://www.ncbi.nlm.nih.gov/sutils/blink.cgi?pid=241998844","1E-060")</f>
        <v>1E-060</v>
      </c>
      <c r="AN117" s="3" t="str">
        <f>HYPERLINK("http://www.ncbi.nlm.nih.gov/protein/241998844","gi|241998844")</f>
        <v>gi|241998844</v>
      </c>
      <c r="AO117" s="3">
        <v>232</v>
      </c>
      <c r="AP117" s="3">
        <v>106</v>
      </c>
      <c r="AQ117" s="3">
        <v>106</v>
      </c>
      <c r="AR117" s="3">
        <v>95</v>
      </c>
      <c r="AS117" s="3">
        <v>98</v>
      </c>
      <c r="AT117" s="3">
        <v>100</v>
      </c>
      <c r="AU117" s="3">
        <v>5</v>
      </c>
      <c r="AV117" s="3">
        <v>0</v>
      </c>
      <c r="AW117" s="3">
        <v>1</v>
      </c>
      <c r="AX117" s="3">
        <v>22</v>
      </c>
      <c r="AY117" s="3">
        <v>1</v>
      </c>
      <c r="AZ117" s="3" t="s">
        <v>40</v>
      </c>
      <c r="BA117" s="3" t="str">
        <f>HYPERLINK(".\links\MEROPS\gi_346465995-MEROPS.txt","- family M13 non-peptidase homologues (Takifugu rubripes)")</f>
        <v>- family M13 non-peptidase homologues (Takifugu rubripes)</v>
      </c>
      <c r="BB117" s="3" t="str">
        <f>HYPERLINK("http://www.ncbi.nlm.nih.gov/sutils/blink.cgi?pid=314733 - family M13 non-peptidase homologues (Takifugu rubripes) [M13.UNW]#M13#{peptidase unit","0.056")</f>
        <v>0.056</v>
      </c>
      <c r="BC117" s="3" t="s">
        <v>789</v>
      </c>
      <c r="BD117" s="3">
        <v>36.6</v>
      </c>
      <c r="BE117" s="3">
        <v>54</v>
      </c>
      <c r="BF117" s="3">
        <v>818</v>
      </c>
      <c r="BG117" s="3">
        <v>29</v>
      </c>
      <c r="BH117" s="3">
        <v>48</v>
      </c>
      <c r="BI117" s="3">
        <v>7</v>
      </c>
      <c r="BJ117" s="3">
        <v>38</v>
      </c>
      <c r="BK117" s="3">
        <v>1</v>
      </c>
      <c r="BL117" s="3">
        <v>242</v>
      </c>
      <c r="BM117" s="3">
        <v>32</v>
      </c>
      <c r="BN117" s="3">
        <v>1</v>
      </c>
      <c r="BO117" s="3" t="s">
        <v>790</v>
      </c>
      <c r="BP117" s="3" t="s">
        <v>791</v>
      </c>
      <c r="BQ117" s="3">
        <f>HYPERLINK(".\links\GO\gi_346465995-GO.txt",3E-36)</f>
        <v>3.0000000000000002E-36</v>
      </c>
      <c r="BR117" s="3" t="str">
        <f>HYPERLINK("http://amigo.geneontology.org/cgi-bin/amigo/term_details?term=GO:0008270","GO:0008270")</f>
        <v>GO:0008270</v>
      </c>
      <c r="BS117" s="3" t="s">
        <v>454</v>
      </c>
      <c r="BT117" s="3" t="s">
        <v>455</v>
      </c>
      <c r="BU117" s="3" t="s">
        <v>456</v>
      </c>
      <c r="BV117" s="3" t="s">
        <v>36</v>
      </c>
      <c r="BX117" s="4">
        <v>6.0000000000000003E-36</v>
      </c>
      <c r="BY117" s="3" t="str">
        <f>HYPERLINK("http://amigo.geneontology.org/cgi-bin/amigo/term_details?term=GO:0015629","GO:0015629")</f>
        <v>GO:0015629</v>
      </c>
      <c r="BZ117" s="3" t="s">
        <v>318</v>
      </c>
      <c r="CA117" s="3" t="s">
        <v>319</v>
      </c>
      <c r="CB117" s="3" t="s">
        <v>36</v>
      </c>
      <c r="CC117" s="3" t="s">
        <v>36</v>
      </c>
      <c r="CE117" s="4">
        <v>6.0000000000000003E-36</v>
      </c>
      <c r="CF117" s="3" t="str">
        <f>HYPERLINK("http://amigo.geneontology.org/cgi-bin/amigo/term_details?term=GO:0060537","GO:0060537")</f>
        <v>GO:0060537</v>
      </c>
      <c r="CG117" s="3" t="s">
        <v>792</v>
      </c>
      <c r="CH117" s="3" t="s">
        <v>793</v>
      </c>
      <c r="CI117" s="3" t="s">
        <v>36</v>
      </c>
      <c r="CJ117" s="3" t="s">
        <v>36</v>
      </c>
      <c r="CL117" s="4">
        <v>6.0000000000000003E-36</v>
      </c>
      <c r="CM117" s="3" t="str">
        <f>HYPERLINK(".\links\CDD\gi_346465995-CDD.txt","LIM1_MLP84B_lik")</f>
        <v>LIM1_MLP84B_lik</v>
      </c>
      <c r="CN117" s="3" t="str">
        <f>HYPERLINK("http://www.ncbi.nlm.nih.gov/Structure/cdd/cddsrv.cgi?uid=cd09404&amp;version=v4.0","3E-022")</f>
        <v>3E-022</v>
      </c>
      <c r="CO117" s="3" t="s">
        <v>794</v>
      </c>
      <c r="CP117" s="3" t="str">
        <f>HYPERLINK(".\links\ACARI\gi_346465995-ACARI.txt","hypothetical protein, partial")</f>
        <v>hypothetical protein, partial</v>
      </c>
      <c r="CQ117" s="3" t="str">
        <f>HYPERLINK("http://www.ncbi.nlm.nih.gov/sutils/blink.cgi?pid=346465995","3E-076")</f>
        <v>3E-076</v>
      </c>
      <c r="CR117" s="3" t="str">
        <f>HYPERLINK("http://www.ncbi.nlm.nih.gov/protein/346465995","gi|346465995")</f>
        <v>gi|346465995</v>
      </c>
      <c r="CS117" s="3">
        <v>280</v>
      </c>
      <c r="CT117" s="3">
        <v>127</v>
      </c>
      <c r="CU117" s="3">
        <v>127</v>
      </c>
      <c r="CV117" s="3">
        <v>100</v>
      </c>
      <c r="CW117" s="3">
        <v>100</v>
      </c>
      <c r="CX117" s="3">
        <v>100</v>
      </c>
      <c r="CY117" s="3">
        <v>0</v>
      </c>
      <c r="CZ117" s="3">
        <v>0</v>
      </c>
      <c r="DA117" s="3">
        <v>1</v>
      </c>
      <c r="DB117" s="3">
        <v>1</v>
      </c>
      <c r="DC117" s="3">
        <v>1</v>
      </c>
      <c r="DD117" s="3" t="s">
        <v>173</v>
      </c>
    </row>
    <row r="118" spans="1:108" s="3" customFormat="1" x14ac:dyDescent="0.2">
      <c r="A118" s="3" t="s">
        <v>1368</v>
      </c>
      <c r="B118" s="3" t="str">
        <f>HYPERLINK(".\links\\gi_556064673-.txt","gi_556064673")</f>
        <v>gi_556064673</v>
      </c>
      <c r="C118" s="3" t="s">
        <v>35</v>
      </c>
      <c r="D118" s="3">
        <v>151</v>
      </c>
      <c r="E118" s="9" t="s">
        <v>37</v>
      </c>
      <c r="F118" s="3" t="s">
        <v>1255</v>
      </c>
      <c r="G118" s="1" t="s">
        <v>1479</v>
      </c>
      <c r="H118" s="3" t="str">
        <f>HYPERLINK(".\links\UNIPROT-ACARI\gi_556064673-UNIPROT-ACARI.txt","Putative calmodulin")</f>
        <v>Putative calmodulin</v>
      </c>
      <c r="I118" s="3" t="str">
        <f>HYPERLINK("http://www.ncbi.nlm.nih.gov/sutils/blink.cgi?pid=V5HJA5","2E-081")</f>
        <v>2E-081</v>
      </c>
      <c r="J118" s="3" t="s">
        <v>461</v>
      </c>
      <c r="K118" s="3">
        <v>298</v>
      </c>
      <c r="L118" s="3">
        <v>151</v>
      </c>
      <c r="M118" s="3">
        <v>151</v>
      </c>
      <c r="N118" s="3">
        <v>100</v>
      </c>
      <c r="O118" s="3">
        <v>100</v>
      </c>
      <c r="P118" s="3">
        <v>100</v>
      </c>
      <c r="Q118" s="3">
        <v>0</v>
      </c>
      <c r="R118" s="3">
        <v>0</v>
      </c>
      <c r="S118" s="3">
        <v>1</v>
      </c>
      <c r="T118" s="3">
        <v>1</v>
      </c>
      <c r="U118" s="3">
        <v>1</v>
      </c>
      <c r="V118" s="3" t="s">
        <v>36</v>
      </c>
      <c r="W118" s="3" t="str">
        <f>HYPERLINK(".\links\NR-LIGHT\gi_556064673-NR-LIGHT.txt","calmodulin, isoform A")</f>
        <v>calmodulin, isoform A</v>
      </c>
      <c r="X118" s="3" t="str">
        <f>HYPERLINK("http://www.ncbi.nlm.nih.gov/sutils/blink.cgi?pid=17647231","2E-069")</f>
        <v>2E-069</v>
      </c>
      <c r="Y118" s="3" t="str">
        <f>HYPERLINK("http://www.ncbi.nlm.nih.gov/protein/17647231","gi|17647231")</f>
        <v>gi|17647231</v>
      </c>
      <c r="Z118" s="3">
        <v>263</v>
      </c>
      <c r="AA118" s="3">
        <v>151</v>
      </c>
      <c r="AB118" s="3">
        <v>149</v>
      </c>
      <c r="AC118" s="3">
        <v>90</v>
      </c>
      <c r="AD118" s="3">
        <v>93</v>
      </c>
      <c r="AE118" s="3">
        <v>101</v>
      </c>
      <c r="AF118" s="3">
        <v>14</v>
      </c>
      <c r="AG118" s="3">
        <v>2</v>
      </c>
      <c r="AH118" s="3">
        <v>1</v>
      </c>
      <c r="AI118" s="3">
        <v>1</v>
      </c>
      <c r="AJ118" s="3">
        <v>1</v>
      </c>
      <c r="AK118" s="3" t="s">
        <v>153</v>
      </c>
      <c r="AL118" s="3" t="str">
        <f>HYPERLINK(".\links\REFSEQ-INVERTEBRATE\gi_556064673-REFSEQ-INVERTEBRATE.txt","calmodulin-like isoform X2")</f>
        <v>calmodulin-like isoform X2</v>
      </c>
      <c r="AM118" s="3" t="str">
        <f>HYPERLINK("http://www.ncbi.nlm.nih.gov/sutils/blink.cgi?pid=557763852","6E-070")</f>
        <v>6E-070</v>
      </c>
      <c r="AN118" s="3" t="str">
        <f>HYPERLINK("http://www.ncbi.nlm.nih.gov/protein/557763852","gi|557763852")</f>
        <v>gi|557763852</v>
      </c>
      <c r="AO118" s="3">
        <v>263</v>
      </c>
      <c r="AP118" s="3">
        <v>151</v>
      </c>
      <c r="AQ118" s="3">
        <v>149</v>
      </c>
      <c r="AR118" s="3">
        <v>90</v>
      </c>
      <c r="AS118" s="3">
        <v>93</v>
      </c>
      <c r="AT118" s="3">
        <v>101</v>
      </c>
      <c r="AU118" s="3">
        <v>14</v>
      </c>
      <c r="AV118" s="3">
        <v>2</v>
      </c>
      <c r="AW118" s="3">
        <v>1</v>
      </c>
      <c r="AX118" s="3">
        <v>1</v>
      </c>
      <c r="AY118" s="3">
        <v>1</v>
      </c>
      <c r="AZ118" s="3" t="s">
        <v>462</v>
      </c>
      <c r="BA118" s="3" t="str">
        <f>HYPERLINK(".\links\MEROPS\gi_556064673-MEROPS.txt","- calpain-8 (Symbiodinium minutum)")</f>
        <v>- calpain-8 (Symbiodinium minutum)</v>
      </c>
      <c r="BB118" s="3" t="str">
        <f>HYPERLINK("http://www.ncbi.nlm.nih.gov/sutils/blink.cgi?pid=434482 - calpain-8 (Symbiodinium minutum) [C02.007]#C02A#{peptidase unit","1E-060")</f>
        <v>1E-060</v>
      </c>
      <c r="BC118" s="3" t="s">
        <v>463</v>
      </c>
      <c r="BD118" s="3">
        <v>231</v>
      </c>
      <c r="BE118" s="3">
        <v>143</v>
      </c>
      <c r="BF118" s="3">
        <v>1519</v>
      </c>
      <c r="BG118" s="3">
        <v>81</v>
      </c>
      <c r="BH118" s="3">
        <v>90</v>
      </c>
      <c r="BI118" s="3">
        <v>9</v>
      </c>
      <c r="BJ118" s="3">
        <v>26</v>
      </c>
      <c r="BK118" s="3">
        <v>2</v>
      </c>
      <c r="BL118" s="3">
        <v>763</v>
      </c>
      <c r="BM118" s="3">
        <v>9</v>
      </c>
      <c r="BN118" s="3">
        <v>1</v>
      </c>
      <c r="BO118" s="3" t="s">
        <v>464</v>
      </c>
      <c r="BP118" s="3" t="s">
        <v>465</v>
      </c>
      <c r="BQ118" s="3">
        <f>HYPERLINK(".\links\GO\gi_556064673-GO.txt",4E-70)</f>
        <v>4E-70</v>
      </c>
      <c r="BR118" s="3" t="str">
        <f>HYPERLINK("http://amigo.geneontology.org/cgi-bin/amigo/term_details?term=GO:0005515","GO:0005515")</f>
        <v>GO:0005515</v>
      </c>
      <c r="BS118" s="3" t="s">
        <v>466</v>
      </c>
      <c r="BT118" s="3" t="s">
        <v>467</v>
      </c>
      <c r="BU118" s="3" t="s">
        <v>468</v>
      </c>
      <c r="BV118" s="3" t="s">
        <v>36</v>
      </c>
      <c r="BX118" s="4">
        <v>4E-70</v>
      </c>
      <c r="BY118" s="3" t="str">
        <f>HYPERLINK("http://amigo.geneontology.org/cgi-bin/amigo/term_details?term=GO:0016028","GO:0016028")</f>
        <v>GO:0016028</v>
      </c>
      <c r="BZ118" s="3" t="s">
        <v>469</v>
      </c>
      <c r="CA118" s="3" t="s">
        <v>470</v>
      </c>
      <c r="CB118" s="3" t="s">
        <v>36</v>
      </c>
      <c r="CC118" s="3" t="s">
        <v>36</v>
      </c>
      <c r="CE118" s="4">
        <v>4E-70</v>
      </c>
      <c r="CF118" s="3" t="str">
        <f>HYPERLINK("http://amigo.geneontology.org/cgi-bin/amigo/term_details?term=GO:0016056","GO:0016056")</f>
        <v>GO:0016056</v>
      </c>
      <c r="CG118" s="3" t="s">
        <v>471</v>
      </c>
      <c r="CH118" s="3" t="s">
        <v>472</v>
      </c>
      <c r="CI118" s="3" t="s">
        <v>473</v>
      </c>
      <c r="CJ118" s="3" t="s">
        <v>36</v>
      </c>
      <c r="CL118" s="4">
        <v>4E-70</v>
      </c>
      <c r="CM118" s="3" t="str">
        <f>HYPERLINK(".\links\CDD\gi_556064673-CDD.txt","PTZ00184")</f>
        <v>PTZ00184</v>
      </c>
      <c r="CN118" s="3" t="str">
        <f>HYPERLINK("http://www.ncbi.nlm.nih.gov/Structure/cdd/cddsrv.cgi?uid=PTZ00184&amp;version=v4.0","2E-068")</f>
        <v>2E-068</v>
      </c>
      <c r="CO118" s="3" t="s">
        <v>474</v>
      </c>
      <c r="CP118" s="3" t="str">
        <f>HYPERLINK(".\links\ACARI\gi_556064673-ACARI.txt","putative calmodulin")</f>
        <v>putative calmodulin</v>
      </c>
      <c r="CQ118" s="3" t="str">
        <f>HYPERLINK("http://www.ncbi.nlm.nih.gov/sutils/blink.cgi?pid=556064673","2E-081")</f>
        <v>2E-081</v>
      </c>
      <c r="CR118" s="3" t="str">
        <f>HYPERLINK("http://www.ncbi.nlm.nih.gov/protein/556064673","gi|556064673")</f>
        <v>gi|556064673</v>
      </c>
      <c r="CS118" s="3">
        <v>298</v>
      </c>
      <c r="CT118" s="3">
        <v>151</v>
      </c>
      <c r="CU118" s="3">
        <v>151</v>
      </c>
      <c r="CV118" s="3">
        <v>100</v>
      </c>
      <c r="CW118" s="3">
        <v>100</v>
      </c>
      <c r="CX118" s="3">
        <v>100</v>
      </c>
      <c r="CY118" s="3">
        <v>0</v>
      </c>
      <c r="CZ118" s="3">
        <v>0</v>
      </c>
      <c r="DA118" s="3">
        <v>1</v>
      </c>
      <c r="DB118" s="3">
        <v>1</v>
      </c>
      <c r="DC118" s="3">
        <v>1</v>
      </c>
      <c r="DD118" s="3" t="s">
        <v>37</v>
      </c>
    </row>
    <row r="119" spans="1:108" s="3" customFormat="1" x14ac:dyDescent="0.2">
      <c r="A119" s="3" t="s">
        <v>1414</v>
      </c>
      <c r="B119" s="3" t="str">
        <f>HYPERLINK(".\links\\Rm-69112-.txt","Rm-69112")</f>
        <v>Rm-69112</v>
      </c>
      <c r="C119" s="3" t="s">
        <v>35</v>
      </c>
      <c r="D119" s="3">
        <v>245</v>
      </c>
      <c r="E119" s="9" t="s">
        <v>203</v>
      </c>
      <c r="F119" s="3" t="s">
        <v>1453</v>
      </c>
      <c r="G119" s="1" t="s">
        <v>1479</v>
      </c>
      <c r="H119" s="3" t="str">
        <f>HYPERLINK(".\links\UNIPROT-ACARI\Rm-69112-UNIPROT-ACARI.txt","Uncharacterized protein")</f>
        <v>Uncharacterized protein</v>
      </c>
      <c r="I119" s="3" t="str">
        <f>HYPERLINK("http://www.ncbi.nlm.nih.gov/sutils/blink.cgi?pid=A0A023GGR3","1E-136")</f>
        <v>1E-136</v>
      </c>
      <c r="J119" s="3" t="s">
        <v>1199</v>
      </c>
      <c r="K119" s="3">
        <v>482</v>
      </c>
      <c r="L119" s="3">
        <v>245</v>
      </c>
      <c r="M119" s="3">
        <v>245</v>
      </c>
      <c r="N119" s="3">
        <v>100</v>
      </c>
      <c r="O119" s="3">
        <v>100</v>
      </c>
      <c r="P119" s="3">
        <v>100</v>
      </c>
      <c r="Q119" s="3">
        <v>0</v>
      </c>
      <c r="R119" s="3">
        <v>0</v>
      </c>
      <c r="S119" s="3">
        <v>1</v>
      </c>
      <c r="T119" s="3">
        <v>1</v>
      </c>
      <c r="U119" s="3">
        <v>1</v>
      </c>
      <c r="V119" s="3" t="s">
        <v>36</v>
      </c>
      <c r="W119" s="3" t="str">
        <f>HYPERLINK(".\links\NR-LIGHT\Rm-69112-NR-LIGHT.txt","14-3-3 protein zeta-like isoform X1")</f>
        <v>14-3-3 protein zeta-like isoform X1</v>
      </c>
      <c r="X119" s="3" t="str">
        <f>HYPERLINK("http://www.ncbi.nlm.nih.gov/sutils/blink.cgi?pid=571554783","1E-129")</f>
        <v>1E-129</v>
      </c>
      <c r="Y119" s="3" t="str">
        <f>HYPERLINK("http://www.ncbi.nlm.nih.gov/protein/571554783","gi|571554783")</f>
        <v>gi|571554783</v>
      </c>
      <c r="Z119" s="3">
        <v>464</v>
      </c>
      <c r="AA119" s="3">
        <v>245</v>
      </c>
      <c r="AB119" s="3">
        <v>247</v>
      </c>
      <c r="AC119" s="3">
        <v>95</v>
      </c>
      <c r="AD119" s="3">
        <v>98</v>
      </c>
      <c r="AE119" s="3">
        <v>99</v>
      </c>
      <c r="AF119" s="3">
        <v>11</v>
      </c>
      <c r="AG119" s="3">
        <v>0</v>
      </c>
      <c r="AH119" s="3">
        <v>3</v>
      </c>
      <c r="AI119" s="3">
        <v>1</v>
      </c>
      <c r="AJ119" s="3">
        <v>1</v>
      </c>
      <c r="AK119" s="3" t="s">
        <v>427</v>
      </c>
      <c r="AL119" s="3" t="str">
        <f>HYPERLINK(".\links\REFSEQ-INVERTEBRATE\Rm-69112-REFSEQ-INVERTEBRATE.txt","14-3-3 protein zeta-like isoform X5")</f>
        <v>14-3-3 protein zeta-like isoform X5</v>
      </c>
      <c r="AM119" s="3" t="str">
        <f>HYPERLINK("http://www.ncbi.nlm.nih.gov/sutils/blink.cgi?pid=571554796","1E-130")</f>
        <v>1E-130</v>
      </c>
      <c r="AN119" s="3" t="str">
        <f>HYPERLINK("http://www.ncbi.nlm.nih.gov/protein/571554796","gi|571554796")</f>
        <v>gi|571554796</v>
      </c>
      <c r="AO119" s="3">
        <v>464</v>
      </c>
      <c r="AP119" s="3">
        <v>245</v>
      </c>
      <c r="AQ119" s="3">
        <v>247</v>
      </c>
      <c r="AR119" s="3">
        <v>95</v>
      </c>
      <c r="AS119" s="3">
        <v>98</v>
      </c>
      <c r="AT119" s="3">
        <v>99</v>
      </c>
      <c r="AU119" s="3">
        <v>11</v>
      </c>
      <c r="AV119" s="3">
        <v>0</v>
      </c>
      <c r="AW119" s="3">
        <v>3</v>
      </c>
      <c r="AX119" s="3">
        <v>1</v>
      </c>
      <c r="AY119" s="3">
        <v>1</v>
      </c>
      <c r="AZ119" s="3" t="s">
        <v>427</v>
      </c>
      <c r="BA119" s="3" t="str">
        <f>HYPERLINK(".\links\MEROPS\Rm-69112-MEROPS.txt","- ADAM17 peptidase (Otolemur garnettii)")</f>
        <v>- ADAM17 peptidase (Otolemur garnettii)</v>
      </c>
      <c r="BB119" s="3" t="str">
        <f>HYPERLINK("http://www.ncbi.nlm.nih.gov/sutils/blink.cgi?pid=256238 - ADAM17 peptidase (Otolemur garnettii) [M12.217]#M12B#{peptidase unit","2E-053")</f>
        <v>2E-053</v>
      </c>
      <c r="BC119" s="3" t="s">
        <v>853</v>
      </c>
      <c r="BD119" s="3">
        <v>209</v>
      </c>
      <c r="BE119" s="3">
        <v>138</v>
      </c>
      <c r="BF119" s="3">
        <v>482</v>
      </c>
      <c r="BG119" s="3">
        <v>76</v>
      </c>
      <c r="BH119" s="3">
        <v>85</v>
      </c>
      <c r="BI119" s="3">
        <v>29</v>
      </c>
      <c r="BJ119" s="3">
        <v>33</v>
      </c>
      <c r="BK119" s="3">
        <v>0</v>
      </c>
      <c r="BL119" s="3">
        <v>1</v>
      </c>
      <c r="BM119" s="3">
        <v>1</v>
      </c>
      <c r="BN119" s="3">
        <v>1</v>
      </c>
      <c r="BO119" s="3" t="s">
        <v>854</v>
      </c>
      <c r="BP119" s="3" t="s">
        <v>1200</v>
      </c>
      <c r="BQ119" s="3">
        <f>HYPERLINK(".\links\GO\Rm-69112-GO.txt",0)</f>
        <v>0</v>
      </c>
      <c r="BR119" s="3" t="str">
        <f>HYPERLINK("http://amigo.geneontology.org/cgi-bin/amigo/term_details?term=GO:0008426","GO:0008426")</f>
        <v>GO:0008426</v>
      </c>
      <c r="BS119" s="3" t="s">
        <v>856</v>
      </c>
      <c r="BT119" s="3" t="s">
        <v>857</v>
      </c>
      <c r="BU119" s="3" t="s">
        <v>858</v>
      </c>
      <c r="BV119" s="3" t="s">
        <v>36</v>
      </c>
      <c r="BX119" s="4">
        <v>1.0000000000000001E-123</v>
      </c>
      <c r="BY119" s="3" t="str">
        <f>HYPERLINK("http://amigo.geneontology.org/cgi-bin/amigo/term_details?term=GO:0005634","GO:0005634")</f>
        <v>GO:0005634</v>
      </c>
      <c r="BZ119" s="3" t="s">
        <v>359</v>
      </c>
      <c r="CA119" s="3" t="s">
        <v>360</v>
      </c>
      <c r="CB119" s="3" t="s">
        <v>361</v>
      </c>
      <c r="CC119" s="3" t="s">
        <v>36</v>
      </c>
      <c r="CE119" s="4">
        <v>1.0000000000000001E-123</v>
      </c>
      <c r="CF119" s="3" t="str">
        <f>HYPERLINK("http://amigo.geneontology.org/cgi-bin/amigo/term_details?term=GO:0007265","GO:0007265")</f>
        <v>GO:0007265</v>
      </c>
      <c r="CG119" s="3" t="s">
        <v>859</v>
      </c>
      <c r="CH119" s="3" t="s">
        <v>860</v>
      </c>
      <c r="CI119" s="3" t="s">
        <v>861</v>
      </c>
      <c r="CJ119" s="3" t="s">
        <v>36</v>
      </c>
      <c r="CL119" s="4">
        <v>1.0000000000000001E-123</v>
      </c>
      <c r="CM119" s="3" t="str">
        <f>HYPERLINK(".\links\CDD\Rm-69112-CDD.txt","14-3-3_1")</f>
        <v>14-3-3_1</v>
      </c>
      <c r="CN119" s="3" t="str">
        <f>HYPERLINK("http://www.ncbi.nlm.nih.gov/Structure/cdd/cddsrv.cgi?uid=cd11310&amp;version=v4.0","1E-123")</f>
        <v>1E-123</v>
      </c>
      <c r="CO119" s="3" t="s">
        <v>1201</v>
      </c>
      <c r="CP119" s="3" t="str">
        <f>HYPERLINK(".\links\ACARI\Rm-69112-ACARI.txt","Putative 14-3-3 protein zeta multifunctional 14-3-3 family chaperone")</f>
        <v>Putative 14-3-3 protein zeta multifunctional 14-3-3 family chaperone</v>
      </c>
      <c r="CQ119" s="3" t="str">
        <f>HYPERLINK("http://www.ncbi.nlm.nih.gov/sutils/blink.cgi?pid=427785067","1E-136")</f>
        <v>1E-136</v>
      </c>
      <c r="CR119" s="3" t="str">
        <f>HYPERLINK("http://www.ncbi.nlm.nih.gov/protein/427785067","gi|427785067")</f>
        <v>gi|427785067</v>
      </c>
      <c r="CS119" s="3">
        <v>482</v>
      </c>
      <c r="CT119" s="3">
        <v>245</v>
      </c>
      <c r="CU119" s="3">
        <v>245</v>
      </c>
      <c r="CV119" s="3">
        <v>100</v>
      </c>
      <c r="CW119" s="3">
        <v>100</v>
      </c>
      <c r="CX119" s="3">
        <v>100</v>
      </c>
      <c r="CY119" s="3">
        <v>0</v>
      </c>
      <c r="CZ119" s="3">
        <v>0</v>
      </c>
      <c r="DA119" s="3">
        <v>1</v>
      </c>
      <c r="DB119" s="3">
        <v>1</v>
      </c>
      <c r="DC119" s="3">
        <v>1</v>
      </c>
      <c r="DD119" s="3" t="s">
        <v>68</v>
      </c>
    </row>
    <row r="120" spans="1:108" s="3" customFormat="1" x14ac:dyDescent="0.2">
      <c r="A120" s="3" t="s">
        <v>1384</v>
      </c>
      <c r="B120" s="3" t="str">
        <f>HYPERLINK(".\links\\Rm-69447-.txt","Rm-69447")</f>
        <v>Rm-69447</v>
      </c>
      <c r="C120" s="3" t="s">
        <v>35</v>
      </c>
      <c r="D120" s="3">
        <v>74</v>
      </c>
      <c r="E120" s="9" t="s">
        <v>203</v>
      </c>
      <c r="F120" s="3" t="s">
        <v>1291</v>
      </c>
      <c r="G120" s="1" t="s">
        <v>1479</v>
      </c>
      <c r="H120" s="3" t="str">
        <f>HYPERLINK(".\links\UNIPROT-ACARI\Rm-69447-UNIPROT-ACARI.txt","Salivary protein NPL-2, putative")</f>
        <v>Salivary protein NPL-2, putative</v>
      </c>
      <c r="I120" s="3" t="str">
        <f>HYPERLINK("http://www.ncbi.nlm.nih.gov/sutils/blink.cgi?pid=B7QA54","2E-024")</f>
        <v>2E-024</v>
      </c>
      <c r="J120" s="3" t="s">
        <v>984</v>
      </c>
      <c r="K120" s="3">
        <v>108</v>
      </c>
      <c r="L120" s="3">
        <v>74</v>
      </c>
      <c r="M120" s="3">
        <v>75</v>
      </c>
      <c r="N120" s="3">
        <v>72</v>
      </c>
      <c r="O120" s="3">
        <v>82</v>
      </c>
      <c r="P120" s="3">
        <v>99</v>
      </c>
      <c r="Q120" s="3">
        <v>20</v>
      </c>
      <c r="R120" s="3">
        <v>3</v>
      </c>
      <c r="S120" s="3">
        <v>1</v>
      </c>
      <c r="T120" s="3">
        <v>1</v>
      </c>
      <c r="U120" s="3">
        <v>1</v>
      </c>
      <c r="V120" s="3" t="s">
        <v>36</v>
      </c>
      <c r="W120" s="3" t="str">
        <f>HYPERLINK(".\links\NR-LIGHT\Rm-69447-NR-LIGHT.txt","salivary protein NPL-2, putative")</f>
        <v>salivary protein NPL-2, putative</v>
      </c>
      <c r="X120" s="3" t="str">
        <f>HYPERLINK("http://www.ncbi.nlm.nih.gov/sutils/blink.cgi?pid=241671124","7E-023")</f>
        <v>7E-023</v>
      </c>
      <c r="Y120" s="3" t="str">
        <f>HYPERLINK("http://www.ncbi.nlm.nih.gov/protein/241671124","gi|241671124")</f>
        <v>gi|241671124</v>
      </c>
      <c r="Z120" s="3">
        <v>108</v>
      </c>
      <c r="AA120" s="3">
        <v>74</v>
      </c>
      <c r="AB120" s="3">
        <v>75</v>
      </c>
      <c r="AC120" s="3">
        <v>72</v>
      </c>
      <c r="AD120" s="3">
        <v>82</v>
      </c>
      <c r="AE120" s="3">
        <v>99</v>
      </c>
      <c r="AF120" s="3">
        <v>20</v>
      </c>
      <c r="AG120" s="3">
        <v>3</v>
      </c>
      <c r="AH120" s="3">
        <v>1</v>
      </c>
      <c r="AI120" s="3">
        <v>1</v>
      </c>
      <c r="AJ120" s="3">
        <v>1</v>
      </c>
      <c r="AK120" s="3" t="s">
        <v>40</v>
      </c>
      <c r="AL120" s="3" t="str">
        <f>HYPERLINK(".\links\REFSEQ-INVERTEBRATE\Rm-69447-REFSEQ-INVERTEBRATE.txt","salivary protein NPL-2, putative")</f>
        <v>salivary protein NPL-2, putative</v>
      </c>
      <c r="AM120" s="3" t="str">
        <f>HYPERLINK("http://www.ncbi.nlm.nih.gov/sutils/blink.cgi?pid=241671124","2E-023")</f>
        <v>2E-023</v>
      </c>
      <c r="AN120" s="3" t="str">
        <f>HYPERLINK("http://www.ncbi.nlm.nih.gov/protein/241671124","gi|241671124")</f>
        <v>gi|241671124</v>
      </c>
      <c r="AO120" s="3">
        <v>108</v>
      </c>
      <c r="AP120" s="3">
        <v>74</v>
      </c>
      <c r="AQ120" s="3">
        <v>75</v>
      </c>
      <c r="AR120" s="3">
        <v>72</v>
      </c>
      <c r="AS120" s="3">
        <v>82</v>
      </c>
      <c r="AT120" s="3">
        <v>99</v>
      </c>
      <c r="AU120" s="3">
        <v>20</v>
      </c>
      <c r="AV120" s="3">
        <v>3</v>
      </c>
      <c r="AW120" s="3">
        <v>1</v>
      </c>
      <c r="AX120" s="3">
        <v>1</v>
      </c>
      <c r="AY120" s="3">
        <v>1</v>
      </c>
      <c r="AZ120" s="3" t="s">
        <v>40</v>
      </c>
      <c r="BA120" s="3" t="str">
        <f>HYPERLINK(".\links\MEROPS\Rm-69447-MEROPS.txt","- family C39 unassigned peptidases (Desulfatibacillum alkenivorans)")</f>
        <v>- family C39 unassigned peptidases (Desulfatibacillum alkenivorans)</v>
      </c>
      <c r="BB120" s="3" t="str">
        <f>HYPERLINK("http://www.ncbi.nlm.nih.gov/sutils/blink.cgi?pid=152100 - family C39 unassigned peptidases (Desulfatibacillum alkenivorans) [C39.UPW]#C39#{peptidase unit","2E-009")</f>
        <v>2E-009</v>
      </c>
      <c r="BC120" s="3" t="s">
        <v>985</v>
      </c>
      <c r="BD120" s="3">
        <v>61.6</v>
      </c>
      <c r="BE120" s="3">
        <v>50</v>
      </c>
      <c r="BF120" s="3">
        <v>509</v>
      </c>
      <c r="BG120" s="3">
        <v>56</v>
      </c>
      <c r="BH120" s="3">
        <v>60</v>
      </c>
      <c r="BI120" s="3">
        <v>10</v>
      </c>
      <c r="BJ120" s="3">
        <v>22</v>
      </c>
      <c r="BK120" s="3">
        <v>1</v>
      </c>
      <c r="BL120" s="3">
        <v>231</v>
      </c>
      <c r="BM120" s="3">
        <v>25</v>
      </c>
      <c r="BN120" s="3">
        <v>1</v>
      </c>
      <c r="BO120" s="3" t="s">
        <v>986</v>
      </c>
      <c r="BP120" s="3" t="s">
        <v>987</v>
      </c>
      <c r="BQ120" s="3">
        <f>HYPERLINK(".\links\GO\Rm-69447-GO.txt",0.00000000000002)</f>
        <v>2E-14</v>
      </c>
      <c r="BR120" s="3" t="str">
        <f>HYPERLINK("http://amigo.geneontology.org/cgi-bin/amigo/term_details?term=GO:0003674","GO:0003674")</f>
        <v>GO:0003674</v>
      </c>
      <c r="BS120" s="3" t="s">
        <v>220</v>
      </c>
      <c r="BT120" s="3" t="s">
        <v>221</v>
      </c>
      <c r="BU120" s="3" t="s">
        <v>222</v>
      </c>
      <c r="BV120" s="3" t="s">
        <v>36</v>
      </c>
      <c r="BX120" s="3">
        <v>1E-13</v>
      </c>
      <c r="BY120" s="3" t="str">
        <f>HYPERLINK("http://amigo.geneontology.org/cgi-bin/amigo/term_details?term=GO:0005575","GO:0005575")</f>
        <v>GO:0005575</v>
      </c>
      <c r="BZ120" s="3" t="s">
        <v>60</v>
      </c>
      <c r="CA120" s="3" t="s">
        <v>61</v>
      </c>
      <c r="CB120" s="3" t="s">
        <v>62</v>
      </c>
      <c r="CC120" s="3" t="s">
        <v>36</v>
      </c>
      <c r="CE120" s="3">
        <v>1E-13</v>
      </c>
      <c r="CF120" s="3" t="str">
        <f>HYPERLINK("http://amigo.geneontology.org/cgi-bin/amigo/term_details?term=GO:0008150","GO:0008150")</f>
        <v>GO:0008150</v>
      </c>
      <c r="CG120" s="3" t="s">
        <v>223</v>
      </c>
      <c r="CH120" s="3" t="s">
        <v>224</v>
      </c>
      <c r="CI120" s="3" t="s">
        <v>225</v>
      </c>
      <c r="CJ120" s="3" t="s">
        <v>36</v>
      </c>
      <c r="CL120" s="3">
        <v>1E-13</v>
      </c>
      <c r="CM120" s="3" t="str">
        <f>HYPERLINK(".\links\CDD\Rm-69447-CDD.txt","GRP")</f>
        <v>GRP</v>
      </c>
      <c r="CN120" s="3" t="str">
        <f>HYPERLINK("http://www.ncbi.nlm.nih.gov/Structure/cdd/cddsrv.cgi?uid=pfam07172&amp;version=v4.0","1E-011")</f>
        <v>1E-011</v>
      </c>
      <c r="CO120" s="3" t="s">
        <v>988</v>
      </c>
      <c r="CP120" s="3" t="str">
        <f>HYPERLINK(".\links\ACARI\Rm-69447-ACARI.txt","salivary protein NPL-2, putative")</f>
        <v>salivary protein NPL-2, putative</v>
      </c>
      <c r="CQ120" s="3" t="str">
        <f>HYPERLINK("http://www.ncbi.nlm.nih.gov/sutils/blink.cgi?pid=241671124","2E-024")</f>
        <v>2E-024</v>
      </c>
      <c r="CR120" s="3" t="str">
        <f>HYPERLINK("http://www.ncbi.nlm.nih.gov/protein/241671124","gi|241671124")</f>
        <v>gi|241671124</v>
      </c>
      <c r="CS120" s="3">
        <v>108</v>
      </c>
      <c r="CT120" s="3">
        <v>74</v>
      </c>
      <c r="CU120" s="3">
        <v>75</v>
      </c>
      <c r="CV120" s="3">
        <v>72</v>
      </c>
      <c r="CW120" s="3">
        <v>82</v>
      </c>
      <c r="CX120" s="3">
        <v>99</v>
      </c>
      <c r="CY120" s="3">
        <v>20</v>
      </c>
      <c r="CZ120" s="3">
        <v>3</v>
      </c>
      <c r="DA120" s="3">
        <v>1</v>
      </c>
      <c r="DB120" s="3">
        <v>1</v>
      </c>
      <c r="DC120" s="3">
        <v>1</v>
      </c>
      <c r="DD120" s="3" t="s">
        <v>40</v>
      </c>
    </row>
    <row r="121" spans="1:108" s="3" customFormat="1" x14ac:dyDescent="0.2">
      <c r="A121" s="3" t="s">
        <v>1371</v>
      </c>
      <c r="B121" s="3" t="str">
        <f>HYPERLINK(".\links\\Rm-79606-.txt","Rm-79606")</f>
        <v>Rm-79606</v>
      </c>
      <c r="C121" s="3" t="s">
        <v>35</v>
      </c>
      <c r="D121" s="3">
        <v>301</v>
      </c>
      <c r="E121" s="9" t="s">
        <v>203</v>
      </c>
      <c r="F121" s="3" t="s">
        <v>1230</v>
      </c>
      <c r="G121" s="1" t="s">
        <v>1479</v>
      </c>
      <c r="H121" s="3" t="str">
        <f>HYPERLINK(".\links\UNIPROT-ACARI\Rm-79606-UNIPROT-ACARI.txt","Putative uncharacterized protein")</f>
        <v>Putative uncharacterized protein</v>
      </c>
      <c r="I121" s="3" t="str">
        <f>HYPERLINK("http://www.ncbi.nlm.nih.gov/sutils/blink.cgi?pid=G3MNN7","1E-158")</f>
        <v>1E-158</v>
      </c>
      <c r="J121" s="3" t="s">
        <v>1000</v>
      </c>
      <c r="K121" s="3">
        <v>555</v>
      </c>
      <c r="L121" s="3">
        <v>301</v>
      </c>
      <c r="M121" s="3">
        <v>301</v>
      </c>
      <c r="N121" s="3">
        <v>85</v>
      </c>
      <c r="O121" s="3">
        <v>95</v>
      </c>
      <c r="P121" s="3">
        <v>100</v>
      </c>
      <c r="Q121" s="3">
        <v>44</v>
      </c>
      <c r="R121" s="3">
        <v>0</v>
      </c>
      <c r="S121" s="3">
        <v>1</v>
      </c>
      <c r="T121" s="3">
        <v>1</v>
      </c>
      <c r="U121" s="3">
        <v>1</v>
      </c>
      <c r="V121" s="3" t="s">
        <v>36</v>
      </c>
      <c r="W121" s="3" t="str">
        <f>HYPERLINK(".\links\NR-LIGHT\Rm-79606-NR-LIGHT.txt","calcium-binding protein, putative")</f>
        <v>calcium-binding protein, putative</v>
      </c>
      <c r="X121" s="3" t="str">
        <f>HYPERLINK("http://www.ncbi.nlm.nih.gov/sutils/blink.cgi?pid=241743216","1E-126")</f>
        <v>1E-126</v>
      </c>
      <c r="Y121" s="3" t="str">
        <f>HYPERLINK("http://www.ncbi.nlm.nih.gov/protein/241743216","gi|241743216")</f>
        <v>gi|241743216</v>
      </c>
      <c r="Z121" s="3">
        <v>453</v>
      </c>
      <c r="AA121" s="3">
        <v>301</v>
      </c>
      <c r="AB121" s="3">
        <v>301</v>
      </c>
      <c r="AC121" s="3">
        <v>70</v>
      </c>
      <c r="AD121" s="3">
        <v>83</v>
      </c>
      <c r="AE121" s="3">
        <v>100</v>
      </c>
      <c r="AF121" s="3">
        <v>90</v>
      </c>
      <c r="AG121" s="3">
        <v>0</v>
      </c>
      <c r="AH121" s="3">
        <v>1</v>
      </c>
      <c r="AI121" s="3">
        <v>1</v>
      </c>
      <c r="AJ121" s="3">
        <v>1</v>
      </c>
      <c r="AK121" s="3" t="s">
        <v>40</v>
      </c>
      <c r="AL121" s="3" t="str">
        <f>HYPERLINK(".\links\REFSEQ-INVERTEBRATE\Rm-79606-REFSEQ-INVERTEBRATE.txt","calcium-binding protein, putative")</f>
        <v>calcium-binding protein, putative</v>
      </c>
      <c r="AM121" s="3" t="str">
        <f>HYPERLINK("http://www.ncbi.nlm.nih.gov/sutils/blink.cgi?pid=241743216","1E-126")</f>
        <v>1E-126</v>
      </c>
      <c r="AN121" s="3" t="str">
        <f>HYPERLINK("http://www.ncbi.nlm.nih.gov/protein/241743216","gi|241743216")</f>
        <v>gi|241743216</v>
      </c>
      <c r="AO121" s="3">
        <v>453</v>
      </c>
      <c r="AP121" s="3">
        <v>301</v>
      </c>
      <c r="AQ121" s="3">
        <v>301</v>
      </c>
      <c r="AR121" s="3">
        <v>70</v>
      </c>
      <c r="AS121" s="3">
        <v>83</v>
      </c>
      <c r="AT121" s="3">
        <v>100</v>
      </c>
      <c r="AU121" s="3">
        <v>90</v>
      </c>
      <c r="AV121" s="3">
        <v>0</v>
      </c>
      <c r="AW121" s="3">
        <v>1</v>
      </c>
      <c r="AX121" s="3">
        <v>1</v>
      </c>
      <c r="AY121" s="3">
        <v>1</v>
      </c>
      <c r="AZ121" s="3" t="s">
        <v>40</v>
      </c>
      <c r="BA121" s="3" t="str">
        <f>HYPERLINK(".\links\MEROPS\Rm-79606-MEROPS.txt","- family S9 unassigned peptidases (Gemmata obscuriglobus)")</f>
        <v>- family S9 unassigned peptidases (Gemmata obscuriglobus)</v>
      </c>
      <c r="BB121" s="3" t="str">
        <f>HYPERLINK("http://www.ncbi.nlm.nih.gov/sutils/blink.cgi?pid=477270 - family S9 unassigned peptidases (Gemmata obscuriglobus) [S09.UPW]#S09X#{peptidase unit","1E-006")</f>
        <v>1E-006</v>
      </c>
      <c r="BC121" s="3" t="s">
        <v>1001</v>
      </c>
      <c r="BD121" s="3">
        <v>54.3</v>
      </c>
      <c r="BE121" s="3">
        <v>287</v>
      </c>
      <c r="BF121" s="3">
        <v>995</v>
      </c>
      <c r="BG121" s="3">
        <v>24</v>
      </c>
      <c r="BH121" s="3">
        <v>41</v>
      </c>
      <c r="BI121" s="3">
        <v>29</v>
      </c>
      <c r="BJ121" s="3">
        <v>218</v>
      </c>
      <c r="BK121" s="3">
        <v>47</v>
      </c>
      <c r="BL121" s="3">
        <v>706</v>
      </c>
      <c r="BM121" s="3">
        <v>10</v>
      </c>
      <c r="BN121" s="3">
        <v>1</v>
      </c>
      <c r="BO121" s="3" t="s">
        <v>713</v>
      </c>
      <c r="BP121" s="3" t="s">
        <v>1002</v>
      </c>
      <c r="BQ121" s="3">
        <f>HYPERLINK(".\links\GO\Rm-79606-GO.txt",3E-48)</f>
        <v>2.9999999999999999E-48</v>
      </c>
      <c r="BR121" s="3" t="str">
        <f>HYPERLINK("http://amigo.geneontology.org/cgi-bin/amigo/term_details?term=GO:0005509","GO:0005509")</f>
        <v>GO:0005509</v>
      </c>
      <c r="BS121" s="3" t="s">
        <v>166</v>
      </c>
      <c r="BT121" s="3" t="s">
        <v>167</v>
      </c>
      <c r="BU121" s="3" t="s">
        <v>168</v>
      </c>
      <c r="BV121" s="3" t="s">
        <v>36</v>
      </c>
      <c r="BX121" s="4">
        <v>2.9999999999999999E-48</v>
      </c>
      <c r="BY121" s="3" t="str">
        <f>HYPERLINK("http://amigo.geneontology.org/cgi-bin/amigo/term_details?term=GO:0005634","GO:0005634")</f>
        <v>GO:0005634</v>
      </c>
      <c r="BZ121" s="3" t="s">
        <v>359</v>
      </c>
      <c r="CA121" s="3" t="s">
        <v>360</v>
      </c>
      <c r="CB121" s="3" t="s">
        <v>361</v>
      </c>
      <c r="CC121" s="3" t="s">
        <v>36</v>
      </c>
      <c r="CE121" s="4">
        <v>2.9999999999999999E-48</v>
      </c>
      <c r="CF121" s="3" t="str">
        <f>HYPERLINK("http://amigo.geneontology.org/cgi-bin/amigo/term_details?term=GO:0032781","GO:0032781")</f>
        <v>GO:0032781</v>
      </c>
      <c r="CG121" s="3" t="s">
        <v>1003</v>
      </c>
      <c r="CH121" s="3" t="s">
        <v>1004</v>
      </c>
      <c r="CI121" s="3" t="s">
        <v>1005</v>
      </c>
      <c r="CJ121" s="3" t="s">
        <v>36</v>
      </c>
      <c r="CL121" s="4">
        <v>2.9999999999999999E-48</v>
      </c>
      <c r="CM121" s="3" t="str">
        <f>HYPERLINK(".\links\CDD\Rm-79606-CDD.txt","SGL")</f>
        <v>SGL</v>
      </c>
      <c r="CN121" s="3" t="str">
        <f>HYPERLINK("http://www.ncbi.nlm.nih.gov/Structure/cdd/cddsrv.cgi?uid=pfam08450&amp;version=v4.0","1E-043")</f>
        <v>1E-043</v>
      </c>
      <c r="CO121" s="3" t="s">
        <v>1006</v>
      </c>
      <c r="CP121" s="3" t="str">
        <f>HYPERLINK(".\links\ACARI\Rm-79606-ACARI.txt","hypothetical protein")</f>
        <v>hypothetical protein</v>
      </c>
      <c r="CQ121" s="3" t="str">
        <f>HYPERLINK("http://www.ncbi.nlm.nih.gov/sutils/blink.cgi?pid=346470521","1E-158")</f>
        <v>1E-158</v>
      </c>
      <c r="CR121" s="3" t="str">
        <f>HYPERLINK("http://www.ncbi.nlm.nih.gov/protein/346470521","gi|346470521")</f>
        <v>gi|346470521</v>
      </c>
      <c r="CS121" s="3">
        <v>555</v>
      </c>
      <c r="CT121" s="3">
        <v>301</v>
      </c>
      <c r="CU121" s="3">
        <v>301</v>
      </c>
      <c r="CV121" s="3">
        <v>85</v>
      </c>
      <c r="CW121" s="3">
        <v>95</v>
      </c>
      <c r="CX121" s="3">
        <v>100</v>
      </c>
      <c r="CY121" s="3">
        <v>44</v>
      </c>
      <c r="CZ121" s="3">
        <v>0</v>
      </c>
      <c r="DA121" s="3">
        <v>1</v>
      </c>
      <c r="DB121" s="3">
        <v>1</v>
      </c>
      <c r="DC121" s="3">
        <v>1</v>
      </c>
      <c r="DD121" s="3" t="s">
        <v>173</v>
      </c>
    </row>
    <row r="122" spans="1:108" s="3" customFormat="1" x14ac:dyDescent="0.2">
      <c r="A122" s="1" t="s">
        <v>1392</v>
      </c>
      <c r="B122" s="1" t="str">
        <f>HYPERLINK(".\links\\gi_169159125-.txt","gi_169159125")</f>
        <v>gi_169159125</v>
      </c>
      <c r="C122" s="1" t="s">
        <v>35</v>
      </c>
      <c r="D122" s="1">
        <v>1545</v>
      </c>
      <c r="E122" s="8" t="s">
        <v>53</v>
      </c>
      <c r="F122" s="1" t="s">
        <v>1256</v>
      </c>
      <c r="G122" s="1" t="s">
        <v>1480</v>
      </c>
      <c r="H122" s="1" t="str">
        <f>HYPERLINK(".\links\UNIPROT-ACARI\gi_169159125-UNIPROT-ACARI.txt","Vitellogenin-2")</f>
        <v>Vitellogenin-2</v>
      </c>
      <c r="I122" s="1" t="str">
        <f>HYPERLINK("http://www.ncbi.nlm.nih.gov/sutils/blink.cgi?pid=B1B544","0.0")</f>
        <v>0.0</v>
      </c>
      <c r="J122" s="1" t="s">
        <v>1146</v>
      </c>
      <c r="K122" s="1">
        <v>3192</v>
      </c>
      <c r="L122" s="1">
        <v>1545</v>
      </c>
      <c r="M122" s="1">
        <v>1545</v>
      </c>
      <c r="N122" s="1">
        <v>100</v>
      </c>
      <c r="O122" s="1">
        <v>100</v>
      </c>
      <c r="P122" s="1">
        <v>100</v>
      </c>
      <c r="Q122" s="1">
        <v>0</v>
      </c>
      <c r="R122" s="1">
        <v>0</v>
      </c>
      <c r="S122" s="1">
        <v>1</v>
      </c>
      <c r="T122" s="1">
        <v>1</v>
      </c>
      <c r="U122" s="1">
        <v>1</v>
      </c>
      <c r="V122" s="1" t="s">
        <v>36</v>
      </c>
      <c r="W122" s="1" t="str">
        <f>HYPERLINK(".\links\NR-LIGHT\gi_169159125-NR-LIGHT.txt","Vitellogenin-2")</f>
        <v>Vitellogenin-2</v>
      </c>
      <c r="X122" s="1" t="str">
        <f>HYPERLINK("http://www.ncbi.nlm.nih.gov/sutils/blink.cgi?pid=169159125","0.0")</f>
        <v>0.0</v>
      </c>
      <c r="Y122" s="1" t="str">
        <f>HYPERLINK("http://www.ncbi.nlm.nih.gov/protein/169159125","gi|169159125")</f>
        <v>gi|169159125</v>
      </c>
      <c r="Z122" s="1">
        <v>3192</v>
      </c>
      <c r="AA122" s="1">
        <v>1545</v>
      </c>
      <c r="AB122" s="1">
        <v>1545</v>
      </c>
      <c r="AC122" s="1">
        <v>100</v>
      </c>
      <c r="AD122" s="1">
        <v>100</v>
      </c>
      <c r="AE122" s="1">
        <v>100</v>
      </c>
      <c r="AF122" s="1">
        <v>0</v>
      </c>
      <c r="AG122" s="1">
        <v>0</v>
      </c>
      <c r="AH122" s="1">
        <v>1</v>
      </c>
      <c r="AI122" s="1">
        <v>1</v>
      </c>
      <c r="AJ122" s="1">
        <v>1</v>
      </c>
      <c r="AK122" s="1" t="s">
        <v>53</v>
      </c>
      <c r="AL122" s="1" t="str">
        <f>HYPERLINK(".\links\REFSEQ-INVERTEBRATE\gi_169159125-REFSEQ-INVERTEBRATE.txt","hemelipoglycoprotein precursor, putative")</f>
        <v>hemelipoglycoprotein precursor, putative</v>
      </c>
      <c r="AM122" s="1" t="str">
        <f>HYPERLINK("http://www.ncbi.nlm.nih.gov/sutils/blink.cgi?pid=241671866","0.0")</f>
        <v>0.0</v>
      </c>
      <c r="AN122" s="1" t="str">
        <f>HYPERLINK("http://www.ncbi.nlm.nih.gov/protein/241671866","gi|241671866")</f>
        <v>gi|241671866</v>
      </c>
      <c r="AO122" s="1">
        <v>1643</v>
      </c>
      <c r="AP122" s="1">
        <v>1560</v>
      </c>
      <c r="AQ122" s="1">
        <v>1556</v>
      </c>
      <c r="AR122" s="1">
        <v>51</v>
      </c>
      <c r="AS122" s="1">
        <v>68</v>
      </c>
      <c r="AT122" s="1">
        <v>100</v>
      </c>
      <c r="AU122" s="1">
        <v>761</v>
      </c>
      <c r="AV122" s="1">
        <v>38</v>
      </c>
      <c r="AW122" s="1">
        <v>9</v>
      </c>
      <c r="AX122" s="1">
        <v>7</v>
      </c>
      <c r="AY122" s="1">
        <v>1</v>
      </c>
      <c r="AZ122" s="1" t="s">
        <v>40</v>
      </c>
      <c r="BA122" s="1" t="str">
        <f>HYPERLINK(".\links\MEROPS\gi_169159125-MEROPS.txt","- family I8 unassigned peptidase inhibitor homologues (Mus musculus)")</f>
        <v>- family I8 unassigned peptidase inhibitor homologues (Mus musculus)</v>
      </c>
      <c r="BB122" s="1" t="str">
        <f>HYPERLINK("http://www.ncbi.nlm.nih.gov/sutils/blink.cgi?pid=023392 - family I8 unassigned peptidase inhibitor homologues (Mus musculus) [I08.UNW]#I08#{inhibitor unit","8E-012")</f>
        <v>8E-012</v>
      </c>
      <c r="BC122" s="1" t="s">
        <v>1063</v>
      </c>
      <c r="BD122" s="1">
        <v>74.7</v>
      </c>
      <c r="BE122" s="1">
        <v>173</v>
      </c>
      <c r="BF122" s="1">
        <v>685</v>
      </c>
      <c r="BG122" s="1">
        <v>32</v>
      </c>
      <c r="BH122" s="1">
        <v>49</v>
      </c>
      <c r="BI122" s="1">
        <v>25</v>
      </c>
      <c r="BJ122" s="1">
        <v>117</v>
      </c>
      <c r="BK122" s="1">
        <v>22</v>
      </c>
      <c r="BL122" s="1">
        <v>374</v>
      </c>
      <c r="BM122" s="1">
        <v>1374</v>
      </c>
      <c r="BN122" s="1">
        <v>1</v>
      </c>
      <c r="BO122" s="1" t="s">
        <v>1064</v>
      </c>
      <c r="BP122" s="1" t="s">
        <v>1065</v>
      </c>
      <c r="BQ122" s="1">
        <f>HYPERLINK(".\links\GO\gi_169159125-GO.txt",1E-31)</f>
        <v>1.0000000000000001E-31</v>
      </c>
      <c r="BR122" s="1" t="str">
        <f>HYPERLINK("http://amigo.geneontology.org/cgi-bin/amigo/term_details?term=GO:0005319","GO:0005319")</f>
        <v>GO:0005319</v>
      </c>
      <c r="BS122" s="1" t="s">
        <v>1066</v>
      </c>
      <c r="BT122" s="1" t="s">
        <v>1067</v>
      </c>
      <c r="BU122" s="1" t="s">
        <v>1068</v>
      </c>
      <c r="BV122" s="1" t="s">
        <v>36</v>
      </c>
      <c r="BW122" s="1"/>
      <c r="BX122" s="2">
        <v>1.0000000000000001E-31</v>
      </c>
      <c r="BY122" s="1" t="str">
        <f>HYPERLINK("http://amigo.geneontology.org/cgi-bin/amigo/term_details?term=GO:0005576","GO:0005576")</f>
        <v>GO:0005576</v>
      </c>
      <c r="BZ122" s="1" t="s">
        <v>47</v>
      </c>
      <c r="CA122" s="1" t="s">
        <v>48</v>
      </c>
      <c r="CB122" s="1" t="s">
        <v>49</v>
      </c>
      <c r="CC122" s="1" t="s">
        <v>36</v>
      </c>
      <c r="CD122" s="1"/>
      <c r="CE122" s="2">
        <v>1.0000000000000001E-31</v>
      </c>
      <c r="CF122" s="1" t="str">
        <f>HYPERLINK("http://amigo.geneontology.org/cgi-bin/amigo/term_details?term=GO:0006869","GO:0006869")</f>
        <v>GO:0006869</v>
      </c>
      <c r="CG122" s="1" t="s">
        <v>1069</v>
      </c>
      <c r="CH122" s="1" t="s">
        <v>1070</v>
      </c>
      <c r="CI122" s="1" t="s">
        <v>36</v>
      </c>
      <c r="CJ122" s="1" t="s">
        <v>36</v>
      </c>
      <c r="CK122" s="1"/>
      <c r="CL122" s="2">
        <v>1.0000000000000001E-31</v>
      </c>
      <c r="CM122" s="1" t="str">
        <f>HYPERLINK(".\links\CDD\gi_169159125-CDD.txt","Vitellogenin_N")</f>
        <v>Vitellogenin_N</v>
      </c>
      <c r="CN122" s="1" t="str">
        <f>HYPERLINK("http://www.ncbi.nlm.nih.gov/Structure/cdd/cddsrv.cgi?uid=pfam01347&amp;version=v4.0","3E-041")</f>
        <v>3E-041</v>
      </c>
      <c r="CO122" s="1" t="s">
        <v>1147</v>
      </c>
      <c r="CP122" s="1" t="str">
        <f>HYPERLINK(".\links\ACARI\gi_169159125-ACARI.txt","Vitellogenin-2")</f>
        <v>Vitellogenin-2</v>
      </c>
      <c r="CQ122" s="1" t="str">
        <f>HYPERLINK("http://www.ncbi.nlm.nih.gov/sutils/blink.cgi?pid=169159125","0.0")</f>
        <v>0.0</v>
      </c>
      <c r="CR122" s="1" t="str">
        <f>HYPERLINK("http://www.ncbi.nlm.nih.gov/protein/169159125","gi|169159125")</f>
        <v>gi|169159125</v>
      </c>
      <c r="CS122" s="1">
        <v>3192</v>
      </c>
      <c r="CT122" s="1">
        <v>1545</v>
      </c>
      <c r="CU122" s="1">
        <v>1545</v>
      </c>
      <c r="CV122" s="1">
        <v>100</v>
      </c>
      <c r="CW122" s="1">
        <v>100</v>
      </c>
      <c r="CX122" s="1">
        <v>100</v>
      </c>
      <c r="CY122" s="1">
        <v>0</v>
      </c>
      <c r="CZ122" s="1">
        <v>0</v>
      </c>
      <c r="DA122" s="1">
        <v>1</v>
      </c>
      <c r="DB122" s="1">
        <v>1</v>
      </c>
      <c r="DC122" s="1">
        <v>1</v>
      </c>
      <c r="DD122" s="1" t="s">
        <v>53</v>
      </c>
    </row>
    <row r="123" spans="1:108" s="3" customFormat="1" x14ac:dyDescent="0.2">
      <c r="A123" s="3" t="s">
        <v>1393</v>
      </c>
      <c r="B123" s="3" t="str">
        <f>HYPERLINK(".\links\\gi_307933356-.txt","gi_307933356")</f>
        <v>gi_307933356</v>
      </c>
      <c r="C123" s="3" t="s">
        <v>35</v>
      </c>
      <c r="D123" s="3">
        <v>1694</v>
      </c>
      <c r="E123" s="9" t="s">
        <v>53</v>
      </c>
      <c r="F123" s="3" t="s">
        <v>1256</v>
      </c>
      <c r="G123" s="1" t="s">
        <v>1480</v>
      </c>
      <c r="H123" s="3" t="str">
        <f>HYPERLINK(".\links\UNIPROT-ACARI\gi_307933356-UNIPROT-ACARI.txt","Vitellogenin-1")</f>
        <v>Vitellogenin-1</v>
      </c>
      <c r="I123" s="3" t="str">
        <f>HYPERLINK("http://www.ncbi.nlm.nih.gov/sutils/blink.cgi?pid=E1CAX9","0.0")</f>
        <v>0.0</v>
      </c>
      <c r="J123" s="3" t="s">
        <v>1142</v>
      </c>
      <c r="K123" s="3">
        <v>3514</v>
      </c>
      <c r="L123" s="3">
        <v>1694</v>
      </c>
      <c r="M123" s="3">
        <v>1694</v>
      </c>
      <c r="N123" s="3">
        <v>100</v>
      </c>
      <c r="O123" s="3">
        <v>100</v>
      </c>
      <c r="P123" s="3">
        <v>100</v>
      </c>
      <c r="Q123" s="3">
        <v>0</v>
      </c>
      <c r="R123" s="3">
        <v>0</v>
      </c>
      <c r="S123" s="3">
        <v>1</v>
      </c>
      <c r="T123" s="3">
        <v>1</v>
      </c>
      <c r="U123" s="3">
        <v>1</v>
      </c>
      <c r="V123" s="3" t="s">
        <v>36</v>
      </c>
      <c r="W123" s="3" t="str">
        <f>HYPERLINK(".\links\NR-LIGHT\gi_307933356-NR-LIGHT.txt","Vitellogenin-1")</f>
        <v>Vitellogenin-1</v>
      </c>
      <c r="X123" s="3" t="str">
        <f>HYPERLINK("http://www.ncbi.nlm.nih.gov/sutils/blink.cgi?pid=307933356","0.0")</f>
        <v>0.0</v>
      </c>
      <c r="Y123" s="3" t="str">
        <f>HYPERLINK("http://www.ncbi.nlm.nih.gov/protein/307933356","gi|307933356")</f>
        <v>gi|307933356</v>
      </c>
      <c r="Z123" s="3">
        <v>3514</v>
      </c>
      <c r="AA123" s="3">
        <v>1694</v>
      </c>
      <c r="AB123" s="3">
        <v>1694</v>
      </c>
      <c r="AC123" s="3">
        <v>100</v>
      </c>
      <c r="AD123" s="3">
        <v>100</v>
      </c>
      <c r="AE123" s="3">
        <v>100</v>
      </c>
      <c r="AF123" s="3">
        <v>0</v>
      </c>
      <c r="AG123" s="3">
        <v>0</v>
      </c>
      <c r="AH123" s="3">
        <v>1</v>
      </c>
      <c r="AI123" s="3">
        <v>1</v>
      </c>
      <c r="AJ123" s="3">
        <v>1</v>
      </c>
      <c r="AK123" s="3" t="s">
        <v>53</v>
      </c>
      <c r="AL123" s="3" t="str">
        <f>HYPERLINK(".\links\REFSEQ-INVERTEBRATE\gi_307933356-REFSEQ-INVERTEBRATE.txt","hemelipoglycoprotein precursor, putative")</f>
        <v>hemelipoglycoprotein precursor, putative</v>
      </c>
      <c r="AM123" s="3" t="str">
        <f>HYPERLINK("http://www.ncbi.nlm.nih.gov/sutils/blink.cgi?pid=241671866","0.0")</f>
        <v>0.0</v>
      </c>
      <c r="AN123" s="3" t="str">
        <f>HYPERLINK("http://www.ncbi.nlm.nih.gov/protein/241671866","gi|241671866")</f>
        <v>gi|241671866</v>
      </c>
      <c r="AO123" s="3">
        <v>754</v>
      </c>
      <c r="AP123" s="3">
        <v>1612</v>
      </c>
      <c r="AQ123" s="3">
        <v>1556</v>
      </c>
      <c r="AR123" s="3">
        <v>29</v>
      </c>
      <c r="AS123" s="3">
        <v>49</v>
      </c>
      <c r="AT123" s="3">
        <v>104</v>
      </c>
      <c r="AU123" s="3">
        <v>1143</v>
      </c>
      <c r="AV123" s="3">
        <v>112</v>
      </c>
      <c r="AW123" s="3">
        <v>16</v>
      </c>
      <c r="AX123" s="3">
        <v>21</v>
      </c>
      <c r="AY123" s="3">
        <v>1</v>
      </c>
      <c r="AZ123" s="3" t="s">
        <v>40</v>
      </c>
      <c r="BA123" s="3" t="str">
        <f>HYPERLINK(".\links\MEROPS\gi_307933356-MEROPS.txt","- family I8 unassigned peptidase inhibitors (Nomascus leucogenys)")</f>
        <v>- family I8 unassigned peptidase inhibitors (Nomascus leucogenys)</v>
      </c>
      <c r="BB123" s="3" t="str">
        <f>HYPERLINK("http://www.ncbi.nlm.nih.gov/sutils/blink.cgi?pid=256695 - family I8 unassigned peptidase inhibitors (Nomascus leucogenys) [I08.UPW]#I08#{inhibitor unit","2E-007")</f>
        <v>2E-007</v>
      </c>
      <c r="BC123" s="3" t="s">
        <v>1143</v>
      </c>
      <c r="BD123" s="3">
        <v>60.5</v>
      </c>
      <c r="BE123" s="3">
        <v>95</v>
      </c>
      <c r="BF123" s="3">
        <v>2811</v>
      </c>
      <c r="BG123" s="3">
        <v>34</v>
      </c>
      <c r="BH123" s="3">
        <v>56</v>
      </c>
      <c r="BI123" s="3">
        <v>3</v>
      </c>
      <c r="BJ123" s="3">
        <v>62</v>
      </c>
      <c r="BK123" s="3">
        <v>10</v>
      </c>
      <c r="BL123" s="3">
        <v>496</v>
      </c>
      <c r="BM123" s="3">
        <v>1527</v>
      </c>
      <c r="BN123" s="3">
        <v>1</v>
      </c>
      <c r="BO123" s="3" t="s">
        <v>866</v>
      </c>
      <c r="BP123" s="3" t="s">
        <v>1144</v>
      </c>
      <c r="BQ123" s="3">
        <f>HYPERLINK(".\links\GO\gi_307933356-GO.txt",2E-29)</f>
        <v>1.9999999999999999E-29</v>
      </c>
      <c r="BR123" s="3" t="str">
        <f>HYPERLINK("http://amigo.geneontology.org/cgi-bin/amigo/term_details?term=GO:0005319","GO:0005319")</f>
        <v>GO:0005319</v>
      </c>
      <c r="BS123" s="3" t="s">
        <v>1066</v>
      </c>
      <c r="BT123" s="3" t="s">
        <v>1067</v>
      </c>
      <c r="BU123" s="3" t="s">
        <v>1068</v>
      </c>
      <c r="BV123" s="3" t="s">
        <v>36</v>
      </c>
      <c r="BX123" s="4">
        <v>1.9999999999999999E-29</v>
      </c>
      <c r="BY123" s="3" t="str">
        <f>HYPERLINK("http://amigo.geneontology.org/cgi-bin/amigo/term_details?term=GO:0005576","GO:0005576")</f>
        <v>GO:0005576</v>
      </c>
      <c r="BZ123" s="3" t="s">
        <v>47</v>
      </c>
      <c r="CA123" s="3" t="s">
        <v>48</v>
      </c>
      <c r="CB123" s="3" t="s">
        <v>49</v>
      </c>
      <c r="CC123" s="3" t="s">
        <v>36</v>
      </c>
      <c r="CE123" s="4">
        <v>1.9999999999999999E-29</v>
      </c>
      <c r="CF123" s="3" t="str">
        <f>HYPERLINK("http://amigo.geneontology.org/cgi-bin/amigo/term_details?term=GO:0006869","GO:0006869")</f>
        <v>GO:0006869</v>
      </c>
      <c r="CG123" s="3" t="s">
        <v>1069</v>
      </c>
      <c r="CH123" s="3" t="s">
        <v>1070</v>
      </c>
      <c r="CI123" s="3" t="s">
        <v>36</v>
      </c>
      <c r="CJ123" s="3" t="s">
        <v>36</v>
      </c>
      <c r="CL123" s="4">
        <v>1.9999999999999999E-29</v>
      </c>
      <c r="CM123" s="3" t="str">
        <f>HYPERLINK(".\links\CDD\gi_307933356-CDD.txt","Vitellogenin_N")</f>
        <v>Vitellogenin_N</v>
      </c>
      <c r="CN123" s="3" t="str">
        <f>HYPERLINK("http://www.ncbi.nlm.nih.gov/Structure/cdd/cddsrv.cgi?uid=pfam01347&amp;version=v4.0","1E-046")</f>
        <v>1E-046</v>
      </c>
      <c r="CO123" s="3" t="s">
        <v>1145</v>
      </c>
      <c r="CP123" s="3" t="str">
        <f>HYPERLINK(".\links\ACARI\gi_307933356-ACARI.txt","Vitellogenin-1")</f>
        <v>Vitellogenin-1</v>
      </c>
      <c r="CQ123" s="3" t="str">
        <f>HYPERLINK("http://www.ncbi.nlm.nih.gov/sutils/blink.cgi?pid=307933356","0.0")</f>
        <v>0.0</v>
      </c>
      <c r="CR123" s="3" t="str">
        <f>HYPERLINK("http://www.ncbi.nlm.nih.gov/protein/307933356","gi|307933356")</f>
        <v>gi|307933356</v>
      </c>
      <c r="CS123" s="3">
        <v>3514</v>
      </c>
      <c r="CT123" s="3">
        <v>1694</v>
      </c>
      <c r="CU123" s="3">
        <v>1694</v>
      </c>
      <c r="CV123" s="3">
        <v>100</v>
      </c>
      <c r="CW123" s="3">
        <v>100</v>
      </c>
      <c r="CX123" s="3">
        <v>100</v>
      </c>
      <c r="CY123" s="3">
        <v>0</v>
      </c>
      <c r="CZ123" s="3">
        <v>0</v>
      </c>
      <c r="DA123" s="3">
        <v>1</v>
      </c>
      <c r="DB123" s="3">
        <v>1</v>
      </c>
      <c r="DC123" s="3">
        <v>1</v>
      </c>
      <c r="DD123" s="3" t="s">
        <v>53</v>
      </c>
    </row>
    <row r="124" spans="1:108" s="3" customFormat="1" x14ac:dyDescent="0.2">
      <c r="A124" s="3" t="s">
        <v>1395</v>
      </c>
      <c r="B124" s="3" t="str">
        <f>HYPERLINK(".\links\\gi_307933358-.txt","gi_307933358")</f>
        <v>gi_307933358</v>
      </c>
      <c r="C124" s="3" t="s">
        <v>35</v>
      </c>
      <c r="D124" s="3">
        <v>1463</v>
      </c>
      <c r="E124" s="9" t="s">
        <v>53</v>
      </c>
      <c r="F124" s="3" t="s">
        <v>1256</v>
      </c>
      <c r="G124" s="1" t="s">
        <v>1480</v>
      </c>
      <c r="H124" s="3" t="str">
        <f>HYPERLINK(".\links\UNIPROT-ACARI\gi_307933358-UNIPROT-ACARI.txt","Vitellogenin-3")</f>
        <v>Vitellogenin-3</v>
      </c>
      <c r="I124" s="3" t="str">
        <f>HYPERLINK("http://www.ncbi.nlm.nih.gov/sutils/blink.cgi?pid=E1CAY0","0.0")</f>
        <v>0.0</v>
      </c>
      <c r="J124" s="3" t="s">
        <v>1138</v>
      </c>
      <c r="K124" s="3">
        <v>2977</v>
      </c>
      <c r="L124" s="3">
        <v>1463</v>
      </c>
      <c r="M124" s="3">
        <v>1463</v>
      </c>
      <c r="N124" s="3">
        <v>100</v>
      </c>
      <c r="O124" s="3">
        <v>100</v>
      </c>
      <c r="P124" s="3">
        <v>100</v>
      </c>
      <c r="Q124" s="3">
        <v>0</v>
      </c>
      <c r="R124" s="3">
        <v>0</v>
      </c>
      <c r="S124" s="3">
        <v>1</v>
      </c>
      <c r="T124" s="3">
        <v>1</v>
      </c>
      <c r="U124" s="3">
        <v>1</v>
      </c>
      <c r="V124" s="3" t="s">
        <v>36</v>
      </c>
      <c r="W124" s="3" t="str">
        <f>HYPERLINK(".\links\NR-LIGHT\gi_307933358-NR-LIGHT.txt","Vitellogenin-3")</f>
        <v>Vitellogenin-3</v>
      </c>
      <c r="X124" s="3" t="str">
        <f>HYPERLINK("http://www.ncbi.nlm.nih.gov/sutils/blink.cgi?pid=307933358","0.0")</f>
        <v>0.0</v>
      </c>
      <c r="Y124" s="3" t="str">
        <f>HYPERLINK("http://www.ncbi.nlm.nih.gov/protein/307933358","gi|307933358")</f>
        <v>gi|307933358</v>
      </c>
      <c r="Z124" s="3">
        <v>2977</v>
      </c>
      <c r="AA124" s="3">
        <v>1463</v>
      </c>
      <c r="AB124" s="3">
        <v>1463</v>
      </c>
      <c r="AC124" s="3">
        <v>100</v>
      </c>
      <c r="AD124" s="3">
        <v>100</v>
      </c>
      <c r="AE124" s="3">
        <v>100</v>
      </c>
      <c r="AF124" s="3">
        <v>0</v>
      </c>
      <c r="AG124" s="3">
        <v>0</v>
      </c>
      <c r="AH124" s="3">
        <v>1</v>
      </c>
      <c r="AI124" s="3">
        <v>1</v>
      </c>
      <c r="AJ124" s="3">
        <v>1</v>
      </c>
      <c r="AK124" s="3" t="s">
        <v>53</v>
      </c>
      <c r="AL124" s="3" t="str">
        <f>HYPERLINK(".\links\REFSEQ-INVERTEBRATE\gi_307933358-REFSEQ-INVERTEBRATE.txt","hemelipoglycoprotein precursor, putative")</f>
        <v>hemelipoglycoprotein precursor, putative</v>
      </c>
      <c r="AM124" s="3" t="str">
        <f>HYPERLINK("http://www.ncbi.nlm.nih.gov/sutils/blink.cgi?pid=241671866","0.0")</f>
        <v>0.0</v>
      </c>
      <c r="AN124" s="3" t="str">
        <f>HYPERLINK("http://www.ncbi.nlm.nih.gov/protein/241671866","gi|241671866")</f>
        <v>gi|241671866</v>
      </c>
      <c r="AO124" s="3">
        <v>1080</v>
      </c>
      <c r="AP124" s="3">
        <v>1206</v>
      </c>
      <c r="AQ124" s="3">
        <v>1556</v>
      </c>
      <c r="AR124" s="3">
        <v>45</v>
      </c>
      <c r="AS124" s="3">
        <v>62</v>
      </c>
      <c r="AT124" s="3">
        <v>78</v>
      </c>
      <c r="AU124" s="3">
        <v>657</v>
      </c>
      <c r="AV124" s="3">
        <v>36</v>
      </c>
      <c r="AW124" s="3">
        <v>1</v>
      </c>
      <c r="AX124" s="3">
        <v>1</v>
      </c>
      <c r="AY124" s="3">
        <v>1</v>
      </c>
      <c r="AZ124" s="3" t="s">
        <v>40</v>
      </c>
      <c r="BA124" s="3" t="str">
        <f>HYPERLINK(".\links\MEROPS\gi_307933358-MEROPS.txt","- mucin (Tursiops truncatus)")</f>
        <v>- mucin (Tursiops truncatus)</v>
      </c>
      <c r="BB124" s="3" t="str">
        <f>HYPERLINK("http://www.ncbi.nlm.nih.gov/sutils/blink.cgi?pid=262574 - mucin (Tursiops truncatus) [I08.951]#I08#{inhibitor unit","3E-009")</f>
        <v>3E-009</v>
      </c>
      <c r="BC124" s="3" t="s">
        <v>1139</v>
      </c>
      <c r="BD124" s="3">
        <v>66.2</v>
      </c>
      <c r="BE124" s="3">
        <v>195</v>
      </c>
      <c r="BF124" s="3">
        <v>1431</v>
      </c>
      <c r="BG124" s="3">
        <v>28</v>
      </c>
      <c r="BH124" s="3">
        <v>45</v>
      </c>
      <c r="BI124" s="3">
        <v>14</v>
      </c>
      <c r="BJ124" s="3">
        <v>139</v>
      </c>
      <c r="BK124" s="3">
        <v>30</v>
      </c>
      <c r="BL124" s="3">
        <v>738</v>
      </c>
      <c r="BM124" s="3">
        <v>1279</v>
      </c>
      <c r="BN124" s="3">
        <v>1</v>
      </c>
      <c r="BO124" s="3" t="s">
        <v>1140</v>
      </c>
      <c r="BP124" s="3" t="s">
        <v>1065</v>
      </c>
      <c r="BQ124" s="3">
        <f>HYPERLINK(".\links\GO\gi_307933358-GO.txt",3E-29)</f>
        <v>3.0000000000000003E-29</v>
      </c>
      <c r="BR124" s="3" t="str">
        <f>HYPERLINK("http://amigo.geneontology.org/cgi-bin/amigo/term_details?term=GO:0005319","GO:0005319")</f>
        <v>GO:0005319</v>
      </c>
      <c r="BS124" s="3" t="s">
        <v>1066</v>
      </c>
      <c r="BT124" s="3" t="s">
        <v>1067</v>
      </c>
      <c r="BU124" s="3" t="s">
        <v>1068</v>
      </c>
      <c r="BV124" s="3" t="s">
        <v>36</v>
      </c>
      <c r="BX124" s="4">
        <v>3.0000000000000003E-29</v>
      </c>
      <c r="BY124" s="3" t="str">
        <f>HYPERLINK("http://amigo.geneontology.org/cgi-bin/amigo/term_details?term=GO:0005576","GO:0005576")</f>
        <v>GO:0005576</v>
      </c>
      <c r="BZ124" s="3" t="s">
        <v>47</v>
      </c>
      <c r="CA124" s="3" t="s">
        <v>48</v>
      </c>
      <c r="CB124" s="3" t="s">
        <v>49</v>
      </c>
      <c r="CC124" s="3" t="s">
        <v>36</v>
      </c>
      <c r="CE124" s="4">
        <v>3.0000000000000003E-29</v>
      </c>
      <c r="CF124" s="3" t="str">
        <f>HYPERLINK("http://amigo.geneontology.org/cgi-bin/amigo/term_details?term=GO:0006869","GO:0006869")</f>
        <v>GO:0006869</v>
      </c>
      <c r="CG124" s="3" t="s">
        <v>1069</v>
      </c>
      <c r="CH124" s="3" t="s">
        <v>1070</v>
      </c>
      <c r="CI124" s="3" t="s">
        <v>36</v>
      </c>
      <c r="CJ124" s="3" t="s">
        <v>36</v>
      </c>
      <c r="CL124" s="4">
        <v>3.0000000000000003E-29</v>
      </c>
      <c r="CM124" s="3" t="str">
        <f>HYPERLINK(".\links\CDD\gi_307933358-CDD.txt","Vitellogenin_N")</f>
        <v>Vitellogenin_N</v>
      </c>
      <c r="CN124" s="3" t="str">
        <f>HYPERLINK("http://www.ncbi.nlm.nih.gov/Structure/cdd/cddsrv.cgi?uid=pfam01347&amp;version=v4.0","1E-044")</f>
        <v>1E-044</v>
      </c>
      <c r="CO124" s="3" t="s">
        <v>1141</v>
      </c>
      <c r="CP124" s="3" t="str">
        <f>HYPERLINK(".\links\ACARI\gi_307933358-ACARI.txt","Vitellogenin-3")</f>
        <v>Vitellogenin-3</v>
      </c>
      <c r="CQ124" s="3" t="str">
        <f>HYPERLINK("http://www.ncbi.nlm.nih.gov/sutils/blink.cgi?pid=307933358","0.0")</f>
        <v>0.0</v>
      </c>
      <c r="CR124" s="3" t="str">
        <f>HYPERLINK("http://www.ncbi.nlm.nih.gov/protein/307933358","gi|307933358")</f>
        <v>gi|307933358</v>
      </c>
      <c r="CS124" s="3">
        <v>2977</v>
      </c>
      <c r="CT124" s="3">
        <v>1463</v>
      </c>
      <c r="CU124" s="3">
        <v>1463</v>
      </c>
      <c r="CV124" s="3">
        <v>100</v>
      </c>
      <c r="CW124" s="3">
        <v>100</v>
      </c>
      <c r="CX124" s="3">
        <v>100</v>
      </c>
      <c r="CY124" s="3">
        <v>0</v>
      </c>
      <c r="CZ124" s="3">
        <v>0</v>
      </c>
      <c r="DA124" s="3">
        <v>1</v>
      </c>
      <c r="DB124" s="3">
        <v>1</v>
      </c>
      <c r="DC124" s="3">
        <v>1</v>
      </c>
      <c r="DD124" s="3" t="s">
        <v>53</v>
      </c>
    </row>
    <row r="125" spans="1:108" s="3" customFormat="1" x14ac:dyDescent="0.2">
      <c r="A125" s="3" t="s">
        <v>1394</v>
      </c>
      <c r="B125" s="3" t="str">
        <f>HYPERLINK(".\links\\gi_365189209-.txt","gi_365189209")</f>
        <v>gi_365189209</v>
      </c>
      <c r="C125" s="3" t="s">
        <v>35</v>
      </c>
      <c r="D125" s="3">
        <v>2878</v>
      </c>
      <c r="E125" s="9" t="s">
        <v>53</v>
      </c>
      <c r="F125" s="3" t="s">
        <v>1256</v>
      </c>
      <c r="G125" s="1" t="s">
        <v>1480</v>
      </c>
      <c r="H125" s="3" t="str">
        <f>HYPERLINK(".\links\UNIPROT-ACARI\gi_365189209-UNIPROT-ACARI.txt","Vitellogenin-B")</f>
        <v>Vitellogenin-B</v>
      </c>
      <c r="I125" s="3" t="str">
        <f>HYPERLINK("http://www.ncbi.nlm.nih.gov/sutils/blink.cgi?pid=G9M4L6","0.0")</f>
        <v>0.0</v>
      </c>
      <c r="J125" s="3" t="s">
        <v>1127</v>
      </c>
      <c r="K125" s="3">
        <v>5788</v>
      </c>
      <c r="L125" s="3">
        <v>2878</v>
      </c>
      <c r="M125" s="3">
        <v>2878</v>
      </c>
      <c r="N125" s="3">
        <v>100</v>
      </c>
      <c r="O125" s="3">
        <v>100</v>
      </c>
      <c r="P125" s="3">
        <v>100</v>
      </c>
      <c r="Q125" s="3">
        <v>0</v>
      </c>
      <c r="R125" s="3">
        <v>0</v>
      </c>
      <c r="S125" s="3">
        <v>1</v>
      </c>
      <c r="T125" s="3">
        <v>1</v>
      </c>
      <c r="U125" s="3">
        <v>1</v>
      </c>
      <c r="V125" s="3" t="s">
        <v>36</v>
      </c>
      <c r="W125" s="3" t="str">
        <f>HYPERLINK(".\links\NR-LIGHT\gi_365189209-NR-LIGHT.txt","Vitellogenin-B")</f>
        <v>Vitellogenin-B</v>
      </c>
      <c r="X125" s="3" t="str">
        <f>HYPERLINK("http://www.ncbi.nlm.nih.gov/sutils/blink.cgi?pid=365189209","0.0")</f>
        <v>0.0</v>
      </c>
      <c r="Y125" s="3" t="str">
        <f>HYPERLINK("http://www.ncbi.nlm.nih.gov/protein/365189209","gi|365189209")</f>
        <v>gi|365189209</v>
      </c>
      <c r="Z125" s="3">
        <v>5788</v>
      </c>
      <c r="AA125" s="3">
        <v>2878</v>
      </c>
      <c r="AB125" s="3">
        <v>2878</v>
      </c>
      <c r="AC125" s="3">
        <v>100</v>
      </c>
      <c r="AD125" s="3">
        <v>100</v>
      </c>
      <c r="AE125" s="3">
        <v>100</v>
      </c>
      <c r="AF125" s="3">
        <v>0</v>
      </c>
      <c r="AG125" s="3">
        <v>0</v>
      </c>
      <c r="AH125" s="3">
        <v>1</v>
      </c>
      <c r="AI125" s="3">
        <v>1</v>
      </c>
      <c r="AJ125" s="3">
        <v>1</v>
      </c>
      <c r="AK125" s="3" t="s">
        <v>53</v>
      </c>
      <c r="AL125" s="3" t="str">
        <f>HYPERLINK(".\links\REFSEQ-INVERTEBRATE\gi_365189209-REFSEQ-INVERTEBRATE.txt","conserved hypothetical protein, partial")</f>
        <v>conserved hypothetical protein, partial</v>
      </c>
      <c r="AM125" s="3" t="str">
        <f>HYPERLINK("http://www.ncbi.nlm.nih.gov/sutils/blink.cgi?pid=241240852","0.0")</f>
        <v>0.0</v>
      </c>
      <c r="AN125" s="3" t="str">
        <f>HYPERLINK("http://www.ncbi.nlm.nih.gov/protein/241240852","gi|241240852")</f>
        <v>gi|241240852</v>
      </c>
      <c r="AO125" s="3">
        <v>1066</v>
      </c>
      <c r="AP125" s="3">
        <v>805</v>
      </c>
      <c r="AQ125" s="3">
        <v>788</v>
      </c>
      <c r="AR125" s="3">
        <v>64</v>
      </c>
      <c r="AS125" s="3">
        <v>80</v>
      </c>
      <c r="AT125" s="3">
        <v>102</v>
      </c>
      <c r="AU125" s="3">
        <v>282</v>
      </c>
      <c r="AV125" s="3">
        <v>17</v>
      </c>
      <c r="AW125" s="3">
        <v>1</v>
      </c>
      <c r="AX125" s="3">
        <v>95</v>
      </c>
      <c r="AY125" s="3">
        <v>1</v>
      </c>
      <c r="AZ125" s="3" t="s">
        <v>40</v>
      </c>
      <c r="BA125" s="3" t="str">
        <f>HYPERLINK(".\links\MEROPS\gi_365189209-MEROPS.txt","- family I63 unassigned peptidase inhibitors (Glossina morsitans)")</f>
        <v>- family I63 unassigned peptidase inhibitors (Glossina morsitans)</v>
      </c>
      <c r="BB125" s="3" t="str">
        <f>HYPERLINK("http://www.ncbi.nlm.nih.gov/sutils/blink.cgi?pid=278606 - family I63 unassigned peptidase inhibitors (Glossina morsitans) [I63.UPW]#I63#{inhibitor unit","7E-014")</f>
        <v>7E-014</v>
      </c>
      <c r="BC125" s="3" t="s">
        <v>1128</v>
      </c>
      <c r="BD125" s="3">
        <v>82.4</v>
      </c>
      <c r="BE125" s="3">
        <v>288</v>
      </c>
      <c r="BF125" s="3">
        <v>1136</v>
      </c>
      <c r="BG125" s="3">
        <v>25</v>
      </c>
      <c r="BH125" s="3">
        <v>40</v>
      </c>
      <c r="BI125" s="3">
        <v>25</v>
      </c>
      <c r="BJ125" s="3">
        <v>215</v>
      </c>
      <c r="BK125" s="3">
        <v>28</v>
      </c>
      <c r="BL125" s="3">
        <v>834</v>
      </c>
      <c r="BM125" s="3">
        <v>2565</v>
      </c>
      <c r="BN125" s="3">
        <v>1</v>
      </c>
      <c r="BO125" s="3" t="s">
        <v>73</v>
      </c>
      <c r="BP125" s="3" t="s">
        <v>867</v>
      </c>
      <c r="BQ125" s="3">
        <f>HYPERLINK(".\links\GO\gi_365189209-GO.txt",2E-86)</f>
        <v>2.0000000000000002E-86</v>
      </c>
      <c r="BR125" s="3" t="str">
        <f>HYPERLINK("http://amigo.geneontology.org/cgi-bin/amigo/term_details?term=GO:0008289","GO:0008289")</f>
        <v>GO:0008289</v>
      </c>
      <c r="BS125" s="3" t="s">
        <v>868</v>
      </c>
      <c r="BT125" s="3" t="s">
        <v>869</v>
      </c>
      <c r="BU125" s="3" t="s">
        <v>36</v>
      </c>
      <c r="BV125" s="3" t="s">
        <v>36</v>
      </c>
      <c r="BX125" s="4">
        <v>2.0000000000000002E-86</v>
      </c>
      <c r="BY125" s="3" t="str">
        <f>HYPERLINK("http://amigo.geneontology.org/cgi-bin/amigo/term_details?term=GO:0005615","GO:0005615")</f>
        <v>GO:0005615</v>
      </c>
      <c r="BZ125" s="3" t="s">
        <v>195</v>
      </c>
      <c r="CA125" s="3" t="s">
        <v>196</v>
      </c>
      <c r="CB125" s="3" t="s">
        <v>197</v>
      </c>
      <c r="CC125" s="3" t="s">
        <v>36</v>
      </c>
      <c r="CE125" s="4">
        <v>2.0000000000000002E-86</v>
      </c>
      <c r="CF125" s="3" t="str">
        <f>HYPERLINK("http://amigo.geneontology.org/cgi-bin/amigo/term_details?term=GO:0015918","GO:0015918")</f>
        <v>GO:0015918</v>
      </c>
      <c r="CG125" s="3" t="s">
        <v>870</v>
      </c>
      <c r="CH125" s="3" t="s">
        <v>871</v>
      </c>
      <c r="CI125" s="3" t="s">
        <v>36</v>
      </c>
      <c r="CJ125" s="3" t="s">
        <v>36</v>
      </c>
      <c r="CL125" s="4">
        <v>2.0000000000000002E-86</v>
      </c>
      <c r="CM125" s="3" t="str">
        <f>HYPERLINK(".\links\CDD\gi_365189209-CDD.txt","LPD_N")</f>
        <v>LPD_N</v>
      </c>
      <c r="CN125" s="3" t="str">
        <f>HYPERLINK("http://www.ncbi.nlm.nih.gov/Structure/cdd/cddsrv.cgi?uid=smart00638&amp;version=v4.0","7E-029")</f>
        <v>7E-029</v>
      </c>
      <c r="CO125" s="3" t="s">
        <v>1129</v>
      </c>
      <c r="CP125" s="3" t="str">
        <f>HYPERLINK(".\links\ACARI\gi_365189209-ACARI.txt","Vitellogenin-B")</f>
        <v>Vitellogenin-B</v>
      </c>
      <c r="CQ125" s="3" t="str">
        <f>HYPERLINK("http://www.ncbi.nlm.nih.gov/sutils/blink.cgi?pid=365189209","0.0")</f>
        <v>0.0</v>
      </c>
      <c r="CR125" s="3" t="str">
        <f>HYPERLINK("http://www.ncbi.nlm.nih.gov/protein/365189209","gi|365189209")</f>
        <v>gi|365189209</v>
      </c>
      <c r="CS125" s="3">
        <v>5788</v>
      </c>
      <c r="CT125" s="3">
        <v>2878</v>
      </c>
      <c r="CU125" s="3">
        <v>2878</v>
      </c>
      <c r="CV125" s="3">
        <v>100</v>
      </c>
      <c r="CW125" s="3">
        <v>100</v>
      </c>
      <c r="CX125" s="3">
        <v>100</v>
      </c>
      <c r="CY125" s="3">
        <v>0</v>
      </c>
      <c r="CZ125" s="3">
        <v>0</v>
      </c>
      <c r="DA125" s="3">
        <v>1</v>
      </c>
      <c r="DB125" s="3">
        <v>1</v>
      </c>
      <c r="DC125" s="3">
        <v>1</v>
      </c>
      <c r="DD125" s="3" t="s">
        <v>53</v>
      </c>
    </row>
    <row r="126" spans="1:108" s="3" customFormat="1" x14ac:dyDescent="0.2">
      <c r="A126" s="3" t="s">
        <v>1306</v>
      </c>
      <c r="B126" s="3" t="str">
        <f>HYPERLINK(".\links\\gi_427785447-.txt","gi_427785447")</f>
        <v>gi_427785447</v>
      </c>
      <c r="C126" s="3" t="s">
        <v>35</v>
      </c>
      <c r="D126" s="3">
        <v>809</v>
      </c>
      <c r="E126" s="9" t="s">
        <v>68</v>
      </c>
      <c r="F126" s="3" t="s">
        <v>1216</v>
      </c>
      <c r="G126" s="1" t="s">
        <v>1480</v>
      </c>
      <c r="H126" s="3" t="str">
        <f>HYPERLINK(".\links\UNIPROT-ACARI\gi_427785447-UNIPROT-ACARI.txt","Putative chorion peroxidase-like protein")</f>
        <v>Putative chorion peroxidase-like protein</v>
      </c>
      <c r="I126" s="3" t="str">
        <f>HYPERLINK("http://www.ncbi.nlm.nih.gov/sutils/blink.cgi?pid=L7M2B3","0.0")</f>
        <v>0.0</v>
      </c>
      <c r="J126" s="3" t="s">
        <v>127</v>
      </c>
      <c r="K126" s="3">
        <v>1653</v>
      </c>
      <c r="L126" s="3">
        <v>809</v>
      </c>
      <c r="M126" s="3">
        <v>809</v>
      </c>
      <c r="N126" s="3">
        <v>100</v>
      </c>
      <c r="O126" s="3">
        <v>100</v>
      </c>
      <c r="P126" s="3">
        <v>100</v>
      </c>
      <c r="Q126" s="3">
        <v>0</v>
      </c>
      <c r="R126" s="3">
        <v>0</v>
      </c>
      <c r="S126" s="3">
        <v>1</v>
      </c>
      <c r="T126" s="3">
        <v>1</v>
      </c>
      <c r="U126" s="3">
        <v>1</v>
      </c>
      <c r="V126" s="3" t="s">
        <v>36</v>
      </c>
      <c r="W126" s="3" t="str">
        <f>HYPERLINK(".\links\NR-LIGHT\gi_427785447-NR-LIGHT.txt","peroxinectin, putative")</f>
        <v>peroxinectin, putative</v>
      </c>
      <c r="X126" s="3" t="str">
        <f>HYPERLINK("http://www.ncbi.nlm.nih.gov/sutils/blink.cgi?pid=241611809","0.0")</f>
        <v>0.0</v>
      </c>
      <c r="Y126" s="3" t="str">
        <f>HYPERLINK("http://www.ncbi.nlm.nih.gov/protein/241611809","gi|241611809")</f>
        <v>gi|241611809</v>
      </c>
      <c r="Z126" s="3">
        <v>1432</v>
      </c>
      <c r="AA126" s="3">
        <v>806</v>
      </c>
      <c r="AB126" s="3">
        <v>812</v>
      </c>
      <c r="AC126" s="3">
        <v>84</v>
      </c>
      <c r="AD126" s="3">
        <v>91</v>
      </c>
      <c r="AE126" s="3">
        <v>99</v>
      </c>
      <c r="AF126" s="3">
        <v>122</v>
      </c>
      <c r="AG126" s="3">
        <v>3</v>
      </c>
      <c r="AH126" s="3">
        <v>8</v>
      </c>
      <c r="AI126" s="3">
        <v>6</v>
      </c>
      <c r="AJ126" s="3">
        <v>1</v>
      </c>
      <c r="AK126" s="3" t="s">
        <v>40</v>
      </c>
      <c r="AL126" s="3" t="str">
        <f>HYPERLINK(".\links\REFSEQ-INVERTEBRATE\gi_427785447-REFSEQ-INVERTEBRATE.txt","peroxinectin, putative")</f>
        <v>peroxinectin, putative</v>
      </c>
      <c r="AM126" s="3" t="str">
        <f>HYPERLINK("http://www.ncbi.nlm.nih.gov/sutils/blink.cgi?pid=241611809","0.0")</f>
        <v>0.0</v>
      </c>
      <c r="AN126" s="3" t="str">
        <f>HYPERLINK("http://www.ncbi.nlm.nih.gov/protein/241611809","gi|241611809")</f>
        <v>gi|241611809</v>
      </c>
      <c r="AO126" s="3">
        <v>1432</v>
      </c>
      <c r="AP126" s="3">
        <v>806</v>
      </c>
      <c r="AQ126" s="3">
        <v>812</v>
      </c>
      <c r="AR126" s="3">
        <v>84</v>
      </c>
      <c r="AS126" s="3">
        <v>91</v>
      </c>
      <c r="AT126" s="3">
        <v>99</v>
      </c>
      <c r="AU126" s="3">
        <v>122</v>
      </c>
      <c r="AV126" s="3">
        <v>3</v>
      </c>
      <c r="AW126" s="3">
        <v>8</v>
      </c>
      <c r="AX126" s="3">
        <v>6</v>
      </c>
      <c r="AY126" s="3">
        <v>1</v>
      </c>
      <c r="AZ126" s="3" t="s">
        <v>40</v>
      </c>
      <c r="BA126" s="3" t="str">
        <f>HYPERLINK(".\links\MEROPS\gi_427785447-MEROPS.txt","- oprin (Rattus norvegicus)")</f>
        <v>- oprin (Rattus norvegicus)</v>
      </c>
      <c r="BB126" s="3" t="str">
        <f>HYPERLINK("http://www.ncbi.nlm.nih.gov/sutils/blink.cgi?pid=218411 - oprin (Rattus norvegicus) [I43.001]#I43#{inhibitor unit","1E-110")</f>
        <v>1E-110</v>
      </c>
      <c r="BC126" s="3" t="s">
        <v>128</v>
      </c>
      <c r="BD126" s="3">
        <v>399</v>
      </c>
      <c r="BE126" s="3">
        <v>601</v>
      </c>
      <c r="BF126" s="3">
        <v>1176</v>
      </c>
      <c r="BG126" s="3">
        <v>41</v>
      </c>
      <c r="BH126" s="3">
        <v>56</v>
      </c>
      <c r="BI126" s="3">
        <v>51</v>
      </c>
      <c r="BJ126" s="3">
        <v>351</v>
      </c>
      <c r="BK126" s="3">
        <v>50</v>
      </c>
      <c r="BL126" s="3">
        <v>437</v>
      </c>
      <c r="BM126" s="3">
        <v>232</v>
      </c>
      <c r="BN126" s="3">
        <v>1</v>
      </c>
      <c r="BO126" s="3" t="s">
        <v>129</v>
      </c>
      <c r="BP126" s="3" t="s">
        <v>130</v>
      </c>
      <c r="BQ126" s="3">
        <f>HYPERLINK(".\links\GO\gi_427785447-GO.txt",0)</f>
        <v>0</v>
      </c>
      <c r="BR126" s="3" t="str">
        <f>HYPERLINK("http://amigo.geneontology.org/cgi-bin/amigo/term_details?term=GO:0004601","GO:0004601")</f>
        <v>GO:0004601</v>
      </c>
      <c r="BS126" s="3" t="s">
        <v>131</v>
      </c>
      <c r="BT126" s="3" t="s">
        <v>132</v>
      </c>
      <c r="BU126" s="3" t="s">
        <v>133</v>
      </c>
      <c r="BV126" s="3" t="str">
        <f>HYPERLINK("http://www.genome.jp/dbget-bin/www_bfind_sub?mode=bfind&amp;max_hit=1000&amp;dbkey=kegg&amp;keywords=EC:1.11.1.7","EC:1.11.1.7")</f>
        <v>EC:1.11.1.7</v>
      </c>
      <c r="BW126" s="3" t="str">
        <f>HYPERLINK("http://www.genome.jp/dbget-bin/www_bget?rn:R03532","KEGG:R03532")</f>
        <v>KEGG:R03532</v>
      </c>
      <c r="BX126" s="4">
        <v>9.9999999999999993E-125</v>
      </c>
      <c r="BY126" s="3" t="str">
        <f>HYPERLINK("http://amigo.geneontology.org/cgi-bin/amigo/term_details?term=GO:0005875","GO:0005875")</f>
        <v>GO:0005875</v>
      </c>
      <c r="BZ126" s="3" t="s">
        <v>134</v>
      </c>
      <c r="CA126" s="3" t="s">
        <v>135</v>
      </c>
      <c r="CB126" s="3" t="s">
        <v>36</v>
      </c>
      <c r="CC126" s="3" t="s">
        <v>36</v>
      </c>
      <c r="CE126" s="4">
        <v>9.9999999999999993E-125</v>
      </c>
      <c r="CF126" s="3" t="str">
        <f>HYPERLINK("http://amigo.geneontology.org/cgi-bin/amigo/term_details?term=GO:0006979","GO:0006979")</f>
        <v>GO:0006979</v>
      </c>
      <c r="CG126" s="3" t="s">
        <v>136</v>
      </c>
      <c r="CH126" s="3" t="s">
        <v>137</v>
      </c>
      <c r="CI126" s="3" t="s">
        <v>36</v>
      </c>
      <c r="CJ126" s="3" t="s">
        <v>36</v>
      </c>
      <c r="CL126" s="4">
        <v>9.9999999999999993E-125</v>
      </c>
      <c r="CM126" s="3" t="str">
        <f>HYPERLINK(".\links\CDD\gi_427785447-CDD.txt","An_peroxidase")</f>
        <v>An_peroxidase</v>
      </c>
      <c r="CN126" s="3" t="str">
        <f>HYPERLINK("http://www.ncbi.nlm.nih.gov/Structure/cdd/cddsrv.cgi?uid=pfam03098&amp;version=v4.0","1E-134")</f>
        <v>1E-134</v>
      </c>
      <c r="CO126" s="3" t="s">
        <v>138</v>
      </c>
      <c r="CP126" s="3" t="str">
        <f>HYPERLINK(".\links\ACARI\gi_427785447-ACARI.txt","Putative chorion peroxidase-like protein")</f>
        <v>Putative chorion peroxidase-like protein</v>
      </c>
      <c r="CQ126" s="3" t="str">
        <f>HYPERLINK("http://www.ncbi.nlm.nih.gov/sutils/blink.cgi?pid=427785447","0.0")</f>
        <v>0.0</v>
      </c>
      <c r="CR126" s="3" t="str">
        <f>HYPERLINK("http://www.ncbi.nlm.nih.gov/protein/427785447","gi|427785447")</f>
        <v>gi|427785447</v>
      </c>
      <c r="CS126" s="3">
        <v>1653</v>
      </c>
      <c r="CT126" s="3">
        <v>809</v>
      </c>
      <c r="CU126" s="3">
        <v>809</v>
      </c>
      <c r="CV126" s="3">
        <v>100</v>
      </c>
      <c r="CW126" s="3">
        <v>100</v>
      </c>
      <c r="CX126" s="3">
        <v>100</v>
      </c>
      <c r="CY126" s="3">
        <v>0</v>
      </c>
      <c r="CZ126" s="3">
        <v>0</v>
      </c>
      <c r="DA126" s="3">
        <v>1</v>
      </c>
      <c r="DB126" s="3">
        <v>1</v>
      </c>
      <c r="DC126" s="3">
        <v>1</v>
      </c>
      <c r="DD126" s="3" t="s">
        <v>68</v>
      </c>
    </row>
    <row r="127" spans="1:108" s="3" customFormat="1" x14ac:dyDescent="0.2">
      <c r="A127" s="3" t="s">
        <v>1403</v>
      </c>
      <c r="B127" s="3" t="str">
        <f>HYPERLINK(".\links\\gi_427788401-.txt","gi_427788401")</f>
        <v>gi_427788401</v>
      </c>
      <c r="C127" s="3" t="s">
        <v>35</v>
      </c>
      <c r="D127" s="3">
        <v>1548</v>
      </c>
      <c r="E127" s="9" t="s">
        <v>68</v>
      </c>
      <c r="F127" s="3" t="s">
        <v>1256</v>
      </c>
      <c r="G127" s="1" t="s">
        <v>1480</v>
      </c>
      <c r="H127" s="3" t="str">
        <f>HYPERLINK(".\links\UNIPROT-ACARI\gi_427788401-UNIPROT-ACARI.txt","Putative lipoprotein amino terminal region")</f>
        <v>Putative lipoprotein amino terminal region</v>
      </c>
      <c r="I127" s="3" t="str">
        <f>HYPERLINK("http://www.ncbi.nlm.nih.gov/sutils/blink.cgi?pid=L7M721","0.0")</f>
        <v>0.0</v>
      </c>
      <c r="J127" s="3" t="s">
        <v>1062</v>
      </c>
      <c r="K127" s="3">
        <v>3216</v>
      </c>
      <c r="L127" s="3">
        <v>1548</v>
      </c>
      <c r="M127" s="3">
        <v>1548</v>
      </c>
      <c r="N127" s="3">
        <v>100</v>
      </c>
      <c r="O127" s="3">
        <v>100</v>
      </c>
      <c r="P127" s="3">
        <v>100</v>
      </c>
      <c r="Q127" s="3">
        <v>0</v>
      </c>
      <c r="R127" s="3">
        <v>0</v>
      </c>
      <c r="S127" s="3">
        <v>1</v>
      </c>
      <c r="T127" s="3">
        <v>1</v>
      </c>
      <c r="U127" s="3">
        <v>1</v>
      </c>
      <c r="V127" s="3" t="s">
        <v>36</v>
      </c>
      <c r="W127" s="3" t="str">
        <f>HYPERLINK(".\links\NR-LIGHT\gi_427788401-NR-LIGHT.txt","heme lipoprotein precursor")</f>
        <v>heme lipoprotein precursor</v>
      </c>
      <c r="X127" s="3" t="str">
        <f>HYPERLINK("http://www.ncbi.nlm.nih.gov/sutils/blink.cgi?pid=152125831","0.0")</f>
        <v>0.0</v>
      </c>
      <c r="Y127" s="3" t="str">
        <f>HYPERLINK("http://www.ncbi.nlm.nih.gov/protein/152125831","gi|152125831")</f>
        <v>gi|152125831</v>
      </c>
      <c r="Z127" s="3">
        <v>2477</v>
      </c>
      <c r="AA127" s="3">
        <v>1548</v>
      </c>
      <c r="AB127" s="3">
        <v>1546</v>
      </c>
      <c r="AC127" s="3">
        <v>74</v>
      </c>
      <c r="AD127" s="3">
        <v>87</v>
      </c>
      <c r="AE127" s="3">
        <v>100</v>
      </c>
      <c r="AF127" s="3">
        <v>401</v>
      </c>
      <c r="AG127" s="3">
        <v>2</v>
      </c>
      <c r="AH127" s="3">
        <v>1</v>
      </c>
      <c r="AI127" s="3">
        <v>1</v>
      </c>
      <c r="AJ127" s="3">
        <v>1</v>
      </c>
      <c r="AK127" s="3" t="s">
        <v>377</v>
      </c>
      <c r="AL127" s="3" t="str">
        <f>HYPERLINK(".\links\REFSEQ-INVERTEBRATE\gi_427788401-REFSEQ-INVERTEBRATE.txt","hemelipoglycoprotein precursor, putative")</f>
        <v>hemelipoglycoprotein precursor, putative</v>
      </c>
      <c r="AM127" s="3" t="str">
        <f>HYPERLINK("http://www.ncbi.nlm.nih.gov/sutils/blink.cgi?pid=241671866","0.0")</f>
        <v>0.0</v>
      </c>
      <c r="AN127" s="3" t="str">
        <f>HYPERLINK("http://www.ncbi.nlm.nih.gov/protein/241671866","gi|241671866")</f>
        <v>gi|241671866</v>
      </c>
      <c r="AO127" s="3">
        <v>1686</v>
      </c>
      <c r="AP127" s="3">
        <v>1564</v>
      </c>
      <c r="AQ127" s="3">
        <v>1556</v>
      </c>
      <c r="AR127" s="3">
        <v>52</v>
      </c>
      <c r="AS127" s="3">
        <v>70</v>
      </c>
      <c r="AT127" s="3">
        <v>101</v>
      </c>
      <c r="AU127" s="3">
        <v>736</v>
      </c>
      <c r="AV127" s="3">
        <v>42</v>
      </c>
      <c r="AW127" s="3">
        <v>10</v>
      </c>
      <c r="AX127" s="3">
        <v>8</v>
      </c>
      <c r="AY127" s="3">
        <v>1</v>
      </c>
      <c r="AZ127" s="3" t="s">
        <v>40</v>
      </c>
      <c r="BA127" s="3" t="str">
        <f>HYPERLINK(".\links\MEROPS\gi_427788401-MEROPS.txt","- family I8 unassigned peptidase inhibitor homologues (Mus musculus)")</f>
        <v>- family I8 unassigned peptidase inhibitor homologues (Mus musculus)</v>
      </c>
      <c r="BB127" s="3" t="str">
        <f>HYPERLINK("http://www.ncbi.nlm.nih.gov/sutils/blink.cgi?pid=023392 - family I8 unassigned peptidase inhibitor homologues (Mus musculus) [I08.UNW]#I08#{inhibitor unit","3E-013")</f>
        <v>3E-013</v>
      </c>
      <c r="BC127" s="3" t="s">
        <v>1063</v>
      </c>
      <c r="BD127" s="3">
        <v>79.3</v>
      </c>
      <c r="BE127" s="3">
        <v>180</v>
      </c>
      <c r="BF127" s="3">
        <v>685</v>
      </c>
      <c r="BG127" s="3">
        <v>32</v>
      </c>
      <c r="BH127" s="3">
        <v>52</v>
      </c>
      <c r="BI127" s="3">
        <v>26</v>
      </c>
      <c r="BJ127" s="3">
        <v>121</v>
      </c>
      <c r="BK127" s="3">
        <v>23</v>
      </c>
      <c r="BL127" s="3">
        <v>374</v>
      </c>
      <c r="BM127" s="3">
        <v>1374</v>
      </c>
      <c r="BN127" s="3">
        <v>1</v>
      </c>
      <c r="BO127" s="3" t="s">
        <v>1064</v>
      </c>
      <c r="BP127" s="3" t="s">
        <v>1065</v>
      </c>
      <c r="BQ127" s="3">
        <f>HYPERLINK(".\links\GO\gi_427788401-GO.txt",2E-31)</f>
        <v>2.0000000000000002E-31</v>
      </c>
      <c r="BR127" s="3" t="str">
        <f>HYPERLINK("http://amigo.geneontology.org/cgi-bin/amigo/term_details?term=GO:0005319","GO:0005319")</f>
        <v>GO:0005319</v>
      </c>
      <c r="BS127" s="3" t="s">
        <v>1066</v>
      </c>
      <c r="BT127" s="3" t="s">
        <v>1067</v>
      </c>
      <c r="BU127" s="3" t="s">
        <v>1068</v>
      </c>
      <c r="BV127" s="3" t="s">
        <v>36</v>
      </c>
      <c r="BX127" s="4">
        <v>2.0000000000000002E-31</v>
      </c>
      <c r="BY127" s="3" t="str">
        <f>HYPERLINK("http://amigo.geneontology.org/cgi-bin/amigo/term_details?term=GO:0005576","GO:0005576")</f>
        <v>GO:0005576</v>
      </c>
      <c r="BZ127" s="3" t="s">
        <v>47</v>
      </c>
      <c r="CA127" s="3" t="s">
        <v>48</v>
      </c>
      <c r="CB127" s="3" t="s">
        <v>49</v>
      </c>
      <c r="CC127" s="3" t="s">
        <v>36</v>
      </c>
      <c r="CE127" s="4">
        <v>2.0000000000000002E-31</v>
      </c>
      <c r="CF127" s="3" t="str">
        <f>HYPERLINK("http://amigo.geneontology.org/cgi-bin/amigo/term_details?term=GO:0006869","GO:0006869")</f>
        <v>GO:0006869</v>
      </c>
      <c r="CG127" s="3" t="s">
        <v>1069</v>
      </c>
      <c r="CH127" s="3" t="s">
        <v>1070</v>
      </c>
      <c r="CI127" s="3" t="s">
        <v>36</v>
      </c>
      <c r="CJ127" s="3" t="s">
        <v>36</v>
      </c>
      <c r="CL127" s="4">
        <v>2.0000000000000002E-31</v>
      </c>
      <c r="CM127" s="3" t="str">
        <f>HYPERLINK(".\links\CDD\gi_427788401-CDD.txt","Vitellogenin_N")</f>
        <v>Vitellogenin_N</v>
      </c>
      <c r="CN127" s="3" t="str">
        <f>HYPERLINK("http://www.ncbi.nlm.nih.gov/Structure/cdd/cddsrv.cgi?uid=pfam01347&amp;version=v4.0","7E-041")</f>
        <v>7E-041</v>
      </c>
      <c r="CO127" s="3" t="s">
        <v>1071</v>
      </c>
      <c r="CP127" s="3" t="str">
        <f>HYPERLINK(".\links\ACARI\gi_427788401-ACARI.txt","Putative lipoprotein amino terminal region")</f>
        <v>Putative lipoprotein amino terminal region</v>
      </c>
      <c r="CQ127" s="3" t="str">
        <f>HYPERLINK("http://www.ncbi.nlm.nih.gov/sutils/blink.cgi?pid=427788401","0.0")</f>
        <v>0.0</v>
      </c>
      <c r="CR127" s="3" t="str">
        <f>HYPERLINK("http://www.ncbi.nlm.nih.gov/protein/427788401","gi|427788401")</f>
        <v>gi|427788401</v>
      </c>
      <c r="CS127" s="3">
        <v>3216</v>
      </c>
      <c r="CT127" s="3">
        <v>1548</v>
      </c>
      <c r="CU127" s="3">
        <v>1548</v>
      </c>
      <c r="CV127" s="3">
        <v>100</v>
      </c>
      <c r="CW127" s="3">
        <v>100</v>
      </c>
      <c r="CX127" s="3">
        <v>100</v>
      </c>
      <c r="CY127" s="3">
        <v>0</v>
      </c>
      <c r="CZ127" s="3">
        <v>0</v>
      </c>
      <c r="DA127" s="3">
        <v>1</v>
      </c>
      <c r="DB127" s="3">
        <v>1</v>
      </c>
      <c r="DC127" s="3">
        <v>1</v>
      </c>
      <c r="DD127" s="3" t="s">
        <v>68</v>
      </c>
    </row>
    <row r="128" spans="1:108" s="3" customFormat="1" x14ac:dyDescent="0.2">
      <c r="A128" s="3" t="s">
        <v>1307</v>
      </c>
      <c r="B128" s="3" t="str">
        <f>HYPERLINK(".\links\\gi_475393011-.txt","gi_475393011")</f>
        <v>gi_475393011</v>
      </c>
      <c r="C128" s="3" t="s">
        <v>35</v>
      </c>
      <c r="D128" s="3">
        <v>199</v>
      </c>
      <c r="E128" s="9" t="s">
        <v>53</v>
      </c>
      <c r="F128" s="3" t="s">
        <v>1209</v>
      </c>
      <c r="G128" s="1" t="s">
        <v>1480</v>
      </c>
      <c r="H128" s="3" t="str">
        <f>HYPERLINK(".\links\UNIPROT-ACARI\gi_475393011-UNIPROT-ACARI.txt","Ferritin")</f>
        <v>Ferritin</v>
      </c>
      <c r="I128" s="3" t="str">
        <f>HYPERLINK("http://www.ncbi.nlm.nih.gov/sutils/blink.cgi?pid=M5AYG7","1E-111")</f>
        <v>1E-111</v>
      </c>
      <c r="J128" s="3" t="s">
        <v>54</v>
      </c>
      <c r="K128" s="3">
        <v>397</v>
      </c>
      <c r="L128" s="3">
        <v>199</v>
      </c>
      <c r="M128" s="3">
        <v>199</v>
      </c>
      <c r="N128" s="3">
        <v>100</v>
      </c>
      <c r="O128" s="3">
        <v>100</v>
      </c>
      <c r="P128" s="3">
        <v>100</v>
      </c>
      <c r="Q128" s="3">
        <v>0</v>
      </c>
      <c r="R128" s="3">
        <v>0</v>
      </c>
      <c r="S128" s="3">
        <v>1</v>
      </c>
      <c r="T128" s="3">
        <v>1</v>
      </c>
      <c r="U128" s="3">
        <v>1</v>
      </c>
      <c r="V128" s="3" t="s">
        <v>36</v>
      </c>
      <c r="W128" s="3" t="str">
        <f>HYPERLINK(".\links\NR-LIGHT\gi_475393011-NR-LIGHT.txt","ferritin 2")</f>
        <v>ferritin 2</v>
      </c>
      <c r="X128" s="3" t="str">
        <f>HYPERLINK("http://www.ncbi.nlm.nih.gov/sutils/blink.cgi?pid=475393011","1E-109")</f>
        <v>1E-109</v>
      </c>
      <c r="Y128" s="3" t="str">
        <f>HYPERLINK("http://www.ncbi.nlm.nih.gov/protein/475393011","gi|475393011")</f>
        <v>gi|475393011</v>
      </c>
      <c r="Z128" s="3">
        <v>397</v>
      </c>
      <c r="AA128" s="3">
        <v>199</v>
      </c>
      <c r="AB128" s="3">
        <v>199</v>
      </c>
      <c r="AC128" s="3">
        <v>100</v>
      </c>
      <c r="AD128" s="3">
        <v>100</v>
      </c>
      <c r="AE128" s="3">
        <v>100</v>
      </c>
      <c r="AF128" s="3">
        <v>0</v>
      </c>
      <c r="AG128" s="3">
        <v>0</v>
      </c>
      <c r="AH128" s="3">
        <v>1</v>
      </c>
      <c r="AI128" s="3">
        <v>1</v>
      </c>
      <c r="AJ128" s="3">
        <v>1</v>
      </c>
      <c r="AK128" s="3" t="s">
        <v>53</v>
      </c>
      <c r="AL128" s="3" t="str">
        <f>HYPERLINK(".\links\REFSEQ-INVERTEBRATE\gi_475393011-REFSEQ-INVERTEBRATE.txt","ferritin, putative, partial")</f>
        <v>ferritin, putative, partial</v>
      </c>
      <c r="AM128" s="3" t="str">
        <f>HYPERLINK("http://www.ncbi.nlm.nih.gov/sutils/blink.cgi?pid=241843499","9E-059")</f>
        <v>9E-059</v>
      </c>
      <c r="AN128" s="3" t="str">
        <f>HYPERLINK("http://www.ncbi.nlm.nih.gov/protein/241843499","gi|241843499")</f>
        <v>gi|241843499</v>
      </c>
      <c r="AO128" s="3">
        <v>227</v>
      </c>
      <c r="AP128" s="3">
        <v>176</v>
      </c>
      <c r="AQ128" s="3">
        <v>204</v>
      </c>
      <c r="AR128" s="3">
        <v>62</v>
      </c>
      <c r="AS128" s="3">
        <v>77</v>
      </c>
      <c r="AT128" s="3">
        <v>86</v>
      </c>
      <c r="AU128" s="3">
        <v>66</v>
      </c>
      <c r="AV128" s="3">
        <v>2</v>
      </c>
      <c r="AW128" s="3">
        <v>24</v>
      </c>
      <c r="AX128" s="3">
        <v>17</v>
      </c>
      <c r="AY128" s="3">
        <v>1</v>
      </c>
      <c r="AZ128" s="3" t="s">
        <v>40</v>
      </c>
      <c r="BA128" s="3" t="str">
        <f>HYPERLINK(".\links\MEROPS\gi_475393011-MEROPS.txt","- pyroglutamyl-peptidase I (chordate) (Tursiops truncatus)")</f>
        <v>- pyroglutamyl-peptidase I (chordate) (Tursiops truncatus)</v>
      </c>
      <c r="BB128" s="3" t="str">
        <f>HYPERLINK("http://www.ncbi.nlm.nih.gov/sutils/blink.cgi?pid=261465 - pyroglutamyl-peptidase I (chordate) (Tursiops truncatus) [C15.010]#C15#{peptidase unit","5E-007")</f>
        <v>5E-007</v>
      </c>
      <c r="BC128" s="3" t="s">
        <v>55</v>
      </c>
      <c r="BD128" s="3">
        <v>54.7</v>
      </c>
      <c r="BE128" s="3">
        <v>104</v>
      </c>
      <c r="BF128" s="3">
        <v>549</v>
      </c>
      <c r="BG128" s="3">
        <v>32</v>
      </c>
      <c r="BH128" s="3">
        <v>48</v>
      </c>
      <c r="BI128" s="3">
        <v>19</v>
      </c>
      <c r="BJ128" s="3">
        <v>70</v>
      </c>
      <c r="BK128" s="3">
        <v>1</v>
      </c>
      <c r="BL128" s="3">
        <v>444</v>
      </c>
      <c r="BM128" s="3">
        <v>66</v>
      </c>
      <c r="BN128" s="3">
        <v>1</v>
      </c>
      <c r="BO128" s="3" t="s">
        <v>56</v>
      </c>
      <c r="BP128" s="3" t="s">
        <v>57</v>
      </c>
      <c r="BQ128" s="3">
        <f>HYPERLINK(".\links\GO\gi_475393011-GO.txt",1E-27)</f>
        <v>1E-27</v>
      </c>
      <c r="BR128" s="3" t="str">
        <f>HYPERLINK("http://amigo.geneontology.org/cgi-bin/amigo/term_details?term=GO:0008199","GO:0008199")</f>
        <v>GO:0008199</v>
      </c>
      <c r="BS128" s="3" t="s">
        <v>58</v>
      </c>
      <c r="BT128" s="3" t="s">
        <v>59</v>
      </c>
      <c r="BU128" s="3" t="s">
        <v>36</v>
      </c>
      <c r="BV128" s="3" t="s">
        <v>36</v>
      </c>
      <c r="BX128" s="4">
        <v>1E-26</v>
      </c>
      <c r="BY128" s="3" t="str">
        <f>HYPERLINK("http://amigo.geneontology.org/cgi-bin/amigo/term_details?term=GO:0005575","GO:0005575")</f>
        <v>GO:0005575</v>
      </c>
      <c r="BZ128" s="3" t="s">
        <v>60</v>
      </c>
      <c r="CA128" s="3" t="s">
        <v>61</v>
      </c>
      <c r="CB128" s="3" t="s">
        <v>62</v>
      </c>
      <c r="CC128" s="3" t="s">
        <v>36</v>
      </c>
      <c r="CE128" s="4">
        <v>1E-26</v>
      </c>
      <c r="CF128" s="3" t="str">
        <f>HYPERLINK("http://amigo.geneontology.org/cgi-bin/amigo/term_details?term=GO:0006879","GO:0006879")</f>
        <v>GO:0006879</v>
      </c>
      <c r="CG128" s="3" t="s">
        <v>63</v>
      </c>
      <c r="CH128" s="3" t="s">
        <v>64</v>
      </c>
      <c r="CI128" s="3" t="s">
        <v>65</v>
      </c>
      <c r="CJ128" s="3" t="s">
        <v>36</v>
      </c>
      <c r="CL128" s="4">
        <v>1E-26</v>
      </c>
      <c r="CM128" s="3" t="str">
        <f>HYPERLINK(".\links\CDD\gi_475393011-CDD.txt","Euk_Ferritin")</f>
        <v>Euk_Ferritin</v>
      </c>
      <c r="CN128" s="3" t="str">
        <f>HYPERLINK("http://www.ncbi.nlm.nih.gov/Structure/cdd/cddsrv.cgi?uid=cd01056&amp;version=v4.0","2E-034")</f>
        <v>2E-034</v>
      </c>
      <c r="CO128" s="3" t="s">
        <v>66</v>
      </c>
      <c r="CP128" s="3" t="str">
        <f>HYPERLINK(".\links\ACARI\gi_475393011-ACARI.txt","ferritin 2")</f>
        <v>ferritin 2</v>
      </c>
      <c r="CQ128" s="3" t="str">
        <f>HYPERLINK("http://www.ncbi.nlm.nih.gov/sutils/blink.cgi?pid=475393011","1E-111")</f>
        <v>1E-111</v>
      </c>
      <c r="CR128" s="3" t="str">
        <f>HYPERLINK("http://www.ncbi.nlm.nih.gov/protein/475393011","gi|475393011")</f>
        <v>gi|475393011</v>
      </c>
      <c r="CS128" s="3">
        <v>397</v>
      </c>
      <c r="CT128" s="3">
        <v>199</v>
      </c>
      <c r="CU128" s="3">
        <v>199</v>
      </c>
      <c r="CV128" s="3">
        <v>100</v>
      </c>
      <c r="CW128" s="3">
        <v>100</v>
      </c>
      <c r="CX128" s="3">
        <v>100</v>
      </c>
      <c r="CY128" s="3">
        <v>0</v>
      </c>
      <c r="CZ128" s="3">
        <v>0</v>
      </c>
      <c r="DA128" s="3">
        <v>1</v>
      </c>
      <c r="DB128" s="3">
        <v>1</v>
      </c>
      <c r="DC128" s="3">
        <v>1</v>
      </c>
      <c r="DD128" s="3" t="s">
        <v>53</v>
      </c>
    </row>
    <row r="129" spans="1:108" s="3" customFormat="1" x14ac:dyDescent="0.2">
      <c r="A129" s="3" t="s">
        <v>1404</v>
      </c>
      <c r="B129" s="3" t="str">
        <f>HYPERLINK(".\links\\gi_89954505-.txt","gi_89954505")</f>
        <v>gi_89954505</v>
      </c>
      <c r="C129" s="3" t="s">
        <v>35</v>
      </c>
      <c r="D129" s="3">
        <v>1547</v>
      </c>
      <c r="E129" s="9" t="s">
        <v>401</v>
      </c>
      <c r="F129" s="3" t="s">
        <v>1256</v>
      </c>
      <c r="G129" s="1" t="s">
        <v>1480</v>
      </c>
      <c r="H129" s="3" t="str">
        <f>HYPERLINK(".\links\UNIPROT-ACARI\gi_89954505-UNIPROT-ACARI.txt","Hemelipoglycoprotein")</f>
        <v>Hemelipoglycoprotein</v>
      </c>
      <c r="I129" s="3" t="str">
        <f>HYPERLINK("http://www.ncbi.nlm.nih.gov/sutils/blink.cgi?pid=Q19V51","0.0")</f>
        <v>0.0</v>
      </c>
      <c r="J129" s="3" t="s">
        <v>1159</v>
      </c>
      <c r="K129" s="3">
        <v>3219</v>
      </c>
      <c r="L129" s="3">
        <v>1547</v>
      </c>
      <c r="M129" s="3">
        <v>1547</v>
      </c>
      <c r="N129" s="3">
        <v>100</v>
      </c>
      <c r="O129" s="3">
        <v>100</v>
      </c>
      <c r="P129" s="3">
        <v>100</v>
      </c>
      <c r="Q129" s="3">
        <v>0</v>
      </c>
      <c r="R129" s="3">
        <v>0</v>
      </c>
      <c r="S129" s="3">
        <v>1</v>
      </c>
      <c r="T129" s="3">
        <v>1</v>
      </c>
      <c r="U129" s="3">
        <v>1</v>
      </c>
      <c r="V129" s="3" t="s">
        <v>36</v>
      </c>
      <c r="W129" s="3" t="str">
        <f>HYPERLINK(".\links\NR-LIGHT\gi_89954505-NR-LIGHT.txt","heme lipoprotein precursor")</f>
        <v>heme lipoprotein precursor</v>
      </c>
      <c r="X129" s="3" t="str">
        <f>HYPERLINK("http://www.ncbi.nlm.nih.gov/sutils/blink.cgi?pid=152125831","0.0")</f>
        <v>0.0</v>
      </c>
      <c r="Y129" s="3" t="str">
        <f>HYPERLINK("http://www.ncbi.nlm.nih.gov/protein/152125831","gi|152125831")</f>
        <v>gi|152125831</v>
      </c>
      <c r="Z129" s="3">
        <v>2514</v>
      </c>
      <c r="AA129" s="3">
        <v>1547</v>
      </c>
      <c r="AB129" s="3">
        <v>1546</v>
      </c>
      <c r="AC129" s="3">
        <v>75</v>
      </c>
      <c r="AD129" s="3">
        <v>87</v>
      </c>
      <c r="AE129" s="3">
        <v>100</v>
      </c>
      <c r="AF129" s="3">
        <v>383</v>
      </c>
      <c r="AG129" s="3">
        <v>1</v>
      </c>
      <c r="AH129" s="3">
        <v>1</v>
      </c>
      <c r="AI129" s="3">
        <v>1</v>
      </c>
      <c r="AJ129" s="3">
        <v>1</v>
      </c>
      <c r="AK129" s="3" t="s">
        <v>377</v>
      </c>
      <c r="AL129" s="3" t="str">
        <f>HYPERLINK(".\links\REFSEQ-INVERTEBRATE\gi_89954505-REFSEQ-INVERTEBRATE.txt","hemelipoglycoprotein precursor, putative")</f>
        <v>hemelipoglycoprotein precursor, putative</v>
      </c>
      <c r="AM129" s="3" t="str">
        <f>HYPERLINK("http://www.ncbi.nlm.nih.gov/sutils/blink.cgi?pid=241671866","0.0")</f>
        <v>0.0</v>
      </c>
      <c r="AN129" s="3" t="str">
        <f>HYPERLINK("http://www.ncbi.nlm.nih.gov/protein/241671866","gi|241671866")</f>
        <v>gi|241671866</v>
      </c>
      <c r="AO129" s="3">
        <v>1730</v>
      </c>
      <c r="AP129" s="3">
        <v>1562</v>
      </c>
      <c r="AQ129" s="3">
        <v>1556</v>
      </c>
      <c r="AR129" s="3">
        <v>53</v>
      </c>
      <c r="AS129" s="3">
        <v>70</v>
      </c>
      <c r="AT129" s="3">
        <v>100</v>
      </c>
      <c r="AU129" s="3">
        <v>722</v>
      </c>
      <c r="AV129" s="3">
        <v>39</v>
      </c>
      <c r="AW129" s="3">
        <v>10</v>
      </c>
      <c r="AX129" s="3">
        <v>8</v>
      </c>
      <c r="AY129" s="3">
        <v>1</v>
      </c>
      <c r="AZ129" s="3" t="s">
        <v>40</v>
      </c>
      <c r="BA129" s="3" t="str">
        <f>HYPERLINK(".\links\MEROPS\gi_89954505-MEROPS.txt","- family I8 unassigned peptidase inhibitor homologues (Mus musculus)")</f>
        <v>- family I8 unassigned peptidase inhibitor homologues (Mus musculus)</v>
      </c>
      <c r="BB129" s="3" t="str">
        <f>HYPERLINK("http://www.ncbi.nlm.nih.gov/sutils/blink.cgi?pid=023392 - family I8 unassigned peptidase inhibitor homologues (Mus musculus) [I08.UNW]#I08#{inhibitor unit","2E-012")</f>
        <v>2E-012</v>
      </c>
      <c r="BC129" s="3" t="s">
        <v>1063</v>
      </c>
      <c r="BD129" s="3">
        <v>76.599999999999994</v>
      </c>
      <c r="BE129" s="3">
        <v>180</v>
      </c>
      <c r="BF129" s="3">
        <v>685</v>
      </c>
      <c r="BG129" s="3">
        <v>31</v>
      </c>
      <c r="BH129" s="3">
        <v>52</v>
      </c>
      <c r="BI129" s="3">
        <v>26</v>
      </c>
      <c r="BJ129" s="3">
        <v>123</v>
      </c>
      <c r="BK129" s="3">
        <v>23</v>
      </c>
      <c r="BL129" s="3">
        <v>374</v>
      </c>
      <c r="BM129" s="3">
        <v>1373</v>
      </c>
      <c r="BN129" s="3">
        <v>1</v>
      </c>
      <c r="BO129" s="3" t="s">
        <v>1064</v>
      </c>
      <c r="BP129" s="3" t="s">
        <v>1065</v>
      </c>
      <c r="BQ129" s="3">
        <f>HYPERLINK(".\links\GO\gi_89954505-GO.txt",2E-33)</f>
        <v>2.0000000000000001E-33</v>
      </c>
      <c r="BR129" s="3" t="str">
        <f>HYPERLINK("http://amigo.geneontology.org/cgi-bin/amigo/term_details?term=GO:0005319","GO:0005319")</f>
        <v>GO:0005319</v>
      </c>
      <c r="BS129" s="3" t="s">
        <v>1066</v>
      </c>
      <c r="BT129" s="3" t="s">
        <v>1067</v>
      </c>
      <c r="BU129" s="3" t="s">
        <v>1068</v>
      </c>
      <c r="BV129" s="3" t="s">
        <v>36</v>
      </c>
      <c r="BX129" s="4">
        <v>2.0000000000000001E-33</v>
      </c>
      <c r="BY129" s="3" t="str">
        <f>HYPERLINK("http://amigo.geneontology.org/cgi-bin/amigo/term_details?term=GO:0005576","GO:0005576")</f>
        <v>GO:0005576</v>
      </c>
      <c r="BZ129" s="3" t="s">
        <v>47</v>
      </c>
      <c r="CA129" s="3" t="s">
        <v>48</v>
      </c>
      <c r="CB129" s="3" t="s">
        <v>49</v>
      </c>
      <c r="CC129" s="3" t="s">
        <v>36</v>
      </c>
      <c r="CE129" s="4">
        <v>2.0000000000000001E-33</v>
      </c>
      <c r="CF129" s="3" t="str">
        <f>HYPERLINK("http://amigo.geneontology.org/cgi-bin/amigo/term_details?term=GO:0006869","GO:0006869")</f>
        <v>GO:0006869</v>
      </c>
      <c r="CG129" s="3" t="s">
        <v>1069</v>
      </c>
      <c r="CH129" s="3" t="s">
        <v>1070</v>
      </c>
      <c r="CI129" s="3" t="s">
        <v>36</v>
      </c>
      <c r="CJ129" s="3" t="s">
        <v>36</v>
      </c>
      <c r="CL129" s="4">
        <v>2.0000000000000001E-33</v>
      </c>
      <c r="CM129" s="3" t="str">
        <f>HYPERLINK(".\links\CDD\gi_89954505-CDD.txt","Vitellogenin_N")</f>
        <v>Vitellogenin_N</v>
      </c>
      <c r="CN129" s="3" t="str">
        <f>HYPERLINK("http://www.ncbi.nlm.nih.gov/Structure/cdd/cddsrv.cgi?uid=pfam01347&amp;version=v4.0","2E-039")</f>
        <v>2E-039</v>
      </c>
      <c r="CO129" s="3" t="s">
        <v>1160</v>
      </c>
      <c r="CP129" s="3" t="str">
        <f>HYPERLINK(".\links\ACARI\gi_89954505-ACARI.txt","hemelipoglycoprotein precursor")</f>
        <v>hemelipoglycoprotein precursor</v>
      </c>
      <c r="CQ129" s="3" t="str">
        <f>HYPERLINK("http://www.ncbi.nlm.nih.gov/sutils/blink.cgi?pid=89954505","0.0")</f>
        <v>0.0</v>
      </c>
      <c r="CR129" s="3" t="str">
        <f>HYPERLINK("http://www.ncbi.nlm.nih.gov/protein/89954505","gi|89954505")</f>
        <v>gi|89954505</v>
      </c>
      <c r="CS129" s="3">
        <v>3219</v>
      </c>
      <c r="CT129" s="3">
        <v>1547</v>
      </c>
      <c r="CU129" s="3">
        <v>1547</v>
      </c>
      <c r="CV129" s="3">
        <v>100</v>
      </c>
      <c r="CW129" s="3">
        <v>100</v>
      </c>
      <c r="CX129" s="3">
        <v>100</v>
      </c>
      <c r="CY129" s="3">
        <v>0</v>
      </c>
      <c r="CZ129" s="3">
        <v>0</v>
      </c>
      <c r="DA129" s="3">
        <v>1</v>
      </c>
      <c r="DB129" s="3">
        <v>1</v>
      </c>
      <c r="DC129" s="3">
        <v>1</v>
      </c>
      <c r="DD129" s="3" t="s">
        <v>401</v>
      </c>
    </row>
    <row r="130" spans="1:108" s="3" customFormat="1" x14ac:dyDescent="0.2">
      <c r="A130" s="3" t="str">
        <f>HYPERLINK(".\links\\Rm-154439-.txt","Rm-154439")</f>
        <v>Rm-154439</v>
      </c>
      <c r="B130" s="3" t="str">
        <f>HYPERLINK(".\links\\Rm-154439-.txt","Rm-154439")</f>
        <v>Rm-154439</v>
      </c>
      <c r="C130" s="3" t="s">
        <v>1042</v>
      </c>
      <c r="D130" s="3">
        <v>610</v>
      </c>
      <c r="E130" s="9" t="s">
        <v>203</v>
      </c>
      <c r="F130" s="3" t="s">
        <v>1256</v>
      </c>
      <c r="G130" s="1" t="s">
        <v>1480</v>
      </c>
      <c r="H130" s="3" t="str">
        <f>HYPERLINK(".\links\UNIPROT-ACARI\Rm-154439-UNIPROT-ACARI.txt","Vitellogenin 5 (Fragment)")</f>
        <v>Vitellogenin 5 (Fragment)</v>
      </c>
      <c r="I130" s="3">
        <v>0</v>
      </c>
      <c r="J130" s="3" t="s">
        <v>1435</v>
      </c>
      <c r="K130" s="3">
        <v>1004</v>
      </c>
      <c r="L130" s="3">
        <v>507</v>
      </c>
      <c r="M130" s="3">
        <v>507</v>
      </c>
      <c r="N130" s="3">
        <v>100</v>
      </c>
      <c r="O130" s="3">
        <v>100</v>
      </c>
      <c r="P130" s="3">
        <v>100</v>
      </c>
      <c r="Q130" s="3">
        <v>0</v>
      </c>
      <c r="R130" s="3">
        <v>0</v>
      </c>
      <c r="S130" s="3">
        <v>1</v>
      </c>
      <c r="T130" s="3">
        <v>1</v>
      </c>
      <c r="U130" s="3">
        <v>1</v>
      </c>
      <c r="V130" s="3" t="s">
        <v>36</v>
      </c>
      <c r="W130" s="3" t="str">
        <f>HYPERLINK(".\links\NR-LIGHT\Rm-154439-NR-LIGHT.txt","Vitellogenin-B")</f>
        <v>Vitellogenin-B</v>
      </c>
      <c r="X130" s="3" t="str">
        <f>HYPERLINK("http://www.ncbi.nlm.nih.gov/sutils/blink.cgi?pid=365189209","0.0")</f>
        <v>0.0</v>
      </c>
      <c r="Y130" s="3" t="str">
        <f>HYPERLINK("http://www.ncbi.nlm.nih.gov/protein/365189209","gi|365189209")</f>
        <v>gi|365189209</v>
      </c>
      <c r="Z130" s="3">
        <v>910</v>
      </c>
      <c r="AA130" s="3">
        <v>610</v>
      </c>
      <c r="AB130" s="3">
        <v>2878</v>
      </c>
      <c r="AC130" s="3">
        <v>73</v>
      </c>
      <c r="AD130" s="3">
        <v>84</v>
      </c>
      <c r="AE130" s="3">
        <v>21</v>
      </c>
      <c r="AF130" s="3">
        <v>160</v>
      </c>
      <c r="AG130" s="3">
        <v>32</v>
      </c>
      <c r="AH130" s="3">
        <v>202</v>
      </c>
      <c r="AI130" s="3">
        <v>1</v>
      </c>
      <c r="AJ130" s="3">
        <v>1</v>
      </c>
      <c r="AK130" s="3" t="s">
        <v>53</v>
      </c>
      <c r="AL130" s="3" t="str">
        <f>HYPERLINK(".\links\REFSEQ-INVERTEBRATE\Rm-154439-REFSEQ-INVERTEBRATE.txt","conserved hypothetical protein, partial")</f>
        <v>conserved hypothetical protein, partial</v>
      </c>
      <c r="AM130" s="3" t="str">
        <f>HYPERLINK("http://www.ncbi.nlm.nih.gov/sutils/blink.cgi?pid=241240852","0.0")</f>
        <v>0.0</v>
      </c>
      <c r="AN130" s="3" t="str">
        <f>HYPERLINK("http://www.ncbi.nlm.nih.gov/protein/241240852","gi|241240852")</f>
        <v>gi|241240852</v>
      </c>
      <c r="AO130" s="3">
        <v>773</v>
      </c>
      <c r="AP130" s="3">
        <v>601</v>
      </c>
      <c r="AQ130" s="3">
        <v>788</v>
      </c>
      <c r="AR130" s="3">
        <v>63</v>
      </c>
      <c r="AS130" s="3">
        <v>78</v>
      </c>
      <c r="AT130" s="3">
        <v>76</v>
      </c>
      <c r="AU130" s="3">
        <v>221</v>
      </c>
      <c r="AV130" s="3">
        <v>37</v>
      </c>
      <c r="AW130" s="3">
        <v>104</v>
      </c>
      <c r="AX130" s="3">
        <v>1</v>
      </c>
      <c r="AY130" s="3">
        <v>1</v>
      </c>
      <c r="AZ130" s="3" t="s">
        <v>40</v>
      </c>
      <c r="BA130" s="3" t="str">
        <f>HYPERLINK(".\links\MEROPS\Rm-154439-MEROPS.txt","- family M16 unassigned peptidases (Clostridium sp. DL-VIII)")</f>
        <v>- family M16 unassigned peptidases (Clostridium sp. DL-VIII)</v>
      </c>
      <c r="BB130" s="3">
        <v>1.9</v>
      </c>
      <c r="BC130" s="3" t="s">
        <v>1436</v>
      </c>
      <c r="BD130" s="3">
        <v>35.4</v>
      </c>
      <c r="BE130" s="3">
        <v>88</v>
      </c>
      <c r="BF130" s="3">
        <v>437</v>
      </c>
      <c r="BG130" s="3">
        <v>29</v>
      </c>
      <c r="BH130" s="3">
        <v>55</v>
      </c>
      <c r="BI130" s="3">
        <v>20</v>
      </c>
      <c r="BJ130" s="3">
        <v>62</v>
      </c>
      <c r="BK130" s="3">
        <v>12</v>
      </c>
      <c r="BL130" s="3">
        <v>292</v>
      </c>
      <c r="BM130" s="3">
        <v>282</v>
      </c>
      <c r="BN130" s="3">
        <v>1</v>
      </c>
      <c r="BO130" s="3" t="s">
        <v>36</v>
      </c>
      <c r="BP130" s="3" t="s">
        <v>867</v>
      </c>
      <c r="BQ130" s="3">
        <f>HYPERLINK(".\links\GO\Rm-154439-GO.txt",7E-50)</f>
        <v>6.9999999999999999E-50</v>
      </c>
      <c r="BR130" s="3" t="str">
        <f>HYPERLINK("http://amigo.geneontology.org/cgi-bin/amigo/term_details?term=GO:0008289","GO:0008289")</f>
        <v>GO:0008289</v>
      </c>
      <c r="BS130" s="3" t="s">
        <v>868</v>
      </c>
      <c r="BT130" s="3" t="s">
        <v>869</v>
      </c>
      <c r="BU130" s="3" t="s">
        <v>36</v>
      </c>
      <c r="BV130" s="3" t="s">
        <v>36</v>
      </c>
      <c r="BX130" s="3">
        <v>6.9999999999999999E-50</v>
      </c>
      <c r="BY130" s="3" t="str">
        <f>HYPERLINK("http://amigo.geneontology.org/cgi-bin/amigo/term_details?term=GO:0005615","GO:0005615")</f>
        <v>GO:0005615</v>
      </c>
      <c r="BZ130" s="3" t="s">
        <v>195</v>
      </c>
      <c r="CA130" s="3" t="s">
        <v>196</v>
      </c>
      <c r="CB130" s="3" t="s">
        <v>197</v>
      </c>
      <c r="CC130" s="3" t="s">
        <v>36</v>
      </c>
      <c r="CE130" s="3">
        <v>6.9999999999999999E-50</v>
      </c>
      <c r="CF130" s="3" t="str">
        <f>HYPERLINK("http://amigo.geneontology.org/cgi-bin/amigo/term_details?term=GO:0015918","GO:0015918")</f>
        <v>GO:0015918</v>
      </c>
      <c r="CG130" s="3" t="s">
        <v>870</v>
      </c>
      <c r="CH130" s="3" t="s">
        <v>871</v>
      </c>
      <c r="CI130" s="3" t="s">
        <v>36</v>
      </c>
      <c r="CJ130" s="3" t="s">
        <v>36</v>
      </c>
      <c r="CL130" s="3">
        <v>6.9999999999999999E-50</v>
      </c>
      <c r="CM130" s="3" t="str">
        <f>HYPERLINK(".\links\CDD\Rm-154439-CDD.txt","LPD_N")</f>
        <v>LPD_N</v>
      </c>
      <c r="CN130" s="3" t="str">
        <f>HYPERLINK("http://www.ncbi.nlm.nih.gov/Structure/cdd/cddsrv.cgi?uid=smart00638&amp;version=v4.0","6E-015")</f>
        <v>6E-015</v>
      </c>
      <c r="CO130" s="3" t="s">
        <v>1437</v>
      </c>
      <c r="CP130" s="3" t="str">
        <f>HYPERLINK(".\links\ACARI\Rm-154439-ACARI.txt","vitellogenin 5, partial")</f>
        <v>vitellogenin 5, partial</v>
      </c>
      <c r="CQ130" s="3" t="str">
        <f>HYPERLINK("http://www.ncbi.nlm.nih.gov/sutils/blink.cgi?pid=629510428","0.0")</f>
        <v>0.0</v>
      </c>
      <c r="CR130" s="3" t="str">
        <f>HYPERLINK("http://www.ncbi.nlm.nih.gov/protein/629510428","gi|629510428")</f>
        <v>gi|629510428</v>
      </c>
      <c r="CS130" s="3">
        <v>1004</v>
      </c>
      <c r="CT130" s="3">
        <v>507</v>
      </c>
      <c r="CU130" s="3">
        <v>507</v>
      </c>
      <c r="CV130" s="3">
        <v>100</v>
      </c>
      <c r="CW130" s="3">
        <v>100</v>
      </c>
      <c r="CX130" s="3">
        <v>100</v>
      </c>
      <c r="CY130" s="3">
        <v>0</v>
      </c>
      <c r="CZ130" s="3">
        <v>0</v>
      </c>
      <c r="DA130" s="3">
        <v>1</v>
      </c>
      <c r="DB130" s="3">
        <v>1</v>
      </c>
      <c r="DC130" s="3">
        <v>1</v>
      </c>
      <c r="DD130" s="3" t="s">
        <v>203</v>
      </c>
    </row>
    <row r="131" spans="1:108" s="3" customFormat="1" x14ac:dyDescent="0.2">
      <c r="A131" s="3" t="s">
        <v>1397</v>
      </c>
      <c r="B131" s="3" t="str">
        <f>HYPERLINK(".\links\\Rm-72548-.txt","Rm-72548")</f>
        <v>Rm-72548</v>
      </c>
      <c r="C131" s="3" t="s">
        <v>335</v>
      </c>
      <c r="D131" s="3">
        <v>926</v>
      </c>
      <c r="E131" s="9" t="s">
        <v>203</v>
      </c>
      <c r="F131" s="3" t="s">
        <v>1256</v>
      </c>
      <c r="G131" s="1" t="s">
        <v>1480</v>
      </c>
      <c r="H131" s="3" t="str">
        <f>HYPERLINK(".\links\UNIPROT-ACARI\Rm-72548-UNIPROT-ACARI.txt","Vitellogenin 4 (Fragment)")</f>
        <v>Vitellogenin 4 (Fragment)</v>
      </c>
      <c r="I131" s="3" t="str">
        <f>HYPERLINK("http://www.ncbi.nlm.nih.gov/sutils/blink.cgi?pid=A0A034WXH7","0.0")</f>
        <v>0.0</v>
      </c>
      <c r="J131" s="3" t="s">
        <v>1202</v>
      </c>
      <c r="K131" s="3">
        <v>1946</v>
      </c>
      <c r="L131" s="3">
        <v>926</v>
      </c>
      <c r="M131" s="3">
        <v>926</v>
      </c>
      <c r="N131" s="3">
        <v>100</v>
      </c>
      <c r="O131" s="3">
        <v>100</v>
      </c>
      <c r="P131" s="3">
        <v>100</v>
      </c>
      <c r="Q131" s="3">
        <v>0</v>
      </c>
      <c r="R131" s="3">
        <v>0</v>
      </c>
      <c r="S131" s="3">
        <v>1</v>
      </c>
      <c r="T131" s="3">
        <v>1</v>
      </c>
      <c r="U131" s="3">
        <v>1</v>
      </c>
      <c r="V131" s="3" t="s">
        <v>36</v>
      </c>
      <c r="W131" s="3" t="str">
        <f>HYPERLINK(".\links\NR-LIGHT\Rm-72548-NR-LIGHT.txt","Vitellogenin-1")</f>
        <v>Vitellogenin-1</v>
      </c>
      <c r="X131" s="3" t="str">
        <f>HYPERLINK("http://www.ncbi.nlm.nih.gov/sutils/blink.cgi?pid=307933356","0.0")</f>
        <v>0.0</v>
      </c>
      <c r="Y131" s="3" t="str">
        <f>HYPERLINK("http://www.ncbi.nlm.nih.gov/protein/307933356","gi|307933356")</f>
        <v>gi|307933356</v>
      </c>
      <c r="Z131" s="3">
        <v>1450</v>
      </c>
      <c r="AA131" s="3">
        <v>928</v>
      </c>
      <c r="AB131" s="3">
        <v>1694</v>
      </c>
      <c r="AC131" s="3">
        <v>72</v>
      </c>
      <c r="AD131" s="3">
        <v>83</v>
      </c>
      <c r="AE131" s="3">
        <v>55</v>
      </c>
      <c r="AF131" s="3">
        <v>252</v>
      </c>
      <c r="AG131" s="3">
        <v>3</v>
      </c>
      <c r="AH131" s="3">
        <v>768</v>
      </c>
      <c r="AI131" s="3">
        <v>1</v>
      </c>
      <c r="AJ131" s="3">
        <v>1</v>
      </c>
      <c r="AK131" s="3" t="s">
        <v>53</v>
      </c>
      <c r="AL131" s="3" t="str">
        <f>HYPERLINK(".\links\REFSEQ-INVERTEBRATE\Rm-72548-REFSEQ-INVERTEBRATE.txt","hemelipoglycoprotein precursor, putative")</f>
        <v>hemelipoglycoprotein precursor, putative</v>
      </c>
      <c r="AM131" s="3" t="str">
        <f>HYPERLINK("http://www.ncbi.nlm.nih.gov/sutils/blink.cgi?pid=241671866","1E-123")</f>
        <v>1E-123</v>
      </c>
      <c r="AN131" s="3" t="str">
        <f>HYPERLINK("http://www.ncbi.nlm.nih.gov/protein/241671866","gi|241671866")</f>
        <v>gi|241671866</v>
      </c>
      <c r="AO131" s="3">
        <v>446</v>
      </c>
      <c r="AP131" s="3">
        <v>854</v>
      </c>
      <c r="AQ131" s="3">
        <v>1556</v>
      </c>
      <c r="AR131" s="3">
        <v>31</v>
      </c>
      <c r="AS131" s="3">
        <v>50</v>
      </c>
      <c r="AT131" s="3">
        <v>55</v>
      </c>
      <c r="AU131" s="3">
        <v>587</v>
      </c>
      <c r="AV131" s="3">
        <v>62</v>
      </c>
      <c r="AW131" s="3">
        <v>733</v>
      </c>
      <c r="AX131" s="3">
        <v>2</v>
      </c>
      <c r="AY131" s="3">
        <v>1</v>
      </c>
      <c r="AZ131" s="3" t="s">
        <v>40</v>
      </c>
      <c r="BA131" s="3" t="str">
        <f>HYPERLINK(".\links\MEROPS\Rm-72548-MEROPS.txt","- family I8 unassigned peptidase inhibitor homologues (Ciona intestinalis)")</f>
        <v>- family I8 unassigned peptidase inhibitor homologues (Ciona intestinalis)</v>
      </c>
      <c r="BB131" s="3" t="str">
        <f>HYPERLINK("http://www.ncbi.nlm.nih.gov/sutils/blink.cgi?pid=147893 - family I8 unassigned peptidase inhibitor homologues (Ciona intestinalis) [I08.UNW]#I08#{inhibitor unit","1E-008")</f>
        <v>1E-008</v>
      </c>
      <c r="BC131" s="3" t="s">
        <v>1203</v>
      </c>
      <c r="BD131" s="3">
        <v>63.5</v>
      </c>
      <c r="BE131" s="3">
        <v>238</v>
      </c>
      <c r="BF131" s="3">
        <v>652</v>
      </c>
      <c r="BG131" s="3">
        <v>26</v>
      </c>
      <c r="BH131" s="3">
        <v>46</v>
      </c>
      <c r="BI131" s="3">
        <v>37</v>
      </c>
      <c r="BJ131" s="3">
        <v>174</v>
      </c>
      <c r="BK131" s="3">
        <v>44</v>
      </c>
      <c r="BL131" s="3">
        <v>343</v>
      </c>
      <c r="BM131" s="3">
        <v>657</v>
      </c>
      <c r="BN131" s="3">
        <v>1</v>
      </c>
      <c r="BO131" s="3" t="s">
        <v>1064</v>
      </c>
      <c r="BP131" s="3" t="s">
        <v>1204</v>
      </c>
      <c r="BQ131" s="3">
        <f>HYPERLINK(".\links\GO\Rm-72548-GO.txt",0.000000000000000002)</f>
        <v>2.0000000000000001E-18</v>
      </c>
      <c r="BR131" s="3" t="str">
        <f>HYPERLINK("http://amigo.geneontology.org/cgi-bin/amigo/term_details?term=GO:0005319","GO:0005319")</f>
        <v>GO:0005319</v>
      </c>
      <c r="BS131" s="3" t="s">
        <v>1066</v>
      </c>
      <c r="BT131" s="3" t="s">
        <v>1067</v>
      </c>
      <c r="BU131" s="3" t="s">
        <v>1068</v>
      </c>
      <c r="BV131" s="3" t="s">
        <v>36</v>
      </c>
      <c r="BX131" s="4">
        <v>7.0000000000000003E-17</v>
      </c>
      <c r="BY131" s="3" t="str">
        <f>HYPERLINK("http://amigo.geneontology.org/cgi-bin/amigo/term_details?term=GO:0005576","GO:0005576")</f>
        <v>GO:0005576</v>
      </c>
      <c r="BZ131" s="3" t="s">
        <v>47</v>
      </c>
      <c r="CA131" s="3" t="s">
        <v>48</v>
      </c>
      <c r="CB131" s="3" t="s">
        <v>49</v>
      </c>
      <c r="CC131" s="3" t="s">
        <v>36</v>
      </c>
      <c r="CE131" s="4">
        <v>7.0000000000000003E-17</v>
      </c>
      <c r="CF131" s="3" t="str">
        <f>HYPERLINK("http://amigo.geneontology.org/cgi-bin/amigo/term_details?term=GO:0006869","GO:0006869")</f>
        <v>GO:0006869</v>
      </c>
      <c r="CG131" s="3" t="s">
        <v>1069</v>
      </c>
      <c r="CH131" s="3" t="s">
        <v>1070</v>
      </c>
      <c r="CI131" s="3" t="s">
        <v>36</v>
      </c>
      <c r="CJ131" s="3" t="s">
        <v>36</v>
      </c>
      <c r="CL131" s="4">
        <v>7.0000000000000003E-17</v>
      </c>
      <c r="CM131" s="3" t="str">
        <f>HYPERLINK(".\links\CDD\Rm-72548-CDD.txt","VWD")</f>
        <v>VWD</v>
      </c>
      <c r="CN131" s="3" t="str">
        <f>HYPERLINK("http://www.ncbi.nlm.nih.gov/Structure/cdd/cddsrv.cgi?uid=pfam00094&amp;version=v4.0","2E-011")</f>
        <v>2E-011</v>
      </c>
      <c r="CO131" s="3" t="s">
        <v>1205</v>
      </c>
      <c r="CP131" s="3" t="str">
        <f>HYPERLINK(".\links\ACARI\Rm-72548-ACARI.txt","vitellogenin 4, partial")</f>
        <v>vitellogenin 4, partial</v>
      </c>
      <c r="CQ131" s="3" t="str">
        <f>HYPERLINK("http://www.ncbi.nlm.nih.gov/sutils/blink.cgi?pid=629510448","0.0")</f>
        <v>0.0</v>
      </c>
      <c r="CR131" s="3" t="str">
        <f>HYPERLINK("http://www.ncbi.nlm.nih.gov/protein/629510448","gi|629510448")</f>
        <v>gi|629510448</v>
      </c>
      <c r="CS131" s="3">
        <v>1946</v>
      </c>
      <c r="CT131" s="3">
        <v>926</v>
      </c>
      <c r="CU131" s="3">
        <v>926</v>
      </c>
      <c r="CV131" s="3">
        <v>100</v>
      </c>
      <c r="CW131" s="3">
        <v>100</v>
      </c>
      <c r="CX131" s="3">
        <v>100</v>
      </c>
      <c r="CY131" s="3">
        <v>0</v>
      </c>
      <c r="CZ131" s="3">
        <v>0</v>
      </c>
      <c r="DA131" s="3">
        <v>1</v>
      </c>
      <c r="DB131" s="3">
        <v>1</v>
      </c>
      <c r="DC131" s="3">
        <v>1</v>
      </c>
      <c r="DD131" s="3" t="s">
        <v>203</v>
      </c>
    </row>
    <row r="132" spans="1:108" s="3" customFormat="1" x14ac:dyDescent="0.2">
      <c r="A132" s="3" t="s">
        <v>1389</v>
      </c>
      <c r="B132" s="3" t="str">
        <f>HYPERLINK(".\links\\gi_427793155-.txt","gi_427793155")</f>
        <v>gi_427793155</v>
      </c>
      <c r="C132" s="3" t="s">
        <v>577</v>
      </c>
      <c r="D132" s="3">
        <v>81</v>
      </c>
      <c r="E132" s="9" t="s">
        <v>68</v>
      </c>
      <c r="F132" s="3" t="s">
        <v>1455</v>
      </c>
      <c r="G132" s="3" t="s">
        <v>1481</v>
      </c>
      <c r="H132" s="3" t="str">
        <f>HYPERLINK(".\links\UNIPROT-ACARI\gi_427793155-UNIPROT-ACARI.txt","Uncharacterized protein (Fragment)")</f>
        <v>Uncharacterized protein (Fragment)</v>
      </c>
      <c r="I132" s="3" t="str">
        <f>HYPERLINK("http://www.ncbi.nlm.nih.gov/sutils/blink.cgi?pid=L7MFR1","1E-047")</f>
        <v>1E-047</v>
      </c>
      <c r="J132" s="3" t="s">
        <v>578</v>
      </c>
      <c r="K132" s="3">
        <v>185</v>
      </c>
      <c r="L132" s="3">
        <v>81</v>
      </c>
      <c r="M132" s="3">
        <v>81</v>
      </c>
      <c r="N132" s="3">
        <v>100</v>
      </c>
      <c r="O132" s="3">
        <v>100</v>
      </c>
      <c r="P132" s="3">
        <v>100</v>
      </c>
      <c r="Q132" s="3">
        <v>0</v>
      </c>
      <c r="R132" s="3">
        <v>0</v>
      </c>
      <c r="S132" s="3">
        <v>1</v>
      </c>
      <c r="T132" s="3">
        <v>1</v>
      </c>
      <c r="U132" s="3">
        <v>1</v>
      </c>
      <c r="V132" s="3" t="s">
        <v>36</v>
      </c>
      <c r="W132" s="3" t="str">
        <f>HYPERLINK(".\links\NR-LIGHT\gi_427793155-NR-LIGHT.txt","kruppel-related zinc finger protein")</f>
        <v>kruppel-related zinc finger protein</v>
      </c>
      <c r="X132" s="3" t="str">
        <f>HYPERLINK("http://www.ncbi.nlm.nih.gov/sutils/blink.cgi?pid=1769491","2E-019")</f>
        <v>2E-019</v>
      </c>
      <c r="Y132" s="3" t="str">
        <f>HYPERLINK("http://www.ncbi.nlm.nih.gov/protein/1769491","gi|1769491")</f>
        <v>gi|1769491</v>
      </c>
      <c r="Z132" s="3">
        <v>97.1</v>
      </c>
      <c r="AA132" s="3">
        <v>77</v>
      </c>
      <c r="AB132" s="3">
        <v>726</v>
      </c>
      <c r="AC132" s="3">
        <v>50</v>
      </c>
      <c r="AD132" s="3">
        <v>72</v>
      </c>
      <c r="AE132" s="3">
        <v>11</v>
      </c>
      <c r="AF132" s="3">
        <v>38</v>
      </c>
      <c r="AG132" s="3">
        <v>0</v>
      </c>
      <c r="AH132" s="3">
        <v>253</v>
      </c>
      <c r="AI132" s="3">
        <v>1</v>
      </c>
      <c r="AJ132" s="3">
        <v>1</v>
      </c>
      <c r="AK132" s="3" t="s">
        <v>579</v>
      </c>
      <c r="AL132" s="3" t="str">
        <f>HYPERLINK(".\links\REFSEQ-INVERTEBRATE\gi_427793155-REFSEQ-INVERTEBRATE.txt","zinc finger protein 2 homolog")</f>
        <v>zinc finger protein 2 homolog</v>
      </c>
      <c r="AM132" s="3" t="str">
        <f>HYPERLINK("http://www.ncbi.nlm.nih.gov/sutils/blink.cgi?pid=642918399","3E-019")</f>
        <v>3E-019</v>
      </c>
      <c r="AN132" s="3" t="str">
        <f>HYPERLINK("http://www.ncbi.nlm.nih.gov/protein/642918399","gi|642918399")</f>
        <v>gi|642918399</v>
      </c>
      <c r="AO132" s="3">
        <v>94.7</v>
      </c>
      <c r="AP132" s="3">
        <v>75</v>
      </c>
      <c r="AQ132" s="3">
        <v>326</v>
      </c>
      <c r="AR132" s="3">
        <v>52</v>
      </c>
      <c r="AS132" s="3">
        <v>69</v>
      </c>
      <c r="AT132" s="3">
        <v>23</v>
      </c>
      <c r="AU132" s="3">
        <v>36</v>
      </c>
      <c r="AV132" s="3">
        <v>0</v>
      </c>
      <c r="AW132" s="3">
        <v>93</v>
      </c>
      <c r="AX132" s="3">
        <v>1</v>
      </c>
      <c r="AY132" s="3">
        <v>1</v>
      </c>
      <c r="AZ132" s="3" t="s">
        <v>580</v>
      </c>
      <c r="BA132" s="3" t="str">
        <f>HYPERLINK(".\links\MEROPS\gi_427793155-MEROPS.txt","- Mername-AA093 caspase pseudogene (Ailuropoda melanoleuca)")</f>
        <v>- Mername-AA093 caspase pseudogene (Ailuropoda melanoleuca)</v>
      </c>
      <c r="BB132" s="3" t="str">
        <f>HYPERLINK("http://www.ncbi.nlm.nih.gov/sutils/blink.cgi?pid=267929 - Mername-AA093 caspase pseudogene (Ailuropoda melanoleuca) [C14.P02]#C14A#{peptidase unit","2E-017")</f>
        <v>2E-017</v>
      </c>
      <c r="BC132" s="3" t="s">
        <v>581</v>
      </c>
      <c r="BD132" s="3">
        <v>87.8</v>
      </c>
      <c r="BE132" s="3">
        <v>76</v>
      </c>
      <c r="BF132" s="3">
        <v>786</v>
      </c>
      <c r="BG132" s="3">
        <v>46</v>
      </c>
      <c r="BH132" s="3">
        <v>61</v>
      </c>
      <c r="BI132" s="3">
        <v>10</v>
      </c>
      <c r="BJ132" s="3">
        <v>41</v>
      </c>
      <c r="BK132" s="3">
        <v>0</v>
      </c>
      <c r="BL132" s="3">
        <v>257</v>
      </c>
      <c r="BM132" s="3">
        <v>1</v>
      </c>
      <c r="BN132" s="3">
        <v>1</v>
      </c>
      <c r="BO132" s="3" t="s">
        <v>582</v>
      </c>
      <c r="BP132" s="3" t="s">
        <v>583</v>
      </c>
      <c r="BQ132" s="3">
        <f>HYPERLINK(".\links\GO\gi_427793155-GO.txt",0.0000000000000000001)</f>
        <v>9.9999999999999998E-20</v>
      </c>
      <c r="BR132" s="3" t="str">
        <f>HYPERLINK("http://amigo.geneontology.org/cgi-bin/amigo/term_details?term=GO:0003676","GO:0003676")</f>
        <v>GO:0003676</v>
      </c>
      <c r="BS132" s="3" t="s">
        <v>584</v>
      </c>
      <c r="BT132" s="3" t="s">
        <v>585</v>
      </c>
      <c r="BU132" s="3" t="s">
        <v>36</v>
      </c>
      <c r="BV132" s="3" t="s">
        <v>36</v>
      </c>
      <c r="BX132" s="4">
        <v>9.9999999999999998E-20</v>
      </c>
      <c r="BY132" s="3" t="str">
        <f>HYPERLINK("http://amigo.geneontology.org/cgi-bin/amigo/term_details?term=GO:0005622","GO:0005622")</f>
        <v>GO:0005622</v>
      </c>
      <c r="BZ132" s="3" t="s">
        <v>586</v>
      </c>
      <c r="CA132" s="3" t="s">
        <v>587</v>
      </c>
      <c r="CB132" s="3" t="s">
        <v>588</v>
      </c>
      <c r="CC132" s="3" t="s">
        <v>36</v>
      </c>
      <c r="CE132" s="4">
        <v>9.9999999999999998E-20</v>
      </c>
      <c r="CF132" s="3" t="str">
        <f>HYPERLINK("http://amigo.geneontology.org/cgi-bin/amigo/term_details?term=GO:0006355","GO:0006355")</f>
        <v>GO:0006355</v>
      </c>
      <c r="CG132" s="3" t="s">
        <v>589</v>
      </c>
      <c r="CH132" s="3" t="s">
        <v>590</v>
      </c>
      <c r="CI132" s="3" t="s">
        <v>591</v>
      </c>
      <c r="CJ132" s="3" t="s">
        <v>36</v>
      </c>
      <c r="CL132" s="4">
        <v>9.9999999999999998E-20</v>
      </c>
      <c r="CM132" s="3" t="str">
        <f>HYPERLINK(".\links\CDD\gi_427793155-CDD.txt","COG5048")</f>
        <v>COG5048</v>
      </c>
      <c r="CN132" s="3" t="str">
        <f>HYPERLINK("http://www.ncbi.nlm.nih.gov/Structure/cdd/cddsrv.cgi?uid=COG5048&amp;version=v4.0","3E-004")</f>
        <v>3E-004</v>
      </c>
      <c r="CO132" s="3" t="s">
        <v>592</v>
      </c>
      <c r="CP132" s="3" t="str">
        <f>HYPERLINK(".\links\ACARI\gi_427793155-ACARI.txt","hypothetical protein, partial")</f>
        <v>hypothetical protein, partial</v>
      </c>
      <c r="CQ132" s="3" t="str">
        <f>HYPERLINK("http://www.ncbi.nlm.nih.gov/sutils/blink.cgi?pid=427793155","2E-047")</f>
        <v>2E-047</v>
      </c>
      <c r="CR132" s="3" t="str">
        <f>HYPERLINK("http://www.ncbi.nlm.nih.gov/protein/427793155","gi|427793155")</f>
        <v>gi|427793155</v>
      </c>
      <c r="CS132" s="3">
        <v>185</v>
      </c>
      <c r="CT132" s="3">
        <v>81</v>
      </c>
      <c r="CU132" s="3">
        <v>81</v>
      </c>
      <c r="CV132" s="3">
        <v>100</v>
      </c>
      <c r="CW132" s="3">
        <v>100</v>
      </c>
      <c r="CX132" s="3">
        <v>100</v>
      </c>
      <c r="CY132" s="3">
        <v>0</v>
      </c>
      <c r="CZ132" s="3">
        <v>0</v>
      </c>
      <c r="DA132" s="3">
        <v>1</v>
      </c>
      <c r="DB132" s="3">
        <v>1</v>
      </c>
      <c r="DC132" s="3">
        <v>1</v>
      </c>
      <c r="DD132" s="3" t="s">
        <v>68</v>
      </c>
    </row>
    <row r="133" spans="1:108" s="3" customFormat="1" x14ac:dyDescent="0.2">
      <c r="A133" s="3" t="s">
        <v>1342</v>
      </c>
      <c r="B133" s="3" t="str">
        <f>HYPERLINK(".\links\\gi_215496237-.txt","gi_215496237")</f>
        <v>gi_215496237</v>
      </c>
      <c r="C133" s="3" t="s">
        <v>863</v>
      </c>
      <c r="D133" s="3">
        <v>576</v>
      </c>
      <c r="E133" s="9" t="s">
        <v>40</v>
      </c>
      <c r="F133" s="3" t="s">
        <v>1459</v>
      </c>
      <c r="G133" s="3" t="s">
        <v>1482</v>
      </c>
      <c r="H133" s="3" t="str">
        <f>HYPERLINK(".\links\UNIPROT-ACARI\gi_215496237-UNIPROT-ACARI.txt","Apolipophorin, putative (Fragment)")</f>
        <v>Apolipophorin, putative (Fragment)</v>
      </c>
      <c r="I133" s="3" t="str">
        <f>HYPERLINK("http://www.ncbi.nlm.nih.gov/sutils/blink.cgi?pid=B7PH05","0.0")</f>
        <v>0.0</v>
      </c>
      <c r="J133" s="3" t="s">
        <v>864</v>
      </c>
      <c r="K133" s="3">
        <v>1169</v>
      </c>
      <c r="L133" s="3">
        <v>576</v>
      </c>
      <c r="M133" s="3">
        <v>576</v>
      </c>
      <c r="N133" s="3">
        <v>100</v>
      </c>
      <c r="O133" s="3">
        <v>100</v>
      </c>
      <c r="P133" s="3">
        <v>100</v>
      </c>
      <c r="Q133" s="3">
        <v>0</v>
      </c>
      <c r="R133" s="3">
        <v>0</v>
      </c>
      <c r="S133" s="3">
        <v>1</v>
      </c>
      <c r="T133" s="3">
        <v>1</v>
      </c>
      <c r="U133" s="3">
        <v>1</v>
      </c>
      <c r="V133" s="3" t="s">
        <v>36</v>
      </c>
      <c r="W133" s="3" t="str">
        <f>HYPERLINK(".\links\NR-LIGHT\gi_215496237-NR-LIGHT.txt","apolipophorin, putative")</f>
        <v>apolipophorin, putative</v>
      </c>
      <c r="X133" s="3" t="str">
        <f>HYPERLINK("http://www.ncbi.nlm.nih.gov/sutils/blink.cgi?pid=241240859","0.0")</f>
        <v>0.0</v>
      </c>
      <c r="Y133" s="3" t="str">
        <f>HYPERLINK("http://www.ncbi.nlm.nih.gov/protein/241240859","gi|241240859")</f>
        <v>gi|241240859</v>
      </c>
      <c r="Z133" s="3">
        <v>1169</v>
      </c>
      <c r="AA133" s="3">
        <v>576</v>
      </c>
      <c r="AB133" s="3">
        <v>576</v>
      </c>
      <c r="AC133" s="3">
        <v>100</v>
      </c>
      <c r="AD133" s="3">
        <v>100</v>
      </c>
      <c r="AE133" s="3">
        <v>100</v>
      </c>
      <c r="AF133" s="3">
        <v>0</v>
      </c>
      <c r="AG133" s="3">
        <v>0</v>
      </c>
      <c r="AH133" s="3">
        <v>1</v>
      </c>
      <c r="AI133" s="3">
        <v>1</v>
      </c>
      <c r="AJ133" s="3">
        <v>1</v>
      </c>
      <c r="AK133" s="3" t="s">
        <v>40</v>
      </c>
      <c r="AL133" s="3" t="str">
        <f>HYPERLINK(".\links\REFSEQ-INVERTEBRATE\gi_215496237-REFSEQ-INVERTEBRATE.txt","apolipophorin, putative, partial")</f>
        <v>apolipophorin, putative, partial</v>
      </c>
      <c r="AM133" s="3" t="str">
        <f>HYPERLINK("http://www.ncbi.nlm.nih.gov/sutils/blink.cgi?pid=241240859","0.0")</f>
        <v>0.0</v>
      </c>
      <c r="AN133" s="3" t="str">
        <f>HYPERLINK("http://www.ncbi.nlm.nih.gov/protein/241240859","gi|241240859")</f>
        <v>gi|241240859</v>
      </c>
      <c r="AO133" s="3">
        <v>1169</v>
      </c>
      <c r="AP133" s="3">
        <v>576</v>
      </c>
      <c r="AQ133" s="3">
        <v>576</v>
      </c>
      <c r="AR133" s="3">
        <v>100</v>
      </c>
      <c r="AS133" s="3">
        <v>100</v>
      </c>
      <c r="AT133" s="3">
        <v>100</v>
      </c>
      <c r="AU133" s="3">
        <v>0</v>
      </c>
      <c r="AV133" s="3">
        <v>0</v>
      </c>
      <c r="AW133" s="3">
        <v>1</v>
      </c>
      <c r="AX133" s="3">
        <v>1</v>
      </c>
      <c r="AY133" s="3">
        <v>1</v>
      </c>
      <c r="AZ133" s="3" t="s">
        <v>40</v>
      </c>
      <c r="BA133" s="3" t="str">
        <f>HYPERLINK(".\links\MEROPS\gi_215496237-MEROPS.txt","- family I8 unassigned peptidase inhibitors (Ciona intestinalis)")</f>
        <v>- family I8 unassigned peptidase inhibitors (Ciona intestinalis)</v>
      </c>
      <c r="BB133" s="3" t="str">
        <f>HYPERLINK("http://www.ncbi.nlm.nih.gov/sutils/blink.cgi?pid=241157 - family I8 unassigned peptidase inhibitors (Ciona intestinalis) [I08.UPW]#I08#{inhibitor unit","2E-007")</f>
        <v>2E-007</v>
      </c>
      <c r="BC133" s="3" t="s">
        <v>865</v>
      </c>
      <c r="BD133" s="3">
        <v>58.5</v>
      </c>
      <c r="BE133" s="3">
        <v>270</v>
      </c>
      <c r="BF133" s="3">
        <v>3621</v>
      </c>
      <c r="BG133" s="3">
        <v>22</v>
      </c>
      <c r="BH133" s="3">
        <v>40</v>
      </c>
      <c r="BI133" s="3">
        <v>7</v>
      </c>
      <c r="BJ133" s="3">
        <v>208</v>
      </c>
      <c r="BK133" s="3">
        <v>36</v>
      </c>
      <c r="BL133" s="3">
        <v>253</v>
      </c>
      <c r="BM133" s="3">
        <v>7</v>
      </c>
      <c r="BN133" s="3">
        <v>1</v>
      </c>
      <c r="BO133" s="3" t="s">
        <v>866</v>
      </c>
      <c r="BP133" s="3" t="s">
        <v>867</v>
      </c>
      <c r="BQ133" s="3">
        <f>HYPERLINK(".\links\GO\gi_215496237-GO.txt",6E-43)</f>
        <v>6.0000000000000001E-43</v>
      </c>
      <c r="BR133" s="3" t="str">
        <f>HYPERLINK("http://amigo.geneontology.org/cgi-bin/amigo/term_details?term=GO:0008289","GO:0008289")</f>
        <v>GO:0008289</v>
      </c>
      <c r="BS133" s="3" t="s">
        <v>868</v>
      </c>
      <c r="BT133" s="3" t="s">
        <v>869</v>
      </c>
      <c r="BU133" s="3" t="s">
        <v>36</v>
      </c>
      <c r="BV133" s="3" t="s">
        <v>36</v>
      </c>
      <c r="BX133" s="4">
        <v>6.0000000000000001E-43</v>
      </c>
      <c r="BY133" s="3" t="str">
        <f>HYPERLINK("http://amigo.geneontology.org/cgi-bin/amigo/term_details?term=GO:0005615","GO:0005615")</f>
        <v>GO:0005615</v>
      </c>
      <c r="BZ133" s="3" t="s">
        <v>195</v>
      </c>
      <c r="CA133" s="3" t="s">
        <v>196</v>
      </c>
      <c r="CB133" s="3" t="s">
        <v>197</v>
      </c>
      <c r="CC133" s="3" t="s">
        <v>36</v>
      </c>
      <c r="CE133" s="4">
        <v>6.0000000000000001E-43</v>
      </c>
      <c r="CF133" s="3" t="str">
        <f>HYPERLINK("http://amigo.geneontology.org/cgi-bin/amigo/term_details?term=GO:0015918","GO:0015918")</f>
        <v>GO:0015918</v>
      </c>
      <c r="CG133" s="3" t="s">
        <v>870</v>
      </c>
      <c r="CH133" s="3" t="s">
        <v>871</v>
      </c>
      <c r="CI133" s="3" t="s">
        <v>36</v>
      </c>
      <c r="CJ133" s="3" t="s">
        <v>36</v>
      </c>
      <c r="CL133" s="4">
        <v>6.0000000000000001E-43</v>
      </c>
      <c r="CM133" s="3" t="str">
        <f>HYPERLINK(".\links\CDD\gi_215496237-CDD.txt","VWD")</f>
        <v>VWD</v>
      </c>
      <c r="CN133" s="3" t="str">
        <f>HYPERLINK("http://www.ncbi.nlm.nih.gov/Structure/cdd/cddsrv.cgi?uid=smart00216&amp;version=v4.0","6E-008")</f>
        <v>6E-008</v>
      </c>
      <c r="CO133" s="3" t="s">
        <v>872</v>
      </c>
      <c r="CP133" s="3" t="str">
        <f>HYPERLINK(".\links\ACARI\gi_215496237-ACARI.txt","apolipophorin, putative, partial")</f>
        <v>apolipophorin, putative, partial</v>
      </c>
      <c r="CQ133" s="3" t="str">
        <f>HYPERLINK("http://www.ncbi.nlm.nih.gov/sutils/blink.cgi?pid=241240859","0.0")</f>
        <v>0.0</v>
      </c>
      <c r="CR133" s="3" t="str">
        <f>HYPERLINK("http://www.ncbi.nlm.nih.gov/protein/241240859","gi|241240859")</f>
        <v>gi|241240859</v>
      </c>
      <c r="CS133" s="3">
        <v>1169</v>
      </c>
      <c r="CT133" s="3">
        <v>576</v>
      </c>
      <c r="CU133" s="3">
        <v>576</v>
      </c>
      <c r="CV133" s="3">
        <v>100</v>
      </c>
      <c r="CW133" s="3">
        <v>100</v>
      </c>
      <c r="CX133" s="3">
        <v>100</v>
      </c>
      <c r="CY133" s="3">
        <v>0</v>
      </c>
      <c r="CZ133" s="3">
        <v>0</v>
      </c>
      <c r="DA133" s="3">
        <v>1</v>
      </c>
      <c r="DB133" s="3">
        <v>1</v>
      </c>
      <c r="DC133" s="3">
        <v>1</v>
      </c>
      <c r="DD133" s="3" t="s">
        <v>40</v>
      </c>
    </row>
    <row r="134" spans="1:108" s="3" customFormat="1" x14ac:dyDescent="0.2">
      <c r="A134" s="3" t="s">
        <v>1308</v>
      </c>
      <c r="B134" s="3" t="str">
        <f>HYPERLINK(".\links\\gi_427778333-.txt","gi_427778333")</f>
        <v>gi_427778333</v>
      </c>
      <c r="C134" s="3" t="s">
        <v>35</v>
      </c>
      <c r="D134" s="3">
        <v>603</v>
      </c>
      <c r="E134" s="9" t="s">
        <v>68</v>
      </c>
      <c r="F134" s="3" t="s">
        <v>1253</v>
      </c>
      <c r="G134" s="3" t="s">
        <v>1482</v>
      </c>
      <c r="H134" s="3" t="str">
        <f>HYPERLINK(".\links\UNIPROT-ACARI\gi_427778333-UNIPROT-ACARI.txt","Putative metabotropic glutamate receptor")</f>
        <v>Putative metabotropic glutamate receptor</v>
      </c>
      <c r="I134" s="3" t="str">
        <f>HYPERLINK("http://www.ncbi.nlm.nih.gov/sutils/blink.cgi?pid=L7LUQ8","0.0")</f>
        <v>0.0</v>
      </c>
      <c r="J134" s="3" t="s">
        <v>152</v>
      </c>
      <c r="K134" s="3">
        <v>1214</v>
      </c>
      <c r="L134" s="3">
        <v>603</v>
      </c>
      <c r="M134" s="3">
        <v>603</v>
      </c>
      <c r="N134" s="3">
        <v>100</v>
      </c>
      <c r="O134" s="3">
        <v>100</v>
      </c>
      <c r="P134" s="3">
        <v>100</v>
      </c>
      <c r="Q134" s="3">
        <v>0</v>
      </c>
      <c r="R134" s="3">
        <v>0</v>
      </c>
      <c r="S134" s="3">
        <v>1</v>
      </c>
      <c r="T134" s="3">
        <v>1</v>
      </c>
      <c r="U134" s="3">
        <v>1</v>
      </c>
      <c r="V134" s="3" t="s">
        <v>36</v>
      </c>
      <c r="W134" s="3" t="str">
        <f>HYPERLINK(".\links\NR-LIGHT\gi_427778333-NR-LIGHT.txt","metabotropic glutamate receptor, isoform A")</f>
        <v>metabotropic glutamate receptor, isoform A</v>
      </c>
      <c r="X134" s="3" t="str">
        <f>HYPERLINK("http://www.ncbi.nlm.nih.gov/sutils/blink.cgi?pid=24638732","1E-136")</f>
        <v>1E-136</v>
      </c>
      <c r="Y134" s="3" t="str">
        <f>HYPERLINK("http://www.ncbi.nlm.nih.gov/protein/24638732","gi|24638732")</f>
        <v>gi|24638732</v>
      </c>
      <c r="Z134" s="3">
        <v>489</v>
      </c>
      <c r="AA134" s="3">
        <v>630</v>
      </c>
      <c r="AB134" s="3">
        <v>976</v>
      </c>
      <c r="AC134" s="3">
        <v>44</v>
      </c>
      <c r="AD134" s="3">
        <v>56</v>
      </c>
      <c r="AE134" s="3">
        <v>65</v>
      </c>
      <c r="AF134" s="3">
        <v>352</v>
      </c>
      <c r="AG134" s="3">
        <v>116</v>
      </c>
      <c r="AH134" s="3">
        <v>39</v>
      </c>
      <c r="AI134" s="3">
        <v>20</v>
      </c>
      <c r="AJ134" s="3">
        <v>1</v>
      </c>
      <c r="AK134" s="3" t="s">
        <v>153</v>
      </c>
      <c r="AL134" s="3" t="str">
        <f>HYPERLINK(".\links\REFSEQ-INVERTEBRATE\gi_427778333-REFSEQ-INVERTEBRATE.txt","metabotropic glutamate receptor, isoform B")</f>
        <v>metabotropic glutamate receptor, isoform B</v>
      </c>
      <c r="AM134" s="3" t="str">
        <f>HYPERLINK("http://www.ncbi.nlm.nih.gov/sutils/blink.cgi?pid=442614497","1E-137")</f>
        <v>1E-137</v>
      </c>
      <c r="AN134" s="3" t="str">
        <f>HYPERLINK("http://www.ncbi.nlm.nih.gov/protein/442614497","gi|442614497")</f>
        <v>gi|442614497</v>
      </c>
      <c r="AO134" s="3">
        <v>489</v>
      </c>
      <c r="AP134" s="3">
        <v>630</v>
      </c>
      <c r="AQ134" s="3">
        <v>976</v>
      </c>
      <c r="AR134" s="3">
        <v>44</v>
      </c>
      <c r="AS134" s="3">
        <v>56</v>
      </c>
      <c r="AT134" s="3">
        <v>65</v>
      </c>
      <c r="AU134" s="3">
        <v>352</v>
      </c>
      <c r="AV134" s="3">
        <v>116</v>
      </c>
      <c r="AW134" s="3">
        <v>39</v>
      </c>
      <c r="AX134" s="3">
        <v>20</v>
      </c>
      <c r="AY134" s="3">
        <v>1</v>
      </c>
      <c r="AZ134" s="3" t="s">
        <v>153</v>
      </c>
      <c r="BA134" s="3" t="str">
        <f>HYPERLINK(".\links\MEROPS\gi_427778333-MEROPS.txt","- subfamily C14A non-peptidase homologues (Strongylocentrotus purpuratus)")</f>
        <v>- subfamily C14A non-peptidase homologues (Strongylocentrotus purpuratus)</v>
      </c>
      <c r="BB134" s="3" t="str">
        <f>HYPERLINK("http://www.ncbi.nlm.nih.gov/sutils/blink.cgi?pid=429170 - subfamily C14A non-peptidase homologues (Strongylocentrotus purpuratus) [C14.UNA]#C14A#{peptidase unit","1E-116")</f>
        <v>1E-116</v>
      </c>
      <c r="BC134" s="3" t="s">
        <v>154</v>
      </c>
      <c r="BD134" s="3">
        <v>420</v>
      </c>
      <c r="BE134" s="3">
        <v>620</v>
      </c>
      <c r="BF134" s="3">
        <v>1474</v>
      </c>
      <c r="BG134" s="3">
        <v>38</v>
      </c>
      <c r="BH134" s="3">
        <v>54</v>
      </c>
      <c r="BI134" s="3">
        <v>42</v>
      </c>
      <c r="BJ134" s="3">
        <v>379</v>
      </c>
      <c r="BK134" s="3">
        <v>94</v>
      </c>
      <c r="BL134" s="3">
        <v>572</v>
      </c>
      <c r="BM134" s="3">
        <v>5</v>
      </c>
      <c r="BN134" s="3">
        <v>1</v>
      </c>
      <c r="BO134" s="3" t="s">
        <v>155</v>
      </c>
      <c r="BP134" s="3" t="s">
        <v>156</v>
      </c>
      <c r="BQ134" s="3">
        <f>HYPERLINK(".\links\GO\gi_427778333-GO.txt",0)</f>
        <v>0</v>
      </c>
      <c r="BR134" s="3" t="str">
        <f>HYPERLINK("http://amigo.geneontology.org/cgi-bin/amigo/term_details?term=GO:0008066","GO:0008066")</f>
        <v>GO:0008066</v>
      </c>
      <c r="BS134" s="3" t="s">
        <v>157</v>
      </c>
      <c r="BT134" s="3" t="s">
        <v>158</v>
      </c>
      <c r="BU134" s="3" t="s">
        <v>36</v>
      </c>
      <c r="BV134" s="3" t="s">
        <v>36</v>
      </c>
      <c r="BX134" s="4">
        <v>9.9999999999999998E-138</v>
      </c>
      <c r="BY134" s="3" t="str">
        <f>HYPERLINK("http://amigo.geneontology.org/cgi-bin/amigo/term_details?term=GO:0005887","GO:0005887")</f>
        <v>GO:0005887</v>
      </c>
      <c r="BZ134" s="3" t="s">
        <v>145</v>
      </c>
      <c r="CA134" s="3" t="s">
        <v>146</v>
      </c>
      <c r="CB134" s="3" t="s">
        <v>147</v>
      </c>
      <c r="CC134" s="3" t="s">
        <v>36</v>
      </c>
      <c r="CE134" s="4">
        <v>9.9999999999999998E-138</v>
      </c>
      <c r="CF134" s="3" t="str">
        <f>HYPERLINK("http://amigo.geneontology.org/cgi-bin/amigo/term_details?term=GO:0007216","GO:0007216")</f>
        <v>GO:0007216</v>
      </c>
      <c r="CG134" s="3" t="s">
        <v>159</v>
      </c>
      <c r="CH134" s="3" t="s">
        <v>160</v>
      </c>
      <c r="CI134" s="3" t="s">
        <v>161</v>
      </c>
      <c r="CJ134" s="3" t="s">
        <v>36</v>
      </c>
      <c r="CL134" s="4">
        <v>9.9999999999999998E-138</v>
      </c>
      <c r="CM134" s="3" t="str">
        <f>HYPERLINK(".\links\CDD\gi_427778333-CDD.txt","PBP1_mGluR_grou")</f>
        <v>PBP1_mGluR_grou</v>
      </c>
      <c r="CN134" s="3" t="str">
        <f>HYPERLINK("http://www.ncbi.nlm.nih.gov/Structure/cdd/cddsrv.cgi?uid=cd06375&amp;version=v4.0","1E-123")</f>
        <v>1E-123</v>
      </c>
      <c r="CO134" s="3" t="s">
        <v>162</v>
      </c>
      <c r="CP134" s="3" t="str">
        <f>HYPERLINK(".\links\ACARI\gi_427778333-ACARI.txt","Putative metabotropic glutamate receptor")</f>
        <v>Putative metabotropic glutamate receptor</v>
      </c>
      <c r="CQ134" s="3" t="str">
        <f>HYPERLINK("http://www.ncbi.nlm.nih.gov/sutils/blink.cgi?pid=427778333","0.0")</f>
        <v>0.0</v>
      </c>
      <c r="CR134" s="3" t="str">
        <f>HYPERLINK("http://www.ncbi.nlm.nih.gov/protein/427778333","gi|427778333")</f>
        <v>gi|427778333</v>
      </c>
      <c r="CS134" s="3">
        <v>1214</v>
      </c>
      <c r="CT134" s="3">
        <v>603</v>
      </c>
      <c r="CU134" s="3">
        <v>603</v>
      </c>
      <c r="CV134" s="3">
        <v>100</v>
      </c>
      <c r="CW134" s="3">
        <v>100</v>
      </c>
      <c r="CX134" s="3">
        <v>100</v>
      </c>
      <c r="CY134" s="3">
        <v>0</v>
      </c>
      <c r="CZ134" s="3">
        <v>0</v>
      </c>
      <c r="DA134" s="3">
        <v>1</v>
      </c>
      <c r="DB134" s="3">
        <v>1</v>
      </c>
      <c r="DC134" s="3">
        <v>1</v>
      </c>
      <c r="DD134" s="3" t="s">
        <v>68</v>
      </c>
    </row>
    <row r="135" spans="1:108" s="3" customFormat="1" x14ac:dyDescent="0.2">
      <c r="A135" s="3" t="s">
        <v>1405</v>
      </c>
      <c r="B135" s="3" t="str">
        <f>HYPERLINK(".\links\\gi_427792449-.txt","gi_427792449")</f>
        <v>gi_427792449</v>
      </c>
      <c r="C135" s="3" t="s">
        <v>918</v>
      </c>
      <c r="D135" s="3">
        <v>1928</v>
      </c>
      <c r="E135" s="9" t="s">
        <v>68</v>
      </c>
      <c r="F135" s="3" t="s">
        <v>1289</v>
      </c>
      <c r="G135" s="3" t="s">
        <v>1482</v>
      </c>
      <c r="H135" s="3" t="str">
        <f>HYPERLINK(".\links\UNIPROT-ACARI\gi_427792449-UNIPROT-ACARI.txt","Putative plexins functional semaphorin receptor (Fragment)")</f>
        <v>Putative plexins functional semaphorin receptor (Fragment)</v>
      </c>
      <c r="I135" s="3" t="str">
        <f>HYPERLINK("http://www.ncbi.nlm.nih.gov/sutils/blink.cgi?pid=L7MBQ7","0.0")</f>
        <v>0.0</v>
      </c>
      <c r="J135" s="3" t="s">
        <v>1051</v>
      </c>
      <c r="K135" s="3">
        <v>3917</v>
      </c>
      <c r="L135" s="3">
        <v>1928</v>
      </c>
      <c r="M135" s="3">
        <v>1928</v>
      </c>
      <c r="N135" s="3">
        <v>100</v>
      </c>
      <c r="O135" s="3">
        <v>100</v>
      </c>
      <c r="P135" s="3">
        <v>100</v>
      </c>
      <c r="Q135" s="3">
        <v>0</v>
      </c>
      <c r="R135" s="3">
        <v>0</v>
      </c>
      <c r="S135" s="3">
        <v>1</v>
      </c>
      <c r="T135" s="3">
        <v>1</v>
      </c>
      <c r="U135" s="3">
        <v>1</v>
      </c>
      <c r="V135" s="3" t="s">
        <v>36</v>
      </c>
      <c r="W135" s="3" t="str">
        <f>HYPERLINK(".\links\NR-LIGHT\gi_427792449-NR-LIGHT.txt","plexin A, putative")</f>
        <v>plexin A, putative</v>
      </c>
      <c r="X135" s="3" t="str">
        <f>HYPERLINK("http://www.ncbi.nlm.nih.gov/sutils/blink.cgi?pid=241598567","0.0")</f>
        <v>0.0</v>
      </c>
      <c r="Y135" s="3" t="str">
        <f>HYPERLINK("http://www.ncbi.nlm.nih.gov/protein/241598567","gi|241598567")</f>
        <v>gi|241598567</v>
      </c>
      <c r="Z135" s="3">
        <v>3639</v>
      </c>
      <c r="AA135" s="3">
        <v>1915</v>
      </c>
      <c r="AB135" s="3">
        <v>1927</v>
      </c>
      <c r="AC135" s="3">
        <v>92</v>
      </c>
      <c r="AD135" s="3">
        <v>96</v>
      </c>
      <c r="AE135" s="3">
        <v>99</v>
      </c>
      <c r="AF135" s="3">
        <v>149</v>
      </c>
      <c r="AG135" s="3">
        <v>6</v>
      </c>
      <c r="AH135" s="3">
        <v>13</v>
      </c>
      <c r="AI135" s="3">
        <v>20</v>
      </c>
      <c r="AJ135" s="3">
        <v>1</v>
      </c>
      <c r="AK135" s="3" t="s">
        <v>40</v>
      </c>
      <c r="AL135" s="3" t="str">
        <f>HYPERLINK(".\links\REFSEQ-INVERTEBRATE\gi_427792449-REFSEQ-INVERTEBRATE.txt","plexin A, putative")</f>
        <v>plexin A, putative</v>
      </c>
      <c r="AM135" s="3" t="str">
        <f>HYPERLINK("http://www.ncbi.nlm.nih.gov/sutils/blink.cgi?pid=241598567","0.0")</f>
        <v>0.0</v>
      </c>
      <c r="AN135" s="3" t="str">
        <f>HYPERLINK("http://www.ncbi.nlm.nih.gov/protein/241598567","gi|241598567")</f>
        <v>gi|241598567</v>
      </c>
      <c r="AO135" s="3">
        <v>3639</v>
      </c>
      <c r="AP135" s="3">
        <v>1915</v>
      </c>
      <c r="AQ135" s="3">
        <v>1927</v>
      </c>
      <c r="AR135" s="3">
        <v>92</v>
      </c>
      <c r="AS135" s="3">
        <v>96</v>
      </c>
      <c r="AT135" s="3">
        <v>99</v>
      </c>
      <c r="AU135" s="3">
        <v>149</v>
      </c>
      <c r="AV135" s="3">
        <v>6</v>
      </c>
      <c r="AW135" s="3">
        <v>13</v>
      </c>
      <c r="AX135" s="3">
        <v>20</v>
      </c>
      <c r="AY135" s="3">
        <v>1</v>
      </c>
      <c r="AZ135" s="3" t="s">
        <v>40</v>
      </c>
      <c r="BA135" s="3" t="str">
        <f>HYPERLINK(".\links\MEROPS\gi_427792449-MEROPS.txt","- subfamily M16B non-peptidase homologues (Aeromonas media)")</f>
        <v>- subfamily M16B non-peptidase homologues (Aeromonas media)</v>
      </c>
      <c r="BB135" s="3" t="str">
        <f>HYPERLINK("http://www.ncbi.nlm.nih.gov/sutils/blink.cgi?pid=392253 - subfamily M16B non-peptidase homologues (Aeromonas media) [M16.UNB]#M16B#{peptidase unit","1.4")</f>
        <v>1.4</v>
      </c>
      <c r="BC135" s="3" t="s">
        <v>1052</v>
      </c>
      <c r="BD135" s="3">
        <v>37.700000000000003</v>
      </c>
      <c r="BE135" s="3">
        <v>146</v>
      </c>
      <c r="BF135" s="3">
        <v>937</v>
      </c>
      <c r="BG135" s="3">
        <v>23</v>
      </c>
      <c r="BH135" s="3">
        <v>45</v>
      </c>
      <c r="BI135" s="3">
        <v>16</v>
      </c>
      <c r="BJ135" s="3">
        <v>112</v>
      </c>
      <c r="BK135" s="3">
        <v>19</v>
      </c>
      <c r="BL135" s="3">
        <v>389</v>
      </c>
      <c r="BM135" s="3">
        <v>974</v>
      </c>
      <c r="BN135" s="3">
        <v>1</v>
      </c>
      <c r="BO135" s="3" t="s">
        <v>933</v>
      </c>
      <c r="BP135" s="3" t="s">
        <v>1053</v>
      </c>
      <c r="BQ135" s="3">
        <f>HYPERLINK(".\links\GO\gi_427792449-GO.txt",0)</f>
        <v>0</v>
      </c>
      <c r="BR135" s="3" t="str">
        <f>HYPERLINK("http://amigo.geneontology.org/cgi-bin/amigo/term_details?term=GO:0017154","GO:0017154")</f>
        <v>GO:0017154</v>
      </c>
      <c r="BS135" s="3" t="s">
        <v>1054</v>
      </c>
      <c r="BT135" s="3" t="s">
        <v>1055</v>
      </c>
      <c r="BU135" s="3" t="s">
        <v>36</v>
      </c>
      <c r="BV135" s="3" t="s">
        <v>36</v>
      </c>
      <c r="BX135" s="3">
        <v>0</v>
      </c>
      <c r="BY135" s="3" t="str">
        <f>HYPERLINK("http://amigo.geneontology.org/cgi-bin/amigo/term_details?term=GO:0005622","GO:0005622")</f>
        <v>GO:0005622</v>
      </c>
      <c r="BZ135" s="3" t="s">
        <v>586</v>
      </c>
      <c r="CA135" s="3" t="s">
        <v>587</v>
      </c>
      <c r="CB135" s="3" t="s">
        <v>588</v>
      </c>
      <c r="CC135" s="3" t="s">
        <v>36</v>
      </c>
      <c r="CE135" s="3">
        <v>0</v>
      </c>
      <c r="CF135" s="3" t="str">
        <f>HYPERLINK("http://amigo.geneontology.org/cgi-bin/amigo/term_details?term=GO:0008045","GO:0008045")</f>
        <v>GO:0008045</v>
      </c>
      <c r="CG135" s="3" t="s">
        <v>1056</v>
      </c>
      <c r="CH135" s="3" t="s">
        <v>1057</v>
      </c>
      <c r="CI135" s="3" t="s">
        <v>1058</v>
      </c>
      <c r="CJ135" s="3" t="s">
        <v>36</v>
      </c>
      <c r="CL135" s="3">
        <v>0</v>
      </c>
      <c r="CM135" s="3" t="str">
        <f>HYPERLINK(".\links\CDD\gi_427792449-CDD.txt","Plexin_cytopl")</f>
        <v>Plexin_cytopl</v>
      </c>
      <c r="CN135" s="3" t="str">
        <f>HYPERLINK("http://www.ncbi.nlm.nih.gov/Structure/cdd/cddsrv.cgi?uid=pfam08337&amp;version=v4.0","0.0")</f>
        <v>0.0</v>
      </c>
      <c r="CO135" s="3" t="s">
        <v>1059</v>
      </c>
      <c r="CP135" s="3" t="str">
        <f>HYPERLINK(".\links\ACARI\gi_427792449-ACARI.txt","Putative plexins functional semaphorin receptor, partial")</f>
        <v>Putative plexins functional semaphorin receptor, partial</v>
      </c>
      <c r="CQ135" s="3" t="str">
        <f>HYPERLINK("http://www.ncbi.nlm.nih.gov/sutils/blink.cgi?pid=427792449","0.0")</f>
        <v>0.0</v>
      </c>
      <c r="CR135" s="3" t="str">
        <f>HYPERLINK("http://www.ncbi.nlm.nih.gov/protein/427792449","gi|427792449")</f>
        <v>gi|427792449</v>
      </c>
      <c r="CS135" s="3">
        <v>3917</v>
      </c>
      <c r="CT135" s="3">
        <v>1928</v>
      </c>
      <c r="CU135" s="3">
        <v>1928</v>
      </c>
      <c r="CV135" s="3">
        <v>100</v>
      </c>
      <c r="CW135" s="3">
        <v>100</v>
      </c>
      <c r="CX135" s="3">
        <v>100</v>
      </c>
      <c r="CY135" s="3">
        <v>0</v>
      </c>
      <c r="CZ135" s="3">
        <v>0</v>
      </c>
      <c r="DA135" s="3">
        <v>1</v>
      </c>
      <c r="DB135" s="3">
        <v>1</v>
      </c>
      <c r="DC135" s="3">
        <v>1</v>
      </c>
      <c r="DD135" s="3" t="s">
        <v>68</v>
      </c>
    </row>
    <row r="136" spans="1:108" s="3" customFormat="1" x14ac:dyDescent="0.2">
      <c r="A136" s="3" t="s">
        <v>1369</v>
      </c>
      <c r="B136" s="3" t="str">
        <f>HYPERLINK(".\links\\gi_556070157-.txt","gi_556070157")</f>
        <v>gi_556070157</v>
      </c>
      <c r="C136" s="3" t="s">
        <v>425</v>
      </c>
      <c r="D136" s="3">
        <v>355</v>
      </c>
      <c r="E136" s="9" t="s">
        <v>37</v>
      </c>
      <c r="F136" s="3" t="s">
        <v>1290</v>
      </c>
      <c r="G136" s="3" t="s">
        <v>1482</v>
      </c>
      <c r="H136" s="3" t="str">
        <f>HYPERLINK(".\links\UNIPROT-ACARI\gi_556070157-UNIPROT-ACARI.txt","Putative creatine kinase (Fragment)")</f>
        <v>Putative creatine kinase (Fragment)</v>
      </c>
      <c r="I136" s="3" t="str">
        <f>HYPERLINK("http://www.ncbi.nlm.nih.gov/sutils/blink.cgi?pid=V5H503","0.0")</f>
        <v>0.0</v>
      </c>
      <c r="J136" s="3" t="s">
        <v>426</v>
      </c>
      <c r="K136" s="3">
        <v>716</v>
      </c>
      <c r="L136" s="3">
        <v>355</v>
      </c>
      <c r="M136" s="3">
        <v>355</v>
      </c>
      <c r="N136" s="3">
        <v>100</v>
      </c>
      <c r="O136" s="3">
        <v>100</v>
      </c>
      <c r="P136" s="3">
        <v>100</v>
      </c>
      <c r="Q136" s="3">
        <v>0</v>
      </c>
      <c r="R136" s="3">
        <v>0</v>
      </c>
      <c r="S136" s="3">
        <v>1</v>
      </c>
      <c r="T136" s="3">
        <v>1</v>
      </c>
      <c r="U136" s="3">
        <v>1</v>
      </c>
      <c r="V136" s="3" t="s">
        <v>36</v>
      </c>
      <c r="W136" s="3" t="str">
        <f>HYPERLINK(".\links\NR-LIGHT\gi_556070157-NR-LIGHT.txt","arginine kinase isoform X1")</f>
        <v>arginine kinase isoform X1</v>
      </c>
      <c r="X136" s="3" t="str">
        <f>HYPERLINK("http://www.ncbi.nlm.nih.gov/sutils/blink.cgi?pid=571573515","1E-168")</f>
        <v>1E-168</v>
      </c>
      <c r="Y136" s="3" t="str">
        <f>HYPERLINK("http://www.ncbi.nlm.nih.gov/protein/571573515","gi|571573515")</f>
        <v>gi|571573515</v>
      </c>
      <c r="Z136" s="3">
        <v>594</v>
      </c>
      <c r="AA136" s="3">
        <v>353</v>
      </c>
      <c r="AB136" s="3">
        <v>387</v>
      </c>
      <c r="AC136" s="3">
        <v>80</v>
      </c>
      <c r="AD136" s="3">
        <v>91</v>
      </c>
      <c r="AE136" s="3">
        <v>91</v>
      </c>
      <c r="AF136" s="3">
        <v>70</v>
      </c>
      <c r="AG136" s="3">
        <v>1</v>
      </c>
      <c r="AH136" s="3">
        <v>34</v>
      </c>
      <c r="AI136" s="3">
        <v>1</v>
      </c>
      <c r="AJ136" s="3">
        <v>1</v>
      </c>
      <c r="AK136" s="3" t="s">
        <v>427</v>
      </c>
      <c r="AL136" s="3" t="str">
        <f>HYPERLINK(".\links\REFSEQ-INVERTEBRATE\gi_556070157-REFSEQ-INVERTEBRATE.txt","glutamate receptor 1-like")</f>
        <v>glutamate receptor 1-like</v>
      </c>
      <c r="AM136" s="3" t="str">
        <f>HYPERLINK("http://www.ncbi.nlm.nih.gov/sutils/blink.cgi?pid=391338350","1E-176")</f>
        <v>1E-176</v>
      </c>
      <c r="AN136" s="3" t="str">
        <f>HYPERLINK("http://www.ncbi.nlm.nih.gov/protein/391338350","gi|391338350")</f>
        <v>gi|391338350</v>
      </c>
      <c r="AO136" s="3">
        <v>619</v>
      </c>
      <c r="AP136" s="3">
        <v>355</v>
      </c>
      <c r="AQ136" s="3">
        <v>1334</v>
      </c>
      <c r="AR136" s="3">
        <v>83</v>
      </c>
      <c r="AS136" s="3">
        <v>92</v>
      </c>
      <c r="AT136" s="3">
        <v>27</v>
      </c>
      <c r="AU136" s="3">
        <v>57</v>
      </c>
      <c r="AV136" s="3">
        <v>0</v>
      </c>
      <c r="AW136" s="3">
        <v>979</v>
      </c>
      <c r="AX136" s="3">
        <v>1</v>
      </c>
      <c r="AY136" s="3">
        <v>1</v>
      </c>
      <c r="AZ136" s="3" t="s">
        <v>392</v>
      </c>
      <c r="BA136" s="3" t="str">
        <f>HYPERLINK(".\links\MEROPS\gi_556070157-MEROPS.txt","- saccharolysin (Eremothecium cymbalariae)")</f>
        <v>- saccharolysin (Eremothecium cymbalariae)</v>
      </c>
      <c r="BB136" s="3" t="str">
        <f>HYPERLINK("http://www.ncbi.nlm.nih.gov/sutils/blink.cgi?pid=282363 - saccharolysin (Eremothecium cymbalariae) [M03.003]#M03A#{peptidase unit","3.5")</f>
        <v>3.5</v>
      </c>
      <c r="BC136" s="3" t="s">
        <v>428</v>
      </c>
      <c r="BD136" s="3">
        <v>33.5</v>
      </c>
      <c r="BE136" s="3">
        <v>100</v>
      </c>
      <c r="BF136" s="3">
        <v>716</v>
      </c>
      <c r="BG136" s="3">
        <v>26</v>
      </c>
      <c r="BH136" s="3">
        <v>39</v>
      </c>
      <c r="BI136" s="3">
        <v>14</v>
      </c>
      <c r="BJ136" s="3">
        <v>74</v>
      </c>
      <c r="BK136" s="3">
        <v>20</v>
      </c>
      <c r="BL136" s="3">
        <v>355</v>
      </c>
      <c r="BM136" s="3">
        <v>132</v>
      </c>
      <c r="BN136" s="3">
        <v>1</v>
      </c>
      <c r="BO136" s="3" t="s">
        <v>429</v>
      </c>
      <c r="BP136" s="3" t="s">
        <v>430</v>
      </c>
      <c r="BQ136" s="3">
        <f>HYPERLINK(".\links\GO\gi_556070157-GO.txt",0)</f>
        <v>0</v>
      </c>
      <c r="BR136" s="3" t="str">
        <f>HYPERLINK("http://amigo.geneontology.org/cgi-bin/amigo/term_details?term=GO:0004054","GO:0004054")</f>
        <v>GO:0004054</v>
      </c>
      <c r="BS136" s="3" t="s">
        <v>431</v>
      </c>
      <c r="BT136" s="3" t="s">
        <v>432</v>
      </c>
      <c r="BU136" s="3" t="s">
        <v>433</v>
      </c>
      <c r="BV136" s="3" t="str">
        <f>HYPERLINK("http://www.genome.jp/dbget-bin/www_bfind_sub?mode=bfind&amp;max_hit=1000&amp;dbkey=kegg&amp;keywords=EC:2.7.3.3","EC:2.7.3.3")</f>
        <v>EC:2.7.3.3</v>
      </c>
      <c r="BW136" s="3" t="str">
        <f>HYPERLINK("http://www.genome.jp/dbget-bin/www_bget?rn:R00554","KEGG:R00554")</f>
        <v>KEGG:R00554</v>
      </c>
      <c r="BX136" s="4">
        <v>9.9999999999999995E-163</v>
      </c>
      <c r="BY136" s="3" t="str">
        <f>HYPERLINK("http://amigo.geneontology.org/cgi-bin/amigo/term_details?term=GO:0005576","GO:0005576")</f>
        <v>GO:0005576</v>
      </c>
      <c r="BZ136" s="3" t="s">
        <v>47</v>
      </c>
      <c r="CA136" s="3" t="s">
        <v>48</v>
      </c>
      <c r="CB136" s="3" t="s">
        <v>49</v>
      </c>
      <c r="CC136" s="3" t="s">
        <v>36</v>
      </c>
      <c r="CE136" s="4">
        <v>9.9999999999999995E-163</v>
      </c>
      <c r="CF136" s="3" t="str">
        <f>HYPERLINK("http://amigo.geneontology.org/cgi-bin/amigo/term_details?term=GO:0016310","GO:0016310")</f>
        <v>GO:0016310</v>
      </c>
      <c r="CG136" s="3" t="s">
        <v>434</v>
      </c>
      <c r="CH136" s="3" t="s">
        <v>435</v>
      </c>
      <c r="CI136" s="3" t="s">
        <v>36</v>
      </c>
      <c r="CJ136" s="3" t="s">
        <v>36</v>
      </c>
      <c r="CL136" s="4">
        <v>9.9999999999999995E-163</v>
      </c>
      <c r="CM136" s="3" t="str">
        <f>HYPERLINK(".\links\CDD\gi_556070157-CDD.txt","arginine_kinase")</f>
        <v>arginine_kinase</v>
      </c>
      <c r="CN136" s="3" t="str">
        <f>HYPERLINK("http://www.ncbi.nlm.nih.gov/Structure/cdd/cddsrv.cgi?uid=cd07932&amp;version=v4.0","1E-154")</f>
        <v>1E-154</v>
      </c>
      <c r="CO136" s="3" t="s">
        <v>436</v>
      </c>
      <c r="CP136" s="3" t="str">
        <f>HYPERLINK(".\links\ACARI\gi_556070157-ACARI.txt","putative creatine kinase, partial")</f>
        <v>putative creatine kinase, partial</v>
      </c>
      <c r="CQ136" s="3" t="str">
        <f>HYPERLINK("http://www.ncbi.nlm.nih.gov/sutils/blink.cgi?pid=556070157","0.0")</f>
        <v>0.0</v>
      </c>
      <c r="CR136" s="3" t="str">
        <f>HYPERLINK("http://www.ncbi.nlm.nih.gov/protein/556070157","gi|556070157")</f>
        <v>gi|556070157</v>
      </c>
      <c r="CS136" s="3">
        <v>716</v>
      </c>
      <c r="CT136" s="3">
        <v>355</v>
      </c>
      <c r="CU136" s="3">
        <v>355</v>
      </c>
      <c r="CV136" s="3">
        <v>100</v>
      </c>
      <c r="CW136" s="3">
        <v>100</v>
      </c>
      <c r="CX136" s="3">
        <v>100</v>
      </c>
      <c r="CY136" s="3">
        <v>0</v>
      </c>
      <c r="CZ136" s="3">
        <v>0</v>
      </c>
      <c r="DA136" s="3">
        <v>1</v>
      </c>
      <c r="DB136" s="3">
        <v>1</v>
      </c>
      <c r="DC136" s="3">
        <v>1</v>
      </c>
      <c r="DD136" s="3" t="s">
        <v>37</v>
      </c>
    </row>
    <row r="138" spans="1:108" x14ac:dyDescent="0.2">
      <c r="A138" s="7"/>
    </row>
    <row r="139" spans="1:108" x14ac:dyDescent="0.2">
      <c r="A139" s="7"/>
    </row>
  </sheetData>
  <sortState ref="A2:DD139">
    <sortCondition ref="G2:G13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all-tables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ltirloni</dc:creator>
  <cp:lastModifiedBy>ltirloni</cp:lastModifiedBy>
  <dcterms:created xsi:type="dcterms:W3CDTF">2014-10-09T23:11:20Z</dcterms:created>
  <dcterms:modified xsi:type="dcterms:W3CDTF">2015-03-17T13:41:51Z</dcterms:modified>
</cp:coreProperties>
</file>